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drawings/drawing2.xml" ContentType="application/vnd.openxmlformats-officedocument.drawing+xml"/>
  <Override PartName="/xl/customProperty17.bin" ContentType="application/vnd.openxmlformats-officedocument.spreadsheetml.customProperty"/>
  <Override PartName="/xl/drawings/drawing3.xml" ContentType="application/vnd.openxmlformats-officedocument.drawing+xml"/>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customProperty24.bin" ContentType="application/vnd.openxmlformats-officedocument.spreadsheetml.customProperty"/>
  <Override PartName="/xl/customProperty25.bin" ContentType="application/vnd.openxmlformats-officedocument.spreadsheetml.customProperty"/>
  <Override PartName="/xl/customProperty26.bin" ContentType="application/vnd.openxmlformats-officedocument.spreadsheetml.customProperty"/>
  <Override PartName="/xl/customProperty27.bin" ContentType="application/vnd.openxmlformats-officedocument.spreadsheetml.customProperty"/>
  <Override PartName="/xl/customProperty28.bin" ContentType="application/vnd.openxmlformats-officedocument.spreadsheetml.customProperty"/>
  <Override PartName="/xl/customProperty29.bin" ContentType="application/vnd.openxmlformats-officedocument.spreadsheetml.customProperty"/>
  <Override PartName="/xl/customProperty30.bin" ContentType="application/vnd.openxmlformats-officedocument.spreadsheetml.customProperty"/>
  <Override PartName="/xl/customProperty31.bin" ContentType="application/vnd.openxmlformats-officedocument.spreadsheetml.customProperty"/>
  <Override PartName="/xl/customProperty32.bin" ContentType="application/vnd.openxmlformats-officedocument.spreadsheetml.customProperty"/>
  <Override PartName="/xl/customProperty33.bin" ContentType="application/vnd.openxmlformats-officedocument.spreadsheetml.customProperty"/>
  <Override PartName="/xl/drawings/drawing4.xml" ContentType="application/vnd.openxmlformats-officedocument.drawing+xml"/>
  <Override PartName="/xl/customProperty34.bin" ContentType="application/vnd.openxmlformats-officedocument.spreadsheetml.customProperty"/>
  <Override PartName="/xl/customProperty35.bin" ContentType="application/vnd.openxmlformats-officedocument.spreadsheetml.customProperty"/>
  <Override PartName="/xl/customProperty36.bin" ContentType="application/vnd.openxmlformats-officedocument.spreadsheetml.customProperty"/>
  <Override PartName="/xl/drawings/drawing5.xml" ContentType="application/vnd.openxmlformats-officedocument.drawing+xml"/>
  <Override PartName="/xl/customProperty37.bin" ContentType="application/vnd.openxmlformats-officedocument.spreadsheetml.customProperty"/>
  <Override PartName="/xl/customProperty38.bin" ContentType="application/vnd.openxmlformats-officedocument.spreadsheetml.customProperty"/>
  <Override PartName="/xl/customProperty39.bin" ContentType="application/vnd.openxmlformats-officedocument.spreadsheetml.customProperty"/>
  <Override PartName="/xl/customProperty40.bin" ContentType="application/vnd.openxmlformats-officedocument.spreadsheetml.customProperty"/>
  <Override PartName="/xl/customProperty41.bin" ContentType="application/vnd.openxmlformats-officedocument.spreadsheetml.customProperty"/>
  <Override PartName="/xl/customProperty42.bin" ContentType="application/vnd.openxmlformats-officedocument.spreadsheetml.customProperty"/>
  <Override PartName="/xl/customProperty43.bin" ContentType="application/vnd.openxmlformats-officedocument.spreadsheetml.customProperty"/>
  <Override PartName="/xl/customProperty44.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filterPrivacy="1" codeName="ThisWorkbook" defaultThemeVersion="124226"/>
  <xr:revisionPtr revIDLastSave="0" documentId="8_{CD587722-4DC4-4892-88C6-6FC260F1B910}" xr6:coauthVersionLast="47" xr6:coauthVersionMax="47" xr10:uidLastSave="{00000000-0000-0000-0000-000000000000}"/>
  <bookViews>
    <workbookView xWindow="-120" yWindow="-120" windowWidth="29040" windowHeight="15840" xr2:uid="{C0F6E8F3-9F27-4CFB-96E6-190C7DFE8D53}"/>
  </bookViews>
  <sheets>
    <sheet name="Table of Contents" sheetId="1" r:id="rId1"/>
    <sheet name="Exhibit A" sheetId="2" r:id="rId2"/>
    <sheet name="Exh A Supp" sheetId="3" r:id="rId3"/>
    <sheet name="Footnotes" sheetId="4" r:id="rId4"/>
    <sheet name="Exh B" sheetId="5" r:id="rId5"/>
    <sheet name="Exh C" sheetId="6" r:id="rId6"/>
    <sheet name="Exh D-Governmental  " sheetId="7" r:id="rId7"/>
    <sheet name="Exh D State Operating" sheetId="8" r:id="rId8"/>
    <sheet name="Exh D General Fund" sheetId="9" r:id="rId9"/>
    <sheet name="Exh D Special Revenue" sheetId="10" r:id="rId10"/>
    <sheet name="Exh D Special Revenue State Fed" sheetId="11" r:id="rId11"/>
    <sheet name="Exh D Debt Service" sheetId="12" r:id="rId12"/>
    <sheet name="Exh D Capital Projects" sheetId="13" r:id="rId13"/>
    <sheet name="Exh D Captl Projects State Fed" sheetId="14" r:id="rId14"/>
    <sheet name="EXHIBIT E " sheetId="15" r:id="rId15"/>
    <sheet name="Cashflow Governmental" sheetId="16" r:id="rId16"/>
    <sheet name="Cash Flow State Operating" sheetId="17" r:id="rId17"/>
    <sheet name="Exhibit F" sheetId="18" r:id="rId18"/>
    <sheet name="Exhibit G" sheetId="19" r:id="rId19"/>
    <sheet name="Exhibit G State" sheetId="20" r:id="rId20"/>
    <sheet name="Exhibit G Federal" sheetId="21" r:id="rId21"/>
    <sheet name="Exhibit H" sheetId="22" r:id="rId22"/>
    <sheet name="Exhibit I" sheetId="23" r:id="rId23"/>
    <sheet name="Exhibit I State" sheetId="24" r:id="rId24"/>
    <sheet name="Exhibit I Federal" sheetId="25" r:id="rId25"/>
    <sheet name="Exhibit J" sheetId="26" r:id="rId26"/>
    <sheet name="Exhibit K" sheetId="27" r:id="rId27"/>
    <sheet name="Exhibit L" sheetId="28" r:id="rId28"/>
    <sheet name="Exhibit M" sheetId="29" r:id="rId29"/>
    <sheet name="Sch 1 " sheetId="30" r:id="rId30"/>
    <sheet name="Sch 2 " sheetId="31" r:id="rId31"/>
    <sheet name="Sch 3 " sheetId="32" r:id="rId32"/>
    <sheet name="Sch 4" sheetId="33" r:id="rId33"/>
    <sheet name="Sch 5 " sheetId="34" r:id="rId34"/>
    <sheet name="Sch 5a" sheetId="35" r:id="rId35"/>
    <sheet name="Sch 6" sheetId="36" r:id="rId36"/>
    <sheet name="HCRA " sheetId="37" r:id="rId37"/>
    <sheet name="HCRA PROG DISB" sheetId="38" r:id="rId38"/>
    <sheet name="Public Goods " sheetId="39" r:id="rId39"/>
    <sheet name="Medicaid Disp Share" sheetId="40" r:id="rId40"/>
    <sheet name="Appendix E" sheetId="41" r:id="rId41"/>
    <sheet name="Appendix F" sheetId="42" r:id="rId42"/>
    <sheet name="Appendix G" sheetId="43" r:id="rId43"/>
    <sheet name="Appendix H" sheetId="44" r:id="rId44"/>
    <sheet name="Appendix I" sheetId="45" r:id="rId45"/>
  </sheets>
  <definedNames>
    <definedName name="_xlnm._FilterDatabase" localSheetId="11" hidden="1">'Exh D Debt Service'!$A$3:$A$7</definedName>
    <definedName name="_xlnm._FilterDatabase" localSheetId="8" hidden="1">'Exh D General Fund'!$A$3:$A$7</definedName>
    <definedName name="Exh_G_var" localSheetId="18">'Exhibit G'!$A$2:$AL$124</definedName>
    <definedName name="Exh_G_var" localSheetId="20">'Exhibit G Federal'!$A$2:$AL$93</definedName>
    <definedName name="Exh_G_var" localSheetId="19">'Exhibit G State'!$A$2:$AL$121</definedName>
    <definedName name="EXHIBIT_E" localSheetId="14">'EXHIBIT E '!$A$3:$AK$67</definedName>
    <definedName name="EXHIBITA" localSheetId="2">'Exh A Supp'!$A$3:$AC$60</definedName>
    <definedName name="EXHIBITAvar" localSheetId="2">'Exh A Supp'!$A$3:$AC$60</definedName>
    <definedName name="ExhibitB" localSheetId="5">'Exh C'!$A$3:$Q$46</definedName>
    <definedName name="EXHL" localSheetId="40">'Appendix E'!$A$2:$AA$22</definedName>
    <definedName name="EXHL" localSheetId="28">'Exhibit M'!$A$3:$AF$39</definedName>
    <definedName name="Medicaid" localSheetId="39">'Medicaid Disp Share'!$B$4:$M$49</definedName>
    <definedName name="NvsASD">"V2019-12-31"</definedName>
    <definedName name="NvsAutoDrillOk">"VN"</definedName>
    <definedName name="NvsElapsedTime" localSheetId="44">0.000937500000873115</definedName>
    <definedName name="NvsElapsedTime">0.00094907407037681</definedName>
    <definedName name="NvsEndTime" localSheetId="44">43847.4455208333</definedName>
    <definedName name="NvsEndTime">43847.3594675926</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"%,X,RZF..R00B,CZF..C00B"</definedName>
    <definedName name="NvsPanelBusUnit">"V"</definedName>
    <definedName name="NvsPanelEffdt">"V2011-09-21"</definedName>
    <definedName name="NvsPanelSetid">"VNYS01"</definedName>
    <definedName name="NvsReqBU">"VOSC01"</definedName>
    <definedName name="NvsReqBUOnly">"VN"</definedName>
    <definedName name="NvsSheetType" localSheetId="43">"M"</definedName>
    <definedName name="NvsSheetType" localSheetId="44">"M"</definedName>
    <definedName name="NvsStyleNme">"Classical.xls"</definedName>
    <definedName name="NvsTransLed">"VN"</definedName>
    <definedName name="NvsTreeASD">"V2019-12-31"</definedName>
    <definedName name="NvsValTbl.ACCOUNT">"GL_ACCOUNT_TBL"</definedName>
    <definedName name="NvsValTbl.BUSINESS_UNIT">"BUS_UNIT_GL_VW"</definedName>
    <definedName name="Page_1" localSheetId="3">Footnotes!$A$3:$S$74</definedName>
    <definedName name="Page_2" localSheetId="3">Footnotes!#REF!</definedName>
    <definedName name="page1" localSheetId="32">'Sch 4'!$A$3:$J$21</definedName>
    <definedName name="page1" localSheetId="0">'Table of Contents'!$A$1:$J$100</definedName>
    <definedName name="_xlnm.Print_Area" localSheetId="40">'Appendix E'!$A$2:$AA$31</definedName>
    <definedName name="_xlnm.Print_Area" localSheetId="41">'Appendix F'!$A$2:$P$293</definedName>
    <definedName name="_xlnm.Print_Area" localSheetId="42">'Appendix G'!$A$3:$Z$56</definedName>
    <definedName name="_xlnm.Print_Area" localSheetId="43">'Appendix H'!$A$3:$I$59</definedName>
    <definedName name="_xlnm.Print_Area" localSheetId="44">'Appendix I'!$A$3:$I$36</definedName>
    <definedName name="_xlnm.Print_Area" localSheetId="16">'Cash Flow State Operating'!$A$3:$AJ$153</definedName>
    <definedName name="_xlnm.Print_Area" localSheetId="15">'Cashflow Governmental'!$A$3:$AJ$152</definedName>
    <definedName name="_xlnm.Print_Area" localSheetId="2">'Exh A Supp'!$A$3:$AF$63</definedName>
    <definedName name="_xlnm.Print_Area" localSheetId="4">'Exh B'!$A$3:$V$47</definedName>
    <definedName name="_xlnm.Print_Area" localSheetId="5">'Exh C'!$A$3:$U$44</definedName>
    <definedName name="_xlnm.Print_Area" localSheetId="12">'Exh D Capital Projects'!$A$3:$O$46</definedName>
    <definedName name="_xlnm.Print_Area" localSheetId="13">'Exh D Captl Projects State Fed'!$A$3:$V$46</definedName>
    <definedName name="_xlnm.Print_Area" localSheetId="11">'Exh D Debt Service'!$A$3:$K$44</definedName>
    <definedName name="_xlnm.Print_Area" localSheetId="8">'Exh D General Fund'!$A$3:$K$58</definedName>
    <definedName name="_xlnm.Print_Area" localSheetId="9">'Exh D Special Revenue'!$A$3:$O$46</definedName>
    <definedName name="_xlnm.Print_Area" localSheetId="10">'Exh D Special Revenue State Fed'!$A$3:$W$45</definedName>
    <definedName name="_xlnm.Print_Area" localSheetId="7">'Exh D State Operating'!$A$3:$K$57</definedName>
    <definedName name="_xlnm.Print_Area" localSheetId="6">'Exh D-Governmental  '!$A$3:$K$54</definedName>
    <definedName name="_xlnm.Print_Area" localSheetId="1">'Exhibit A'!$A$3:$AI$60</definedName>
    <definedName name="_xlnm.Print_Area" localSheetId="14">'EXHIBIT E '!$A$3:$AK$67</definedName>
    <definedName name="_xlnm.Print_Area" localSheetId="17">'Exhibit F'!$B$3:$AK$145</definedName>
    <definedName name="_xlnm.Print_Area" localSheetId="18">'Exhibit G'!$B$3:$AL$128</definedName>
    <definedName name="_xlnm.Print_Area" localSheetId="20">'Exhibit G Federal'!$B$2:$AL$96</definedName>
    <definedName name="_xlnm.Print_Area" localSheetId="19">'Exhibit G State'!$B$3:$AL$124</definedName>
    <definedName name="_xlnm.Print_Area" localSheetId="21">'Exhibit H'!$A$2:$AI$78</definedName>
    <definedName name="_xlnm.Print_Area" localSheetId="22">'Exhibit I'!$B$3:$AN$105</definedName>
    <definedName name="_xlnm.Print_Area" localSheetId="24">'Exhibit I Federal'!$B$3:$AL$85</definedName>
    <definedName name="_xlnm.Print_Area" localSheetId="23">'Exhibit I State'!$B$3:$AL$103</definedName>
    <definedName name="_xlnm.Print_Area" localSheetId="25">'Exhibit J'!$A$3:$AJ$54</definedName>
    <definedName name="_xlnm.Print_Area" localSheetId="26">'Exhibit K'!$A$3:$AI$49</definedName>
    <definedName name="_xlnm.Print_Area" localSheetId="27">'Exhibit L'!$A$3:$AI$39</definedName>
    <definedName name="_xlnm.Print_Area" localSheetId="28">'Exhibit M'!$A$3:$AI$39</definedName>
    <definedName name="_xlnm.Print_Area" localSheetId="3">Footnotes!$A$2:$O$61</definedName>
    <definedName name="_xlnm.Print_Area" localSheetId="36">'HCRA '!$A$3:$Z$62</definedName>
    <definedName name="_xlnm.Print_Area" localSheetId="37">'HCRA PROG DISB'!$A$3:$D$70</definedName>
    <definedName name="_xlnm.Print_Area" localSheetId="39">'Medicaid Disp Share'!$B$2:$M$52</definedName>
    <definedName name="_xlnm.Print_Area" localSheetId="38">'Public Goods '!$A$3:$M$52</definedName>
    <definedName name="_xlnm.Print_Area" localSheetId="29">'Sch 1 '!$A$3:$L$159</definedName>
    <definedName name="_xlnm.Print_Area" localSheetId="30">'Sch 2 '!$A$3:$K$47</definedName>
    <definedName name="_xlnm.Print_Area" localSheetId="31">'Sch 3 '!$A$2:$M$52</definedName>
    <definedName name="_xlnm.Print_Area" localSheetId="32">'Sch 4'!$A$3:$J$37</definedName>
    <definedName name="_xlnm.Print_Area" localSheetId="33">'Sch 5 '!$A$3:$S$74</definedName>
    <definedName name="_xlnm.Print_Area" localSheetId="34">'Sch 5a'!$B$3:$R$34</definedName>
    <definedName name="_xlnm.Print_Area" localSheetId="35">'Sch 6'!$B$3:$K$38</definedName>
    <definedName name="_xlnm.Print_Area" localSheetId="0">'Table of Contents'!$A$1:$J$66</definedName>
    <definedName name="_xlnm.Print_Titles" localSheetId="41">'Appendix F'!$2:$8</definedName>
    <definedName name="_xlnm.Print_Titles" localSheetId="16">'Cash Flow State Operating'!$3:$15</definedName>
    <definedName name="_xlnm.Print_Titles" localSheetId="15">'Cashflow Governmental'!$3:$15</definedName>
    <definedName name="_xlnm.Print_Titles" localSheetId="17">'Exhibit F'!$3:$11</definedName>
    <definedName name="_xlnm.Print_Titles" localSheetId="18">'Exhibit G'!$3:$12</definedName>
    <definedName name="_xlnm.Print_Titles" localSheetId="20">'Exhibit G Federal'!$3:$12</definedName>
    <definedName name="_xlnm.Print_Titles" localSheetId="19">'Exhibit G State'!$3:$12</definedName>
    <definedName name="_xlnm.Print_Titles" localSheetId="21">'Exhibit H'!$3:$10</definedName>
    <definedName name="_xlnm.Print_Titles" localSheetId="22">'Exhibit I'!$3:$13</definedName>
    <definedName name="_xlnm.Print_Titles" localSheetId="24">'Exhibit I Federal'!$3:$13</definedName>
    <definedName name="_xlnm.Print_Titles" localSheetId="23">'Exhibit I State'!$3:$13</definedName>
    <definedName name="_xlnm.Print_Titles" localSheetId="3">Footnotes!$2:$3</definedName>
    <definedName name="_xlnm.Print_Titles" localSheetId="37">'HCRA PROG DISB'!$3:$8</definedName>
    <definedName name="_xlnm.Print_Titles" localSheetId="38">'Public Goods '!$5:$11</definedName>
    <definedName name="_xlnm.Print_Titles" localSheetId="29">'Sch 1 '!$3:$11</definedName>
    <definedName name="_xlnm.Print_Titles" localSheetId="0">'Table of Contents'!$1:$12</definedName>
    <definedName name="Sch3_2" localSheetId="31">'Sch 3 '!$A$3:$M$52</definedName>
    <definedName name="STATE_OF_NEW_YORK" localSheetId="14">'EXHIBIT E '!$A$3:$AK$67</definedName>
    <definedName name="variance" localSheetId="42">'Appendix G'!$A$3:$X$41</definedName>
    <definedName name="variance" localSheetId="36">'HCRA '!$A$3:$X$47</definedName>
    <definedName name="Z_0343EF62_2899_4FBC_8F63_A150F51A61BC_.wvu.FilterData" localSheetId="11" hidden="1">'Exh D Debt Service'!$A$3:$A$7</definedName>
    <definedName name="Z_0343EF62_2899_4FBC_8F63_A150F51A61BC_.wvu.FilterData" localSheetId="8" hidden="1">'Exh D General Fund'!$A$3:$A$7</definedName>
    <definedName name="Z_04CE4621_FE72_4BEE_A48D_DC29A92270A5_.wvu.FilterData" localSheetId="8" hidden="1">'Exh D General Fund'!$A$3:$A$7</definedName>
    <definedName name="Z_07AF2E82_99DF_448F_AE0C_9F6ACFAD683D_.wvu.FilterData" localSheetId="11" hidden="1">'Exh D Debt Service'!$A$3:$A$7</definedName>
    <definedName name="Z_07E8DDA5_58F9_4F5D_9D36_B9951A01043B_.wvu.PrintArea" localSheetId="1" hidden="1">'Exhibit A'!$A$3:$AI$60</definedName>
    <definedName name="Z_07EDAE3D_794B_4D07_91B2_03B96CCC3F1C_.wvu.FilterData" localSheetId="11" hidden="1">'Exh D Debt Service'!$A$3:$A$7</definedName>
    <definedName name="Z_07EDAE3D_794B_4D07_91B2_03B96CCC3F1C_.wvu.FilterData" localSheetId="8" hidden="1">'Exh D General Fund'!$A$3:$A$7</definedName>
    <definedName name="Z_08DD476C_F9CF_4768_90B3_DF70EE24A237_.wvu.FilterData" localSheetId="11" hidden="1">'Exh D Debt Service'!$A$3:$A$7</definedName>
    <definedName name="Z_08DD476C_F9CF_4768_90B3_DF70EE24A237_.wvu.FilterData" localSheetId="8" hidden="1">'Exh D General Fund'!$A$3:$A$7</definedName>
    <definedName name="Z_095E2B96_6954_4407_81EC_B5F17D68B93D_.wvu.FilterData" localSheetId="11" hidden="1">'Exh D Debt Service'!$A$3:$A$7</definedName>
    <definedName name="Z_095E2B96_6954_4407_81EC_B5F17D68B93D_.wvu.FilterData" localSheetId="8" hidden="1">'Exh D General Fund'!$A$3:$A$7</definedName>
    <definedName name="Z_0B8839DE_3408_4399_A325_5E66A2134E73_.wvu.FilterData" localSheetId="8" hidden="1">'Exh D General Fund'!$A$3:$A$7</definedName>
    <definedName name="Z_0BE0B1CF_D719_4DEE_9059_CD2EDA23BB72_.wvu.FilterData" localSheetId="11" hidden="1">'Exh D Debt Service'!$A$3:$A$7</definedName>
    <definedName name="Z_0BE0B1CF_D719_4DEE_9059_CD2EDA23BB72_.wvu.FilterData" localSheetId="8" hidden="1">'Exh D General Fund'!$A$3:$A$7</definedName>
    <definedName name="Z_0DC93707_9367_4260_BDCF_F5F59CF54468_.wvu.PrintArea" localSheetId="34" hidden="1">'Sch 5a'!$B$3:$S$32</definedName>
    <definedName name="Z_0F53A47B_061C_44B9_B148_CC55070FAB6E_.wvu.PrintTitles" localSheetId="29" hidden="1">'Sch 1 '!$3:$11</definedName>
    <definedName name="Z_0F53A47B_061C_44B9_B148_CC55070FAB6E_.wvu.Rows" localSheetId="29" hidden="1">'Sch 1 '!#REF!</definedName>
    <definedName name="Z_111026B9_2D41_41A4_B85B_BC83354793D7_.wvu.FilterData" localSheetId="8" hidden="1">'Exh D General Fund'!$A$3:$A$7</definedName>
    <definedName name="Z_13BA7D7F_A933_47AA_AD0D_A2E7D4E4E0D7_.wvu.FilterData" localSheetId="8" hidden="1">'Exh D General Fund'!$A$3:$A$7</definedName>
    <definedName name="Z_14080760_59DE_41A3_97D7_93F21E7456F8_.wvu.FilterData" localSheetId="8" hidden="1">'Exh D General Fund'!$A$3:$A$7</definedName>
    <definedName name="Z_149A68FA_89E4_4DFC_AE78_CD46F66A52AC_.wvu.FilterData" localSheetId="8" hidden="1">'Exh D General Fund'!$A$3:$A$7</definedName>
    <definedName name="Z_16F9E563_4458_41C9_BF56_F0F5B316856F_.wvu.Cols" localSheetId="15" hidden="1">'Cashflow Governmental'!#REF!</definedName>
    <definedName name="Z_16F9E563_4458_41C9_BF56_F0F5B316856F_.wvu.PrintArea" localSheetId="15" hidden="1">'Cashflow Governmental'!$A$3:$AJ$154</definedName>
    <definedName name="Z_17BB73E0_1CF4_467E_9487_3D1C86AF6DB9_.wvu.FilterData" localSheetId="8" hidden="1">'Exh D General Fund'!$A$3:$A$7</definedName>
    <definedName name="Z_17ED534A_4F5A_4D31_A9BC_0E551F5F2AEA_.wvu.FilterData" localSheetId="11" hidden="1">'Exh D Debt Service'!$A$3:$A$7</definedName>
    <definedName name="Z_17ED534A_4F5A_4D31_A9BC_0E551F5F2AEA_.wvu.FilterData" localSheetId="8" hidden="1">'Exh D General Fund'!$A$3:$A$7</definedName>
    <definedName name="Z_1880016B_4B6F_4FAA_8DB2_BE0BC7DD87C2_.wvu.FilterData" localSheetId="11" hidden="1">'Exh D Debt Service'!$A$3:$A$7</definedName>
    <definedName name="Z_188FB2EF_FF49_464F_9B7E_2382437315C1_.wvu.FilterData" localSheetId="11" hidden="1">'Exh D Debt Service'!$A$3:$A$7</definedName>
    <definedName name="Z_1AC73F00_FFC6_4A45_B38D_FF42E0186479_.wvu.FilterData" localSheetId="11" hidden="1">'Exh D Debt Service'!$A$3:$A$7</definedName>
    <definedName name="Z_1CC4ED98_AA43_4114_B2B3_B95664F86673_.wvu.PrintArea" localSheetId="14" hidden="1">'EXHIBIT E '!$A$3:$AK$67</definedName>
    <definedName name="Z_1D1F1A01_30B2_4981_9EC4_1E239EF5CA4C_.wvu.PrintArea" localSheetId="24" hidden="1">'Exhibit I Federal'!$B$3:$AL$85</definedName>
    <definedName name="Z_1DE45D0D_D9A4_4849_9735_5978B4CAE701_.wvu.FilterData" localSheetId="11" hidden="1">'Exh D Debt Service'!$A$3:$A$7</definedName>
    <definedName name="Z_1DE45D0D_D9A4_4849_9735_5978B4CAE701_.wvu.FilterData" localSheetId="8" hidden="1">'Exh D General Fund'!$A$3:$A$7</definedName>
    <definedName name="Z_1F44957F_86C3_49C4_A396_C1BA8BBC4816_.wvu.FilterData" localSheetId="8" hidden="1">'Exh D General Fund'!$A$3:$A$7</definedName>
    <definedName name="Z_2254FCC8_B9BB_476F_A0BE_7D26E71B1284_.wvu.FilterData" localSheetId="11" hidden="1">'Exh D Debt Service'!$A$3:$A$7</definedName>
    <definedName name="Z_23A45C27_464E_4AE1_A52A_F6207B5410FE_.wvu.FilterData" localSheetId="11" hidden="1">'Exh D Debt Service'!$A$3:$A$7</definedName>
    <definedName name="Z_23A45C27_464E_4AE1_A52A_F6207B5410FE_.wvu.FilterData" localSheetId="8" hidden="1">'Exh D General Fund'!$A$3:$A$7</definedName>
    <definedName name="Z_23E97B3A_E57F_43F5_97E4_3B6BC6184306_.wvu.FilterData" localSheetId="8" hidden="1">'Exh D General Fund'!$A$3:$A$7</definedName>
    <definedName name="Z_2434159E_D7BE_4031_9347_FEC6E9AE1086_.wvu.FilterData" localSheetId="8" hidden="1">'Exh D General Fund'!$A$3:$A$7</definedName>
    <definedName name="Z_259EF920_BCC5_484A_BCBF_BB498421C365_.wvu.FilterData" localSheetId="11" hidden="1">'Exh D Debt Service'!$A$3:$A$7</definedName>
    <definedName name="Z_25F8F031_EF6A_4B58_91C3_E476C9656292_.wvu.FilterData" localSheetId="11" hidden="1">'Exh D Debt Service'!$A$3:$A$7</definedName>
    <definedName name="Z_25F8F031_EF6A_4B58_91C3_E476C9656292_.wvu.FilterData" localSheetId="8" hidden="1">'Exh D General Fund'!$A$3:$A$7</definedName>
    <definedName name="Z_27D0D2B0_D728_41CE_8CDF_B71D5DA88E20_.wvu.FilterData" localSheetId="8" hidden="1">'Exh D General Fund'!$A$3:$A$7</definedName>
    <definedName name="Z_2A330B8F_5D7F_43C3_B320_3D29BBDB6053_.wvu.FilterData" localSheetId="11" hidden="1">'Exh D Debt Service'!$A$3:$A$7</definedName>
    <definedName name="Z_2AB70923_501F_45E2_81E2_2830EA214DA7_.wvu.FilterData" localSheetId="11" hidden="1">'Exh D Debt Service'!$A$3:$A$7</definedName>
    <definedName name="Z_2AB70923_501F_45E2_81E2_2830EA214DA7_.wvu.FilterData" localSheetId="8" hidden="1">'Exh D General Fund'!$A$3:$A$7</definedName>
    <definedName name="Z_2AC06DE0_BE1D_4406_9415_83F674DFE673_.wvu.FilterData" localSheetId="11" hidden="1">'Exh D Debt Service'!$A$3:$A$7</definedName>
    <definedName name="Z_2B229F64_F3C2_43E8_9B8E_9DA349BEAE89_.wvu.FilterData" localSheetId="8" hidden="1">'Exh D General Fund'!$A$3:$A$7</definedName>
    <definedName name="Z_2CE66D36_857F_41D3_A739_E813879E2776_.wvu.FilterData" localSheetId="11" hidden="1">'Exh D Debt Service'!$A$3:$A$7</definedName>
    <definedName name="Z_2CE66D36_857F_41D3_A739_E813879E2776_.wvu.FilterData" localSheetId="8" hidden="1">'Exh D General Fund'!$A$3:$A$7</definedName>
    <definedName name="Z_2D2F0033_C8F9_474C_9F55_7729DBA3FAAD_.wvu.PrintArea" localSheetId="14" hidden="1">'EXHIBIT E '!$A$3:$AK$67</definedName>
    <definedName name="Z_2EDDD268_430F_4188_94A7_75D3EA1EDF86_.wvu.FilterData" localSheetId="8" hidden="1">'Exh D General Fund'!$A$3:$A$7</definedName>
    <definedName name="Z_2F419F63_BD3C_4339_BEB3_24DF0825A630_.wvu.FilterData" localSheetId="8" hidden="1">'Exh D General Fund'!$A$3:$A$7</definedName>
    <definedName name="Z_2FF96BB6_6112_4975_B54B_929538B05AD7_.wvu.FilterData" localSheetId="8" hidden="1">'Exh D General Fund'!$A$3:$A$7</definedName>
    <definedName name="Z_30AE2415_629E_49AD_80D6_16EE72A27D84_.wvu.FilterData" localSheetId="11" hidden="1">'Exh D Debt Service'!$A$3:$A$7</definedName>
    <definedName name="Z_3121FE90_05F2_48D7_A774_138D5236EB1C_.wvu.FilterData" localSheetId="8" hidden="1">'Exh D General Fund'!$A$3:$A$7</definedName>
    <definedName name="Z_3215277C_ACED_4FB7_9BFC_BF0E621AF59C_.wvu.FilterData" localSheetId="8" hidden="1">'Exh D General Fund'!$A$3:$A$7</definedName>
    <definedName name="Z_32889BF0_5E3B_44B5_A586_F76F6C39EC13_.wvu.FilterData" localSheetId="8" hidden="1">'Exh D General Fund'!$A$3:$A$7</definedName>
    <definedName name="Z_34E248C6_4E45_4D01_AA10_F996D50D9B76_.wvu.FilterData" localSheetId="8" hidden="1">'Exh D General Fund'!$A$3:$A$7</definedName>
    <definedName name="Z_34F46511_2257_48CC_973E_622D753DCC67_.wvu.FilterData" localSheetId="8" hidden="1">'Exh D General Fund'!$A$3:$A$7</definedName>
    <definedName name="Z_35581B99_F322_40A1_83D9_D8CC4D8685D1_.wvu.PrintTitles" localSheetId="29" hidden="1">'Sch 1 '!$3:$11</definedName>
    <definedName name="Z_35581B99_F322_40A1_83D9_D8CC4D8685D1_.wvu.Rows" localSheetId="29" hidden="1">'Sch 1 '!#REF!</definedName>
    <definedName name="Z_37D6AA22_787C_4A38_846B_EC42315B0140_.wvu.FilterData" localSheetId="11" hidden="1">'Exh D Debt Service'!$A$3:$A$7</definedName>
    <definedName name="Z_397D3C87_88A6_445F_8F95_D27369DE6AD6_.wvu.FilterData" localSheetId="11" hidden="1">'Exh D Debt Service'!$A$3:$A$7</definedName>
    <definedName name="Z_3986A303_BE32_4DBA_923B_C9D0781BD796_.wvu.FilterData" localSheetId="8" hidden="1">'Exh D General Fund'!$A$3:$A$7</definedName>
    <definedName name="Z_39DB2D6C_C362_45F4_A2F1_C59B9CF1777D_.wvu.PrintArea" localSheetId="23" hidden="1">'Exhibit I State'!$B$3:$AL$103</definedName>
    <definedName name="Z_39DB2D6C_C362_45F4_A2F1_C59B9CF1777D_.wvu.Rows" localSheetId="23" hidden="1">'Exhibit I State'!#REF!</definedName>
    <definedName name="Z_3A30DD21_678A_4259_B05F_F71CE31D5B74_.wvu.FilterData" localSheetId="8" hidden="1">'Exh D General Fund'!$A$3:$A$7</definedName>
    <definedName name="Z_3CC7CC25_E0F5_49E1_B704_0EB8513444E7_.wvu.FilterData" localSheetId="8" hidden="1">'Exh D General Fund'!$A$3:$A$7</definedName>
    <definedName name="Z_3E09C753_C94C_4589_BB7F_28456297637B_.wvu.PrintArea" localSheetId="14" hidden="1">'EXHIBIT E '!$A$3:$AK$67</definedName>
    <definedName name="Z_40B04F56_1B22_4395_91DD_384E48A06F95_.wvu.FilterData" localSheetId="8" hidden="1">'Exh D General Fund'!$A$3:$A$7</definedName>
    <definedName name="Z_40F7930A_4E11_4002_9111_96E596290FFF_.wvu.FilterData" localSheetId="11" hidden="1">'Exh D Debt Service'!$A$3:$A$7</definedName>
    <definedName name="Z_40F7930A_4E11_4002_9111_96E596290FFF_.wvu.FilterData" localSheetId="8" hidden="1">'Exh D General Fund'!$A$3:$A$7</definedName>
    <definedName name="Z_42515208_2A25_4242_A10A_75CEDA160A1B_.wvu.FilterData" localSheetId="8" hidden="1">'Exh D General Fund'!$A$3:$A$7</definedName>
    <definedName name="Z_42847430_5DA3_41F3_9D36_B559801C4BEE_.wvu.FilterData" localSheetId="8" hidden="1">'Exh D General Fund'!$A$3:$A$7</definedName>
    <definedName name="Z_430F020D_20E4_41D3_A802_1283337FE6C8_.wvu.FilterData" localSheetId="8" hidden="1">'Exh D General Fund'!$A$3:$A$7</definedName>
    <definedName name="Z_46D80255_C131_405D_AA54_CB7C66EFC8B1_.wvu.FilterData" localSheetId="8" hidden="1">'Exh D General Fund'!$A$3:$A$7</definedName>
    <definedName name="Z_46E4CD47_D4E7_4AFB_B55F_6166DD9C9806_.wvu.PrintArea" localSheetId="14" hidden="1">'EXHIBIT E '!$A$3:$AK$67</definedName>
    <definedName name="Z_4749D624_B046_46C7_B9DB_2A4058FC687E_.wvu.FilterData" localSheetId="11" hidden="1">'Exh D Debt Service'!$A$3:$A$7</definedName>
    <definedName name="Z_4786E5FB_EAAE_4DD0_873B_6E49F722C865_.wvu.FilterData" localSheetId="8" hidden="1">'Exh D General Fund'!$A$3:$A$7</definedName>
    <definedName name="Z_4C313DA7_E426_4FE0_B22C_6CE7D5DE7F31_.wvu.FilterData" localSheetId="11" hidden="1">'Exh D Debt Service'!$A$3:$A$7</definedName>
    <definedName name="Z_4C313DA7_E426_4FE0_B22C_6CE7D5DE7F31_.wvu.FilterData" localSheetId="8" hidden="1">'Exh D General Fund'!$A$3:$A$7</definedName>
    <definedName name="Z_4C5DC936_C451_4ECB_8EE3_1B14AD828160_.wvu.Cols" localSheetId="15" hidden="1">'Cashflow Governmental'!#REF!</definedName>
    <definedName name="Z_4C5DC936_C451_4ECB_8EE3_1B14AD828160_.wvu.PrintArea" localSheetId="15" hidden="1">'Cashflow Governmental'!$A$3:$AJ$154</definedName>
    <definedName name="Z_4D2D9B9D_A4D3_41DF_BF6D_3C7331C3E026_.wvu.FilterData" localSheetId="8" hidden="1">'Exh D General Fund'!$A$3:$A$7</definedName>
    <definedName name="Z_4F18E933_C845_4CA4_BEAB_BFCDE3A7EDDE_.wvu.FilterData" localSheetId="8" hidden="1">'Exh D General Fund'!$A$3:$A$7</definedName>
    <definedName name="Z_53181B1F_F32D_42B5_AEB6_ADB3450485A5_.wvu.FilterData" localSheetId="11" hidden="1">'Exh D Debt Service'!$A$3:$A$7</definedName>
    <definedName name="Z_545D46DE_DC9D_4815_85B0_08B7B736CDBF_.wvu.FilterData" localSheetId="8" hidden="1">'Exh D General Fund'!$A$3:$A$7</definedName>
    <definedName name="Z_59249A1B_84BA_428A_B987_EE0BE3B449F8_.wvu.FilterData" localSheetId="8" hidden="1">'Exh D General Fund'!$A$3:$A$7</definedName>
    <definedName name="Z_5B68F7A6_A328_4362_901D_9F1A4688DD86_.wvu.FilterData" localSheetId="11" hidden="1">'Exh D Debt Service'!$A$3:$A$7</definedName>
    <definedName name="Z_5B68F7A6_A328_4362_901D_9F1A4688DD86_.wvu.FilterData" localSheetId="8" hidden="1">'Exh D General Fund'!$A$3:$A$7</definedName>
    <definedName name="Z_5C913560_E0C9_42EF_86B0_64847FFC2BC5_.wvu.FilterData" localSheetId="8" hidden="1">'Exh D General Fund'!$A$3:$A$7</definedName>
    <definedName name="Z_5D3236BA_94AB_4DBB_BB7D_9D4A6921FFA8_.wvu.FilterData" localSheetId="11" hidden="1">'Exh D Debt Service'!$A$3:$A$7</definedName>
    <definedName name="Z_5D3236BA_94AB_4DBB_BB7D_9D4A6921FFA8_.wvu.FilterData" localSheetId="8" hidden="1">'Exh D General Fund'!$A$3:$A$7</definedName>
    <definedName name="Z_5E1354C7_20F9_4F8D_AF07_85486EE3CF3D_.wvu.FilterData" localSheetId="11" hidden="1">'Exh D Debt Service'!$A$3:$A$7</definedName>
    <definedName name="Z_5FA88E3E_0505_480C_94E4_3D96D410B5D5_.wvu.PrintArea" localSheetId="24" hidden="1">'Exhibit I Federal'!$B$3:$AL$85</definedName>
    <definedName name="Z_629B2C3B_DA5A_4280_9F46_977F6E397A5D_.wvu.FilterData" localSheetId="11" hidden="1">'Exh D Debt Service'!$A$3:$A$7</definedName>
    <definedName name="Z_629B2C3B_DA5A_4280_9F46_977F6E397A5D_.wvu.FilterData" localSheetId="8" hidden="1">'Exh D General Fund'!$A$3:$A$7</definedName>
    <definedName name="Z_63934AF3_239F_447C_A783_B5936B1D7BDA_.wvu.FilterData" localSheetId="8" hidden="1">'Exh D General Fund'!$A$3:$A$7</definedName>
    <definedName name="Z_63A58C72_B007_4E3F_A2C0_E62EBD5B7EF8_.wvu.PrintArea" localSheetId="14" hidden="1">'EXHIBIT E '!$A$3:$AK$67</definedName>
    <definedName name="Z_64300EA2_43D0_4FBF_9089_8112D939C55C_.wvu.PrintArea" localSheetId="42" hidden="1">'Appendix G'!$A$3:$Z$56</definedName>
    <definedName name="Z_67D2BB6D_8081_40E9_B58E_707DE29EE54B_.wvu.FilterData" localSheetId="8" hidden="1">'Exh D General Fund'!$A$3:$A$7</definedName>
    <definedName name="Z_68C37B80_2911_436E_ADA1_71B3DBA6E309_.wvu.FilterData" localSheetId="8" hidden="1">'Exh D General Fund'!$A$3:$A$7</definedName>
    <definedName name="Z_68DB4305_906D_4262_AAD7_8439D43999D7_.wvu.FilterData" localSheetId="8" hidden="1">'Exh D General Fund'!$A$3:$A$7</definedName>
    <definedName name="Z_68E40C11_32EA_4744_9D66_9674A456789F_.wvu.FilterData" localSheetId="8" hidden="1">'Exh D General Fund'!$A$3:$A$7</definedName>
    <definedName name="Z_71438E76_7AAA_4050_B6D5_354521218EE8_.wvu.FilterData" localSheetId="8" hidden="1">'Exh D General Fund'!$A$3:$A$7</definedName>
    <definedName name="Z_71986E02_F885_4E35_AE4B_32FA52F8CD9C_.wvu.FilterData" localSheetId="8" hidden="1">'Exh D General Fund'!$A$3:$A$7</definedName>
    <definedName name="Z_71C087B8_8BB1_41B9_843F_11E56D036C5F_.wvu.FilterData" localSheetId="8" hidden="1">'Exh D General Fund'!$A$3:$A$7</definedName>
    <definedName name="Z_77789489_6D49_40D5_8F81_9C7EDDA5EAD3_.wvu.FilterData" localSheetId="8" hidden="1">'Exh D General Fund'!$A$3:$A$7</definedName>
    <definedName name="Z_77E46EF5_8CF6_4213_96AC_E92B56A1EF1D_.wvu.FilterData" localSheetId="11" hidden="1">'Exh D Debt Service'!$A$3:$A$7</definedName>
    <definedName name="Z_77E46EF5_8CF6_4213_96AC_E92B56A1EF1D_.wvu.FilterData" localSheetId="8" hidden="1">'Exh D General Fund'!$A$3:$A$7</definedName>
    <definedName name="Z_7AE64DEF_56FD_44C8_9F38_A2F981B8F883_.wvu.PrintArea" localSheetId="23" hidden="1">'Exhibit I State'!$B$3:$AL$103</definedName>
    <definedName name="Z_7AE64DEF_56FD_44C8_9F38_A2F981B8F883_.wvu.Rows" localSheetId="23" hidden="1">'Exhibit I State'!#REF!</definedName>
    <definedName name="Z_7C521831_C868_4860_ACD7_256E46835661_.wvu.FilterData" localSheetId="8" hidden="1">'Exh D General Fund'!$A$3:$A$7</definedName>
    <definedName name="Z_7CA6CB5E_45A4_45C7_9080_AF4C3F26B75E_.wvu.FilterData" localSheetId="8" hidden="1">'Exh D General Fund'!$A$3:$A$7</definedName>
    <definedName name="Z_7E5ECBE3_5E23_46E0_98C9_FAFE38AFA81C_.wvu.FilterData" localSheetId="11" hidden="1">'Exh D Debt Service'!$A$3:$A$7</definedName>
    <definedName name="Z_7E5ECBE3_5E23_46E0_98C9_FAFE38AFA81C_.wvu.FilterData" localSheetId="8" hidden="1">'Exh D General Fund'!$A$3:$A$7</definedName>
    <definedName name="Z_7FEACBC4_1C39_4B1A_AF1F_6E1D8196D5B9_.wvu.FilterData" localSheetId="8" hidden="1">'Exh D General Fund'!$A$3:$A$7</definedName>
    <definedName name="Z_80876A9A_0E13_4169_8EC2_4642160C38DB_.wvu.PrintArea" localSheetId="1" hidden="1">'Exhibit A'!$A$3:$AI$60</definedName>
    <definedName name="Z_8207DCE3_1947_4DC9_AEB6_962F9248FA86_.wvu.FilterData" localSheetId="8" hidden="1">'Exh D General Fund'!$A$3:$A$7</definedName>
    <definedName name="Z_83DD2EFE_E2B4_4493_AE5E_10383886EF1B_.wvu.FilterData" localSheetId="8" hidden="1">'Exh D General Fund'!$A$3:$A$7</definedName>
    <definedName name="Z_855D7DC8_E30B_4CD5_A455_E59BE0B642E4_.wvu.FilterData" localSheetId="8" hidden="1">'Exh D General Fund'!$A$3:$A$7</definedName>
    <definedName name="Z_85B3A599_57BF_4CE6_8AF9_26FB7E444A5A_.wvu.FilterData" localSheetId="11" hidden="1">'Exh D Debt Service'!$A$3:$A$7</definedName>
    <definedName name="Z_86C8BADE_1FEC_441A_A701_DFCBCC85CD39_.wvu.FilterData" localSheetId="8" hidden="1">'Exh D General Fund'!$A$3:$A$7</definedName>
    <definedName name="Z_8729FF11_220B_424C_9C3F_99EA1743B89F_.wvu.FilterData" localSheetId="11" hidden="1">'Exh D Debt Service'!$A$3:$A$7</definedName>
    <definedName name="Z_8729FF11_220B_424C_9C3F_99EA1743B89F_.wvu.FilterData" localSheetId="8" hidden="1">'Exh D General Fund'!$A$3:$A$7</definedName>
    <definedName name="Z_87AB22FD_E2B5_4807_865C_3D7DC0D900F9_.wvu.FilterData" localSheetId="8" hidden="1">'Exh D General Fund'!$A$3:$A$7</definedName>
    <definedName name="Z_8AC488D2_6FA2_4514_AAD4_4692EAA684CD_.wvu.FilterData" localSheetId="11" hidden="1">'Exh D Debt Service'!$A$3:$A$7</definedName>
    <definedName name="Z_8C2184D2_5D92_4141_9CC8_C0A16C6A1995_.wvu.FilterData" localSheetId="8" hidden="1">'Exh D General Fund'!$A$3:$A$7</definedName>
    <definedName name="Z_8D8A9D3A_E35A_433F_A9B7_F14D89D632AE_.wvu.FilterData" localSheetId="8" hidden="1">'Exh D General Fund'!$A$3:$A$7</definedName>
    <definedName name="Z_8EE6466D_211E_4E05_9F84_CC0A1C6F79F4_.wvu.PrintArea" localSheetId="42" hidden="1">'Appendix G'!$A$3:$Z$56</definedName>
    <definedName name="Z_8EE6466D_211E_4E05_9F84_CC0A1C6F79F4_.wvu.PrintArea" localSheetId="34" hidden="1">'Sch 5a'!$B$3:$S$32</definedName>
    <definedName name="Z_90980A54_5C40_4F89_B73B_BC9A8E902E3F_.wvu.FilterData" localSheetId="11" hidden="1">'Exh D Debt Service'!$A$3:$A$7</definedName>
    <definedName name="Z_91F12239_03A2_417E_84CC_96CCF43EDA50_.wvu.FilterData" localSheetId="11" hidden="1">'Exh D Debt Service'!$A$3:$A$7</definedName>
    <definedName name="Z_91F12239_03A2_417E_84CC_96CCF43EDA50_.wvu.FilterData" localSheetId="8" hidden="1">'Exh D General Fund'!$A$3:$A$7</definedName>
    <definedName name="Z_9317B1DA_70B9_420C_91CC_088229956581_.wvu.FilterData" localSheetId="11" hidden="1">'Exh D Debt Service'!$A$3:$A$7</definedName>
    <definedName name="Z_93C9DF5B_4354_4A0C_A15A_8545924B0268_.wvu.FilterData" localSheetId="11" hidden="1">'Exh D Debt Service'!$A$3:$A$7</definedName>
    <definedName name="Z_93F632B4_29C3_4BEC_9061_2AFCB2794940_.wvu.FilterData" localSheetId="8" hidden="1">'Exh D General Fund'!$A$3:$A$7</definedName>
    <definedName name="Z_95AC2C42_DFA8_4C51_B271_0C44BB6D6F3A_.wvu.FilterData" localSheetId="8" hidden="1">'Exh D General Fund'!$A$3:$A$7</definedName>
    <definedName name="Z_9899757D_57B5_4A62_AF0E_3ABA9B994DD7_.wvu.PrintArea" localSheetId="24" hidden="1">'Exhibit I Federal'!$B$3:$AL$85</definedName>
    <definedName name="Z_9916E6CD_FD82_4718_83DC_0AA473929B1A_.wvu.FilterData" localSheetId="8" hidden="1">'Exh D General Fund'!$A$3:$A$7</definedName>
    <definedName name="Z_9B199DAE_254A_4FD3_8F9E_51DB2C1AF597_.wvu.FilterData" localSheetId="8" hidden="1">'Exh D General Fund'!$A$3:$A$7</definedName>
    <definedName name="Z_9EFFAF1C_D472_4B35_9219_C6F7CE26C246_.wvu.FilterData" localSheetId="8" hidden="1">'Exh D General Fund'!$A$3:$A$7</definedName>
    <definedName name="Z_9F36343A_AF04_4B95_BB5A_0D3DFF7C6E58_.wvu.FilterData" localSheetId="8" hidden="1">'Exh D General Fund'!$A$3:$A$7</definedName>
    <definedName name="Z_9FB344ED_3472_4DFB_B816_B867F5DA25DD_.wvu.FilterData" localSheetId="11" hidden="1">'Exh D Debt Service'!$A$3:$A$7</definedName>
    <definedName name="Z_9FB344ED_3472_4DFB_B816_B867F5DA25DD_.wvu.FilterData" localSheetId="8" hidden="1">'Exh D General Fund'!$A$3:$A$7</definedName>
    <definedName name="Z_A0FF3ACA_1D9B_4095_A4CC_20040E84219D_.wvu.PrintTitles" localSheetId="29" hidden="1">'Sch 1 '!$3:$11</definedName>
    <definedName name="Z_A0FF3ACA_1D9B_4095_A4CC_20040E84219D_.wvu.Rows" localSheetId="29" hidden="1">'Sch 1 '!#REF!</definedName>
    <definedName name="Z_A1E51884_FAF0_40A4_B4FF_80913EA23735_.wvu.FilterData" localSheetId="8" hidden="1">'Exh D General Fund'!$A$3:$A$7</definedName>
    <definedName name="Z_A263B914_AC2F_4445_B7B4_CB95440BB6A1_.wvu.FilterData" localSheetId="8" hidden="1">'Exh D General Fund'!$A$3:$A$7</definedName>
    <definedName name="Z_A3084395_BCD3_4FF9_B05A_2019ED9D13D3_.wvu.FilterData" localSheetId="8" hidden="1">'Exh D General Fund'!$A$3:$A$7</definedName>
    <definedName name="Z_A3AD8FC8_3DC1_448A_823A_ABA25030CCFD_.wvu.FilterData" localSheetId="11" hidden="1">'Exh D Debt Service'!$A$3:$A$7</definedName>
    <definedName name="Z_A5292644_3BAC_4F9D_AB15_8B6C19C7BAFA_.wvu.FilterData" localSheetId="8" hidden="1">'Exh D General Fund'!$A$3:$A$7</definedName>
    <definedName name="Z_A56B42CE_7722_40A2_AE8E_9A352EE3E18A_.wvu.FilterData" localSheetId="8" hidden="1">'Exh D General Fund'!$A$3:$A$7</definedName>
    <definedName name="Z_A56F8820_953B_44B0_977D_DA44609A4375_.wvu.FilterData" localSheetId="8" hidden="1">'Exh D General Fund'!$A$3:$A$7</definedName>
    <definedName name="Z_A5B132A8_AE52_43B0_ACD8_B96D216615CD_.wvu.FilterData" localSheetId="8" hidden="1">'Exh D General Fund'!$A$3:$A$7</definedName>
    <definedName name="Z_A7142FA5_B6E9_42AA_8E0C_7016CD50E0E8_.wvu.FilterData" localSheetId="8" hidden="1">'Exh D General Fund'!$A$3:$A$7</definedName>
    <definedName name="Z_A7AD7FA3_032C_49A4_BA1A_982AA7ED1D54_.wvu.FilterData" localSheetId="11" hidden="1">'Exh D Debt Service'!$A$3:$A$7</definedName>
    <definedName name="Z_AA91AFAE_EED9_4A9F_975A_DBA015C351C3_.wvu.FilterData" localSheetId="8" hidden="1">'Exh D General Fund'!$A$3:$A$7</definedName>
    <definedName name="Z_AB5F083B_7792_4657_93D4_A6A8CC60BB97_.wvu.FilterData" localSheetId="8" hidden="1">'Exh D General Fund'!$A$3:$A$7</definedName>
    <definedName name="Z_AFBF9697_0896_43E3_BCD2_30FAED3C314E_.wvu.FilterData" localSheetId="8" hidden="1">'Exh D General Fund'!$A$3:$A$7</definedName>
    <definedName name="Z_B0A36191_929D_4F7D_8B26_981FD821E1F9_.wvu.FilterData" localSheetId="11" hidden="1">'Exh D Debt Service'!$A$3:$A$7</definedName>
    <definedName name="Z_B0A36191_929D_4F7D_8B26_981FD821E1F9_.wvu.FilterData" localSheetId="8" hidden="1">'Exh D General Fund'!$A$3:$A$7</definedName>
    <definedName name="Z_B289A4E0_9251_4B4C_9F84_26A1CCEEF41F_.wvu.FilterData" localSheetId="11" hidden="1">'Exh D Debt Service'!$A$3:$A$7</definedName>
    <definedName name="Z_B2A4E257_BEA6_4D7F_AAA8_5AB5CC9A5A8E_.wvu.FilterData" localSheetId="8" hidden="1">'Exh D General Fund'!$A$3:$A$7</definedName>
    <definedName name="Z_B41E6885_EAF7_4AC8_BB98_C75CFAC5A703_.wvu.FilterData" localSheetId="11" hidden="1">'Exh D Debt Service'!$A$3:$A$7</definedName>
    <definedName name="Z_B5435B95_1B77_4D3F_A529_1513C8C94BB8_.wvu.FilterData" localSheetId="8" hidden="1">'Exh D General Fund'!$A$3:$A$7</definedName>
    <definedName name="Z_B65C13CB_1FDB_42A7_9DA0_0D5412A3B67E_.wvu.FilterData" localSheetId="8" hidden="1">'Exh D General Fund'!$A$3:$A$7</definedName>
    <definedName name="Z_B6B84763_171E_4FE5_96D3_F6E7202F5932_.wvu.FilterData" localSheetId="8" hidden="1">'Exh D General Fund'!$A$3:$A$7</definedName>
    <definedName name="Z_B6D9918F_6864_48B2_B285_875428E07544_.wvu.FilterData" localSheetId="8" hidden="1">'Exh D General Fund'!$A$3:$A$7</definedName>
    <definedName name="Z_B7EA20FD_E2E4_47A9_ADB2_CB6994C21060_.wvu.FilterData" localSheetId="8" hidden="1">'Exh D General Fund'!$A$3:$A$7</definedName>
    <definedName name="Z_B89D459E_FD0F_4F6D_A34F_E72B29028B49_.wvu.PrintArea" localSheetId="34" hidden="1">'Sch 5a'!$B$3:$S$32</definedName>
    <definedName name="Z_B976D787_68A3_4D1B_B838_0A29FFCDA329_.wvu.PrintTitles" localSheetId="29" hidden="1">'Sch 1 '!$3:$11</definedName>
    <definedName name="Z_B976D787_68A3_4D1B_B838_0A29FFCDA329_.wvu.Rows" localSheetId="29" hidden="1">'Sch 1 '!#REF!</definedName>
    <definedName name="Z_BBDD9C39_4D1E_4D4C_86FB_AAAA63489BEE_.wvu.PrintArea" localSheetId="14" hidden="1">'EXHIBIT E '!$A$3:$AK$67</definedName>
    <definedName name="Z_BF6A790B_FE66_4DC0_B4C3_043739C8712A_.wvu.FilterData" localSheetId="11" hidden="1">'Exh D Debt Service'!$A$3:$A$7</definedName>
    <definedName name="Z_BF6A790B_FE66_4DC0_B4C3_043739C8712A_.wvu.FilterData" localSheetId="8" hidden="1">'Exh D General Fund'!$A$3:$A$7</definedName>
    <definedName name="Z_BFA8E00C_7764_4678_998D_63283154D253_.wvu.FilterData" localSheetId="8" hidden="1">'Exh D General Fund'!$A$3:$A$7</definedName>
    <definedName name="Z_C29DFDEA_557C_4D2A_8AB0_5D02FD1A3990_.wvu.FilterData" localSheetId="8" hidden="1">'Exh D General Fund'!$A$3:$A$7</definedName>
    <definedName name="Z_C2CA5E03_89A9_49BB_B1DA_FDDFA8FA6494_.wvu.FilterData" localSheetId="11" hidden="1">'Exh D Debt Service'!$A$3:$A$7</definedName>
    <definedName name="Z_C2CA5E03_89A9_49BB_B1DA_FDDFA8FA6494_.wvu.FilterData" localSheetId="8" hidden="1">'Exh D General Fund'!$A$3:$A$7</definedName>
    <definedName name="Z_C50D9008_6B8A_4CB9_8CB0_C1748AC62EA0_.wvu.FilterData" localSheetId="11" hidden="1">'Exh D Debt Service'!$A$3:$A$7</definedName>
    <definedName name="Z_C50D9008_6B8A_4CB9_8CB0_C1748AC62EA0_.wvu.FilterData" localSheetId="8" hidden="1">'Exh D General Fund'!$A$3:$A$7</definedName>
    <definedName name="Z_C53E33C4_F1C6_4F6F_BAE7_B7F06A3324BB_.wvu.FilterData" localSheetId="8" hidden="1">'Exh D General Fund'!$A$3:$A$7</definedName>
    <definedName name="Z_C558535B_EE48_4BB6_AEB2_C5B0E908681E_.wvu.FilterData" localSheetId="8" hidden="1">'Exh D General Fund'!$A$3:$A$7</definedName>
    <definedName name="Z_C5C11FF3_5C2C_4CF6_B28E_FB1B2DC22672_.wvu.FilterData" localSheetId="11" hidden="1">'Exh D Debt Service'!$A$3:$A$7</definedName>
    <definedName name="Z_C7CEBEFD_A523_43D8_A75B_33DCB49FCC95_.wvu.FilterData" localSheetId="8" hidden="1">'Exh D General Fund'!$A$3:$A$7</definedName>
    <definedName name="Z_C8BBFDB8_FD3E_44D7_AB99_05C7B07F7CBA_.wvu.FilterData" localSheetId="8" hidden="1">'Exh D General Fund'!$A$3:$A$7</definedName>
    <definedName name="Z_C9259745_8D19_416D_BEFA_309E09794201_.wvu.FilterData" localSheetId="8" hidden="1">'Exh D General Fund'!$A$3:$A$7</definedName>
    <definedName name="Z_CBF0C58D_0DEC_42B0_BDC0_FC274C6D3421_.wvu.FilterData" localSheetId="8" hidden="1">'Exh D General Fund'!$A$3:$A$7</definedName>
    <definedName name="Z_CD8BDD49_94D9_4A6D_9DB6_04ACC76273F7_.wvu.FilterData" localSheetId="8" hidden="1">'Exh D General Fund'!$A$3:$A$7</definedName>
    <definedName name="Z_CDF89CD8_E444_48AA_BD79_17038F183110_.wvu.FilterData" localSheetId="8" hidden="1">'Exh D General Fund'!$A$3:$A$7</definedName>
    <definedName name="Z_CEC68E96_80BD_4D3E_B82B_4577BB80D07A_.wvu.FilterData" localSheetId="8" hidden="1">'Exh D General Fund'!$A$3:$A$7</definedName>
    <definedName name="Z_CFEE50E2_401B_4F61_9D7F_826691D2BDD8_.wvu.FilterData" localSheetId="11" hidden="1">'Exh D Debt Service'!$A$3:$A$7</definedName>
    <definedName name="Z_D840AF23_15B4_4649_B1FF_43599A2DA536_.wvu.FilterData" localSheetId="8" hidden="1">'Exh D General Fund'!$A$3:$A$7</definedName>
    <definedName name="Z_D8A2B943_893F_4F3C_A054_B7BF98C780BF_.wvu.FilterData" localSheetId="8" hidden="1">'Exh D General Fund'!$A$3:$A$7</definedName>
    <definedName name="Z_D97D5993_6D24_417D_9B5B_0D146F66D7AC_.wvu.FilterData" localSheetId="8" hidden="1">'Exh D General Fund'!$A$3:$A$7</definedName>
    <definedName name="Z_D9E0D129_5238_4900_A8C4_49F950E5DAC2_.wvu.FilterData" localSheetId="8" hidden="1">'Exh D General Fund'!$A$3:$A$7</definedName>
    <definedName name="Z_DA07262C_7873_4039_BC63_3E1D4F744D90_.wvu.FilterData" localSheetId="8" hidden="1">'Exh D General Fund'!$A$3:$A$7</definedName>
    <definedName name="Z_DD49A576_6A97_4014_97C2_4199FF1215BD_.wvu.PrintArea" localSheetId="1" hidden="1">'Exhibit A'!$A$3:$AI$60</definedName>
    <definedName name="Z_DD5F991D_7DD8_4065_B3F6_F3B7783F8A50_.wvu.FilterData" localSheetId="8" hidden="1">'Exh D General Fund'!$A$3:$A$7</definedName>
    <definedName name="Z_DF9FD53F_9061_4207_B103_EA1C032F8025_.wvu.FilterData" localSheetId="11" hidden="1">'Exh D Debt Service'!$A$3:$A$7</definedName>
    <definedName name="Z_E071CE29_155D_4A9F_9B3B_7DDF9ED42A6D_.wvu.FilterData" localSheetId="8" hidden="1">'Exh D General Fund'!$A$3:$A$7</definedName>
    <definedName name="Z_E24939C5_07CE_420D_A673_4068FD6DC000_.wvu.FilterData" localSheetId="8" hidden="1">'Exh D General Fund'!$A$3:$A$7</definedName>
    <definedName name="Z_E2FD86BB_A394_463F_941F_0A78BD2E19E5_.wvu.FilterData" localSheetId="8" hidden="1">'Exh D General Fund'!$A$3:$A$7</definedName>
    <definedName name="Z_E4F2679C_653B_4026_922C_25ECBCA643E6_.wvu.FilterData" localSheetId="8" hidden="1">'Exh D General Fund'!$A$3:$A$7</definedName>
    <definedName name="Z_E53CDBE4_5283_4E76_B430_873F933CFEFD_.wvu.FilterData" localSheetId="8" hidden="1">'Exh D General Fund'!$A$3:$A$7</definedName>
    <definedName name="Z_E7A86177_7B19_421F_A256_D31A4A7193C1_.wvu.PrintArea" localSheetId="24" hidden="1">'Exhibit I Federal'!$B$3:$AL$85</definedName>
    <definedName name="Z_E891385B_F92F_499A_8255_411483DD76A7_.wvu.FilterData" localSheetId="11" hidden="1">'Exh D Debt Service'!$A$3:$A$7</definedName>
    <definedName name="Z_E891385B_F92F_499A_8255_411483DD76A7_.wvu.FilterData" localSheetId="8" hidden="1">'Exh D General Fund'!$A$3:$A$7</definedName>
    <definedName name="Z_EB2B6F4A_6D27_43A2_B38C_793C8CCA29FD_.wvu.FilterData" localSheetId="11" hidden="1">'Exh D Debt Service'!$A$3:$A$7</definedName>
    <definedName name="Z_EB2B6F4A_6D27_43A2_B38C_793C8CCA29FD_.wvu.FilterData" localSheetId="8" hidden="1">'Exh D General Fund'!$A$3:$A$7</definedName>
    <definedName name="Z_ECF3E209_99D5_42AE_8A3B_2DC4F9F5D708_.wvu.FilterData" localSheetId="11" hidden="1">'Exh D Debt Service'!$A$3:$A$7</definedName>
    <definedName name="Z_ED85D741_99C0_416E_B325_2A1022BC19BA_.wvu.FilterData" localSheetId="11" hidden="1">'Exh D Debt Service'!$A$3:$A$7</definedName>
    <definedName name="Z_EDF9540E_B660_4200_A738_518887F75690_.wvu.FilterData" localSheetId="11" hidden="1">'Exh D Debt Service'!$A$3:$A$7</definedName>
    <definedName name="Z_EDF9540E_B660_4200_A738_518887F75690_.wvu.FilterData" localSheetId="8" hidden="1">'Exh D General Fund'!$A$3:$A$7</definedName>
    <definedName name="Z_EFEA39D6_665A_4A30_9C9D_60C6600E6E69_.wvu.FilterData" localSheetId="8" hidden="1">'Exh D General Fund'!$A$3:$A$7</definedName>
    <definedName name="Z_F06BD761_76B1_40BA_98BC_E9348D386469_.wvu.PrintArea" localSheetId="14" hidden="1">'EXHIBIT E '!$A$3:$AK$67</definedName>
    <definedName name="Z_F0DF694D_EF76_4B39_B5CB_B630B90E1679_.wvu.FilterData" localSheetId="8" hidden="1">'Exh D General Fund'!$A$3:$A$7</definedName>
    <definedName name="Z_F216F4F5_0685_4D55_84E4_F3D0B4CE5E1A_.wvu.FilterData" localSheetId="8" hidden="1">'Exh D General Fund'!$A$3:$A$7</definedName>
    <definedName name="Z_F3AC9EB1_8410_41DB_9080_C38F3C9E46F6_.wvu.FilterData" localSheetId="8" hidden="1">'Exh D General Fund'!$A$3:$A$7</definedName>
    <definedName name="Z_F458E60B_A7D3_4415_B07B_621C1501BE5D_.wvu.FilterData" localSheetId="8" hidden="1">'Exh D General Fund'!$A$3:$A$7</definedName>
    <definedName name="Z_F5928AC6_9FDA_425C_8625_096ED0D736C9_.wvu.FilterData" localSheetId="11" hidden="1">'Exh D Debt Service'!$A$3:$A$7</definedName>
    <definedName name="Z_F69DDDA9_4621_426B_ADE0_295642CC7F7E_.wvu.FilterData" localSheetId="8" hidden="1">'Exh D General Fund'!$A$3:$A$7</definedName>
    <definedName name="Z_F6E4AD14_35EB_4C84_863A_23A28012F6E2_.wvu.FilterData" localSheetId="11" hidden="1">'Exh D Debt Service'!$A$3:$A$7</definedName>
    <definedName name="Z_F6E4AD14_35EB_4C84_863A_23A28012F6E2_.wvu.FilterData" localSheetId="8" hidden="1">'Exh D General Fund'!$A$3:$A$7</definedName>
    <definedName name="Z_FAC8D24D_4D06_484A_9EF9_8024D6C50FBB_.wvu.FilterData" localSheetId="8" hidden="1">'Exh D General Fund'!$A$3:$A$7</definedName>
    <definedName name="Z_FC38E971_5D0B_49A4_B432_2D2538292A7F_.wvu.FilterData" localSheetId="8" hidden="1">'Exh D General Fund'!$A$3:$A$7</definedName>
    <definedName name="Z_FF6A1557_A1BA_4E89_BE0D_61E8805E56CD_.wvu.PrintArea" localSheetId="1" hidden="1">'Exhibit A'!$A$3:$AI$60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1" i="44" l="1"/>
  <c r="I13" i="44"/>
  <c r="I15" i="44"/>
  <c r="I16" i="44"/>
  <c r="I17" i="44"/>
  <c r="I18" i="44"/>
  <c r="I19" i="44"/>
  <c r="I20" i="44"/>
  <c r="I21" i="44"/>
  <c r="I22" i="44"/>
  <c r="I23" i="44"/>
  <c r="I24" i="44"/>
  <c r="I26" i="44"/>
  <c r="I27" i="44"/>
  <c r="I28" i="44"/>
  <c r="I29" i="44"/>
  <c r="I30" i="44"/>
  <c r="I31" i="44"/>
  <c r="I32" i="44"/>
  <c r="I33" i="44"/>
  <c r="I34" i="44"/>
  <c r="I35" i="44"/>
  <c r="I36" i="44"/>
  <c r="I38" i="44"/>
  <c r="I39" i="44"/>
  <c r="I40" i="44"/>
  <c r="I41" i="44"/>
  <c r="I42" i="44"/>
  <c r="I43" i="44"/>
  <c r="I44" i="44"/>
  <c r="I45" i="44"/>
  <c r="I46" i="44"/>
  <c r="I47" i="44"/>
  <c r="I50" i="44"/>
  <c r="I37" i="44" l="1"/>
  <c r="I12" i="44"/>
  <c r="I14" i="44"/>
  <c r="I25" i="44"/>
  <c r="H48" i="44"/>
  <c r="H52" i="44" s="1"/>
  <c r="G48" i="44"/>
  <c r="G52" i="44" s="1"/>
  <c r="I48" i="44" l="1"/>
  <c r="I52" i="44" s="1"/>
  <c r="J43" i="40"/>
  <c r="J35" i="40"/>
  <c r="J22" i="40"/>
  <c r="J16" i="40"/>
  <c r="J45" i="39"/>
  <c r="J38" i="39"/>
  <c r="J28" i="39"/>
  <c r="J22" i="39"/>
  <c r="AD50" i="18"/>
  <c r="J24" i="40" l="1"/>
  <c r="J46" i="40" s="1"/>
  <c r="J30" i="39"/>
  <c r="J48" i="39" s="1"/>
  <c r="L32" i="43" l="1"/>
  <c r="I24" i="45"/>
  <c r="H43" i="40" l="1"/>
  <c r="H35" i="40"/>
  <c r="H22" i="40"/>
  <c r="H16" i="40"/>
  <c r="H45" i="39"/>
  <c r="H38" i="39"/>
  <c r="H28" i="39"/>
  <c r="H22" i="39"/>
  <c r="H24" i="40" l="1"/>
  <c r="H46" i="40" s="1"/>
  <c r="H30" i="39"/>
  <c r="H48" i="39" s="1"/>
  <c r="C39" i="13" l="1"/>
  <c r="A43" i="14" l="1"/>
  <c r="A43" i="13"/>
  <c r="A43" i="12"/>
  <c r="A45" i="11"/>
  <c r="A45" i="10"/>
  <c r="A53" i="9"/>
  <c r="A52" i="8"/>
  <c r="O39" i="14" l="1"/>
  <c r="E39" i="14"/>
  <c r="E39" i="12"/>
  <c r="E49" i="9"/>
  <c r="E48" i="8" l="1"/>
  <c r="E39" i="13"/>
  <c r="O76" i="24"/>
  <c r="O83" i="24" l="1"/>
  <c r="O65" i="25"/>
  <c r="F43" i="40"/>
  <c r="F35" i="40"/>
  <c r="F22" i="40"/>
  <c r="F16" i="40"/>
  <c r="M15" i="39"/>
  <c r="F45" i="39"/>
  <c r="F38" i="39"/>
  <c r="F28" i="39"/>
  <c r="F22" i="39"/>
  <c r="O84" i="23" l="1"/>
  <c r="P41" i="2" s="1"/>
  <c r="F30" i="39"/>
  <c r="F48" i="39" s="1"/>
  <c r="F24" i="40"/>
  <c r="F46" i="40" s="1"/>
  <c r="C48" i="8" l="1"/>
  <c r="A51" i="8" l="1"/>
  <c r="N59" i="18" l="1"/>
  <c r="Z27" i="43"/>
  <c r="N30" i="18" l="1"/>
  <c r="D30" i="15" s="1"/>
  <c r="O58" i="24"/>
  <c r="L32" i="37"/>
  <c r="L20" i="19"/>
  <c r="AE14" i="26"/>
  <c r="V12" i="2"/>
  <c r="X12" i="2"/>
  <c r="M15" i="40"/>
  <c r="G27" i="23" l="1"/>
  <c r="T9" i="37"/>
  <c r="F22" i="19" l="1"/>
  <c r="F32" i="19"/>
  <c r="B15" i="6"/>
  <c r="AC96" i="18" l="1"/>
  <c r="AC37" i="18"/>
  <c r="AG42" i="25"/>
  <c r="N43" i="21"/>
  <c r="AA23" i="22"/>
  <c r="AG29" i="20"/>
  <c r="N24" i="20"/>
  <c r="N24" i="19" s="1"/>
  <c r="H32" i="15" s="1"/>
  <c r="AD42" i="25"/>
  <c r="AG22" i="24"/>
  <c r="AD70" i="21"/>
  <c r="N106" i="18"/>
  <c r="N74" i="18"/>
  <c r="AF45" i="18"/>
  <c r="AC22" i="18"/>
  <c r="AC26" i="18" s="1"/>
  <c r="L17" i="27"/>
  <c r="F18" i="5" s="1"/>
  <c r="N32" i="21"/>
  <c r="M180" i="42"/>
  <c r="N62" i="20"/>
  <c r="AC45" i="18"/>
  <c r="AA50" i="22"/>
  <c r="O75" i="24"/>
  <c r="AB34" i="2"/>
  <c r="AG60" i="25"/>
  <c r="N92" i="20"/>
  <c r="H27" i="3" s="1"/>
  <c r="O73" i="24"/>
  <c r="N117" i="18"/>
  <c r="D37" i="2" s="1"/>
  <c r="O55" i="24"/>
  <c r="O26" i="24"/>
  <c r="O27" i="23" s="1"/>
  <c r="P46" i="15" s="1"/>
  <c r="N74" i="21"/>
  <c r="AG60" i="24"/>
  <c r="M178" i="42"/>
  <c r="N60" i="20"/>
  <c r="N94" i="20"/>
  <c r="H29" i="3" s="1"/>
  <c r="N78" i="18"/>
  <c r="AF114" i="18"/>
  <c r="AD27" i="24"/>
  <c r="AF96" i="18"/>
  <c r="AG116" i="19"/>
  <c r="N33" i="18"/>
  <c r="D34" i="15" s="1"/>
  <c r="N73" i="20"/>
  <c r="AL25" i="20"/>
  <c r="L29" i="37"/>
  <c r="AC114" i="18"/>
  <c r="AG100" i="20"/>
  <c r="O20" i="24"/>
  <c r="O21" i="23" s="1"/>
  <c r="P32" i="15" s="1"/>
  <c r="AD60" i="24"/>
  <c r="AG78" i="24"/>
  <c r="M186" i="42"/>
  <c r="AG52" i="21"/>
  <c r="AD23" i="22"/>
  <c r="M110" i="42"/>
  <c r="M162" i="42"/>
  <c r="L47" i="22"/>
  <c r="AF22" i="18"/>
  <c r="AF26" i="18" s="1"/>
  <c r="N40" i="18"/>
  <c r="D42" i="15" s="1"/>
  <c r="N91" i="20"/>
  <c r="H26" i="3" s="1"/>
  <c r="N77" i="18"/>
  <c r="M138" i="42"/>
  <c r="O54" i="24"/>
  <c r="AD60" i="25"/>
  <c r="O70" i="24"/>
  <c r="L23" i="28"/>
  <c r="B24" i="6" s="1"/>
  <c r="AD78" i="24"/>
  <c r="O68" i="24"/>
  <c r="AD20" i="22"/>
  <c r="AF37" i="18"/>
  <c r="AD22" i="24"/>
  <c r="AL26" i="20"/>
  <c r="L30" i="37"/>
  <c r="N20" i="20"/>
  <c r="N20" i="19" s="1"/>
  <c r="H28" i="15" s="1"/>
  <c r="AD29" i="20"/>
  <c r="L41" i="22"/>
  <c r="N41" i="18"/>
  <c r="D43" i="15" s="1"/>
  <c r="M30" i="26"/>
  <c r="B27" i="5" s="1"/>
  <c r="AG115" i="19"/>
  <c r="AD100" i="20"/>
  <c r="O48" i="24"/>
  <c r="O62" i="24"/>
  <c r="O42" i="24"/>
  <c r="AD50" i="22"/>
  <c r="O38" i="24"/>
  <c r="AG27" i="24"/>
  <c r="AA20" i="22"/>
  <c r="AG70" i="21"/>
  <c r="AD52" i="21"/>
  <c r="AG82" i="20"/>
  <c r="M84" i="17"/>
  <c r="N60" i="19"/>
  <c r="M84" i="16" s="1"/>
  <c r="N73" i="19"/>
  <c r="D26" i="2"/>
  <c r="F20" i="19"/>
  <c r="F31" i="19"/>
  <c r="E22" i="16"/>
  <c r="E34" i="16"/>
  <c r="F60" i="19"/>
  <c r="E84" i="16" s="1"/>
  <c r="E84" i="17"/>
  <c r="E57" i="16"/>
  <c r="E57" i="17"/>
  <c r="E44" i="44"/>
  <c r="AD82" i="20" l="1"/>
  <c r="M116" i="17"/>
  <c r="E34" i="17"/>
  <c r="E22" i="17"/>
  <c r="Q17" i="29"/>
  <c r="R17" i="29"/>
  <c r="R25" i="29"/>
  <c r="R25" i="28"/>
  <c r="R17" i="28"/>
  <c r="R39" i="27"/>
  <c r="R28" i="27"/>
  <c r="R19" i="27"/>
  <c r="S44" i="26"/>
  <c r="S33" i="26"/>
  <c r="S23" i="26"/>
  <c r="U42" i="25"/>
  <c r="U46" i="25" s="1"/>
  <c r="U60" i="25"/>
  <c r="U67" i="25" s="1"/>
  <c r="U22" i="24"/>
  <c r="U27" i="24"/>
  <c r="U30" i="24"/>
  <c r="U60" i="24"/>
  <c r="U78" i="24"/>
  <c r="U85" i="24" s="1"/>
  <c r="R71" i="22"/>
  <c r="R62" i="22"/>
  <c r="R50" i="22"/>
  <c r="R27" i="22"/>
  <c r="R23" i="22"/>
  <c r="R20" i="22"/>
  <c r="T52" i="21"/>
  <c r="T56" i="21" s="1"/>
  <c r="T70" i="21"/>
  <c r="T79" i="21" s="1"/>
  <c r="T88" i="21"/>
  <c r="T29" i="20"/>
  <c r="R29" i="20"/>
  <c r="T36" i="20"/>
  <c r="T82" i="20"/>
  <c r="T100" i="20"/>
  <c r="T107" i="20" s="1"/>
  <c r="T22" i="18"/>
  <c r="T26" i="18" s="1"/>
  <c r="T37" i="18"/>
  <c r="T45" i="18"/>
  <c r="T53" i="18"/>
  <c r="T96" i="18"/>
  <c r="T114" i="18"/>
  <c r="T120" i="18" s="1"/>
  <c r="R28" i="28" l="1"/>
  <c r="R32" i="27"/>
  <c r="S37" i="26"/>
  <c r="R29" i="22"/>
  <c r="R54" i="22" s="1"/>
  <c r="R65" i="22" s="1"/>
  <c r="R28" i="29"/>
  <c r="U70" i="25"/>
  <c r="U32" i="24"/>
  <c r="U64" i="24" s="1"/>
  <c r="U88" i="24" s="1"/>
  <c r="T82" i="21"/>
  <c r="T38" i="20"/>
  <c r="T86" i="20" s="1"/>
  <c r="T110" i="20" s="1"/>
  <c r="T55" i="18"/>
  <c r="T100" i="18" s="1"/>
  <c r="T123" i="18" s="1"/>
  <c r="K21" i="23" l="1"/>
  <c r="K20" i="23"/>
  <c r="K27" i="23"/>
  <c r="F95" i="19"/>
  <c r="G25" i="23"/>
  <c r="F17" i="19"/>
  <c r="F115" i="19"/>
  <c r="F103" i="19"/>
  <c r="G26" i="23"/>
  <c r="E23" i="17"/>
  <c r="G70" i="23"/>
  <c r="F24" i="19"/>
  <c r="G30" i="23"/>
  <c r="E55" i="16" s="1"/>
  <c r="G55" i="23"/>
  <c r="F27" i="19"/>
  <c r="E120" i="17"/>
  <c r="F21" i="19"/>
  <c r="G57" i="23"/>
  <c r="E74" i="17"/>
  <c r="G22" i="23"/>
  <c r="E86" i="17"/>
  <c r="G21" i="23"/>
  <c r="E25" i="17"/>
  <c r="G92" i="23"/>
  <c r="E41" i="16"/>
  <c r="G69" i="23"/>
  <c r="E65" i="17"/>
  <c r="G84" i="23"/>
  <c r="E73" i="17"/>
  <c r="G77" i="23"/>
  <c r="G41" i="23"/>
  <c r="G63" i="23"/>
  <c r="F34" i="19"/>
  <c r="F25" i="19"/>
  <c r="E37" i="16" s="1"/>
  <c r="G71" i="23"/>
  <c r="G20" i="23"/>
  <c r="F28" i="19"/>
  <c r="E40" i="16" s="1"/>
  <c r="G39" i="23"/>
  <c r="E54" i="17"/>
  <c r="E105" i="17"/>
  <c r="F51" i="19"/>
  <c r="E75" i="16" s="1"/>
  <c r="F50" i="19"/>
  <c r="E64" i="17"/>
  <c r="F53" i="19"/>
  <c r="F106" i="19"/>
  <c r="F59" i="19"/>
  <c r="E83" i="16" s="1"/>
  <c r="G43" i="23"/>
  <c r="E72" i="16"/>
  <c r="F35" i="19"/>
  <c r="E49" i="16" s="1"/>
  <c r="G74" i="23"/>
  <c r="F76" i="19"/>
  <c r="G59" i="23"/>
  <c r="G50" i="23"/>
  <c r="E88" i="17"/>
  <c r="F98" i="19"/>
  <c r="E70" i="17"/>
  <c r="F61" i="19"/>
  <c r="E97" i="17"/>
  <c r="E75" i="17"/>
  <c r="G47" i="23"/>
  <c r="F99" i="19"/>
  <c r="E54" i="16"/>
  <c r="E36" i="17"/>
  <c r="F74" i="19"/>
  <c r="E118" i="17"/>
  <c r="F66" i="19"/>
  <c r="E90" i="16" s="1"/>
  <c r="F45" i="19"/>
  <c r="E68" i="16" s="1"/>
  <c r="F90" i="19"/>
  <c r="E114" i="17"/>
  <c r="F62" i="19"/>
  <c r="F94" i="19"/>
  <c r="G83" i="23"/>
  <c r="E95" i="17"/>
  <c r="E32" i="17"/>
  <c r="E126" i="17"/>
  <c r="E103" i="17"/>
  <c r="E39" i="17"/>
  <c r="F77" i="19"/>
  <c r="E76" i="17"/>
  <c r="E121" i="17"/>
  <c r="G76" i="23"/>
  <c r="F46" i="19"/>
  <c r="E69" i="16" s="1"/>
  <c r="E90" i="17"/>
  <c r="F49" i="19"/>
  <c r="E73" i="16" s="1"/>
  <c r="G46" i="23"/>
  <c r="G58" i="23"/>
  <c r="E68" i="17"/>
  <c r="F116" i="19"/>
  <c r="F73" i="19"/>
  <c r="E119" i="17"/>
  <c r="E115" i="17"/>
  <c r="F65" i="19"/>
  <c r="E89" i="16" s="1"/>
  <c r="E78" i="17"/>
  <c r="E79" i="17"/>
  <c r="E23" i="16"/>
  <c r="G81" i="23"/>
  <c r="G82" i="23"/>
  <c r="G54" i="23"/>
  <c r="E104" i="17"/>
  <c r="F84" i="19"/>
  <c r="E122" i="17"/>
  <c r="E100" i="17"/>
  <c r="E47" i="17"/>
  <c r="F97" i="19"/>
  <c r="F96" i="19"/>
  <c r="E49" i="17"/>
  <c r="E108" i="17"/>
  <c r="E53" i="17"/>
  <c r="F91" i="19"/>
  <c r="F81" i="19"/>
  <c r="E105" i="16" s="1"/>
  <c r="F47" i="19"/>
  <c r="E70" i="16" s="1"/>
  <c r="E98" i="17"/>
  <c r="E37" i="17"/>
  <c r="E77" i="17"/>
  <c r="F70" i="19"/>
  <c r="F67" i="19"/>
  <c r="F44" i="19"/>
  <c r="F68" i="19"/>
  <c r="E99" i="17"/>
  <c r="E94" i="17"/>
  <c r="F52" i="19"/>
  <c r="E76" i="16" s="1"/>
  <c r="E92" i="17"/>
  <c r="E101" i="17"/>
  <c r="E53" i="16"/>
  <c r="E44" i="17"/>
  <c r="E27" i="17"/>
  <c r="E127" i="17"/>
  <c r="E69" i="17"/>
  <c r="E48" i="16"/>
  <c r="F42" i="19"/>
  <c r="E64" i="16" s="1"/>
  <c r="E48" i="17"/>
  <c r="E56" i="16"/>
  <c r="E56" i="17"/>
  <c r="E41" i="17"/>
  <c r="F33" i="19"/>
  <c r="E46" i="17"/>
  <c r="E24" i="17"/>
  <c r="E24" i="16"/>
  <c r="F23" i="19"/>
  <c r="E35" i="17"/>
  <c r="E82" i="17"/>
  <c r="F58" i="19"/>
  <c r="E82" i="16" s="1"/>
  <c r="E85" i="17"/>
  <c r="E28" i="16"/>
  <c r="E28" i="17"/>
  <c r="E21" i="17"/>
  <c r="E21" i="16"/>
  <c r="E33" i="17"/>
  <c r="E130" i="16"/>
  <c r="E130" i="17"/>
  <c r="E116" i="17"/>
  <c r="E67" i="17"/>
  <c r="E131" i="17"/>
  <c r="F107" i="19"/>
  <c r="F104" i="19"/>
  <c r="G73" i="23"/>
  <c r="G37" i="23"/>
  <c r="E65" i="16" s="1"/>
  <c r="F57" i="19"/>
  <c r="E81" i="16" s="1"/>
  <c r="E81" i="17"/>
  <c r="G94" i="23"/>
  <c r="E83" i="17"/>
  <c r="E96" i="17"/>
  <c r="F72" i="19"/>
  <c r="E96" i="16" s="1"/>
  <c r="F80" i="19"/>
  <c r="F26" i="19"/>
  <c r="E38" i="17"/>
  <c r="F102" i="19"/>
  <c r="E45" i="17"/>
  <c r="E52" i="16"/>
  <c r="E52" i="17"/>
  <c r="E55" i="17"/>
  <c r="E91" i="17"/>
  <c r="F75" i="19"/>
  <c r="E99" i="16" s="1"/>
  <c r="F54" i="19"/>
  <c r="E29" i="17"/>
  <c r="E29" i="16"/>
  <c r="E128" i="17"/>
  <c r="H60" i="19" l="1"/>
  <c r="G84" i="16" s="1"/>
  <c r="H24" i="19"/>
  <c r="H20" i="19"/>
  <c r="J20" i="19"/>
  <c r="H31" i="19"/>
  <c r="G84" i="17"/>
  <c r="E67" i="16"/>
  <c r="E39" i="16"/>
  <c r="E97" i="16"/>
  <c r="E115" i="16"/>
  <c r="E100" i="16"/>
  <c r="E40" i="17"/>
  <c r="E47" i="16"/>
  <c r="E74" i="16"/>
  <c r="E45" i="16"/>
  <c r="E36" i="16"/>
  <c r="G49" i="23"/>
  <c r="G51" i="23"/>
  <c r="E91" i="16" s="1"/>
  <c r="G52" i="23"/>
  <c r="E92" i="16" s="1"/>
  <c r="G78" i="23"/>
  <c r="G44" i="23"/>
  <c r="E78" i="16" s="1"/>
  <c r="E119" i="16"/>
  <c r="G75" i="23"/>
  <c r="G60" i="23"/>
  <c r="E104" i="16" s="1"/>
  <c r="G56" i="23"/>
  <c r="E98" i="16" s="1"/>
  <c r="E44" i="16"/>
  <c r="E77" i="16"/>
  <c r="E33" i="16"/>
  <c r="E32" i="16"/>
  <c r="E102" i="17"/>
  <c r="E89" i="17"/>
  <c r="G93" i="23"/>
  <c r="F55" i="19"/>
  <c r="F78" i="19"/>
  <c r="E102" i="16" s="1"/>
  <c r="F79" i="19"/>
  <c r="E103" i="16" s="1"/>
  <c r="G42" i="23"/>
  <c r="F92" i="19"/>
  <c r="F64" i="19"/>
  <c r="E140" i="17"/>
  <c r="E72" i="17"/>
  <c r="E25" i="16"/>
  <c r="G45" i="23"/>
  <c r="E123" i="17"/>
  <c r="E85" i="16"/>
  <c r="E86" i="16"/>
  <c r="E101" i="16"/>
  <c r="E122" i="16"/>
  <c r="F71" i="19"/>
  <c r="E95" i="16" s="1"/>
  <c r="E139" i="17"/>
  <c r="E121" i="16"/>
  <c r="E127" i="16"/>
  <c r="E94" i="16"/>
  <c r="E114" i="16"/>
  <c r="E118" i="16"/>
  <c r="E126" i="16"/>
  <c r="E108" i="16"/>
  <c r="E128" i="16"/>
  <c r="E46" i="16"/>
  <c r="E38" i="16"/>
  <c r="E35" i="16"/>
  <c r="E131" i="16"/>
  <c r="E42" i="44"/>
  <c r="I24" i="17" l="1"/>
  <c r="K22" i="23"/>
  <c r="E88" i="16"/>
  <c r="E79" i="16"/>
  <c r="E123" i="16"/>
  <c r="E120" i="16"/>
  <c r="E116" i="16"/>
  <c r="R33" i="29"/>
  <c r="E9" i="45"/>
  <c r="I24" i="16" l="1"/>
  <c r="R37" i="29"/>
  <c r="M21" i="23" l="1"/>
  <c r="M27" i="23"/>
  <c r="M84" i="23"/>
  <c r="I20" i="23" l="1"/>
  <c r="I22" i="23"/>
  <c r="I27" i="23"/>
  <c r="I21" i="23"/>
  <c r="J29" i="36"/>
  <c r="K26" i="23" l="1"/>
  <c r="K105" i="17" l="1"/>
  <c r="K24" i="17"/>
  <c r="L22" i="19"/>
  <c r="K23" i="16"/>
  <c r="K21" i="17"/>
  <c r="K21" i="16"/>
  <c r="K119" i="17"/>
  <c r="K23" i="17"/>
  <c r="K53" i="16"/>
  <c r="K53" i="17"/>
  <c r="H11" i="45"/>
  <c r="L21" i="37" l="1"/>
  <c r="L41" i="37"/>
  <c r="L31" i="37"/>
  <c r="L40" i="37"/>
  <c r="L23" i="37"/>
  <c r="L18" i="37"/>
  <c r="L22" i="37"/>
  <c r="L16" i="37"/>
  <c r="L36" i="37"/>
  <c r="L20" i="37"/>
  <c r="L15" i="37"/>
  <c r="L19" i="37"/>
  <c r="L37" i="37"/>
  <c r="L39" i="37"/>
  <c r="L28" i="37"/>
  <c r="L17" i="37"/>
  <c r="L31" i="29"/>
  <c r="F32" i="6" s="1"/>
  <c r="L24" i="29"/>
  <c r="F25" i="6" s="1"/>
  <c r="L16" i="29"/>
  <c r="F18" i="6" s="1"/>
  <c r="L32" i="29"/>
  <c r="F33" i="6" s="1"/>
  <c r="L23" i="29"/>
  <c r="F24" i="6" s="1"/>
  <c r="L22" i="29"/>
  <c r="F23" i="6" s="1"/>
  <c r="L31" i="28"/>
  <c r="B32" i="6" s="1"/>
  <c r="L24" i="28"/>
  <c r="B25" i="6" s="1"/>
  <c r="L32" i="28"/>
  <c r="B33" i="6" s="1"/>
  <c r="L26" i="27"/>
  <c r="F27" i="5" s="1"/>
  <c r="L24" i="27"/>
  <c r="F25" i="5" s="1"/>
  <c r="L25" i="27"/>
  <c r="F26" i="5" s="1"/>
  <c r="L36" i="27"/>
  <c r="F35" i="5" s="1"/>
  <c r="L37" i="27"/>
  <c r="F36" i="5" s="1"/>
  <c r="M20" i="26"/>
  <c r="B19" i="5" s="1"/>
  <c r="M41" i="26"/>
  <c r="B35" i="5" s="1"/>
  <c r="M29" i="26"/>
  <c r="B26" i="5" s="1"/>
  <c r="M19" i="26"/>
  <c r="B18" i="5" s="1"/>
  <c r="M42" i="26"/>
  <c r="B36" i="5" s="1"/>
  <c r="M31" i="26"/>
  <c r="B28" i="5" s="1"/>
  <c r="M21" i="26"/>
  <c r="B20" i="5" s="1"/>
  <c r="M28" i="26"/>
  <c r="B25" i="5" s="1"/>
  <c r="O21" i="25"/>
  <c r="O39" i="23" s="1"/>
  <c r="O63" i="25"/>
  <c r="O28" i="25"/>
  <c r="O33" i="25"/>
  <c r="O23" i="25"/>
  <c r="O39" i="25"/>
  <c r="O64" i="25"/>
  <c r="O40" i="25"/>
  <c r="O59" i="23" s="1"/>
  <c r="O54" i="25"/>
  <c r="O34" i="25"/>
  <c r="O29" i="25"/>
  <c r="O25" i="25"/>
  <c r="O43" i="23" s="1"/>
  <c r="O37" i="25"/>
  <c r="O55" i="23" s="1"/>
  <c r="O59" i="25"/>
  <c r="O26" i="25"/>
  <c r="O38" i="25"/>
  <c r="O56" i="23" s="1"/>
  <c r="O44" i="25"/>
  <c r="O63" i="23" s="1"/>
  <c r="P19" i="2" s="1"/>
  <c r="O62" i="25"/>
  <c r="O24" i="25"/>
  <c r="O58" i="25"/>
  <c r="O77" i="23" s="1"/>
  <c r="P32" i="2" s="1"/>
  <c r="O19" i="25"/>
  <c r="O31" i="25"/>
  <c r="O49" i="23" s="1"/>
  <c r="O55" i="25"/>
  <c r="O74" i="23" s="1"/>
  <c r="P29" i="2" s="1"/>
  <c r="O52" i="25"/>
  <c r="O71" i="23" s="1"/>
  <c r="P26" i="2" s="1"/>
  <c r="O32" i="25"/>
  <c r="O27" i="25"/>
  <c r="O50" i="25"/>
  <c r="O69" i="23" s="1"/>
  <c r="P24" i="2" s="1"/>
  <c r="O57" i="25"/>
  <c r="O76" i="23" s="1"/>
  <c r="P31" i="2" s="1"/>
  <c r="O74" i="25"/>
  <c r="O41" i="25"/>
  <c r="O36" i="25"/>
  <c r="O56" i="25"/>
  <c r="O73" i="25"/>
  <c r="O51" i="25"/>
  <c r="O77" i="24"/>
  <c r="O43" i="24"/>
  <c r="O46" i="24"/>
  <c r="O82" i="24"/>
  <c r="O59" i="24"/>
  <c r="O24" i="24"/>
  <c r="O25" i="23" s="1"/>
  <c r="P41" i="15" s="1"/>
  <c r="O56" i="24"/>
  <c r="O57" i="23" s="1"/>
  <c r="O91" i="24"/>
  <c r="O92" i="23" s="1"/>
  <c r="P48" i="2" s="1"/>
  <c r="O41" i="24"/>
  <c r="O42" i="23" s="1"/>
  <c r="O50" i="24"/>
  <c r="O57" i="24"/>
  <c r="O45" i="24"/>
  <c r="O51" i="24"/>
  <c r="O92" i="24"/>
  <c r="O93" i="24"/>
  <c r="O72" i="24"/>
  <c r="O80" i="24"/>
  <c r="O36" i="24"/>
  <c r="O49" i="24"/>
  <c r="O69" i="24"/>
  <c r="O53" i="24"/>
  <c r="O54" i="23" s="1"/>
  <c r="O44" i="24"/>
  <c r="O19" i="24"/>
  <c r="O20" i="23" s="1"/>
  <c r="P29" i="15" s="1"/>
  <c r="O74" i="24"/>
  <c r="O25" i="24"/>
  <c r="O26" i="23" s="1"/>
  <c r="P42" i="15" s="1"/>
  <c r="O29" i="24"/>
  <c r="O30" i="23" s="1"/>
  <c r="P53" i="15" s="1"/>
  <c r="O81" i="24"/>
  <c r="O40" i="24"/>
  <c r="O21" i="24"/>
  <c r="O22" i="23" s="1"/>
  <c r="P35" i="15" s="1"/>
  <c r="L52" i="22"/>
  <c r="L19" i="2" s="1"/>
  <c r="L44" i="22"/>
  <c r="L60" i="22"/>
  <c r="L40" i="2" s="1"/>
  <c r="L25" i="22"/>
  <c r="L53" i="15" s="1"/>
  <c r="L68" i="22"/>
  <c r="L49" i="2" s="1"/>
  <c r="L38" i="22"/>
  <c r="L35" i="22"/>
  <c r="L36" i="22"/>
  <c r="L26" i="22"/>
  <c r="L55" i="15" s="1"/>
  <c r="L16" i="22"/>
  <c r="L45" i="22"/>
  <c r="L37" i="22"/>
  <c r="L69" i="22"/>
  <c r="L50" i="2" s="1"/>
  <c r="L19" i="22"/>
  <c r="L28" i="15" s="1"/>
  <c r="L48" i="22"/>
  <c r="L33" i="22"/>
  <c r="L39" i="22"/>
  <c r="L49" i="22"/>
  <c r="L58" i="22"/>
  <c r="L37" i="2" s="1"/>
  <c r="L22" i="22"/>
  <c r="L45" i="15" s="1"/>
  <c r="L42" i="22"/>
  <c r="M86" i="17" s="1"/>
  <c r="L40" i="22"/>
  <c r="N35" i="21"/>
  <c r="N39" i="21"/>
  <c r="N77" i="21"/>
  <c r="N69" i="21"/>
  <c r="N45" i="21"/>
  <c r="N27" i="21"/>
  <c r="N26" i="21"/>
  <c r="N72" i="21"/>
  <c r="N33" i="21"/>
  <c r="N62" i="19" s="1"/>
  <c r="N60" i="21"/>
  <c r="N30" i="21"/>
  <c r="N51" i="21"/>
  <c r="N50" i="21"/>
  <c r="N44" i="21"/>
  <c r="N61" i="21"/>
  <c r="N91" i="19" s="1"/>
  <c r="H25" i="2" s="1"/>
  <c r="N29" i="21"/>
  <c r="N31" i="21"/>
  <c r="N48" i="21"/>
  <c r="N37" i="21"/>
  <c r="N22" i="21"/>
  <c r="N49" i="21"/>
  <c r="N36" i="21"/>
  <c r="N76" i="21"/>
  <c r="N106" i="19" s="1"/>
  <c r="H40" i="2" s="1"/>
  <c r="N38" i="21"/>
  <c r="N66" i="21"/>
  <c r="N54" i="21"/>
  <c r="N46" i="21"/>
  <c r="N23" i="21"/>
  <c r="N67" i="21"/>
  <c r="N21" i="21"/>
  <c r="N62" i="21"/>
  <c r="N92" i="19" s="1"/>
  <c r="H26" i="2" s="1"/>
  <c r="N85" i="21"/>
  <c r="N41" i="21"/>
  <c r="N47" i="21"/>
  <c r="N64" i="21"/>
  <c r="N94" i="19" s="1"/>
  <c r="H28" i="2" s="1"/>
  <c r="N42" i="21"/>
  <c r="N28" i="21"/>
  <c r="N68" i="21"/>
  <c r="N24" i="21"/>
  <c r="N19" i="21"/>
  <c r="N65" i="21"/>
  <c r="N86" i="21"/>
  <c r="N73" i="21"/>
  <c r="L16" i="28"/>
  <c r="B18" i="6" s="1"/>
  <c r="L22" i="28"/>
  <c r="B23" i="6" s="1"/>
  <c r="N50" i="20"/>
  <c r="N69" i="18"/>
  <c r="N87" i="18"/>
  <c r="N25" i="20"/>
  <c r="N25" i="19" s="1"/>
  <c r="H33" i="15" s="1"/>
  <c r="N90" i="18"/>
  <c r="N33" i="20"/>
  <c r="N23" i="18"/>
  <c r="D22" i="15" s="1"/>
  <c r="N35" i="18"/>
  <c r="D36" i="15" s="1"/>
  <c r="M39" i="23"/>
  <c r="M44" i="23"/>
  <c r="M46" i="23"/>
  <c r="N44" i="20"/>
  <c r="N21" i="18"/>
  <c r="D20" i="15" s="1"/>
  <c r="N42" i="18"/>
  <c r="N103" i="20"/>
  <c r="H38" i="3" s="1"/>
  <c r="N64" i="18"/>
  <c r="N36" i="18"/>
  <c r="D37" i="15" s="1"/>
  <c r="M83" i="23"/>
  <c r="N29" i="18"/>
  <c r="D29" i="15" s="1"/>
  <c r="M60" i="23"/>
  <c r="N114" i="20"/>
  <c r="H50" i="3" s="1"/>
  <c r="M25" i="23"/>
  <c r="K130" i="17"/>
  <c r="M57" i="23"/>
  <c r="M92" i="23"/>
  <c r="M59" i="23"/>
  <c r="N44" i="18"/>
  <c r="D46" i="15" s="1"/>
  <c r="N57" i="20"/>
  <c r="N113" i="20"/>
  <c r="H49" i="3" s="1"/>
  <c r="N112" i="18"/>
  <c r="D32" i="2" s="1"/>
  <c r="N89" i="18"/>
  <c r="N65" i="20"/>
  <c r="N45" i="20"/>
  <c r="N64" i="20"/>
  <c r="N102" i="20"/>
  <c r="H37" i="3" s="1"/>
  <c r="N105" i="20"/>
  <c r="H42" i="3" s="1"/>
  <c r="N76" i="18"/>
  <c r="M43" i="23"/>
  <c r="N70" i="20"/>
  <c r="N52" i="18"/>
  <c r="D55" i="15" s="1"/>
  <c r="N98" i="18"/>
  <c r="D19" i="2" s="1"/>
  <c r="M55" i="23"/>
  <c r="N26" i="20"/>
  <c r="M58" i="23"/>
  <c r="N34" i="20"/>
  <c r="N34" i="19" s="1"/>
  <c r="H44" i="15" s="1"/>
  <c r="M52" i="23"/>
  <c r="N72" i="20"/>
  <c r="N113" i="18"/>
  <c r="D33" i="2" s="1"/>
  <c r="N24" i="18"/>
  <c r="D23" i="15" s="1"/>
  <c r="N31" i="18"/>
  <c r="D32" i="15" s="1"/>
  <c r="N86" i="18"/>
  <c r="N75" i="20"/>
  <c r="M56" i="23"/>
  <c r="N49" i="20"/>
  <c r="M63" i="23"/>
  <c r="N97" i="20"/>
  <c r="H32" i="3" s="1"/>
  <c r="N47" i="18"/>
  <c r="D50" i="15" s="1"/>
  <c r="N34" i="18"/>
  <c r="D35" i="15" s="1"/>
  <c r="N17" i="20"/>
  <c r="N48" i="18"/>
  <c r="D51" i="15" s="1"/>
  <c r="N109" i="18"/>
  <c r="D29" i="2" s="1"/>
  <c r="AK95" i="18"/>
  <c r="N80" i="18"/>
  <c r="N73" i="18"/>
  <c r="N18" i="18"/>
  <c r="D17" i="15" s="1"/>
  <c r="N42" i="20"/>
  <c r="N20" i="18"/>
  <c r="D19" i="15" s="1"/>
  <c r="N49" i="18"/>
  <c r="D52" i="15" s="1"/>
  <c r="N70" i="18"/>
  <c r="N23" i="20"/>
  <c r="N110" i="18"/>
  <c r="D30" i="2" s="1"/>
  <c r="N99" i="20"/>
  <c r="H34" i="3" s="1"/>
  <c r="N63" i="18"/>
  <c r="N43" i="18"/>
  <c r="D45" i="15" s="1"/>
  <c r="N84" i="20"/>
  <c r="H20" i="3" s="1"/>
  <c r="N61" i="20"/>
  <c r="N32" i="18"/>
  <c r="D33" i="15" s="1"/>
  <c r="N59" i="20"/>
  <c r="AK78" i="18"/>
  <c r="N83" i="18"/>
  <c r="N94" i="18"/>
  <c r="N131" i="18"/>
  <c r="N67" i="20"/>
  <c r="N67" i="19" s="1"/>
  <c r="N74" i="20"/>
  <c r="N133" i="18"/>
  <c r="N111" i="18"/>
  <c r="D31" i="2" s="1"/>
  <c r="N21" i="20"/>
  <c r="N21" i="19" s="1"/>
  <c r="H29" i="15" s="1"/>
  <c r="N51" i="20"/>
  <c r="N91" i="18"/>
  <c r="M45" i="23"/>
  <c r="M77" i="23"/>
  <c r="N78" i="20"/>
  <c r="N52" i="20"/>
  <c r="M49" i="23"/>
  <c r="N88" i="18"/>
  <c r="N58" i="20"/>
  <c r="M74" i="23"/>
  <c r="N104" i="18"/>
  <c r="D24" i="2" s="1"/>
  <c r="N54" i="20"/>
  <c r="N95" i="20"/>
  <c r="H30" i="3" s="1"/>
  <c r="N95" i="18"/>
  <c r="N46" i="20"/>
  <c r="M20" i="23"/>
  <c r="N80" i="20"/>
  <c r="N28" i="18"/>
  <c r="D28" i="15" s="1"/>
  <c r="M71" i="23"/>
  <c r="N93" i="18"/>
  <c r="N39" i="18"/>
  <c r="D41" i="15" s="1"/>
  <c r="N98" i="20"/>
  <c r="N55" i="20"/>
  <c r="M26" i="23"/>
  <c r="N118" i="18"/>
  <c r="D38" i="2" s="1"/>
  <c r="N28" i="20"/>
  <c r="N28" i="19" s="1"/>
  <c r="H36" i="15" s="1"/>
  <c r="N27" i="20"/>
  <c r="N27" i="19" s="1"/>
  <c r="H35" i="15" s="1"/>
  <c r="M69" i="23"/>
  <c r="N62" i="18"/>
  <c r="M76" i="23"/>
  <c r="N60" i="18"/>
  <c r="N79" i="20"/>
  <c r="N72" i="18"/>
  <c r="N65" i="18"/>
  <c r="N132" i="18"/>
  <c r="N53" i="20"/>
  <c r="N17" i="18"/>
  <c r="D16" i="15" s="1"/>
  <c r="N116" i="18"/>
  <c r="D36" i="2" s="1"/>
  <c r="M82" i="23"/>
  <c r="N47" i="20"/>
  <c r="N25" i="18"/>
  <c r="D24" i="15" s="1"/>
  <c r="N19" i="18"/>
  <c r="D18" i="15" s="1"/>
  <c r="N32" i="20"/>
  <c r="N90" i="20"/>
  <c r="H25" i="3" s="1"/>
  <c r="M41" i="23"/>
  <c r="N51" i="18"/>
  <c r="D54" i="15" s="1"/>
  <c r="N127" i="18"/>
  <c r="N35" i="20"/>
  <c r="N35" i="19" s="1"/>
  <c r="H46" i="15" s="1"/>
  <c r="M22" i="23"/>
  <c r="N105" i="18"/>
  <c r="D25" i="2" s="1"/>
  <c r="N81" i="18"/>
  <c r="N31" i="20"/>
  <c r="N31" i="19" s="1"/>
  <c r="H41" i="15" s="1"/>
  <c r="N84" i="18"/>
  <c r="N71" i="18"/>
  <c r="N66" i="20"/>
  <c r="N77" i="20"/>
  <c r="N22" i="20"/>
  <c r="M75" i="23"/>
  <c r="N68" i="20"/>
  <c r="N50" i="18"/>
  <c r="D53" i="15" s="1"/>
  <c r="N96" i="20"/>
  <c r="N76" i="20"/>
  <c r="N129" i="18"/>
  <c r="N82" i="18"/>
  <c r="N128" i="18"/>
  <c r="N68" i="18"/>
  <c r="N81" i="20"/>
  <c r="N108" i="18"/>
  <c r="D28" i="2" s="1"/>
  <c r="N67" i="18"/>
  <c r="N104" i="20"/>
  <c r="N92" i="18"/>
  <c r="K130" i="16"/>
  <c r="M94" i="23"/>
  <c r="M78" i="23"/>
  <c r="K24" i="16"/>
  <c r="M73" i="23"/>
  <c r="D42" i="37"/>
  <c r="D33" i="37"/>
  <c r="D44" i="15" l="1"/>
  <c r="M47" i="17"/>
  <c r="M47" i="16"/>
  <c r="O51" i="23"/>
  <c r="M91" i="16" s="1"/>
  <c r="N53" i="19"/>
  <c r="M77" i="16" s="1"/>
  <c r="N52" i="19"/>
  <c r="M76" i="16" s="1"/>
  <c r="N79" i="19"/>
  <c r="M103" i="16" s="1"/>
  <c r="O94" i="23"/>
  <c r="P50" i="2" s="1"/>
  <c r="O58" i="23"/>
  <c r="N44" i="19"/>
  <c r="M67" i="16" s="1"/>
  <c r="N68" i="19"/>
  <c r="N65" i="19"/>
  <c r="M89" i="16" s="1"/>
  <c r="N47" i="19"/>
  <c r="M70" i="16" s="1"/>
  <c r="N71" i="20"/>
  <c r="M95" i="17" s="1"/>
  <c r="N75" i="19"/>
  <c r="M99" i="16" s="1"/>
  <c r="N80" i="19"/>
  <c r="N51" i="19"/>
  <c r="M75" i="16" s="1"/>
  <c r="N115" i="19"/>
  <c r="H49" i="2" s="1"/>
  <c r="N96" i="19"/>
  <c r="H30" i="2" s="1"/>
  <c r="H31" i="3"/>
  <c r="L23" i="15"/>
  <c r="V23" i="15" s="1"/>
  <c r="L14" i="2"/>
  <c r="O50" i="23"/>
  <c r="N17" i="19"/>
  <c r="H15" i="3"/>
  <c r="N104" i="19"/>
  <c r="H38" i="2" s="1"/>
  <c r="H39" i="3"/>
  <c r="N98" i="19"/>
  <c r="H32" i="2" s="1"/>
  <c r="H33" i="3"/>
  <c r="N134" i="18"/>
  <c r="D50" i="2" s="1"/>
  <c r="N130" i="18"/>
  <c r="M139" i="17" s="1"/>
  <c r="L24" i="37"/>
  <c r="N50" i="19"/>
  <c r="O41" i="23"/>
  <c r="N90" i="19"/>
  <c r="O73" i="23"/>
  <c r="N66" i="19"/>
  <c r="M90" i="16" s="1"/>
  <c r="N74" i="19"/>
  <c r="M98" i="16" s="1"/>
  <c r="N54" i="19"/>
  <c r="N97" i="19"/>
  <c r="O60" i="23"/>
  <c r="N102" i="19"/>
  <c r="H36" i="2" s="1"/>
  <c r="O37" i="23"/>
  <c r="M65" i="16" s="1"/>
  <c r="N70" i="19"/>
  <c r="M94" i="16" s="1"/>
  <c r="O46" i="23"/>
  <c r="O83" i="23"/>
  <c r="P38" i="2" s="1"/>
  <c r="N95" i="19"/>
  <c r="O44" i="23"/>
  <c r="M120" i="17"/>
  <c r="O75" i="23"/>
  <c r="P30" i="2" s="1"/>
  <c r="M94" i="17"/>
  <c r="O93" i="23"/>
  <c r="P49" i="2" s="1"/>
  <c r="N77" i="19"/>
  <c r="N84" i="19"/>
  <c r="M74" i="17"/>
  <c r="O52" i="23"/>
  <c r="M130" i="16"/>
  <c r="M130" i="17"/>
  <c r="N45" i="19"/>
  <c r="M68" i="16" s="1"/>
  <c r="N46" i="19"/>
  <c r="M69" i="16" s="1"/>
  <c r="O70" i="23"/>
  <c r="P25" i="2" s="1"/>
  <c r="O45" i="23"/>
  <c r="N116" i="19"/>
  <c r="H50" i="2" s="1"/>
  <c r="M116" i="16"/>
  <c r="O82" i="23"/>
  <c r="P37" i="2" s="1"/>
  <c r="M77" i="17"/>
  <c r="M68" i="17"/>
  <c r="N78" i="19"/>
  <c r="M102" i="16" s="1"/>
  <c r="N99" i="19"/>
  <c r="O81" i="23"/>
  <c r="O78" i="23"/>
  <c r="P33" i="2" s="1"/>
  <c r="O47" i="23"/>
  <c r="M86" i="16" s="1"/>
  <c r="M28" i="23"/>
  <c r="M44" i="26"/>
  <c r="M49" i="17"/>
  <c r="M49" i="16"/>
  <c r="N81" i="19"/>
  <c r="M105" i="16" s="1"/>
  <c r="M105" i="17"/>
  <c r="M23" i="17"/>
  <c r="M23" i="16"/>
  <c r="M67" i="17"/>
  <c r="M102" i="17"/>
  <c r="M54" i="23"/>
  <c r="M37" i="17"/>
  <c r="M37" i="16"/>
  <c r="M50" i="23"/>
  <c r="M81" i="23"/>
  <c r="M42" i="23"/>
  <c r="M51" i="23"/>
  <c r="M45" i="17"/>
  <c r="N32" i="19"/>
  <c r="M21" i="16"/>
  <c r="M21" i="17"/>
  <c r="M83" i="17"/>
  <c r="N59" i="19"/>
  <c r="M83" i="16" s="1"/>
  <c r="M104" i="17"/>
  <c r="M85" i="17"/>
  <c r="N61" i="19"/>
  <c r="M24" i="17"/>
  <c r="M24" i="16"/>
  <c r="N26" i="19"/>
  <c r="M38" i="17"/>
  <c r="M33" i="17"/>
  <c r="M33" i="16"/>
  <c r="M40" i="17"/>
  <c r="M40" i="16"/>
  <c r="M29" i="16"/>
  <c r="M29" i="17"/>
  <c r="M70" i="17"/>
  <c r="M119" i="17"/>
  <c r="N72" i="19"/>
  <c r="M96" i="16" s="1"/>
  <c r="M96" i="17"/>
  <c r="M27" i="17"/>
  <c r="M118" i="17"/>
  <c r="N103" i="19"/>
  <c r="H37" i="2" s="1"/>
  <c r="M127" i="17"/>
  <c r="M92" i="17"/>
  <c r="M90" i="17"/>
  <c r="M56" i="16"/>
  <c r="M56" i="17"/>
  <c r="M32" i="17"/>
  <c r="M32" i="16"/>
  <c r="M121" i="17"/>
  <c r="M70" i="23"/>
  <c r="M79" i="23" s="1"/>
  <c r="M86" i="23" s="1"/>
  <c r="M37" i="23"/>
  <c r="M64" i="17"/>
  <c r="N42" i="19"/>
  <c r="M64" i="16" s="1"/>
  <c r="M53" i="16"/>
  <c r="M53" i="17"/>
  <c r="M73" i="17"/>
  <c r="N49" i="19"/>
  <c r="M73" i="16" s="1"/>
  <c r="M93" i="23"/>
  <c r="M108" i="17"/>
  <c r="N107" i="19"/>
  <c r="M131" i="17"/>
  <c r="M25" i="17"/>
  <c r="M25" i="16"/>
  <c r="M114" i="17"/>
  <c r="M103" i="17"/>
  <c r="M22" i="16"/>
  <c r="M22" i="17"/>
  <c r="M36" i="17"/>
  <c r="M36" i="16"/>
  <c r="M57" i="17"/>
  <c r="M57" i="16"/>
  <c r="M81" i="17"/>
  <c r="N57" i="19"/>
  <c r="M81" i="16" s="1"/>
  <c r="M47" i="23"/>
  <c r="N33" i="19"/>
  <c r="M46" i="17"/>
  <c r="M55" i="16"/>
  <c r="M55" i="17"/>
  <c r="M97" i="17"/>
  <c r="M97" i="16"/>
  <c r="M54" i="17"/>
  <c r="M54" i="16"/>
  <c r="M76" i="17"/>
  <c r="M101" i="17"/>
  <c r="M128" i="17"/>
  <c r="N76" i="19"/>
  <c r="M100" i="16" s="1"/>
  <c r="M100" i="17"/>
  <c r="N22" i="19"/>
  <c r="M34" i="17"/>
  <c r="M89" i="17"/>
  <c r="M126" i="17"/>
  <c r="M91" i="17"/>
  <c r="M48" i="17"/>
  <c r="M48" i="16"/>
  <c r="M35" i="17"/>
  <c r="N23" i="19"/>
  <c r="M78" i="17"/>
  <c r="M39" i="17"/>
  <c r="M39" i="16"/>
  <c r="M28" i="17"/>
  <c r="M28" i="16"/>
  <c r="M98" i="17"/>
  <c r="M41" i="16"/>
  <c r="M41" i="17"/>
  <c r="K28" i="17"/>
  <c r="K28" i="16"/>
  <c r="M44" i="17"/>
  <c r="M44" i="16"/>
  <c r="M72" i="17"/>
  <c r="M72" i="16"/>
  <c r="M115" i="17"/>
  <c r="M65" i="17"/>
  <c r="M79" i="17"/>
  <c r="N55" i="19"/>
  <c r="M23" i="23"/>
  <c r="M82" i="17"/>
  <c r="N58" i="19"/>
  <c r="M82" i="16" s="1"/>
  <c r="M75" i="17"/>
  <c r="M52" i="17"/>
  <c r="M52" i="16"/>
  <c r="M123" i="17"/>
  <c r="N64" i="19"/>
  <c r="M88" i="16" s="1"/>
  <c r="M88" i="17"/>
  <c r="M122" i="17"/>
  <c r="M69" i="17"/>
  <c r="M99" i="17"/>
  <c r="I26" i="23"/>
  <c r="I70" i="23"/>
  <c r="D44" i="37"/>
  <c r="G60" i="25"/>
  <c r="G67" i="25" s="1"/>
  <c r="G42" i="25"/>
  <c r="G46" i="25" s="1"/>
  <c r="G95" i="24"/>
  <c r="G78" i="24"/>
  <c r="G85" i="24" s="1"/>
  <c r="G60" i="24"/>
  <c r="G30" i="24"/>
  <c r="G27" i="24"/>
  <c r="G22" i="24"/>
  <c r="D71" i="22"/>
  <c r="D62" i="22"/>
  <c r="D50" i="22"/>
  <c r="D27" i="22"/>
  <c r="D23" i="22"/>
  <c r="D20" i="22"/>
  <c r="F88" i="21"/>
  <c r="F70" i="21"/>
  <c r="F79" i="21" s="1"/>
  <c r="F52" i="21"/>
  <c r="F56" i="21" s="1"/>
  <c r="F52" i="44"/>
  <c r="M92" i="16" l="1"/>
  <c r="M140" i="17"/>
  <c r="M101" i="16"/>
  <c r="N71" i="19"/>
  <c r="M95" i="16" s="1"/>
  <c r="M115" i="16"/>
  <c r="M120" i="16"/>
  <c r="M74" i="16"/>
  <c r="M122" i="16"/>
  <c r="M104" i="16"/>
  <c r="M78" i="16"/>
  <c r="D49" i="2"/>
  <c r="M128" i="16"/>
  <c r="M38" i="16"/>
  <c r="H34" i="15"/>
  <c r="M118" i="16"/>
  <c r="P28" i="2"/>
  <c r="M45" i="16"/>
  <c r="H42" i="15"/>
  <c r="M114" i="16"/>
  <c r="H24" i="2"/>
  <c r="M35" i="16"/>
  <c r="H31" i="15"/>
  <c r="M131" i="16"/>
  <c r="H41" i="2"/>
  <c r="M126" i="16"/>
  <c r="P36" i="2"/>
  <c r="M121" i="16"/>
  <c r="H31" i="2"/>
  <c r="M46" i="16"/>
  <c r="H43" i="15"/>
  <c r="M123" i="16"/>
  <c r="H33" i="2"/>
  <c r="M108" i="16"/>
  <c r="H19" i="2"/>
  <c r="M119" i="16"/>
  <c r="H29" i="2"/>
  <c r="H22" i="15"/>
  <c r="V22" i="15" s="1"/>
  <c r="H14" i="2"/>
  <c r="M34" i="16"/>
  <c r="H30" i="15"/>
  <c r="M127" i="16"/>
  <c r="M85" i="16"/>
  <c r="M79" i="16"/>
  <c r="M96" i="23"/>
  <c r="M61" i="23"/>
  <c r="J24" i="19"/>
  <c r="I84" i="17"/>
  <c r="J60" i="19"/>
  <c r="I84" i="16" s="1"/>
  <c r="I44" i="17"/>
  <c r="J31" i="19"/>
  <c r="H33" i="19"/>
  <c r="G46" i="16" s="1"/>
  <c r="G82" i="17"/>
  <c r="G24" i="16"/>
  <c r="G24" i="17"/>
  <c r="H58" i="19"/>
  <c r="G82" i="16" s="1"/>
  <c r="G46" i="17"/>
  <c r="G70" i="25"/>
  <c r="G80" i="25" s="1"/>
  <c r="G32" i="24"/>
  <c r="G64" i="24" s="1"/>
  <c r="G88" i="24" s="1"/>
  <c r="G100" i="24" s="1"/>
  <c r="D29" i="22"/>
  <c r="D54" i="22" s="1"/>
  <c r="D65" i="22" s="1"/>
  <c r="D75" i="22" s="1"/>
  <c r="F82" i="21"/>
  <c r="F92" i="21" s="1"/>
  <c r="L81" i="19" l="1"/>
  <c r="K105" i="16" s="1"/>
  <c r="L33" i="19"/>
  <c r="L106" i="19"/>
  <c r="L25" i="19"/>
  <c r="L21" i="19"/>
  <c r="L95" i="19"/>
  <c r="L27" i="19"/>
  <c r="K70" i="23"/>
  <c r="L35" i="19"/>
  <c r="L28" i="19"/>
  <c r="L115" i="19"/>
  <c r="K25" i="17"/>
  <c r="L34" i="19"/>
  <c r="AJ62" i="24"/>
  <c r="AL62" i="24" s="1"/>
  <c r="J58" i="19"/>
  <c r="I82" i="16" s="1"/>
  <c r="I82" i="17"/>
  <c r="J33" i="19"/>
  <c r="I46" i="17"/>
  <c r="I23" i="23"/>
  <c r="E25" i="45"/>
  <c r="K97" i="17" l="1"/>
  <c r="K95" i="17"/>
  <c r="L68" i="19"/>
  <c r="K92" i="16" s="1"/>
  <c r="L45" i="19"/>
  <c r="K68" i="16" s="1"/>
  <c r="L44" i="19"/>
  <c r="K67" i="16" s="1"/>
  <c r="K85" i="17"/>
  <c r="L73" i="19"/>
  <c r="K97" i="16" s="1"/>
  <c r="K139" i="17"/>
  <c r="K140" i="17"/>
  <c r="L67" i="19"/>
  <c r="K91" i="16" s="1"/>
  <c r="K34" i="16"/>
  <c r="L78" i="19"/>
  <c r="K102" i="16" s="1"/>
  <c r="L17" i="19"/>
  <c r="K131" i="17"/>
  <c r="L84" i="19"/>
  <c r="K25" i="16"/>
  <c r="K34" i="17"/>
  <c r="L96" i="19"/>
  <c r="L97" i="19"/>
  <c r="L104" i="19"/>
  <c r="L66" i="19"/>
  <c r="K90" i="16" s="1"/>
  <c r="K119" i="16"/>
  <c r="K55" i="17"/>
  <c r="L75" i="19"/>
  <c r="K99" i="16" s="1"/>
  <c r="L53" i="19"/>
  <c r="K77" i="16" s="1"/>
  <c r="L50" i="19"/>
  <c r="K74" i="16" s="1"/>
  <c r="L94" i="19"/>
  <c r="L99" i="19"/>
  <c r="L54" i="19"/>
  <c r="K78" i="16" s="1"/>
  <c r="L77" i="19"/>
  <c r="K101" i="16" s="1"/>
  <c r="L52" i="19"/>
  <c r="K76" i="16" s="1"/>
  <c r="L107" i="19"/>
  <c r="K32" i="17"/>
  <c r="K32" i="16"/>
  <c r="L98" i="19"/>
  <c r="K99" i="17"/>
  <c r="K75" i="17"/>
  <c r="K94" i="17"/>
  <c r="L70" i="19"/>
  <c r="K94" i="16" s="1"/>
  <c r="K115" i="17"/>
  <c r="K91" i="17"/>
  <c r="L79" i="19"/>
  <c r="K103" i="16" s="1"/>
  <c r="K103" i="17"/>
  <c r="K118" i="17"/>
  <c r="L32" i="19"/>
  <c r="K45" i="17"/>
  <c r="L46" i="19"/>
  <c r="K69" i="16" s="1"/>
  <c r="L42" i="19"/>
  <c r="K64" i="16" s="1"/>
  <c r="L82" i="20"/>
  <c r="L51" i="19"/>
  <c r="K75" i="16" s="1"/>
  <c r="K47" i="17"/>
  <c r="K37" i="16"/>
  <c r="K37" i="17"/>
  <c r="K96" i="17"/>
  <c r="L72" i="19"/>
  <c r="K96" i="16" s="1"/>
  <c r="K102" i="17"/>
  <c r="L59" i="19"/>
  <c r="K83" i="16" s="1"/>
  <c r="K83" i="17"/>
  <c r="L76" i="19"/>
  <c r="K100" i="16" s="1"/>
  <c r="K100" i="17"/>
  <c r="K67" i="17"/>
  <c r="K79" i="17"/>
  <c r="L116" i="20"/>
  <c r="L116" i="19"/>
  <c r="K22" i="17"/>
  <c r="K22" i="16"/>
  <c r="L31" i="19"/>
  <c r="K44" i="17"/>
  <c r="K39" i="16"/>
  <c r="K39" i="17"/>
  <c r="K72" i="17"/>
  <c r="K72" i="16"/>
  <c r="K92" i="17"/>
  <c r="K48" i="17"/>
  <c r="K48" i="16"/>
  <c r="K123" i="17"/>
  <c r="K128" i="17"/>
  <c r="K120" i="17"/>
  <c r="K114" i="17"/>
  <c r="K84" i="17"/>
  <c r="L60" i="19"/>
  <c r="K84" i="16" s="1"/>
  <c r="L80" i="19"/>
  <c r="K104" i="16" s="1"/>
  <c r="K98" i="17"/>
  <c r="K76" i="17"/>
  <c r="L23" i="19"/>
  <c r="K35" i="17"/>
  <c r="K29" i="17"/>
  <c r="K29" i="16"/>
  <c r="K74" i="17"/>
  <c r="L71" i="19"/>
  <c r="K95" i="16" s="1"/>
  <c r="K104" i="17"/>
  <c r="K116" i="17"/>
  <c r="K70" i="17"/>
  <c r="K65" i="16"/>
  <c r="K65" i="17"/>
  <c r="K108" i="17"/>
  <c r="K54" i="16"/>
  <c r="K54" i="17"/>
  <c r="K88" i="17"/>
  <c r="L64" i="19"/>
  <c r="K88" i="16" s="1"/>
  <c r="K33" i="17"/>
  <c r="K33" i="16"/>
  <c r="K46" i="16"/>
  <c r="K46" i="17"/>
  <c r="K126" i="17"/>
  <c r="K27" i="17"/>
  <c r="L91" i="19"/>
  <c r="L103" i="19"/>
  <c r="K127" i="17"/>
  <c r="K57" i="17"/>
  <c r="K57" i="16"/>
  <c r="L57" i="19"/>
  <c r="K81" i="16" s="1"/>
  <c r="K81" i="17"/>
  <c r="L58" i="19"/>
  <c r="K82" i="16" s="1"/>
  <c r="K82" i="17"/>
  <c r="K49" i="17"/>
  <c r="K49" i="16"/>
  <c r="K89" i="17"/>
  <c r="K101" i="17"/>
  <c r="L90" i="19"/>
  <c r="L100" i="20"/>
  <c r="L107" i="20" s="1"/>
  <c r="K122" i="17"/>
  <c r="K64" i="17"/>
  <c r="K90" i="17"/>
  <c r="L74" i="19"/>
  <c r="K98" i="16" s="1"/>
  <c r="K77" i="17"/>
  <c r="L55" i="19"/>
  <c r="K79" i="16" s="1"/>
  <c r="L61" i="19"/>
  <c r="K85" i="16" s="1"/>
  <c r="L65" i="19"/>
  <c r="K89" i="16" s="1"/>
  <c r="K73" i="17"/>
  <c r="L49" i="19"/>
  <c r="K73" i="16" s="1"/>
  <c r="K68" i="17"/>
  <c r="K40" i="17"/>
  <c r="K40" i="16"/>
  <c r="K78" i="17"/>
  <c r="K69" i="17"/>
  <c r="L92" i="19"/>
  <c r="K47" i="16"/>
  <c r="L47" i="19"/>
  <c r="K70" i="16" s="1"/>
  <c r="L102" i="19"/>
  <c r="L62" i="19"/>
  <c r="K86" i="16" s="1"/>
  <c r="K56" i="17"/>
  <c r="K56" i="16"/>
  <c r="K52" i="17"/>
  <c r="K52" i="16"/>
  <c r="K121" i="17"/>
  <c r="L24" i="19"/>
  <c r="K36" i="17"/>
  <c r="K41" i="16"/>
  <c r="K41" i="17"/>
  <c r="K86" i="17"/>
  <c r="L26" i="19"/>
  <c r="K38" i="17"/>
  <c r="I46" i="16"/>
  <c r="X36" i="43"/>
  <c r="V36" i="43"/>
  <c r="T36" i="43"/>
  <c r="R36" i="43"/>
  <c r="P36" i="43"/>
  <c r="N36" i="43"/>
  <c r="L36" i="43"/>
  <c r="L38" i="43" s="1"/>
  <c r="J36" i="43"/>
  <c r="H36" i="43"/>
  <c r="F36" i="43"/>
  <c r="D36" i="43"/>
  <c r="B36" i="43"/>
  <c r="X32" i="43"/>
  <c r="V32" i="43"/>
  <c r="T32" i="43"/>
  <c r="R32" i="43"/>
  <c r="P32" i="43"/>
  <c r="N32" i="43"/>
  <c r="J32" i="43"/>
  <c r="H32" i="43"/>
  <c r="F32" i="43"/>
  <c r="X17" i="43"/>
  <c r="V17" i="43"/>
  <c r="T17" i="43"/>
  <c r="R17" i="43"/>
  <c r="P17" i="43"/>
  <c r="N17" i="43"/>
  <c r="L17" i="43"/>
  <c r="J17" i="43"/>
  <c r="H17" i="43"/>
  <c r="F17" i="43"/>
  <c r="D17" i="43"/>
  <c r="Y20" i="41"/>
  <c r="Y24" i="41" s="1"/>
  <c r="W20" i="41"/>
  <c r="W24" i="41" s="1"/>
  <c r="U20" i="41"/>
  <c r="U24" i="41" s="1"/>
  <c r="S20" i="41"/>
  <c r="S24" i="41" s="1"/>
  <c r="Q20" i="41"/>
  <c r="Q24" i="41" s="1"/>
  <c r="O20" i="41"/>
  <c r="O24" i="41" s="1"/>
  <c r="M20" i="41"/>
  <c r="M24" i="41" s="1"/>
  <c r="K20" i="41"/>
  <c r="K24" i="41" s="1"/>
  <c r="I20" i="41"/>
  <c r="I24" i="41" s="1"/>
  <c r="G20" i="41"/>
  <c r="G24" i="41" s="1"/>
  <c r="E20" i="41"/>
  <c r="E24" i="41" s="1"/>
  <c r="K128" i="16" l="1"/>
  <c r="K121" i="16"/>
  <c r="K120" i="16"/>
  <c r="K45" i="16"/>
  <c r="K118" i="16"/>
  <c r="K108" i="16"/>
  <c r="K35" i="16"/>
  <c r="K36" i="16"/>
  <c r="K44" i="16"/>
  <c r="K38" i="16"/>
  <c r="K116" i="16"/>
  <c r="K127" i="16"/>
  <c r="K131" i="16"/>
  <c r="K115" i="16"/>
  <c r="K114" i="16"/>
  <c r="K123" i="16"/>
  <c r="K122" i="16"/>
  <c r="K126" i="16"/>
  <c r="X38" i="43"/>
  <c r="N38" i="43"/>
  <c r="P38" i="43"/>
  <c r="R38" i="43"/>
  <c r="T38" i="43"/>
  <c r="F38" i="43"/>
  <c r="V38" i="43"/>
  <c r="V40" i="43" s="1"/>
  <c r="H38" i="43"/>
  <c r="J38" i="43"/>
  <c r="X40" i="43" l="1"/>
  <c r="M12" i="40"/>
  <c r="M12" i="39"/>
  <c r="D26" i="45"/>
  <c r="H25" i="45"/>
  <c r="E47" i="44"/>
  <c r="D48" i="44"/>
  <c r="G44" i="17" l="1"/>
  <c r="I25" i="45"/>
  <c r="D52" i="44"/>
  <c r="C48" i="44"/>
  <c r="E13" i="45"/>
  <c r="I13" i="45"/>
  <c r="C52" i="44" l="1"/>
  <c r="C26" i="45"/>
  <c r="G26" i="45"/>
  <c r="E19" i="44" l="1"/>
  <c r="G65" i="17" l="1"/>
  <c r="G79" i="17"/>
  <c r="G22" i="17"/>
  <c r="G54" i="17"/>
  <c r="G85" i="17"/>
  <c r="G23" i="16"/>
  <c r="G23" i="17"/>
  <c r="G29" i="16"/>
  <c r="G29" i="17"/>
  <c r="G54" i="16"/>
  <c r="G22" i="16"/>
  <c r="G41" i="16"/>
  <c r="G41" i="17"/>
  <c r="G36" i="17"/>
  <c r="G36" i="16"/>
  <c r="G53" i="16"/>
  <c r="G53" i="17"/>
  <c r="G56" i="16"/>
  <c r="G56" i="17"/>
  <c r="K52" i="23" l="1"/>
  <c r="K75" i="23"/>
  <c r="K39" i="23"/>
  <c r="K43" i="23"/>
  <c r="K63" i="23"/>
  <c r="K74" i="23"/>
  <c r="K59" i="23"/>
  <c r="K69" i="23"/>
  <c r="K55" i="23"/>
  <c r="K49" i="23"/>
  <c r="K94" i="23"/>
  <c r="K46" i="23"/>
  <c r="K84" i="23"/>
  <c r="K77" i="23"/>
  <c r="K76" i="23"/>
  <c r="K92" i="23"/>
  <c r="K57" i="23"/>
  <c r="K78" i="23"/>
  <c r="K25" i="23"/>
  <c r="J61" i="19"/>
  <c r="J55" i="19"/>
  <c r="J103" i="19"/>
  <c r="J51" i="19"/>
  <c r="J75" i="19"/>
  <c r="J62" i="19"/>
  <c r="J106" i="19"/>
  <c r="N57" i="2"/>
  <c r="H61" i="19"/>
  <c r="J49" i="19"/>
  <c r="I73" i="16" s="1"/>
  <c r="M190" i="42"/>
  <c r="I52" i="23"/>
  <c r="AL58" i="25"/>
  <c r="I75" i="23"/>
  <c r="H55" i="19"/>
  <c r="J72" i="19"/>
  <c r="I96" i="16" s="1"/>
  <c r="I39" i="23"/>
  <c r="I43" i="23"/>
  <c r="H103" i="19"/>
  <c r="AE83" i="17"/>
  <c r="H28" i="19"/>
  <c r="G40" i="16" s="1"/>
  <c r="I63" i="23"/>
  <c r="I92" i="23"/>
  <c r="M184" i="42"/>
  <c r="I74" i="23"/>
  <c r="K137" i="30"/>
  <c r="I59" i="23"/>
  <c r="G75" i="17"/>
  <c r="H66" i="19"/>
  <c r="G90" i="16" s="1"/>
  <c r="H51" i="19"/>
  <c r="G75" i="16" s="1"/>
  <c r="M213" i="42"/>
  <c r="AJ42" i="26"/>
  <c r="G103" i="17"/>
  <c r="I69" i="23"/>
  <c r="I60" i="23"/>
  <c r="I55" i="23"/>
  <c r="J22" i="19"/>
  <c r="I57" i="23"/>
  <c r="I51" i="23"/>
  <c r="H79" i="19"/>
  <c r="G88" i="17"/>
  <c r="G86" i="17"/>
  <c r="I49" i="23"/>
  <c r="H115" i="19"/>
  <c r="I78" i="23"/>
  <c r="G102" i="17"/>
  <c r="I81" i="17"/>
  <c r="I94" i="23"/>
  <c r="G78" i="17"/>
  <c r="I82" i="23"/>
  <c r="I46" i="23"/>
  <c r="I84" i="23"/>
  <c r="I44" i="23"/>
  <c r="H75" i="19"/>
  <c r="G99" i="16" s="1"/>
  <c r="I71" i="23"/>
  <c r="H62" i="19"/>
  <c r="H96" i="19"/>
  <c r="G57" i="17"/>
  <c r="H27" i="19"/>
  <c r="G39" i="16" s="1"/>
  <c r="M175" i="42"/>
  <c r="I77" i="23"/>
  <c r="AE81" i="17"/>
  <c r="H78" i="19"/>
  <c r="G102" i="16" s="1"/>
  <c r="H106" i="19"/>
  <c r="I45" i="23"/>
  <c r="I30" i="23"/>
  <c r="I31" i="23" s="1"/>
  <c r="J57" i="3"/>
  <c r="F57" i="2"/>
  <c r="I37" i="23"/>
  <c r="G65" i="16" s="1"/>
  <c r="M164" i="42"/>
  <c r="AA13" i="28"/>
  <c r="G77" i="17"/>
  <c r="M167" i="42"/>
  <c r="I76" i="23"/>
  <c r="I25" i="23"/>
  <c r="I28" i="23" s="1"/>
  <c r="I47" i="23"/>
  <c r="H59" i="19"/>
  <c r="G83" i="16" s="1"/>
  <c r="H80" i="19"/>
  <c r="G121" i="17"/>
  <c r="G94" i="17"/>
  <c r="H91" i="19"/>
  <c r="G115" i="16" s="1"/>
  <c r="G98" i="17"/>
  <c r="H97" i="19"/>
  <c r="H70" i="19"/>
  <c r="H64" i="19"/>
  <c r="J28" i="19"/>
  <c r="I50" i="23"/>
  <c r="H102" i="19"/>
  <c r="G90" i="17"/>
  <c r="G21" i="16"/>
  <c r="G21" i="17"/>
  <c r="G131" i="17"/>
  <c r="H107" i="19"/>
  <c r="G123" i="17"/>
  <c r="G114" i="17"/>
  <c r="G122" i="17"/>
  <c r="G57" i="16"/>
  <c r="G118" i="17"/>
  <c r="H46" i="19"/>
  <c r="G69" i="16" s="1"/>
  <c r="G130" i="16"/>
  <c r="G130" i="17"/>
  <c r="G100" i="17"/>
  <c r="H76" i="19"/>
  <c r="G39" i="17"/>
  <c r="H94" i="19"/>
  <c r="G52" i="16"/>
  <c r="G52" i="17"/>
  <c r="H67" i="19"/>
  <c r="G96" i="17"/>
  <c r="H72" i="19"/>
  <c r="G96" i="16" s="1"/>
  <c r="G73" i="17"/>
  <c r="H49" i="19"/>
  <c r="G73" i="16" s="1"/>
  <c r="H104" i="19"/>
  <c r="I73" i="23"/>
  <c r="G101" i="17"/>
  <c r="H77" i="19"/>
  <c r="G104" i="17"/>
  <c r="I56" i="23"/>
  <c r="H45" i="19"/>
  <c r="G68" i="16" s="1"/>
  <c r="G25" i="17"/>
  <c r="G25" i="16"/>
  <c r="G81" i="17"/>
  <c r="H57" i="19"/>
  <c r="G81" i="16" s="1"/>
  <c r="H53" i="19"/>
  <c r="G69" i="17"/>
  <c r="I83" i="23"/>
  <c r="G140" i="17"/>
  <c r="G119" i="17"/>
  <c r="G120" i="17"/>
  <c r="H116" i="19"/>
  <c r="G128" i="17"/>
  <c r="I58" i="23"/>
  <c r="G127" i="17"/>
  <c r="I93" i="23"/>
  <c r="I81" i="23"/>
  <c r="H84" i="19"/>
  <c r="G108" i="17"/>
  <c r="G48" i="17"/>
  <c r="G48" i="16"/>
  <c r="G99" i="17"/>
  <c r="G95" i="17"/>
  <c r="P27" i="22"/>
  <c r="G40" i="17" l="1"/>
  <c r="K30" i="23"/>
  <c r="I55" i="16" s="1"/>
  <c r="M30" i="23"/>
  <c r="G86" i="16"/>
  <c r="G103" i="16"/>
  <c r="K93" i="23"/>
  <c r="K56" i="23"/>
  <c r="J76" i="19"/>
  <c r="I100" i="16" s="1"/>
  <c r="J47" i="19"/>
  <c r="I70" i="16" s="1"/>
  <c r="I89" i="17"/>
  <c r="K73" i="23"/>
  <c r="I70" i="17"/>
  <c r="K51" i="23"/>
  <c r="J65" i="19"/>
  <c r="I89" i="16" s="1"/>
  <c r="I73" i="17"/>
  <c r="I101" i="17"/>
  <c r="J70" i="19"/>
  <c r="J77" i="19"/>
  <c r="J57" i="19"/>
  <c r="I81" i="16" s="1"/>
  <c r="I69" i="17"/>
  <c r="J53" i="19"/>
  <c r="I77" i="16" s="1"/>
  <c r="I77" i="17"/>
  <c r="J66" i="19"/>
  <c r="I90" i="16" s="1"/>
  <c r="J46" i="19"/>
  <c r="I69" i="16" s="1"/>
  <c r="I118" i="17"/>
  <c r="J44" i="19"/>
  <c r="I67" i="16" s="1"/>
  <c r="G44" i="16"/>
  <c r="G100" i="16"/>
  <c r="K83" i="23"/>
  <c r="K82" i="23"/>
  <c r="K44" i="23"/>
  <c r="K45" i="23"/>
  <c r="I79" i="16" s="1"/>
  <c r="K47" i="23"/>
  <c r="I86" i="16" s="1"/>
  <c r="K58" i="23"/>
  <c r="K50" i="23"/>
  <c r="K71" i="23"/>
  <c r="I44" i="16"/>
  <c r="K41" i="23"/>
  <c r="K54" i="23"/>
  <c r="K60" i="23"/>
  <c r="K42" i="23"/>
  <c r="K81" i="23"/>
  <c r="K37" i="23"/>
  <c r="I65" i="16" s="1"/>
  <c r="I130" i="17"/>
  <c r="I130" i="16"/>
  <c r="I96" i="17"/>
  <c r="I128" i="17"/>
  <c r="J96" i="19"/>
  <c r="I120" i="16" s="1"/>
  <c r="J104" i="19"/>
  <c r="J116" i="19"/>
  <c r="J97" i="19"/>
  <c r="J84" i="19"/>
  <c r="I67" i="17"/>
  <c r="I94" i="17"/>
  <c r="J94" i="19"/>
  <c r="I121" i="17"/>
  <c r="J92" i="19"/>
  <c r="G121" i="16"/>
  <c r="I108" i="17"/>
  <c r="G104" i="16"/>
  <c r="G77" i="16"/>
  <c r="G91" i="16"/>
  <c r="G85" i="16"/>
  <c r="I120" i="17"/>
  <c r="G79" i="16"/>
  <c r="J107" i="19"/>
  <c r="I131" i="16" s="1"/>
  <c r="I131" i="17"/>
  <c r="I72" i="17"/>
  <c r="I72" i="16"/>
  <c r="I57" i="17"/>
  <c r="I57" i="16"/>
  <c r="I32" i="17"/>
  <c r="I32" i="16"/>
  <c r="G67" i="17"/>
  <c r="G88" i="16"/>
  <c r="H44" i="19"/>
  <c r="G67" i="16" s="1"/>
  <c r="I123" i="17"/>
  <c r="H99" i="19"/>
  <c r="G123" i="16" s="1"/>
  <c r="I127" i="17"/>
  <c r="I28" i="17"/>
  <c r="I28" i="16"/>
  <c r="G116" i="17"/>
  <c r="H92" i="19"/>
  <c r="G116" i="16" s="1"/>
  <c r="G92" i="17"/>
  <c r="H68" i="19"/>
  <c r="G92" i="16" s="1"/>
  <c r="H95" i="19"/>
  <c r="G119" i="16" s="1"/>
  <c r="I21" i="17"/>
  <c r="I21" i="16"/>
  <c r="H34" i="19"/>
  <c r="G47" i="16" s="1"/>
  <c r="G47" i="17"/>
  <c r="G27" i="17"/>
  <c r="H50" i="19"/>
  <c r="G74" i="17"/>
  <c r="H17" i="19"/>
  <c r="I90" i="17"/>
  <c r="I53" i="17"/>
  <c r="I53" i="16"/>
  <c r="I25" i="17"/>
  <c r="I25" i="16"/>
  <c r="G64" i="17"/>
  <c r="H42" i="19"/>
  <c r="G64" i="16" s="1"/>
  <c r="G32" i="17"/>
  <c r="G32" i="16"/>
  <c r="I41" i="23"/>
  <c r="I23" i="17"/>
  <c r="I23" i="16"/>
  <c r="I29" i="17"/>
  <c r="I29" i="16"/>
  <c r="G105" i="17"/>
  <c r="H81" i="19"/>
  <c r="G105" i="16" s="1"/>
  <c r="I22" i="16"/>
  <c r="I22" i="17"/>
  <c r="H65" i="19"/>
  <c r="G89" i="16" s="1"/>
  <c r="I75" i="17"/>
  <c r="I75" i="16"/>
  <c r="I42" i="23"/>
  <c r="G115" i="17"/>
  <c r="G28" i="16"/>
  <c r="G28" i="17"/>
  <c r="G126" i="17"/>
  <c r="I79" i="17"/>
  <c r="H74" i="19"/>
  <c r="G98" i="16" s="1"/>
  <c r="H25" i="19"/>
  <c r="G37" i="16" s="1"/>
  <c r="G37" i="17"/>
  <c r="G34" i="17"/>
  <c r="I140" i="17"/>
  <c r="I85" i="16"/>
  <c r="I85" i="17"/>
  <c r="G139" i="17"/>
  <c r="G142" i="17" s="1"/>
  <c r="I99" i="17"/>
  <c r="I99" i="16"/>
  <c r="G68" i="17"/>
  <c r="G91" i="17"/>
  <c r="H71" i="19"/>
  <c r="G95" i="16" s="1"/>
  <c r="I65" i="17"/>
  <c r="H54" i="19"/>
  <c r="G78" i="16" s="1"/>
  <c r="H22" i="19"/>
  <c r="G34" i="16" s="1"/>
  <c r="I74" i="17"/>
  <c r="H26" i="19"/>
  <c r="G38" i="16" s="1"/>
  <c r="G38" i="17"/>
  <c r="I56" i="17"/>
  <c r="I56" i="16"/>
  <c r="H21" i="19"/>
  <c r="G33" i="16" s="1"/>
  <c r="G33" i="17"/>
  <c r="G55" i="17"/>
  <c r="G58" i="17" s="1"/>
  <c r="G55" i="16"/>
  <c r="G58" i="16" s="1"/>
  <c r="H90" i="19"/>
  <c r="G114" i="16" s="1"/>
  <c r="I100" i="17"/>
  <c r="G70" i="17"/>
  <c r="I34" i="17"/>
  <c r="I86" i="17"/>
  <c r="G83" i="17"/>
  <c r="I54" i="23"/>
  <c r="G94" i="16" s="1"/>
  <c r="I41" i="17"/>
  <c r="I41" i="16"/>
  <c r="I55" i="17"/>
  <c r="I48" i="17"/>
  <c r="I48" i="16"/>
  <c r="H35" i="19"/>
  <c r="G49" i="16" s="1"/>
  <c r="G49" i="17"/>
  <c r="G76" i="17"/>
  <c r="H52" i="19"/>
  <c r="G76" i="16" s="1"/>
  <c r="G72" i="17"/>
  <c r="G72" i="16"/>
  <c r="G89" i="17"/>
  <c r="H47" i="19"/>
  <c r="G70" i="16" s="1"/>
  <c r="J36" i="20"/>
  <c r="J26" i="19"/>
  <c r="I116" i="17"/>
  <c r="I54" i="16"/>
  <c r="I54" i="17"/>
  <c r="H32" i="19"/>
  <c r="G45" i="16" s="1"/>
  <c r="G45" i="17"/>
  <c r="G97" i="17"/>
  <c r="H73" i="19"/>
  <c r="G97" i="16" s="1"/>
  <c r="H98" i="19"/>
  <c r="G122" i="16" s="1"/>
  <c r="I36" i="16"/>
  <c r="I36" i="17"/>
  <c r="I52" i="17"/>
  <c r="I52" i="16"/>
  <c r="H23" i="19"/>
  <c r="G35" i="16" s="1"/>
  <c r="G35" i="17"/>
  <c r="J25" i="19"/>
  <c r="I37" i="17"/>
  <c r="J68" i="19"/>
  <c r="I92" i="16" s="1"/>
  <c r="I92" i="17"/>
  <c r="I40" i="16"/>
  <c r="I40" i="17"/>
  <c r="J32" i="19"/>
  <c r="I45" i="17"/>
  <c r="J35" i="19"/>
  <c r="I49" i="17"/>
  <c r="J81" i="19"/>
  <c r="I105" i="16" s="1"/>
  <c r="I105" i="17"/>
  <c r="J74" i="19"/>
  <c r="I98" i="17"/>
  <c r="J21" i="19"/>
  <c r="I33" i="17"/>
  <c r="J78" i="19"/>
  <c r="I102" i="16" s="1"/>
  <c r="I102" i="17"/>
  <c r="I88" i="17"/>
  <c r="J64" i="19"/>
  <c r="I88" i="16" s="1"/>
  <c r="J79" i="19"/>
  <c r="I103" i="16" s="1"/>
  <c r="I103" i="17"/>
  <c r="J27" i="19"/>
  <c r="I39" i="17"/>
  <c r="I34" i="16"/>
  <c r="J80" i="19"/>
  <c r="I104" i="17"/>
  <c r="J91" i="19"/>
  <c r="I115" i="17"/>
  <c r="J95" i="19"/>
  <c r="I119" i="17"/>
  <c r="I96" i="23"/>
  <c r="I79" i="23"/>
  <c r="I86" i="23" s="1"/>
  <c r="G26" i="17"/>
  <c r="G26" i="16"/>
  <c r="G127" i="16"/>
  <c r="H118" i="19"/>
  <c r="I33" i="23"/>
  <c r="G126" i="16"/>
  <c r="G128" i="16"/>
  <c r="G118" i="16"/>
  <c r="G108" i="16"/>
  <c r="G120" i="16"/>
  <c r="G101" i="16"/>
  <c r="G131" i="16"/>
  <c r="S31" i="23"/>
  <c r="E43" i="44"/>
  <c r="E41" i="44"/>
  <c r="W76" i="25"/>
  <c r="W60" i="25"/>
  <c r="W67" i="25" s="1"/>
  <c r="W42" i="25"/>
  <c r="W46" i="25" s="1"/>
  <c r="W95" i="24"/>
  <c r="W78" i="24"/>
  <c r="W85" i="24" s="1"/>
  <c r="W60" i="24"/>
  <c r="W30" i="24"/>
  <c r="W27" i="24"/>
  <c r="W22" i="24"/>
  <c r="M31" i="23" l="1"/>
  <c r="K55" i="16"/>
  <c r="I98" i="16"/>
  <c r="I94" i="16"/>
  <c r="I101" i="16"/>
  <c r="I108" i="16"/>
  <c r="I118" i="16"/>
  <c r="I127" i="16"/>
  <c r="I128" i="16"/>
  <c r="I104" i="16"/>
  <c r="J90" i="19"/>
  <c r="J99" i="19"/>
  <c r="I121" i="16"/>
  <c r="I116" i="16"/>
  <c r="G50" i="16"/>
  <c r="G124" i="17"/>
  <c r="G133" i="17" s="1"/>
  <c r="G30" i="16"/>
  <c r="I61" i="23"/>
  <c r="I65" i="23" s="1"/>
  <c r="I89" i="23" s="1"/>
  <c r="I101" i="23" s="1"/>
  <c r="G106" i="17"/>
  <c r="G42" i="16"/>
  <c r="G30" i="17"/>
  <c r="I114" i="17"/>
  <c r="H100" i="19"/>
  <c r="H109" i="19" s="1"/>
  <c r="J50" i="19"/>
  <c r="I74" i="16" s="1"/>
  <c r="G50" i="17"/>
  <c r="I47" i="17"/>
  <c r="J34" i="19"/>
  <c r="I47" i="16" s="1"/>
  <c r="I38" i="17"/>
  <c r="J54" i="19"/>
  <c r="I78" i="16" s="1"/>
  <c r="I78" i="17"/>
  <c r="J45" i="19"/>
  <c r="I68" i="16" s="1"/>
  <c r="I68" i="17"/>
  <c r="J98" i="19"/>
  <c r="I122" i="17"/>
  <c r="J59" i="19"/>
  <c r="I83" i="16" s="1"/>
  <c r="I83" i="17"/>
  <c r="J102" i="19"/>
  <c r="I126" i="17"/>
  <c r="G74" i="16"/>
  <c r="G42" i="17"/>
  <c r="J73" i="19"/>
  <c r="I97" i="16" s="1"/>
  <c r="I97" i="17"/>
  <c r="J52" i="19"/>
  <c r="I76" i="16" s="1"/>
  <c r="I76" i="17"/>
  <c r="J17" i="19"/>
  <c r="I27" i="17"/>
  <c r="I95" i="17"/>
  <c r="J71" i="19"/>
  <c r="I95" i="16" s="1"/>
  <c r="J115" i="19"/>
  <c r="I139" i="17"/>
  <c r="J42" i="19"/>
  <c r="I64" i="16" s="1"/>
  <c r="I64" i="17"/>
  <c r="I35" i="17"/>
  <c r="J23" i="19"/>
  <c r="I91" i="17"/>
  <c r="J67" i="19"/>
  <c r="I91" i="16" s="1"/>
  <c r="I119" i="16"/>
  <c r="I39" i="16"/>
  <c r="I45" i="16"/>
  <c r="I115" i="16"/>
  <c r="I38" i="16"/>
  <c r="I33" i="16"/>
  <c r="I49" i="16"/>
  <c r="I37" i="16"/>
  <c r="G124" i="16"/>
  <c r="G133" i="16" s="1"/>
  <c r="W70" i="25"/>
  <c r="W80" i="25" s="1"/>
  <c r="W32" i="24"/>
  <c r="W64" i="24" s="1"/>
  <c r="W88" i="24" s="1"/>
  <c r="T62" i="22"/>
  <c r="T50" i="22"/>
  <c r="T27" i="22"/>
  <c r="T23" i="22"/>
  <c r="T20" i="22"/>
  <c r="V88" i="21"/>
  <c r="V70" i="21"/>
  <c r="V79" i="21" s="1"/>
  <c r="V52" i="21"/>
  <c r="V56" i="21" s="1"/>
  <c r="V116" i="20"/>
  <c r="V100" i="20"/>
  <c r="V107" i="20" s="1"/>
  <c r="V82" i="20"/>
  <c r="V36" i="20"/>
  <c r="V29" i="20"/>
  <c r="AB8" i="18"/>
  <c r="M33" i="23" l="1"/>
  <c r="M65" i="23" s="1"/>
  <c r="M89" i="23" s="1"/>
  <c r="M101" i="23" s="1"/>
  <c r="I114" i="16"/>
  <c r="I123" i="16"/>
  <c r="G60" i="16"/>
  <c r="G60" i="17"/>
  <c r="G110" i="17" s="1"/>
  <c r="G136" i="17" s="1"/>
  <c r="G146" i="17" s="1"/>
  <c r="I122" i="16"/>
  <c r="I35" i="16"/>
  <c r="I126" i="16"/>
  <c r="T29" i="22"/>
  <c r="T54" i="22" s="1"/>
  <c r="T65" i="22" s="1"/>
  <c r="V82" i="21"/>
  <c r="V92" i="21" s="1"/>
  <c r="V38" i="20"/>
  <c r="V86" i="20" s="1"/>
  <c r="V110" i="20" s="1"/>
  <c r="V120" i="20" s="1"/>
  <c r="E16" i="44"/>
  <c r="Z16" i="43" l="1"/>
  <c r="Z15" i="43"/>
  <c r="Z12" i="43"/>
  <c r="H82" i="19" l="1"/>
  <c r="G106" i="16"/>
  <c r="G110" i="16" s="1"/>
  <c r="G136" i="16" s="1"/>
  <c r="T71" i="22"/>
  <c r="V118" i="19" l="1"/>
  <c r="E124" i="16" l="1"/>
  <c r="U50" i="17"/>
  <c r="U42" i="17"/>
  <c r="U58" i="17"/>
  <c r="U26" i="17"/>
  <c r="U30" i="17" s="1"/>
  <c r="U124" i="17"/>
  <c r="U133" i="17" s="1"/>
  <c r="U26" i="16"/>
  <c r="U30" i="16" s="1"/>
  <c r="U106" i="17"/>
  <c r="U142" i="17"/>
  <c r="V100" i="19"/>
  <c r="V109" i="19" s="1"/>
  <c r="U60" i="17" l="1"/>
  <c r="U110" i="17" s="1"/>
  <c r="U136" i="17" s="1"/>
  <c r="U146" i="17" s="1"/>
  <c r="C48" i="16" l="1"/>
  <c r="C48" i="17"/>
  <c r="P23" i="22"/>
  <c r="N23" i="22"/>
  <c r="L23" i="22"/>
  <c r="L16" i="2" s="1"/>
  <c r="J23" i="22"/>
  <c r="H23" i="22"/>
  <c r="F23" i="22"/>
  <c r="B23" i="22"/>
  <c r="D43" i="40" l="1"/>
  <c r="D35" i="40"/>
  <c r="D22" i="40"/>
  <c r="D16" i="40"/>
  <c r="D45" i="39"/>
  <c r="D38" i="39"/>
  <c r="D28" i="39"/>
  <c r="D22" i="39"/>
  <c r="D30" i="39" l="1"/>
  <c r="D48" i="39" s="1"/>
  <c r="D24" i="40"/>
  <c r="D46" i="40" s="1"/>
  <c r="F17" i="15" l="1"/>
  <c r="W26" i="16"/>
  <c r="G22" i="12"/>
  <c r="N45" i="15"/>
  <c r="X36" i="20"/>
  <c r="W26" i="17"/>
  <c r="X82" i="20"/>
  <c r="W142" i="17" l="1"/>
  <c r="L47" i="15"/>
  <c r="X23" i="22"/>
  <c r="Y28" i="23"/>
  <c r="Y23" i="23"/>
  <c r="N16" i="2"/>
  <c r="N17" i="3" s="1"/>
  <c r="Y96" i="23"/>
  <c r="W58" i="17"/>
  <c r="X29" i="20"/>
  <c r="X100" i="20"/>
  <c r="X107" i="20" s="1"/>
  <c r="V23" i="22"/>
  <c r="X118" i="19"/>
  <c r="Y31" i="23"/>
  <c r="X38" i="20" l="1"/>
  <c r="X86" i="20" s="1"/>
  <c r="X110" i="20" s="1"/>
  <c r="W58" i="16"/>
  <c r="L17" i="3"/>
  <c r="W106" i="17"/>
  <c r="X82" i="19"/>
  <c r="Y33" i="23"/>
  <c r="W30" i="17"/>
  <c r="W30" i="16"/>
  <c r="Y79" i="23"/>
  <c r="Y86" i="23" s="1"/>
  <c r="Y61" i="23"/>
  <c r="W42" i="17"/>
  <c r="W50" i="17"/>
  <c r="X100" i="19"/>
  <c r="X109" i="19" s="1"/>
  <c r="W124" i="17"/>
  <c r="W133" i="17" s="1"/>
  <c r="X29" i="19"/>
  <c r="W42" i="16"/>
  <c r="W50" i="16"/>
  <c r="X36" i="19"/>
  <c r="Y26" i="16"/>
  <c r="Y65" i="23" l="1"/>
  <c r="Y89" i="23" s="1"/>
  <c r="Y101" i="23" s="1"/>
  <c r="W106" i="16"/>
  <c r="W124" i="16"/>
  <c r="W133" i="16" s="1"/>
  <c r="W60" i="17"/>
  <c r="W110" i="17" s="1"/>
  <c r="W136" i="17" s="1"/>
  <c r="W146" i="17" s="1"/>
  <c r="W60" i="16"/>
  <c r="X38" i="19"/>
  <c r="X86" i="19" s="1"/>
  <c r="X112" i="19" s="1"/>
  <c r="X122" i="19" s="1"/>
  <c r="F45" i="15" l="1"/>
  <c r="X45" i="15" s="1"/>
  <c r="H26" i="5"/>
  <c r="W110" i="16"/>
  <c r="W136" i="16" s="1"/>
  <c r="AB48" i="16" l="1"/>
  <c r="AB48" i="17"/>
  <c r="D30" i="3"/>
  <c r="D29" i="3"/>
  <c r="D34" i="3"/>
  <c r="D31" i="3"/>
  <c r="L22" i="18"/>
  <c r="V45" i="15"/>
  <c r="E28" i="45"/>
  <c r="K50" i="16" l="1"/>
  <c r="K58" i="16"/>
  <c r="K106" i="16"/>
  <c r="K42" i="16"/>
  <c r="K26" i="16"/>
  <c r="K30" i="16" s="1"/>
  <c r="K124" i="16"/>
  <c r="K133" i="16" s="1"/>
  <c r="Z21" i="43"/>
  <c r="Z26" i="43"/>
  <c r="K60" i="16" l="1"/>
  <c r="K110" i="16" s="1"/>
  <c r="K136" i="16" s="1"/>
  <c r="E24" i="45"/>
  <c r="K95" i="24" l="1"/>
  <c r="K78" i="24" l="1"/>
  <c r="K85" i="24" s="1"/>
  <c r="K60" i="24"/>
  <c r="K30" i="24"/>
  <c r="K27" i="24"/>
  <c r="K22" i="24"/>
  <c r="O31" i="23" l="1"/>
  <c r="P17" i="2" s="1"/>
  <c r="AJ34" i="20" l="1"/>
  <c r="AL34" i="20" s="1"/>
  <c r="D26" i="3"/>
  <c r="D39" i="3"/>
  <c r="D27" i="3"/>
  <c r="AA19" i="27"/>
  <c r="D38" i="3"/>
  <c r="AA14" i="27"/>
  <c r="D32" i="3"/>
  <c r="N23" i="15"/>
  <c r="AL41" i="21"/>
  <c r="AI84" i="23"/>
  <c r="AG21" i="19"/>
  <c r="F23" i="15"/>
  <c r="AG25" i="19"/>
  <c r="AL25" i="19" s="1"/>
  <c r="AK44" i="18"/>
  <c r="AI21" i="23"/>
  <c r="D20" i="3"/>
  <c r="F24" i="15"/>
  <c r="AB33" i="26"/>
  <c r="D25" i="3"/>
  <c r="K203" i="42"/>
  <c r="F18" i="2"/>
  <c r="AI92" i="23"/>
  <c r="AD48" i="2" s="1"/>
  <c r="AK31" i="18"/>
  <c r="D37" i="3"/>
  <c r="H27" i="5"/>
  <c r="D33" i="3"/>
  <c r="AE21" i="17"/>
  <c r="AE21" i="16"/>
  <c r="AI32" i="18"/>
  <c r="F33" i="15"/>
  <c r="AA25" i="29"/>
  <c r="F16" i="15"/>
  <c r="V16" i="15"/>
  <c r="F14" i="2"/>
  <c r="E92" i="23"/>
  <c r="AD95" i="24"/>
  <c r="G203" i="42"/>
  <c r="AG23" i="19"/>
  <c r="AJ33" i="20"/>
  <c r="AL33" i="20" s="1"/>
  <c r="C81" i="17"/>
  <c r="AE37" i="17"/>
  <c r="AJ37" i="17" s="1"/>
  <c r="AK32" i="18"/>
  <c r="AE48" i="17"/>
  <c r="AE48" i="16"/>
  <c r="G39" i="9"/>
  <c r="AH42" i="26"/>
  <c r="D25" i="19"/>
  <c r="AJ25" i="20"/>
  <c r="I203" i="42"/>
  <c r="C96" i="17"/>
  <c r="C37" i="17"/>
  <c r="AB37" i="17" s="1"/>
  <c r="D50" i="3"/>
  <c r="Q26" i="14"/>
  <c r="T36" i="19"/>
  <c r="G35" i="9"/>
  <c r="U31" i="23"/>
  <c r="O28" i="23"/>
  <c r="P16" i="2" s="1"/>
  <c r="O23" i="23"/>
  <c r="P15" i="2" s="1"/>
  <c r="N36" i="19"/>
  <c r="H16" i="2" s="1"/>
  <c r="D25" i="37" l="1"/>
  <c r="AD49" i="2"/>
  <c r="AD50" i="2"/>
  <c r="AE37" i="16"/>
  <c r="AH37" i="17"/>
  <c r="AD25" i="19"/>
  <c r="J33" i="15" s="1"/>
  <c r="X33" i="15" s="1"/>
  <c r="C37" i="16"/>
  <c r="AB37" i="16" s="1"/>
  <c r="V33" i="15"/>
  <c r="J18" i="6"/>
  <c r="D49" i="3"/>
  <c r="D59" i="19"/>
  <c r="C83" i="17"/>
  <c r="AB83" i="17" s="1"/>
  <c r="W31" i="23"/>
  <c r="U58" i="16"/>
  <c r="U42" i="16"/>
  <c r="W23" i="23"/>
  <c r="W28" i="23"/>
  <c r="Z25" i="37"/>
  <c r="AC137" i="18"/>
  <c r="U28" i="23"/>
  <c r="T29" i="19"/>
  <c r="O96" i="23"/>
  <c r="O79" i="23"/>
  <c r="O86" i="23" s="1"/>
  <c r="O61" i="23"/>
  <c r="P18" i="2" s="1"/>
  <c r="O33" i="23"/>
  <c r="J116" i="20"/>
  <c r="J100" i="20"/>
  <c r="J107" i="20" s="1"/>
  <c r="J82" i="20"/>
  <c r="J29" i="20"/>
  <c r="AH37" i="16" l="1"/>
  <c r="AD33" i="15"/>
  <c r="AJ33" i="15" s="1"/>
  <c r="AJ37" i="16"/>
  <c r="AJ25" i="19"/>
  <c r="C83" i="16"/>
  <c r="AB83" i="16" s="1"/>
  <c r="AD59" i="19"/>
  <c r="AH33" i="15"/>
  <c r="U50" i="16"/>
  <c r="U60" i="16" s="1"/>
  <c r="W96" i="23"/>
  <c r="U106" i="16"/>
  <c r="W79" i="23"/>
  <c r="W86" i="23" s="1"/>
  <c r="W61" i="23"/>
  <c r="W33" i="23"/>
  <c r="S106" i="17"/>
  <c r="S142" i="17"/>
  <c r="S124" i="17"/>
  <c r="S133" i="17" s="1"/>
  <c r="S42" i="17"/>
  <c r="T100" i="19"/>
  <c r="T109" i="19" s="1"/>
  <c r="S50" i="17"/>
  <c r="U61" i="23"/>
  <c r="U79" i="23"/>
  <c r="U86" i="23" s="1"/>
  <c r="S58" i="17"/>
  <c r="S26" i="17"/>
  <c r="S30" i="17" s="1"/>
  <c r="T38" i="19"/>
  <c r="U96" i="23"/>
  <c r="T118" i="19"/>
  <c r="T82" i="19"/>
  <c r="O65" i="23"/>
  <c r="O89" i="23" s="1"/>
  <c r="O101" i="23" s="1"/>
  <c r="N82" i="19"/>
  <c r="H18" i="2" s="1"/>
  <c r="J38" i="20"/>
  <c r="J86" i="20" s="1"/>
  <c r="J110" i="20" s="1"/>
  <c r="J120" i="20" s="1"/>
  <c r="Z30" i="43"/>
  <c r="U124" i="16" l="1"/>
  <c r="U133" i="16" s="1"/>
  <c r="U110" i="16"/>
  <c r="W65" i="23"/>
  <c r="W89" i="23" s="1"/>
  <c r="W101" i="23" s="1"/>
  <c r="S60" i="17"/>
  <c r="S110" i="17" s="1"/>
  <c r="S136" i="17" s="1"/>
  <c r="S146" i="17" s="1"/>
  <c r="T86" i="19"/>
  <c r="T112" i="19" s="1"/>
  <c r="T122" i="19" s="1"/>
  <c r="L52" i="21"/>
  <c r="L56" i="21" s="1"/>
  <c r="L88" i="21"/>
  <c r="L70" i="21"/>
  <c r="L79" i="21" s="1"/>
  <c r="U136" i="16" l="1"/>
  <c r="L82" i="21"/>
  <c r="L92" i="21" s="1"/>
  <c r="D15" i="6"/>
  <c r="D14" i="6"/>
  <c r="D15" i="5"/>
  <c r="D14" i="5"/>
  <c r="AA71" i="22" l="1"/>
  <c r="N19" i="2"/>
  <c r="N50" i="2"/>
  <c r="AA62" i="22"/>
  <c r="AA27" i="22"/>
  <c r="AA29" i="22" s="1"/>
  <c r="AA54" i="22" s="1"/>
  <c r="F13" i="15"/>
  <c r="F12" i="15"/>
  <c r="P15" i="5" l="1"/>
  <c r="Z35" i="43" l="1"/>
  <c r="K58" i="17" l="1"/>
  <c r="K42" i="17"/>
  <c r="K106" i="17"/>
  <c r="K50" i="17"/>
  <c r="K26" i="17"/>
  <c r="K30" i="17" s="1"/>
  <c r="K142" i="17"/>
  <c r="K124" i="17"/>
  <c r="K60" i="17" l="1"/>
  <c r="K110" i="17" s="1"/>
  <c r="K208" i="42" l="1"/>
  <c r="K11" i="42"/>
  <c r="K261" i="42"/>
  <c r="K101" i="42"/>
  <c r="K214" i="42"/>
  <c r="K191" i="42"/>
  <c r="C72" i="34"/>
  <c r="K264" i="42" l="1"/>
  <c r="Z31" i="43"/>
  <c r="Z25" i="43"/>
  <c r="Z24" i="43"/>
  <c r="Z23" i="43"/>
  <c r="Z22" i="43"/>
  <c r="G33" i="34" l="1"/>
  <c r="G55" i="34"/>
  <c r="G60" i="34"/>
  <c r="G16" i="34"/>
  <c r="H22" i="45" l="1"/>
  <c r="H21" i="45"/>
  <c r="H20" i="45"/>
  <c r="H19" i="45"/>
  <c r="H18" i="45"/>
  <c r="H17" i="45"/>
  <c r="H16" i="45"/>
  <c r="H15" i="45"/>
  <c r="H14" i="45"/>
  <c r="H26" i="45" l="1"/>
  <c r="I15" i="45"/>
  <c r="I11" i="45"/>
  <c r="M42" i="25"/>
  <c r="M46" i="25" s="1"/>
  <c r="W10" i="41" l="1"/>
  <c r="Y10" i="41" s="1"/>
  <c r="I10" i="41"/>
  <c r="O10" i="41" s="1"/>
  <c r="G10" i="41"/>
  <c r="M10" i="41" s="1"/>
  <c r="S10" i="41" s="1"/>
  <c r="E10" i="41"/>
  <c r="K10" i="41" s="1"/>
  <c r="Q10" i="41" s="1"/>
  <c r="A6" i="41"/>
  <c r="M10" i="40"/>
  <c r="AA10" i="41" s="1"/>
  <c r="B5" i="36"/>
  <c r="A7" i="31" l="1"/>
  <c r="A7" i="32" s="1"/>
  <c r="A6" i="33" s="1"/>
  <c r="D19" i="32" l="1"/>
  <c r="D50" i="39"/>
  <c r="F12" i="39" s="1"/>
  <c r="F50" i="39" s="1"/>
  <c r="H12" i="39" s="1"/>
  <c r="H50" i="39" s="1"/>
  <c r="J12" i="39" s="1"/>
  <c r="J50" i="39" s="1"/>
  <c r="Z28" i="43"/>
  <c r="AG20" i="19" l="1"/>
  <c r="AD40" i="2"/>
  <c r="AI20" i="23"/>
  <c r="AI43" i="18"/>
  <c r="AK43" i="18" s="1"/>
  <c r="AH48" i="17"/>
  <c r="AJ48" i="17" s="1"/>
  <c r="AJ57" i="20"/>
  <c r="AL57" i="20" s="1"/>
  <c r="AL34" i="25"/>
  <c r="AG42" i="19"/>
  <c r="AH83" i="17"/>
  <c r="AJ83" i="17" s="1"/>
  <c r="AG59" i="19"/>
  <c r="AJ59" i="20"/>
  <c r="AL59" i="20" s="1"/>
  <c r="AJ73" i="25"/>
  <c r="AL73" i="25" s="1"/>
  <c r="AG23" i="22"/>
  <c r="AG22" i="22"/>
  <c r="AI22" i="22" s="1"/>
  <c r="AG20" i="22"/>
  <c r="AI76" i="18"/>
  <c r="AK76" i="18" s="1"/>
  <c r="AJ60" i="20"/>
  <c r="AL60" i="20" s="1"/>
  <c r="AL50" i="25"/>
  <c r="AJ58" i="20"/>
  <c r="AL58" i="20" s="1"/>
  <c r="AF137" i="18"/>
  <c r="AJ21" i="21"/>
  <c r="AI27" i="23"/>
  <c r="AD16" i="15"/>
  <c r="AE25" i="16"/>
  <c r="AG36" i="20"/>
  <c r="AA17" i="3" s="1"/>
  <c r="F50" i="2"/>
  <c r="F28" i="2"/>
  <c r="X99" i="18"/>
  <c r="AE83" i="16" l="1"/>
  <c r="AH83" i="16" s="1"/>
  <c r="AJ83" i="16" s="1"/>
  <c r="AI23" i="22"/>
  <c r="AJ59" i="19"/>
  <c r="AL59" i="19" s="1"/>
  <c r="AD45" i="15"/>
  <c r="AH48" i="16"/>
  <c r="AJ48" i="16" s="1"/>
  <c r="Q23" i="23"/>
  <c r="Q31" i="23"/>
  <c r="Q28" i="23"/>
  <c r="P36" i="19"/>
  <c r="P118" i="19"/>
  <c r="F49" i="2"/>
  <c r="M42" i="40"/>
  <c r="M39" i="40"/>
  <c r="M38" i="40"/>
  <c r="M34" i="40"/>
  <c r="M33" i="40"/>
  <c r="M32" i="40"/>
  <c r="M31" i="40"/>
  <c r="M29" i="40"/>
  <c r="M28" i="40"/>
  <c r="M21" i="40"/>
  <c r="M20" i="40"/>
  <c r="M19" i="40"/>
  <c r="M44" i="39"/>
  <c r="M42" i="39"/>
  <c r="M41" i="39"/>
  <c r="M37" i="39"/>
  <c r="M35" i="39"/>
  <c r="M34" i="39"/>
  <c r="M27" i="39"/>
  <c r="M26" i="39"/>
  <c r="M25" i="39"/>
  <c r="M16" i="39"/>
  <c r="M17" i="39"/>
  <c r="M18" i="39"/>
  <c r="M19" i="39"/>
  <c r="M20" i="39"/>
  <c r="M21" i="39"/>
  <c r="Q96" i="23" l="1"/>
  <c r="Q33" i="23"/>
  <c r="Q79" i="23"/>
  <c r="Q86" i="23" s="1"/>
  <c r="P29" i="19"/>
  <c r="Q61" i="23"/>
  <c r="P100" i="19"/>
  <c r="P109" i="19" s="1"/>
  <c r="P38" i="19" l="1"/>
  <c r="Q65" i="23"/>
  <c r="Q89" i="23" s="1"/>
  <c r="P82" i="19"/>
  <c r="Q60" i="25"/>
  <c r="P86" i="19" l="1"/>
  <c r="P112" i="19" s="1"/>
  <c r="P122" i="19" s="1"/>
  <c r="M41" i="40"/>
  <c r="G7" i="45" l="1"/>
  <c r="C7" i="45"/>
  <c r="AC12" i="18" l="1"/>
  <c r="AD13" i="20"/>
  <c r="AI15" i="23"/>
  <c r="I23" i="45"/>
  <c r="I19" i="45"/>
  <c r="I22" i="45"/>
  <c r="I21" i="45"/>
  <c r="I20" i="45"/>
  <c r="I18" i="45"/>
  <c r="I17" i="45"/>
  <c r="I16" i="45"/>
  <c r="I14" i="45"/>
  <c r="E19" i="45"/>
  <c r="E21" i="45"/>
  <c r="E20" i="45"/>
  <c r="E18" i="45"/>
  <c r="E17" i="45"/>
  <c r="E16" i="45"/>
  <c r="E15" i="45"/>
  <c r="E14" i="45"/>
  <c r="AD14" i="24" l="1"/>
  <c r="X96" i="18"/>
  <c r="I12" i="45"/>
  <c r="I26" i="45" l="1"/>
  <c r="E12" i="45"/>
  <c r="E11" i="45"/>
  <c r="I28" i="45"/>
  <c r="E39" i="44" l="1"/>
  <c r="E28" i="44"/>
  <c r="E26" i="44"/>
  <c r="E22" i="44"/>
  <c r="E50" i="44"/>
  <c r="E20" i="44"/>
  <c r="E33" i="44"/>
  <c r="E40" i="44"/>
  <c r="E46" i="44"/>
  <c r="E45" i="44"/>
  <c r="E38" i="44"/>
  <c r="E36" i="44"/>
  <c r="E35" i="44"/>
  <c r="E34" i="44"/>
  <c r="E31" i="44"/>
  <c r="E30" i="44"/>
  <c r="E29" i="44"/>
  <c r="E27" i="44"/>
  <c r="E24" i="44"/>
  <c r="E23" i="44"/>
  <c r="E21" i="44"/>
  <c r="E15" i="44"/>
  <c r="E17" i="44"/>
  <c r="E13" i="44"/>
  <c r="E12" i="44"/>
  <c r="E11" i="44"/>
  <c r="E14" i="44" l="1"/>
  <c r="E37" i="44"/>
  <c r="E25" i="44"/>
  <c r="E18" i="44"/>
  <c r="M43" i="40" l="1"/>
  <c r="L96" i="18" l="1"/>
  <c r="E41" i="10" l="1"/>
  <c r="E49" i="7" s="1"/>
  <c r="C41" i="10" l="1"/>
  <c r="C49" i="7" s="1"/>
  <c r="B17" i="43" l="1"/>
  <c r="P22" i="18" l="1"/>
  <c r="P26" i="18" l="1"/>
  <c r="P96" i="18"/>
  <c r="P37" i="18"/>
  <c r="P45" i="18"/>
  <c r="P53" i="18"/>
  <c r="P114" i="18"/>
  <c r="P120" i="18" s="1"/>
  <c r="P55" i="18" l="1"/>
  <c r="AC9" i="21" l="1"/>
  <c r="D27" i="32" l="1"/>
  <c r="C28" i="31"/>
  <c r="H30" i="45"/>
  <c r="D106" i="19" l="1"/>
  <c r="AE40" i="17" l="1"/>
  <c r="AG106" i="19"/>
  <c r="R32" i="11"/>
  <c r="AD106" i="19"/>
  <c r="J40" i="2" s="1"/>
  <c r="AJ76" i="21"/>
  <c r="AL76" i="21" s="1"/>
  <c r="P100" i="18"/>
  <c r="P123" i="18" s="1"/>
  <c r="AE130" i="16" l="1"/>
  <c r="G32" i="10"/>
  <c r="K32" i="10" s="1"/>
  <c r="AI46" i="23"/>
  <c r="AG44" i="22"/>
  <c r="AI44" i="22" s="1"/>
  <c r="AE57" i="16"/>
  <c r="AD55" i="15" s="1"/>
  <c r="AE88" i="17"/>
  <c r="AJ106" i="19"/>
  <c r="AL106" i="19" s="1"/>
  <c r="P137" i="18"/>
  <c r="P141" i="18" s="1"/>
  <c r="Z17" i="43"/>
  <c r="AA65" i="22" l="1"/>
  <c r="AA75" i="22" s="1"/>
  <c r="B6" i="24" l="1"/>
  <c r="R33" i="11" l="1"/>
  <c r="J33" i="37" l="1"/>
  <c r="P100" i="20" l="1"/>
  <c r="P107" i="20" s="1"/>
  <c r="P116" i="20"/>
  <c r="I124" i="17" l="1"/>
  <c r="I133" i="17" s="1"/>
  <c r="Y23" i="26" l="1"/>
  <c r="M16" i="34" l="1"/>
  <c r="J56" i="15"/>
  <c r="H56" i="15"/>
  <c r="X27" i="22" l="1"/>
  <c r="V27" i="22"/>
  <c r="Y58" i="16" l="1"/>
  <c r="Y58" i="17"/>
  <c r="K14" i="30" l="1"/>
  <c r="I214" i="42"/>
  <c r="I261" i="42"/>
  <c r="I11" i="42"/>
  <c r="I208" i="42"/>
  <c r="I101" i="42"/>
  <c r="I191" i="42"/>
  <c r="Z53" i="18"/>
  <c r="M127" i="42" l="1"/>
  <c r="G101" i="42"/>
  <c r="M173" i="42"/>
  <c r="G208" i="42"/>
  <c r="M188" i="42"/>
  <c r="G11" i="42"/>
  <c r="O214" i="42"/>
  <c r="O191" i="42"/>
  <c r="K89" i="30"/>
  <c r="G191" i="42"/>
  <c r="G214" i="42"/>
  <c r="G261" i="42"/>
  <c r="I264" i="42"/>
  <c r="X53" i="18"/>
  <c r="W33" i="26"/>
  <c r="M22" i="40"/>
  <c r="G264" i="42" l="1"/>
  <c r="AI80" i="18"/>
  <c r="AK80" i="18" s="1"/>
  <c r="D21" i="19" l="1"/>
  <c r="D35" i="19"/>
  <c r="D60" i="19"/>
  <c r="AD35" i="19" l="1"/>
  <c r="C25" i="16"/>
  <c r="I142" i="17" l="1"/>
  <c r="S58" i="16" l="1"/>
  <c r="AC9" i="20"/>
  <c r="AE28" i="16" l="1"/>
  <c r="AE57" i="17"/>
  <c r="R21" i="15"/>
  <c r="P21" i="15"/>
  <c r="N21" i="15"/>
  <c r="L21" i="15"/>
  <c r="J21" i="15"/>
  <c r="H21" i="15"/>
  <c r="X22" i="18"/>
  <c r="F53" i="18" l="1"/>
  <c r="Y95" i="24"/>
  <c r="D57" i="19" l="1"/>
  <c r="C81" i="16" s="1"/>
  <c r="D26" i="19"/>
  <c r="D61" i="19"/>
  <c r="AG28" i="19"/>
  <c r="AE40" i="16" s="1"/>
  <c r="D81" i="19"/>
  <c r="D74" i="19"/>
  <c r="D79" i="19"/>
  <c r="D115" i="19"/>
  <c r="D55" i="19"/>
  <c r="D48" i="32"/>
  <c r="D45" i="19"/>
  <c r="D33" i="19"/>
  <c r="D62" i="19"/>
  <c r="D28" i="19"/>
  <c r="AJ28" i="20"/>
  <c r="AL28" i="20" s="1"/>
  <c r="D70" i="19"/>
  <c r="D22" i="19"/>
  <c r="AI36" i="18"/>
  <c r="AK36" i="18" s="1"/>
  <c r="F37" i="15"/>
  <c r="X37" i="15" s="1"/>
  <c r="D44" i="19"/>
  <c r="D92" i="19"/>
  <c r="D32" i="19"/>
  <c r="D34" i="19"/>
  <c r="V44" i="15" s="1"/>
  <c r="C57" i="16"/>
  <c r="AI35" i="18"/>
  <c r="F36" i="15"/>
  <c r="D49" i="19"/>
  <c r="D80" i="19"/>
  <c r="D53" i="19"/>
  <c r="D23" i="19"/>
  <c r="D97" i="19"/>
  <c r="D47" i="19"/>
  <c r="D27" i="19"/>
  <c r="D78" i="19"/>
  <c r="D90" i="19"/>
  <c r="AE41" i="17"/>
  <c r="AE41" i="16"/>
  <c r="AD37" i="15" s="1"/>
  <c r="D24" i="19"/>
  <c r="D54" i="19"/>
  <c r="D76" i="19"/>
  <c r="D64" i="19"/>
  <c r="D31" i="19"/>
  <c r="D65" i="19"/>
  <c r="D72" i="19"/>
  <c r="D42" i="19"/>
  <c r="D20" i="19"/>
  <c r="D107" i="19"/>
  <c r="D58" i="19"/>
  <c r="D67" i="19"/>
  <c r="AK35" i="18"/>
  <c r="D51" i="19"/>
  <c r="D77" i="19"/>
  <c r="D73" i="19"/>
  <c r="C22" i="17"/>
  <c r="D104" i="19"/>
  <c r="D103" i="19"/>
  <c r="D17" i="19"/>
  <c r="B27" i="22"/>
  <c r="D84" i="19"/>
  <c r="V22" i="18"/>
  <c r="V53" i="18"/>
  <c r="H21" i="36"/>
  <c r="AD20" i="19" l="1"/>
  <c r="J28" i="15" s="1"/>
  <c r="AD24" i="19"/>
  <c r="AD115" i="19"/>
  <c r="AD17" i="19"/>
  <c r="AD72" i="19"/>
  <c r="C96" i="16"/>
  <c r="AD28" i="19"/>
  <c r="J36" i="15" s="1"/>
  <c r="X36" i="15" s="1"/>
  <c r="V36" i="15"/>
  <c r="AH37" i="15"/>
  <c r="AJ37" i="15" s="1"/>
  <c r="AD36" i="15"/>
  <c r="C40" i="17"/>
  <c r="AB40" i="17" s="1"/>
  <c r="AH40" i="17" s="1"/>
  <c r="AJ40" i="17" s="1"/>
  <c r="D51" i="32"/>
  <c r="D75" i="19"/>
  <c r="D95" i="19"/>
  <c r="D46" i="19"/>
  <c r="D99" i="19"/>
  <c r="D98" i="19"/>
  <c r="D94" i="19"/>
  <c r="C131" i="17"/>
  <c r="D52" i="19"/>
  <c r="D96" i="19"/>
  <c r="D66" i="19"/>
  <c r="C57" i="17"/>
  <c r="D53" i="18"/>
  <c r="D71" i="19"/>
  <c r="D116" i="19"/>
  <c r="D102" i="19"/>
  <c r="C44" i="26"/>
  <c r="D68" i="19"/>
  <c r="D91" i="19"/>
  <c r="D50" i="19"/>
  <c r="C41" i="16"/>
  <c r="C41" i="17"/>
  <c r="AB41" i="17" s="1"/>
  <c r="AH41" i="17" s="1"/>
  <c r="AJ41" i="17" s="1"/>
  <c r="V37" i="15"/>
  <c r="C40" i="16"/>
  <c r="K12" i="34"/>
  <c r="M12" i="34" s="1"/>
  <c r="K11" i="34"/>
  <c r="S11" i="34" s="1"/>
  <c r="L12" i="32"/>
  <c r="J13" i="33" s="1"/>
  <c r="D12" i="32"/>
  <c r="K14" i="31"/>
  <c r="C14" i="31"/>
  <c r="A8" i="31"/>
  <c r="A8" i="32" s="1"/>
  <c r="A7" i="33" s="1"/>
  <c r="S12" i="34" l="1"/>
  <c r="AD116" i="19"/>
  <c r="F19" i="32"/>
  <c r="H19" i="32"/>
  <c r="J19" i="32"/>
  <c r="L17" i="32"/>
  <c r="AJ28" i="19"/>
  <c r="AL28" i="19" s="1"/>
  <c r="AH36" i="15"/>
  <c r="AJ36" i="15" s="1"/>
  <c r="D13" i="33"/>
  <c r="J17" i="33" l="1"/>
  <c r="N27" i="22"/>
  <c r="AB12" i="17"/>
  <c r="A40" i="14"/>
  <c r="A6" i="14"/>
  <c r="A6" i="13"/>
  <c r="A40" i="13"/>
  <c r="A40" i="12"/>
  <c r="A6" i="12"/>
  <c r="A6" i="11"/>
  <c r="A42" i="11"/>
  <c r="A42" i="10"/>
  <c r="A6" i="10"/>
  <c r="A50" i="9"/>
  <c r="A49" i="8"/>
  <c r="A6" i="9"/>
  <c r="A6" i="8"/>
  <c r="AE140" i="16" l="1"/>
  <c r="S26" i="16"/>
  <c r="AD11" i="2"/>
  <c r="X11" i="2"/>
  <c r="N11" i="2"/>
  <c r="J11" i="2"/>
  <c r="R11" i="2" s="1"/>
  <c r="L15" i="6"/>
  <c r="X13" i="15"/>
  <c r="P12" i="2"/>
  <c r="N12" i="2"/>
  <c r="L12" i="2"/>
  <c r="J12" i="2"/>
  <c r="H12" i="2"/>
  <c r="R12" i="2" l="1"/>
  <c r="L15" i="5"/>
  <c r="AI90" i="18" l="1"/>
  <c r="R22" i="18"/>
  <c r="Q26" i="16" l="1"/>
  <c r="H51" i="2"/>
  <c r="P62" i="22"/>
  <c r="R53" i="18"/>
  <c r="Q58" i="16" l="1"/>
  <c r="Q58" i="17"/>
  <c r="L27" i="22" l="1"/>
  <c r="L17" i="2" s="1"/>
  <c r="O60" i="24"/>
  <c r="N53" i="18"/>
  <c r="D17" i="2" s="1"/>
  <c r="N22" i="18"/>
  <c r="O60" i="25"/>
  <c r="O67" i="25" s="1"/>
  <c r="O42" i="25"/>
  <c r="L71" i="22"/>
  <c r="N88" i="21"/>
  <c r="N100" i="20"/>
  <c r="N107" i="20" s="1"/>
  <c r="N36" i="20"/>
  <c r="H17" i="3" s="1"/>
  <c r="N29" i="20"/>
  <c r="H16" i="3" s="1"/>
  <c r="N137" i="18"/>
  <c r="N96" i="18"/>
  <c r="D18" i="2" s="1"/>
  <c r="N45" i="18"/>
  <c r="D16" i="2" s="1"/>
  <c r="O58" i="17" l="1"/>
  <c r="O58" i="16"/>
  <c r="M58" i="17"/>
  <c r="M58" i="16"/>
  <c r="L33" i="37"/>
  <c r="M60" i="25"/>
  <c r="M67" i="25" s="1"/>
  <c r="M70" i="25" s="1"/>
  <c r="M60" i="24"/>
  <c r="L53" i="18"/>
  <c r="J27" i="22"/>
  <c r="N38" i="20"/>
  <c r="N17" i="28" l="1"/>
  <c r="C65" i="17"/>
  <c r="AE96" i="17" l="1"/>
  <c r="AJ72" i="20"/>
  <c r="AL72" i="20" s="1"/>
  <c r="AG72" i="19"/>
  <c r="AB96" i="17"/>
  <c r="AE96" i="16" l="1"/>
  <c r="AJ72" i="19"/>
  <c r="AH96" i="17"/>
  <c r="AJ96" i="17" s="1"/>
  <c r="F22" i="18" l="1"/>
  <c r="E44" i="26"/>
  <c r="E58" i="16" l="1"/>
  <c r="E58" i="17"/>
  <c r="E50" i="16"/>
  <c r="R33" i="37" l="1"/>
  <c r="C127" i="17" l="1"/>
  <c r="M16" i="40"/>
  <c r="M35" i="40" l="1"/>
  <c r="M24" i="40"/>
  <c r="A42" i="12" l="1"/>
  <c r="W23" i="26" l="1"/>
  <c r="F20" i="15" l="1"/>
  <c r="AI52" i="18"/>
  <c r="AK52" i="18" s="1"/>
  <c r="F55" i="15"/>
  <c r="N55" i="15"/>
  <c r="AG26" i="22"/>
  <c r="AI26" i="22" s="1"/>
  <c r="Y22" i="24"/>
  <c r="Y27" i="24"/>
  <c r="Y30" i="24"/>
  <c r="Y60" i="24"/>
  <c r="Y78" i="24"/>
  <c r="Y85" i="24" s="1"/>
  <c r="J22" i="18" l="1"/>
  <c r="J53" i="18"/>
  <c r="X55" i="15"/>
  <c r="AH55" i="15" s="1"/>
  <c r="AJ55" i="15" s="1"/>
  <c r="H27" i="22"/>
  <c r="V55" i="15"/>
  <c r="AB57" i="17"/>
  <c r="AH57" i="17" s="1"/>
  <c r="AJ57" i="17" s="1"/>
  <c r="AB57" i="16"/>
  <c r="AH57" i="16" s="1"/>
  <c r="AJ57" i="16" s="1"/>
  <c r="Y32" i="24"/>
  <c r="Y64" i="24" s="1"/>
  <c r="Y88" i="24" s="1"/>
  <c r="I58" i="17" l="1"/>
  <c r="I58" i="16"/>
  <c r="Z42" i="37" l="1"/>
  <c r="AE22" i="16"/>
  <c r="AD27" i="22"/>
  <c r="AD29" i="22" s="1"/>
  <c r="AC53" i="18"/>
  <c r="AF53" i="18"/>
  <c r="AA42" i="3"/>
  <c r="AF42" i="3" s="1"/>
  <c r="J42" i="3"/>
  <c r="T42" i="3" s="1"/>
  <c r="F27" i="22"/>
  <c r="C21" i="17"/>
  <c r="AB21" i="17" s="1"/>
  <c r="C21" i="16"/>
  <c r="AB21" i="16" s="1"/>
  <c r="C20" i="41"/>
  <c r="C24" i="41" s="1"/>
  <c r="AA19" i="41"/>
  <c r="AA18" i="41"/>
  <c r="AA17" i="41"/>
  <c r="AA16" i="41"/>
  <c r="AA15" i="41"/>
  <c r="AA14" i="41"/>
  <c r="L56" i="15" l="1"/>
  <c r="H22" i="18"/>
  <c r="I60" i="24"/>
  <c r="AD42" i="3"/>
  <c r="AB131" i="17"/>
  <c r="R42" i="3"/>
  <c r="H53" i="18"/>
  <c r="AA20" i="41"/>
  <c r="AA24" i="41" s="1"/>
  <c r="D18" i="3" l="1"/>
  <c r="D56" i="15"/>
  <c r="C25" i="17"/>
  <c r="Q76" i="25"/>
  <c r="N42" i="37" l="1"/>
  <c r="N62" i="22"/>
  <c r="N50" i="22"/>
  <c r="P82" i="20"/>
  <c r="Q60" i="24"/>
  <c r="P52" i="21"/>
  <c r="P56" i="21" s="1"/>
  <c r="O44" i="26"/>
  <c r="N25" i="28"/>
  <c r="N28" i="28" s="1"/>
  <c r="P70" i="21"/>
  <c r="P79" i="21" s="1"/>
  <c r="N33" i="28"/>
  <c r="Q95" i="24"/>
  <c r="P82" i="21" l="1"/>
  <c r="N37" i="28"/>
  <c r="O26" i="17"/>
  <c r="O26" i="16"/>
  <c r="R45" i="18"/>
  <c r="O106" i="17"/>
  <c r="O142" i="17"/>
  <c r="Q26" i="17" l="1"/>
  <c r="A52" i="9"/>
  <c r="V45" i="18" l="1"/>
  <c r="V37" i="18"/>
  <c r="V96" i="18"/>
  <c r="V114" i="18"/>
  <c r="V120" i="18" s="1"/>
  <c r="V137" i="18" l="1"/>
  <c r="A42" i="14" l="1"/>
  <c r="A42" i="13"/>
  <c r="A44" i="11"/>
  <c r="A44" i="10"/>
  <c r="M26" i="16" l="1"/>
  <c r="M26" i="17" l="1"/>
  <c r="C24" i="16" l="1"/>
  <c r="C24" i="17"/>
  <c r="AB24" i="17" s="1"/>
  <c r="AA31" i="23" l="1"/>
  <c r="AA95" i="24" l="1"/>
  <c r="Z36" i="19"/>
  <c r="Z37" i="18"/>
  <c r="Z22" i="18"/>
  <c r="Z26" i="18" s="1"/>
  <c r="Z29" i="19"/>
  <c r="Z96" i="18"/>
  <c r="AA60" i="24"/>
  <c r="AA23" i="23"/>
  <c r="Z114" i="18"/>
  <c r="Z120" i="18" s="1"/>
  <c r="AA78" i="24"/>
  <c r="AA85" i="24" s="1"/>
  <c r="Z100" i="20"/>
  <c r="Z107" i="20" s="1"/>
  <c r="AA28" i="23"/>
  <c r="Z45" i="18"/>
  <c r="AA96" i="23" l="1"/>
  <c r="Y50" i="16"/>
  <c r="Y106" i="17"/>
  <c r="Y42" i="17"/>
  <c r="Z82" i="19"/>
  <c r="Z82" i="20"/>
  <c r="Y30" i="16"/>
  <c r="Y50" i="17"/>
  <c r="Y124" i="17"/>
  <c r="Y133" i="17" s="1"/>
  <c r="Y26" i="17"/>
  <c r="AA33" i="23"/>
  <c r="AA79" i="23"/>
  <c r="AA86" i="23" s="1"/>
  <c r="Y106" i="16"/>
  <c r="AA61" i="23"/>
  <c r="Z100" i="19"/>
  <c r="Z109" i="19" s="1"/>
  <c r="Y42" i="16"/>
  <c r="B32" i="43"/>
  <c r="AD116" i="20" l="1"/>
  <c r="G28" i="9"/>
  <c r="P18" i="6"/>
  <c r="C29" i="16"/>
  <c r="C73" i="17"/>
  <c r="C82" i="17"/>
  <c r="C104" i="17"/>
  <c r="C113" i="30"/>
  <c r="P18" i="5"/>
  <c r="C23" i="16"/>
  <c r="AA39" i="27"/>
  <c r="C38" i="17"/>
  <c r="AL85" i="21"/>
  <c r="AG37" i="27"/>
  <c r="AI37" i="27" s="1"/>
  <c r="AE22" i="17"/>
  <c r="F19" i="6"/>
  <c r="C156" i="30"/>
  <c r="AD46" i="25"/>
  <c r="C54" i="17"/>
  <c r="C88" i="17"/>
  <c r="C35" i="17"/>
  <c r="C33" i="17"/>
  <c r="C97" i="17"/>
  <c r="B26" i="6"/>
  <c r="C121" i="17"/>
  <c r="C100" i="17"/>
  <c r="C99" i="17"/>
  <c r="AG95" i="24"/>
  <c r="AD67" i="25"/>
  <c r="C130" i="17"/>
  <c r="AC96" i="23"/>
  <c r="P25" i="5"/>
  <c r="AE99" i="17"/>
  <c r="L38" i="15"/>
  <c r="C105" i="17"/>
  <c r="AG103" i="19"/>
  <c r="C24" i="30"/>
  <c r="E94" i="23"/>
  <c r="B19" i="6"/>
  <c r="C102" i="17"/>
  <c r="D22" i="18"/>
  <c r="AD71" i="22"/>
  <c r="AG71" i="22" s="1"/>
  <c r="C84" i="17"/>
  <c r="AD62" i="22"/>
  <c r="C54" i="16"/>
  <c r="C118" i="17"/>
  <c r="C36" i="17"/>
  <c r="C23" i="17"/>
  <c r="AB23" i="17" s="1"/>
  <c r="C67" i="17"/>
  <c r="Y124" i="16"/>
  <c r="Y133" i="16" s="1"/>
  <c r="AA65" i="23"/>
  <c r="AA89" i="23" s="1"/>
  <c r="AF94" i="23" l="1"/>
  <c r="B29" i="6"/>
  <c r="AD70" i="25"/>
  <c r="AJ95" i="24"/>
  <c r="AI22" i="18"/>
  <c r="AK22" i="18" s="1"/>
  <c r="C74" i="17"/>
  <c r="C45" i="17"/>
  <c r="C70" i="17"/>
  <c r="B21" i="5"/>
  <c r="C94" i="17"/>
  <c r="C123" i="17"/>
  <c r="C101" i="17"/>
  <c r="C122" i="17"/>
  <c r="C76" i="17"/>
  <c r="C68" i="17"/>
  <c r="AB68" i="17" s="1"/>
  <c r="C46" i="17"/>
  <c r="C49" i="17"/>
  <c r="C90" i="17"/>
  <c r="C98" i="17"/>
  <c r="B29" i="5"/>
  <c r="D114" i="18"/>
  <c r="D120" i="18" s="1"/>
  <c r="E93" i="23"/>
  <c r="C140" i="17"/>
  <c r="C114" i="17"/>
  <c r="C89" i="17"/>
  <c r="C128" i="17"/>
  <c r="C91" i="17"/>
  <c r="C79" i="17"/>
  <c r="C103" i="17"/>
  <c r="C28" i="16"/>
  <c r="C108" i="17"/>
  <c r="C95" i="17"/>
  <c r="AE140" i="17"/>
  <c r="AA50" i="3"/>
  <c r="D137" i="18"/>
  <c r="C34" i="17"/>
  <c r="C27" i="17"/>
  <c r="C52" i="17"/>
  <c r="C28" i="17"/>
  <c r="C44" i="17"/>
  <c r="C130" i="16"/>
  <c r="C72" i="17"/>
  <c r="C72" i="16"/>
  <c r="C56" i="16"/>
  <c r="C56" i="17"/>
  <c r="C92" i="17"/>
  <c r="C85" i="17"/>
  <c r="C77" i="17"/>
  <c r="D96" i="18"/>
  <c r="C64" i="17"/>
  <c r="C39" i="17"/>
  <c r="C32" i="17"/>
  <c r="C52" i="16"/>
  <c r="C29" i="17"/>
  <c r="C69" i="17"/>
  <c r="C53" i="17"/>
  <c r="C53" i="16"/>
  <c r="C78" i="17"/>
  <c r="C75" i="17"/>
  <c r="C115" i="17"/>
  <c r="C116" i="17"/>
  <c r="C26" i="17"/>
  <c r="C22" i="16"/>
  <c r="C26" i="16" s="1"/>
  <c r="D21" i="15"/>
  <c r="D25" i="15" s="1"/>
  <c r="C47" i="17"/>
  <c r="C126" i="17"/>
  <c r="C55" i="17"/>
  <c r="C120" i="17"/>
  <c r="C119" i="17"/>
  <c r="C86" i="17"/>
  <c r="V17" i="29"/>
  <c r="V17" i="28"/>
  <c r="AF93" i="23" l="1"/>
  <c r="V49" i="2"/>
  <c r="M140" i="16" s="1"/>
  <c r="C42" i="17"/>
  <c r="C58" i="17"/>
  <c r="D34" i="2"/>
  <c r="D42" i="2" s="1"/>
  <c r="D38" i="15"/>
  <c r="D47" i="15"/>
  <c r="C139" i="17"/>
  <c r="AB82" i="19"/>
  <c r="AB36" i="19"/>
  <c r="AB29" i="19"/>
  <c r="AB140" i="16" l="1"/>
  <c r="D58" i="15"/>
  <c r="AB38" i="19"/>
  <c r="AB86" i="19" s="1"/>
  <c r="AJ79" i="20" l="1"/>
  <c r="J70" i="21"/>
  <c r="J79" i="21" s="1"/>
  <c r="I34" i="10"/>
  <c r="P32" i="6"/>
  <c r="L25" i="37"/>
  <c r="L17" i="28"/>
  <c r="L20" i="22"/>
  <c r="L15" i="2" s="1"/>
  <c r="Q78" i="24"/>
  <c r="Q85" i="24" s="1"/>
  <c r="Q30" i="24"/>
  <c r="L29" i="22" l="1"/>
  <c r="H25" i="29"/>
  <c r="J88" i="21"/>
  <c r="I26" i="17" l="1"/>
  <c r="I26" i="16"/>
  <c r="AB96" i="16"/>
  <c r="AH96" i="16" s="1"/>
  <c r="AJ96" i="16" s="1"/>
  <c r="AJ21" i="24"/>
  <c r="AL21" i="24" s="1"/>
  <c r="V50" i="22"/>
  <c r="V62" i="22"/>
  <c r="V33" i="29"/>
  <c r="V25" i="28"/>
  <c r="V28" i="28" s="1"/>
  <c r="V25" i="29"/>
  <c r="V28" i="29" s="1"/>
  <c r="P29" i="20"/>
  <c r="R50" i="2" l="1"/>
  <c r="L45" i="18"/>
  <c r="L114" i="18"/>
  <c r="L120" i="18" s="1"/>
  <c r="L26" i="18"/>
  <c r="L37" i="18"/>
  <c r="AL72" i="19"/>
  <c r="N70" i="21"/>
  <c r="N79" i="21" s="1"/>
  <c r="L25" i="29"/>
  <c r="L28" i="27"/>
  <c r="M23" i="26"/>
  <c r="O78" i="24"/>
  <c r="O85" i="24" s="1"/>
  <c r="L50" i="22"/>
  <c r="L18" i="2" s="1"/>
  <c r="M33" i="26"/>
  <c r="L19" i="27"/>
  <c r="O30" i="24"/>
  <c r="L17" i="29"/>
  <c r="O27" i="24"/>
  <c r="L25" i="28"/>
  <c r="L28" i="28" s="1"/>
  <c r="N52" i="21"/>
  <c r="N56" i="21" s="1"/>
  <c r="V33" i="28"/>
  <c r="V37" i="28" s="1"/>
  <c r="V20" i="22"/>
  <c r="V71" i="22"/>
  <c r="V37" i="29"/>
  <c r="V29" i="22" l="1"/>
  <c r="N82" i="21"/>
  <c r="H35" i="3"/>
  <c r="H43" i="3" s="1"/>
  <c r="L55" i="18"/>
  <c r="L100" i="18" s="1"/>
  <c r="AG48" i="22"/>
  <c r="AI48" i="22" s="1"/>
  <c r="AE103" i="17"/>
  <c r="AK90" i="18"/>
  <c r="M30" i="16"/>
  <c r="L28" i="29"/>
  <c r="M37" i="26"/>
  <c r="M49" i="26" s="1"/>
  <c r="L32" i="27"/>
  <c r="M124" i="17"/>
  <c r="M30" i="17"/>
  <c r="L54" i="22"/>
  <c r="M42" i="17"/>
  <c r="M50" i="17"/>
  <c r="N29" i="19"/>
  <c r="H15" i="2" s="1"/>
  <c r="M106" i="17"/>
  <c r="N82" i="20"/>
  <c r="H19" i="3" s="1"/>
  <c r="AG13" i="19" l="1"/>
  <c r="M50" i="16"/>
  <c r="F29" i="19"/>
  <c r="F36" i="19"/>
  <c r="G23" i="23"/>
  <c r="G28" i="23"/>
  <c r="Y60" i="16"/>
  <c r="Y110" i="16" s="1"/>
  <c r="Y136" i="16" s="1"/>
  <c r="M106" i="16"/>
  <c r="M124" i="16"/>
  <c r="M60" i="17"/>
  <c r="M142" i="17"/>
  <c r="N86" i="20"/>
  <c r="N110" i="20" s="1"/>
  <c r="L34" i="2"/>
  <c r="Z55" i="18" l="1"/>
  <c r="Z100" i="18" s="1"/>
  <c r="Z123" i="18" s="1"/>
  <c r="G79" i="23"/>
  <c r="G86" i="23" s="1"/>
  <c r="G61" i="23"/>
  <c r="G31" i="23"/>
  <c r="F100" i="19"/>
  <c r="F109" i="19" s="1"/>
  <c r="G33" i="23" l="1"/>
  <c r="G65" i="23" s="1"/>
  <c r="G89" i="23" s="1"/>
  <c r="F82" i="19"/>
  <c r="M22" i="39" l="1"/>
  <c r="M45" i="39"/>
  <c r="M38" i="39"/>
  <c r="M28" i="39"/>
  <c r="M30" i="39" l="1"/>
  <c r="M48" i="39" l="1"/>
  <c r="M50" i="39" s="1"/>
  <c r="C47" i="16"/>
  <c r="X116" i="20" l="1"/>
  <c r="X120" i="20" s="1"/>
  <c r="M46" i="40"/>
  <c r="M48" i="40" s="1"/>
  <c r="D48" i="40" l="1"/>
  <c r="F12" i="40" s="1"/>
  <c r="F48" i="40" s="1"/>
  <c r="H12" i="40" s="1"/>
  <c r="H48" i="40" s="1"/>
  <c r="J12" i="40" s="1"/>
  <c r="J48" i="40" s="1"/>
  <c r="E59" i="23"/>
  <c r="AF59" i="23" s="1"/>
  <c r="E60" i="23"/>
  <c r="AF60" i="23" s="1"/>
  <c r="AD55" i="19"/>
  <c r="C34" i="16" l="1"/>
  <c r="C103" i="16"/>
  <c r="AB103" i="16" s="1"/>
  <c r="AD21" i="19"/>
  <c r="E52" i="23"/>
  <c r="AF52" i="23" s="1"/>
  <c r="AK68" i="18"/>
  <c r="E70" i="23"/>
  <c r="E49" i="23"/>
  <c r="AF49" i="23" s="1"/>
  <c r="AE35" i="17"/>
  <c r="E58" i="23"/>
  <c r="E30" i="23"/>
  <c r="P23" i="6"/>
  <c r="C102" i="16"/>
  <c r="AC55" i="18"/>
  <c r="AC100" i="18" s="1"/>
  <c r="AG22" i="19"/>
  <c r="AI68" i="18"/>
  <c r="E22" i="23"/>
  <c r="E77" i="23"/>
  <c r="AE95" i="17"/>
  <c r="E26" i="23"/>
  <c r="AF26" i="23" s="1"/>
  <c r="AJ19" i="25"/>
  <c r="F30" i="2"/>
  <c r="G24" i="12"/>
  <c r="C82" i="16"/>
  <c r="AC120" i="18"/>
  <c r="C95" i="16"/>
  <c r="C104" i="16"/>
  <c r="AI43" i="23"/>
  <c r="AI74" i="23"/>
  <c r="E63" i="23"/>
  <c r="C73" i="16"/>
  <c r="P35" i="5"/>
  <c r="E69" i="23"/>
  <c r="AF69" i="23" s="1"/>
  <c r="E74" i="23"/>
  <c r="I25" i="10"/>
  <c r="C68" i="16"/>
  <c r="E25" i="23"/>
  <c r="C84" i="16"/>
  <c r="E57" i="23"/>
  <c r="E43" i="23"/>
  <c r="AF43" i="23" s="1"/>
  <c r="E20" i="23"/>
  <c r="E27" i="23"/>
  <c r="E54" i="23"/>
  <c r="E21" i="23"/>
  <c r="AF21" i="23" s="1"/>
  <c r="AJ33" i="25"/>
  <c r="E81" i="23"/>
  <c r="AC79" i="23"/>
  <c r="AC86" i="23" s="1"/>
  <c r="AC61" i="23"/>
  <c r="AC31" i="23"/>
  <c r="AC28" i="23"/>
  <c r="AC23" i="23"/>
  <c r="AF20" i="23" l="1"/>
  <c r="AF22" i="23"/>
  <c r="AF63" i="23"/>
  <c r="AC123" i="18"/>
  <c r="AC141" i="18" s="1"/>
  <c r="AF27" i="23"/>
  <c r="P47" i="15"/>
  <c r="P56" i="15"/>
  <c r="C55" i="16"/>
  <c r="C58" i="16" s="1"/>
  <c r="J50" i="2"/>
  <c r="C46" i="16"/>
  <c r="C35" i="16"/>
  <c r="AB35" i="16" s="1"/>
  <c r="C38" i="16"/>
  <c r="C32" i="16"/>
  <c r="AD102" i="19"/>
  <c r="C44" i="16"/>
  <c r="C88" i="16"/>
  <c r="C33" i="16"/>
  <c r="C39" i="16"/>
  <c r="C115" i="16"/>
  <c r="C101" i="16"/>
  <c r="C119" i="16"/>
  <c r="C49" i="16"/>
  <c r="C126" i="16"/>
  <c r="C45" i="16"/>
  <c r="C36" i="16"/>
  <c r="AD52" i="19"/>
  <c r="C76" i="16"/>
  <c r="AD61" i="19"/>
  <c r="E106" i="16"/>
  <c r="E106" i="17"/>
  <c r="AB23" i="16"/>
  <c r="E42" i="16"/>
  <c r="E42" i="17"/>
  <c r="E124" i="17"/>
  <c r="E133" i="17" s="1"/>
  <c r="E50" i="17"/>
  <c r="E42" i="23"/>
  <c r="E82" i="23"/>
  <c r="C69" i="16"/>
  <c r="C105" i="16"/>
  <c r="C75" i="16"/>
  <c r="C92" i="16"/>
  <c r="C90" i="16"/>
  <c r="C89" i="16"/>
  <c r="E51" i="23"/>
  <c r="E73" i="23"/>
  <c r="E45" i="23"/>
  <c r="E41" i="23"/>
  <c r="C74" i="16" s="1"/>
  <c r="C64" i="16"/>
  <c r="D29" i="19"/>
  <c r="C99" i="16"/>
  <c r="D36" i="19"/>
  <c r="E56" i="23"/>
  <c r="E44" i="23"/>
  <c r="C78" i="16" s="1"/>
  <c r="E76" i="23"/>
  <c r="AF76" i="23" s="1"/>
  <c r="E39" i="23"/>
  <c r="C67" i="16" s="1"/>
  <c r="E84" i="23"/>
  <c r="E71" i="23"/>
  <c r="E37" i="23"/>
  <c r="C65" i="16" s="1"/>
  <c r="E50" i="23"/>
  <c r="E46" i="23"/>
  <c r="AF46" i="23" s="1"/>
  <c r="E83" i="23"/>
  <c r="C70" i="16"/>
  <c r="E55" i="23"/>
  <c r="C100" i="16"/>
  <c r="E78" i="23"/>
  <c r="E75" i="23"/>
  <c r="C94" i="16"/>
  <c r="C77" i="16"/>
  <c r="E47" i="23"/>
  <c r="AD44" i="19"/>
  <c r="AD103" i="19"/>
  <c r="AC33" i="23"/>
  <c r="AC65" i="23" s="1"/>
  <c r="AC89" i="23" s="1"/>
  <c r="AC101" i="23" s="1"/>
  <c r="AF23" i="23" l="1"/>
  <c r="AF78" i="23"/>
  <c r="AF84" i="23"/>
  <c r="C79" i="16"/>
  <c r="AF45" i="23"/>
  <c r="AF75" i="23"/>
  <c r="C42" i="16"/>
  <c r="D38" i="19"/>
  <c r="H47" i="15"/>
  <c r="H38" i="15"/>
  <c r="C118" i="16"/>
  <c r="C121" i="16"/>
  <c r="C128" i="16"/>
  <c r="C127" i="16"/>
  <c r="AF92" i="23"/>
  <c r="AF96" i="23" s="1"/>
  <c r="P51" i="2"/>
  <c r="C122" i="16"/>
  <c r="C114" i="16"/>
  <c r="C108" i="16"/>
  <c r="C98" i="16"/>
  <c r="AB22" i="17"/>
  <c r="E26" i="17"/>
  <c r="AB22" i="16"/>
  <c r="E26" i="16"/>
  <c r="AB26" i="16" s="1"/>
  <c r="C91" i="16"/>
  <c r="C116" i="16"/>
  <c r="C97" i="16"/>
  <c r="C131" i="16"/>
  <c r="C85" i="16"/>
  <c r="C120" i="16"/>
  <c r="C86" i="16"/>
  <c r="C123" i="16"/>
  <c r="AB123" i="16" s="1"/>
  <c r="Z33" i="37"/>
  <c r="Z44" i="37" s="1"/>
  <c r="E133" i="16"/>
  <c r="D82" i="19"/>
  <c r="C142" i="17"/>
  <c r="D100" i="19"/>
  <c r="D109" i="19" s="1"/>
  <c r="D118" i="19"/>
  <c r="C124" i="17"/>
  <c r="C133" i="17" s="1"/>
  <c r="D20" i="33"/>
  <c r="E30" i="17" l="1"/>
  <c r="E60" i="17" s="1"/>
  <c r="E110" i="17" s="1"/>
  <c r="E136" i="17" s="1"/>
  <c r="E30" i="16"/>
  <c r="E60" i="16" s="1"/>
  <c r="E110" i="16" s="1"/>
  <c r="E136" i="16" s="1"/>
  <c r="D86" i="19"/>
  <c r="D112" i="19" s="1"/>
  <c r="D122" i="19" s="1"/>
  <c r="P20" i="22"/>
  <c r="H29" i="36"/>
  <c r="AB33" i="16" l="1"/>
  <c r="N38" i="19"/>
  <c r="B34" i="6"/>
  <c r="B39" i="6" s="1"/>
  <c r="AE108" i="17"/>
  <c r="P50" i="22"/>
  <c r="P71" i="22"/>
  <c r="R52" i="21"/>
  <c r="R56" i="21" s="1"/>
  <c r="A6" i="34"/>
  <c r="F34" i="6" l="1"/>
  <c r="S23" i="23"/>
  <c r="AA49" i="3"/>
  <c r="G30" i="9"/>
  <c r="R36" i="19"/>
  <c r="S28" i="23"/>
  <c r="L51" i="2"/>
  <c r="S61" i="23"/>
  <c r="A6" i="37"/>
  <c r="B9" i="37"/>
  <c r="A5" i="44" l="1"/>
  <c r="A5" i="45" s="1"/>
  <c r="A6" i="38"/>
  <c r="A6" i="39" s="1"/>
  <c r="B6" i="40" s="1"/>
  <c r="S33" i="23"/>
  <c r="S65" i="23" s="1"/>
  <c r="R100" i="19"/>
  <c r="R109" i="19" s="1"/>
  <c r="R82" i="19"/>
  <c r="S79" i="23"/>
  <c r="S86" i="23" s="1"/>
  <c r="S96" i="23"/>
  <c r="R29" i="19"/>
  <c r="R38" i="19" l="1"/>
  <c r="S89" i="23"/>
  <c r="S101" i="23" s="1"/>
  <c r="A6" i="43"/>
  <c r="T9" i="43"/>
  <c r="B9" i="43"/>
  <c r="AD12" i="29"/>
  <c r="AD12" i="28"/>
  <c r="AD12" i="27"/>
  <c r="AG12" i="25"/>
  <c r="AG12" i="24"/>
  <c r="AI13" i="23"/>
  <c r="AD10" i="22"/>
  <c r="AG11" i="21"/>
  <c r="AG11" i="20"/>
  <c r="AG11" i="19"/>
  <c r="AF10" i="18"/>
  <c r="AE14" i="17"/>
  <c r="AA12" i="29"/>
  <c r="AA12" i="28"/>
  <c r="AA12" i="27"/>
  <c r="AB14" i="26"/>
  <c r="AD12" i="25"/>
  <c r="AD12" i="24"/>
  <c r="AF13" i="23"/>
  <c r="AA10" i="22"/>
  <c r="AD11" i="21"/>
  <c r="AD11" i="20"/>
  <c r="AD11" i="19"/>
  <c r="AC10" i="18"/>
  <c r="AB14" i="17"/>
  <c r="T11" i="29"/>
  <c r="T11" i="28"/>
  <c r="T11" i="27"/>
  <c r="U13" i="26"/>
  <c r="W11" i="25"/>
  <c r="W11" i="24"/>
  <c r="W12" i="23"/>
  <c r="T9" i="22"/>
  <c r="V10" i="21"/>
  <c r="V10" i="20"/>
  <c r="V10" i="19"/>
  <c r="V9" i="18"/>
  <c r="U13" i="17"/>
  <c r="B11" i="29"/>
  <c r="B11" i="28"/>
  <c r="B11" i="27"/>
  <c r="C13" i="26"/>
  <c r="E11" i="25"/>
  <c r="E11" i="24"/>
  <c r="E12" i="23"/>
  <c r="B9" i="22"/>
  <c r="D10" i="21"/>
  <c r="D10" i="20"/>
  <c r="D10" i="19"/>
  <c r="D9" i="18"/>
  <c r="C13" i="17"/>
  <c r="A6" i="29"/>
  <c r="A6" i="28"/>
  <c r="A6" i="27"/>
  <c r="A6" i="26"/>
  <c r="B6" i="25"/>
  <c r="B6" i="23"/>
  <c r="A6" i="22"/>
  <c r="B6" i="21"/>
  <c r="B6" i="20"/>
  <c r="B6" i="19"/>
  <c r="B6" i="18"/>
  <c r="A6" i="17"/>
  <c r="AD13" i="15"/>
  <c r="AB13" i="15"/>
  <c r="D13" i="15"/>
  <c r="P15" i="6"/>
  <c r="N15" i="6"/>
  <c r="N15" i="5"/>
  <c r="B15" i="5"/>
  <c r="AB21" i="15" l="1"/>
  <c r="AB38" i="15"/>
  <c r="L123" i="18"/>
  <c r="B37" i="5"/>
  <c r="F29" i="15"/>
  <c r="AI51" i="23"/>
  <c r="AG17" i="19"/>
  <c r="AD14" i="2" s="1"/>
  <c r="AI87" i="18"/>
  <c r="AK87" i="18" s="1"/>
  <c r="AI56" i="23"/>
  <c r="AI60" i="23"/>
  <c r="AI26" i="23"/>
  <c r="AD36" i="20"/>
  <c r="AD38" i="20" s="1"/>
  <c r="AD107" i="20" l="1"/>
  <c r="Q50" i="17"/>
  <c r="Q33" i="26"/>
  <c r="P88" i="21"/>
  <c r="P92" i="21" s="1"/>
  <c r="Q42" i="17"/>
  <c r="N71" i="22"/>
  <c r="F29" i="5"/>
  <c r="V35" i="15"/>
  <c r="Q22" i="24"/>
  <c r="R26" i="18"/>
  <c r="F26" i="6"/>
  <c r="F29" i="6" s="1"/>
  <c r="F39" i="6" s="1"/>
  <c r="F37" i="5"/>
  <c r="AF57" i="23"/>
  <c r="M25" i="42" l="1"/>
  <c r="G50" i="34"/>
  <c r="M50" i="34" s="1"/>
  <c r="M110" i="17"/>
  <c r="Q106" i="17"/>
  <c r="R88" i="21"/>
  <c r="R118" i="19"/>
  <c r="R86" i="19"/>
  <c r="R112" i="19" s="1"/>
  <c r="Q124" i="17"/>
  <c r="Q133" i="17" s="1"/>
  <c r="Q124" i="16"/>
  <c r="Q50" i="16"/>
  <c r="R122" i="19" l="1"/>
  <c r="Q142" i="17"/>
  <c r="AD17" i="29" l="1"/>
  <c r="AA17" i="28"/>
  <c r="AD25" i="29"/>
  <c r="AA25" i="28"/>
  <c r="AD33" i="29"/>
  <c r="AA28" i="28" l="1"/>
  <c r="AD76" i="25"/>
  <c r="AF58" i="23"/>
  <c r="AA28" i="27"/>
  <c r="AA32" i="27" s="1"/>
  <c r="AB44" i="26"/>
  <c r="AF77" i="23"/>
  <c r="AD30" i="24"/>
  <c r="AF56" i="23"/>
  <c r="AD56" i="21"/>
  <c r="AF41" i="23"/>
  <c r="AD79" i="21"/>
  <c r="AF44" i="23"/>
  <c r="AD85" i="24"/>
  <c r="AB23" i="26"/>
  <c r="AB37" i="26" s="1"/>
  <c r="AF74" i="23"/>
  <c r="AF30" i="23"/>
  <c r="AF31" i="23" s="1"/>
  <c r="AF54" i="23"/>
  <c r="AF39" i="23"/>
  <c r="AF51" i="23"/>
  <c r="AF42" i="23"/>
  <c r="AD28" i="29"/>
  <c r="AF55" i="23"/>
  <c r="H42" i="37"/>
  <c r="F42" i="37"/>
  <c r="B42" i="37"/>
  <c r="H33" i="37"/>
  <c r="F33" i="37"/>
  <c r="B33" i="37"/>
  <c r="H25" i="37"/>
  <c r="F25" i="37"/>
  <c r="B25" i="37"/>
  <c r="AD37" i="29" l="1"/>
  <c r="AD80" i="25"/>
  <c r="AD82" i="21"/>
  <c r="AB49" i="26"/>
  <c r="AD86" i="20"/>
  <c r="AD110" i="20" s="1"/>
  <c r="AA44" i="27"/>
  <c r="N100" i="19"/>
  <c r="N109" i="19" s="1"/>
  <c r="AD32" i="24"/>
  <c r="AD64" i="24" s="1"/>
  <c r="AD88" i="24" s="1"/>
  <c r="AD100" i="24" s="1"/>
  <c r="AF50" i="23"/>
  <c r="AF81" i="23"/>
  <c r="AF47" i="23"/>
  <c r="AF70" i="23"/>
  <c r="AF73" i="23"/>
  <c r="AF71" i="23"/>
  <c r="AF83" i="23"/>
  <c r="AF82" i="23"/>
  <c r="H44" i="37"/>
  <c r="F44" i="37"/>
  <c r="B44" i="37"/>
  <c r="AB100" i="19" l="1"/>
  <c r="N86" i="19" l="1"/>
  <c r="N112" i="19" s="1"/>
  <c r="F25" i="29"/>
  <c r="D25" i="29"/>
  <c r="B25" i="29"/>
  <c r="H17" i="29"/>
  <c r="F17" i="29"/>
  <c r="D17" i="29"/>
  <c r="B17" i="29"/>
  <c r="F25" i="28"/>
  <c r="D25" i="28"/>
  <c r="B25" i="28"/>
  <c r="H25" i="28"/>
  <c r="F17" i="28"/>
  <c r="D17" i="28"/>
  <c r="B17" i="28"/>
  <c r="H17" i="28"/>
  <c r="H28" i="27"/>
  <c r="F28" i="27"/>
  <c r="D28" i="27"/>
  <c r="B28" i="27"/>
  <c r="H19" i="27"/>
  <c r="F19" i="27"/>
  <c r="D19" i="27"/>
  <c r="B19" i="27"/>
  <c r="I33" i="26"/>
  <c r="G33" i="26"/>
  <c r="E33" i="26"/>
  <c r="C33" i="26"/>
  <c r="I23" i="26"/>
  <c r="G23" i="26"/>
  <c r="E23" i="26"/>
  <c r="C23" i="26"/>
  <c r="K60" i="25"/>
  <c r="K67" i="25" s="1"/>
  <c r="I60" i="25"/>
  <c r="I67" i="25" s="1"/>
  <c r="E60" i="25"/>
  <c r="E67" i="25" s="1"/>
  <c r="K42" i="25"/>
  <c r="K46" i="25" s="1"/>
  <c r="I42" i="25"/>
  <c r="I46" i="25" s="1"/>
  <c r="E42" i="25"/>
  <c r="E46" i="25" s="1"/>
  <c r="I78" i="24"/>
  <c r="I85" i="24" s="1"/>
  <c r="E78" i="24"/>
  <c r="E85" i="24" s="1"/>
  <c r="E60" i="24"/>
  <c r="I30" i="24"/>
  <c r="E30" i="24"/>
  <c r="I27" i="24"/>
  <c r="E27" i="24"/>
  <c r="I22" i="24"/>
  <c r="E22" i="24"/>
  <c r="K31" i="23"/>
  <c r="E31" i="23"/>
  <c r="K28" i="23"/>
  <c r="H62" i="22"/>
  <c r="F62" i="22"/>
  <c r="B62" i="22"/>
  <c r="H50" i="22"/>
  <c r="F50" i="22"/>
  <c r="B50" i="22"/>
  <c r="H20" i="22"/>
  <c r="F20" i="22"/>
  <c r="B20" i="22"/>
  <c r="H70" i="21"/>
  <c r="H79" i="21" s="1"/>
  <c r="D70" i="21"/>
  <c r="D79" i="21" s="1"/>
  <c r="J52" i="21"/>
  <c r="J56" i="21" s="1"/>
  <c r="J82" i="21" s="1"/>
  <c r="H52" i="21"/>
  <c r="H56" i="21" s="1"/>
  <c r="D52" i="21"/>
  <c r="D56" i="21" s="1"/>
  <c r="H100" i="20"/>
  <c r="H107" i="20" s="1"/>
  <c r="F100" i="20"/>
  <c r="F107" i="20" s="1"/>
  <c r="D100" i="20"/>
  <c r="D107" i="20" s="1"/>
  <c r="H82" i="20"/>
  <c r="F82" i="20"/>
  <c r="D82" i="20"/>
  <c r="H36" i="20"/>
  <c r="F36" i="20"/>
  <c r="D36" i="20"/>
  <c r="H29" i="20"/>
  <c r="F29" i="20"/>
  <c r="D29" i="20"/>
  <c r="G112" i="19"/>
  <c r="J36" i="19"/>
  <c r="H36" i="19"/>
  <c r="J114" i="18"/>
  <c r="J120" i="18" s="1"/>
  <c r="H114" i="18"/>
  <c r="H120" i="18" s="1"/>
  <c r="F114" i="18"/>
  <c r="F120" i="18" s="1"/>
  <c r="J96" i="18"/>
  <c r="H96" i="18"/>
  <c r="F96" i="18"/>
  <c r="J45" i="18"/>
  <c r="H45" i="18"/>
  <c r="F45" i="18"/>
  <c r="D45" i="18"/>
  <c r="J37" i="18"/>
  <c r="H37" i="18"/>
  <c r="F37" i="18"/>
  <c r="D37" i="18"/>
  <c r="J26" i="18"/>
  <c r="H26" i="18"/>
  <c r="F26" i="18"/>
  <c r="E70" i="25" l="1"/>
  <c r="H29" i="22"/>
  <c r="H54" i="22" s="1"/>
  <c r="H65" i="22" s="1"/>
  <c r="F29" i="22"/>
  <c r="F54" i="22" s="1"/>
  <c r="F65" i="22" s="1"/>
  <c r="B29" i="22"/>
  <c r="B54" i="22" s="1"/>
  <c r="B65" i="22" s="1"/>
  <c r="H82" i="21"/>
  <c r="H38" i="20"/>
  <c r="H86" i="20" s="1"/>
  <c r="H110" i="20" s="1"/>
  <c r="C37" i="26"/>
  <c r="C49" i="26" s="1"/>
  <c r="F38" i="20"/>
  <c r="F86" i="20" s="1"/>
  <c r="F110" i="20" s="1"/>
  <c r="D38" i="20"/>
  <c r="D86" i="20" s="1"/>
  <c r="D110" i="20" s="1"/>
  <c r="I70" i="25"/>
  <c r="D28" i="29"/>
  <c r="V54" i="22"/>
  <c r="V65" i="22" s="1"/>
  <c r="V75" i="22" s="1"/>
  <c r="F28" i="29"/>
  <c r="J55" i="18"/>
  <c r="J100" i="18" s="1"/>
  <c r="J123" i="18" s="1"/>
  <c r="F32" i="27"/>
  <c r="H28" i="29"/>
  <c r="K70" i="25"/>
  <c r="G37" i="26"/>
  <c r="D32" i="27"/>
  <c r="I37" i="26"/>
  <c r="D28" i="28"/>
  <c r="H32" i="27"/>
  <c r="H29" i="19"/>
  <c r="H55" i="18"/>
  <c r="H100" i="18" s="1"/>
  <c r="H123" i="18" s="1"/>
  <c r="J82" i="19"/>
  <c r="J29" i="19"/>
  <c r="F55" i="18"/>
  <c r="F100" i="18" s="1"/>
  <c r="F123" i="18" s="1"/>
  <c r="B32" i="27"/>
  <c r="E37" i="26"/>
  <c r="E49" i="26" s="1"/>
  <c r="K23" i="23"/>
  <c r="E79" i="23"/>
  <c r="E86" i="23" s="1"/>
  <c r="J100" i="19"/>
  <c r="J109" i="19" s="1"/>
  <c r="E28" i="23"/>
  <c r="H28" i="28"/>
  <c r="B28" i="29"/>
  <c r="B28" i="28"/>
  <c r="F28" i="28"/>
  <c r="D82" i="21"/>
  <c r="I32" i="24"/>
  <c r="I64" i="24" s="1"/>
  <c r="I88" i="24" s="1"/>
  <c r="K32" i="24"/>
  <c r="K64" i="24" s="1"/>
  <c r="K88" i="24" s="1"/>
  <c r="K100" i="24" s="1"/>
  <c r="E32" i="24"/>
  <c r="E64" i="24" s="1"/>
  <c r="E88" i="24" s="1"/>
  <c r="K79" i="23"/>
  <c r="K86" i="23" s="1"/>
  <c r="E61" i="23"/>
  <c r="K61" i="23"/>
  <c r="AB40" i="16" l="1"/>
  <c r="AH40" i="16" s="1"/>
  <c r="AJ40" i="16" s="1"/>
  <c r="J38" i="19"/>
  <c r="J86" i="19" s="1"/>
  <c r="J112" i="19" s="1"/>
  <c r="H38" i="19"/>
  <c r="H86" i="19" s="1"/>
  <c r="H112" i="19" s="1"/>
  <c r="H122" i="19" s="1"/>
  <c r="K33" i="23"/>
  <c r="K65" i="23" s="1"/>
  <c r="A5" i="14"/>
  <c r="A5" i="13"/>
  <c r="A5" i="12"/>
  <c r="A5" i="11"/>
  <c r="A5" i="10"/>
  <c r="A5" i="9"/>
  <c r="A5" i="8"/>
  <c r="U25" i="14" l="1"/>
  <c r="U26" i="14"/>
  <c r="K24" i="12"/>
  <c r="K22" i="12"/>
  <c r="K40" i="9"/>
  <c r="V33" i="11"/>
  <c r="K32" i="11"/>
  <c r="V32" i="11"/>
  <c r="K28" i="9"/>
  <c r="V22" i="11"/>
  <c r="V21" i="11"/>
  <c r="K35" i="9"/>
  <c r="K41" i="9"/>
  <c r="K39" i="9"/>
  <c r="P26" i="11"/>
  <c r="P35" i="11"/>
  <c r="E35" i="11"/>
  <c r="E26" i="11"/>
  <c r="E32" i="13"/>
  <c r="E20" i="13"/>
  <c r="E31" i="13"/>
  <c r="E30" i="13"/>
  <c r="E25" i="13"/>
  <c r="E23" i="13"/>
  <c r="E22" i="13"/>
  <c r="E24" i="13"/>
  <c r="E21" i="13"/>
  <c r="E26" i="13"/>
  <c r="I40" i="9"/>
  <c r="I28" i="9"/>
  <c r="I41" i="9"/>
  <c r="I35" i="9"/>
  <c r="I39" i="9"/>
  <c r="I22" i="12"/>
  <c r="I24" i="12"/>
  <c r="T22" i="11"/>
  <c r="T21" i="11"/>
  <c r="T33" i="11"/>
  <c r="T32" i="11"/>
  <c r="I32" i="11"/>
  <c r="U20" i="14"/>
  <c r="U22" i="14"/>
  <c r="U21" i="14"/>
  <c r="V20" i="11"/>
  <c r="K89" i="23"/>
  <c r="K42" i="9" l="1"/>
  <c r="K30" i="9"/>
  <c r="E39" i="11"/>
  <c r="E42" i="11" s="1"/>
  <c r="P39" i="11"/>
  <c r="P42" i="11" s="1"/>
  <c r="I42" i="9"/>
  <c r="I30" i="9"/>
  <c r="C31" i="9"/>
  <c r="R41" i="15"/>
  <c r="K139" i="30" l="1"/>
  <c r="K136" i="30"/>
  <c r="R96" i="18" l="1"/>
  <c r="D19" i="3" l="1"/>
  <c r="O124" i="17"/>
  <c r="O133" i="17" s="1"/>
  <c r="V82" i="19"/>
  <c r="O50" i="17"/>
  <c r="I50" i="17" l="1"/>
  <c r="O42" i="17" l="1"/>
  <c r="P42" i="37" l="1"/>
  <c r="V42" i="37"/>
  <c r="X42" i="37"/>
  <c r="L42" i="37"/>
  <c r="L44" i="37" s="1"/>
  <c r="X33" i="37"/>
  <c r="V33" i="37"/>
  <c r="P33" i="37"/>
  <c r="S60" i="24"/>
  <c r="R42" i="37"/>
  <c r="T42" i="37"/>
  <c r="T33" i="37"/>
  <c r="N33" i="37"/>
  <c r="N44" i="37" s="1"/>
  <c r="U23" i="23"/>
  <c r="Y142" i="17"/>
  <c r="U33" i="23" l="1"/>
  <c r="U65" i="23" s="1"/>
  <c r="U89" i="23" s="1"/>
  <c r="U101" i="23" s="1"/>
  <c r="P44" i="37"/>
  <c r="I42" i="17"/>
  <c r="I30" i="17"/>
  <c r="I30" i="16"/>
  <c r="K96" i="23"/>
  <c r="B71" i="22"/>
  <c r="T44" i="37"/>
  <c r="S42" i="16"/>
  <c r="O42" i="16"/>
  <c r="S124" i="16"/>
  <c r="S133" i="16" s="1"/>
  <c r="R25" i="37"/>
  <c r="T25" i="37"/>
  <c r="V25" i="37"/>
  <c r="X25" i="37"/>
  <c r="N25" i="37"/>
  <c r="P25" i="37"/>
  <c r="V44" i="37"/>
  <c r="O50" i="16"/>
  <c r="R44" i="37"/>
  <c r="S50" i="16"/>
  <c r="X44" i="37"/>
  <c r="AA101" i="23" l="1"/>
  <c r="AI57" i="23"/>
  <c r="I124" i="16"/>
  <c r="I133" i="16" s="1"/>
  <c r="I50" i="16"/>
  <c r="I60" i="17"/>
  <c r="I42" i="16"/>
  <c r="I106" i="16"/>
  <c r="I106" i="17"/>
  <c r="I110" i="17" l="1"/>
  <c r="I136" i="17" s="1"/>
  <c r="I146" i="17" s="1"/>
  <c r="K101" i="23"/>
  <c r="I60" i="16"/>
  <c r="I110" i="16" s="1"/>
  <c r="I136" i="16" s="1"/>
  <c r="P28" i="5" l="1"/>
  <c r="J49" i="3" l="1"/>
  <c r="G25" i="11"/>
  <c r="I42" i="10"/>
  <c r="I35" i="10"/>
  <c r="I40" i="13"/>
  <c r="I25" i="11" l="1"/>
  <c r="K25" i="11"/>
  <c r="N28" i="15"/>
  <c r="N38" i="15" s="1"/>
  <c r="G96" i="23" l="1"/>
  <c r="G101" i="23" l="1"/>
  <c r="AA51" i="3" l="1"/>
  <c r="R34" i="11" l="1"/>
  <c r="AG31" i="19"/>
  <c r="T34" i="11" l="1"/>
  <c r="V34" i="11"/>
  <c r="AI55" i="23"/>
  <c r="AG55" i="19"/>
  <c r="AG61" i="19"/>
  <c r="AI52" i="23"/>
  <c r="AG57" i="19"/>
  <c r="AE81" i="16" s="1"/>
  <c r="AG24" i="19"/>
  <c r="AI50" i="23"/>
  <c r="AI71" i="23"/>
  <c r="AI58" i="23"/>
  <c r="AI49" i="23"/>
  <c r="P33" i="6"/>
  <c r="AG62" i="19"/>
  <c r="AG77" i="19"/>
  <c r="AG96" i="19"/>
  <c r="AG45" i="19"/>
  <c r="AI82" i="23"/>
  <c r="AG76" i="19"/>
  <c r="AG49" i="19"/>
  <c r="AI30" i="23"/>
  <c r="AG98" i="19"/>
  <c r="AI45" i="23"/>
  <c r="AI39" i="23"/>
  <c r="AI37" i="23"/>
  <c r="AG73" i="19"/>
  <c r="AG75" i="19"/>
  <c r="AE99" i="16" s="1"/>
  <c r="AG90" i="19"/>
  <c r="AI70" i="23"/>
  <c r="AG32" i="19"/>
  <c r="AG99" i="19"/>
  <c r="AG54" i="19"/>
  <c r="AI83" i="23"/>
  <c r="AG60" i="19"/>
  <c r="AE84" i="16" s="1"/>
  <c r="AG26" i="19"/>
  <c r="AL26" i="19" s="1"/>
  <c r="P24" i="6"/>
  <c r="AE35" i="16"/>
  <c r="AG97" i="19"/>
  <c r="AG52" i="19"/>
  <c r="P26" i="5"/>
  <c r="AG81" i="19"/>
  <c r="AG64" i="19"/>
  <c r="AG33" i="19"/>
  <c r="AG80" i="19"/>
  <c r="AI76" i="23"/>
  <c r="AG95" i="19"/>
  <c r="AG51" i="19"/>
  <c r="AG35" i="19"/>
  <c r="AG53" i="19"/>
  <c r="AI73" i="23"/>
  <c r="AI22" i="23"/>
  <c r="AI59" i="23"/>
  <c r="AI47" i="23"/>
  <c r="AE64" i="16"/>
  <c r="AI54" i="23"/>
  <c r="P20" i="5"/>
  <c r="AG102" i="19"/>
  <c r="AG34" i="19"/>
  <c r="AI69" i="23"/>
  <c r="P36" i="5"/>
  <c r="AG58" i="19"/>
  <c r="AG50" i="19"/>
  <c r="AG91" i="19"/>
  <c r="AI78" i="23"/>
  <c r="AG44" i="19"/>
  <c r="AI81" i="23"/>
  <c r="AI41" i="23"/>
  <c r="AI75" i="23"/>
  <c r="AG74" i="19"/>
  <c r="AG70" i="19"/>
  <c r="AG66" i="19"/>
  <c r="AI25" i="23"/>
  <c r="AG47" i="19"/>
  <c r="AI63" i="23"/>
  <c r="AI77" i="23"/>
  <c r="AG27" i="19"/>
  <c r="P25" i="6"/>
  <c r="AG92" i="19"/>
  <c r="AG84" i="19"/>
  <c r="AG67" i="19"/>
  <c r="P19" i="5"/>
  <c r="AG107" i="19"/>
  <c r="AE131" i="17" s="1"/>
  <c r="AG104" i="19"/>
  <c r="P27" i="5"/>
  <c r="AI42" i="23"/>
  <c r="AG65" i="19"/>
  <c r="AG79" i="19"/>
  <c r="AI44" i="23"/>
  <c r="AG94" i="19"/>
  <c r="AG78" i="19"/>
  <c r="AG46" i="19"/>
  <c r="AG68" i="19"/>
  <c r="AE47" i="16" l="1"/>
  <c r="AD54" i="22"/>
  <c r="AD65" i="22" s="1"/>
  <c r="AI96" i="23"/>
  <c r="AL96" i="23" s="1"/>
  <c r="AE88" i="16"/>
  <c r="AI31" i="23"/>
  <c r="AE55" i="16"/>
  <c r="AH131" i="17"/>
  <c r="AJ131" i="17" s="1"/>
  <c r="AE98" i="16"/>
  <c r="AL22" i="23"/>
  <c r="AN22" i="23" s="1"/>
  <c r="AE103" i="16"/>
  <c r="I26" i="13"/>
  <c r="I27" i="13" s="1"/>
  <c r="I32" i="13"/>
  <c r="I33" i="13" s="1"/>
  <c r="AD31" i="15"/>
  <c r="AI23" i="23"/>
  <c r="AI28" i="23"/>
  <c r="AI79" i="23"/>
  <c r="AI86" i="23" s="1"/>
  <c r="AI61" i="23"/>
  <c r="AD41" i="2"/>
  <c r="AD28" i="2"/>
  <c r="P26" i="6"/>
  <c r="AD30" i="2"/>
  <c r="AD33" i="2"/>
  <c r="AD29" i="2"/>
  <c r="AD25" i="2"/>
  <c r="AD38" i="2"/>
  <c r="AD36" i="2"/>
  <c r="AD32" i="2"/>
  <c r="AD37" i="2"/>
  <c r="AD24" i="2"/>
  <c r="AD31" i="2"/>
  <c r="AG71" i="19"/>
  <c r="AE139" i="17"/>
  <c r="AD19" i="2"/>
  <c r="AD26" i="2"/>
  <c r="AD51" i="2" l="1"/>
  <c r="AE139" i="16"/>
  <c r="AC103" i="23"/>
  <c r="AG82" i="19"/>
  <c r="AD18" i="2" s="1"/>
  <c r="AE95" i="16"/>
  <c r="AI33" i="23"/>
  <c r="AI65" i="23" s="1"/>
  <c r="AI89" i="23" s="1"/>
  <c r="AI101" i="23" s="1"/>
  <c r="V36" i="19"/>
  <c r="V29" i="19"/>
  <c r="V38" i="19" l="1"/>
  <c r="V86" i="19" s="1"/>
  <c r="V112" i="19" s="1"/>
  <c r="V122" i="19" s="1"/>
  <c r="F32" i="15"/>
  <c r="F35" i="15"/>
  <c r="AI64" i="18"/>
  <c r="J42" i="37"/>
  <c r="N53" i="15"/>
  <c r="N56" i="15" s="1"/>
  <c r="F34" i="15"/>
  <c r="AJ74" i="25"/>
  <c r="AL74" i="25" s="1"/>
  <c r="J44" i="37" l="1"/>
  <c r="J25" i="37"/>
  <c r="L36" i="19"/>
  <c r="L82" i="19"/>
  <c r="L29" i="19"/>
  <c r="L100" i="19"/>
  <c r="L109" i="19" s="1"/>
  <c r="L38" i="19" l="1"/>
  <c r="L86" i="19" s="1"/>
  <c r="L112" i="19" s="1"/>
  <c r="AB35" i="17"/>
  <c r="AH35" i="17" s="1"/>
  <c r="AJ35" i="17" s="1"/>
  <c r="AJ23" i="20"/>
  <c r="AL23" i="20" s="1"/>
  <c r="V31" i="15"/>
  <c r="AD23" i="19" l="1"/>
  <c r="AJ23" i="19" l="1"/>
  <c r="AL23" i="19" s="1"/>
  <c r="J31" i="15"/>
  <c r="AH35" i="16"/>
  <c r="AJ35" i="16" s="1"/>
  <c r="AE73" i="17" l="1"/>
  <c r="AB73" i="17" l="1"/>
  <c r="AH73" i="17" s="1"/>
  <c r="AJ73" i="17" s="1"/>
  <c r="AJ49" i="20" l="1"/>
  <c r="AL49" i="20" s="1"/>
  <c r="AE73" i="16" l="1"/>
  <c r="AD49" i="19"/>
  <c r="AJ49" i="19" s="1"/>
  <c r="AL49" i="19" s="1"/>
  <c r="AB73" i="16"/>
  <c r="AH73" i="16" l="1"/>
  <c r="AJ73" i="16" s="1"/>
  <c r="U95" i="24" l="1"/>
  <c r="U76" i="25"/>
  <c r="U100" i="24" l="1"/>
  <c r="V13" i="15" l="1"/>
  <c r="R13" i="15"/>
  <c r="P13" i="15"/>
  <c r="N13" i="15"/>
  <c r="L13" i="15"/>
  <c r="J13" i="15"/>
  <c r="H13" i="15"/>
  <c r="AD12" i="15"/>
  <c r="X12" i="15"/>
  <c r="R12" i="15"/>
  <c r="N12" i="15"/>
  <c r="J12" i="15"/>
  <c r="AJ55" i="24" l="1"/>
  <c r="AL55" i="24" s="1"/>
  <c r="AJ38" i="25"/>
  <c r="AL38" i="25" s="1"/>
  <c r="AL56" i="23" l="1"/>
  <c r="AN56" i="23" s="1"/>
  <c r="E22" i="8" l="1"/>
  <c r="E32" i="10"/>
  <c r="O32" i="10" s="1"/>
  <c r="AL52" i="25"/>
  <c r="AL39" i="25"/>
  <c r="AL37" i="25"/>
  <c r="AL36" i="25"/>
  <c r="AL32" i="25"/>
  <c r="AL33" i="25"/>
  <c r="AL29" i="25"/>
  <c r="AL31" i="25"/>
  <c r="AL24" i="25"/>
  <c r="AL25" i="25"/>
  <c r="AL26" i="25"/>
  <c r="AL27" i="25"/>
  <c r="AL28" i="25"/>
  <c r="AL23" i="25"/>
  <c r="AL21" i="25"/>
  <c r="AL19" i="25"/>
  <c r="AL41" i="24"/>
  <c r="AL24" i="24"/>
  <c r="AN25" i="23"/>
  <c r="AL27" i="21"/>
  <c r="AL28" i="21"/>
  <c r="AL29" i="21"/>
  <c r="AL30" i="21"/>
  <c r="AL26" i="21"/>
  <c r="AL22" i="21"/>
  <c r="AL23" i="21"/>
  <c r="AL24" i="21"/>
  <c r="E32" i="7" l="1"/>
  <c r="V54" i="15"/>
  <c r="V53" i="15"/>
  <c r="V52" i="15"/>
  <c r="V51" i="15"/>
  <c r="V50" i="15"/>
  <c r="N47" i="15"/>
  <c r="V46" i="15"/>
  <c r="V43" i="15"/>
  <c r="V42" i="15"/>
  <c r="V41" i="15"/>
  <c r="V34" i="15"/>
  <c r="V32" i="15"/>
  <c r="V30" i="15"/>
  <c r="V28" i="15"/>
  <c r="V24" i="15"/>
  <c r="R25" i="15"/>
  <c r="P25" i="15"/>
  <c r="N25" i="15"/>
  <c r="V56" i="15" l="1"/>
  <c r="V47" i="15"/>
  <c r="N58" i="15"/>
  <c r="AE44" i="26" l="1"/>
  <c r="F18" i="15" l="1"/>
  <c r="F19" i="15"/>
  <c r="F22" i="15"/>
  <c r="X23" i="15"/>
  <c r="X24" i="15"/>
  <c r="F28" i="15"/>
  <c r="F30" i="15"/>
  <c r="F41" i="15"/>
  <c r="F42" i="15"/>
  <c r="F43" i="15"/>
  <c r="F44" i="15"/>
  <c r="F51" i="15"/>
  <c r="X51" i="15" s="1"/>
  <c r="F52" i="15"/>
  <c r="X52" i="15" s="1"/>
  <c r="F54" i="15"/>
  <c r="X54" i="15" s="1"/>
  <c r="X16" i="15" l="1"/>
  <c r="F21" i="15"/>
  <c r="F25" i="15" s="1"/>
  <c r="X18" i="15"/>
  <c r="X19" i="15"/>
  <c r="X17" i="15"/>
  <c r="X20" i="15"/>
  <c r="X21" i="15" l="1"/>
  <c r="J33" i="28"/>
  <c r="AI132" i="18" l="1"/>
  <c r="AK132" i="18" s="1"/>
  <c r="K39" i="30" l="1"/>
  <c r="Z36" i="43"/>
  <c r="B38" i="43" l="1"/>
  <c r="B40" i="43" s="1"/>
  <c r="D12" i="43" l="1"/>
  <c r="G28" i="31"/>
  <c r="AL57" i="23" l="1"/>
  <c r="AN57" i="23" s="1"/>
  <c r="AJ56" i="24" l="1"/>
  <c r="AL56" i="24" s="1"/>
  <c r="AJ49" i="21" l="1"/>
  <c r="AL49" i="21" s="1"/>
  <c r="AD75" i="22" l="1"/>
  <c r="X71" i="22" l="1"/>
  <c r="X62" i="22"/>
  <c r="X50" i="22"/>
  <c r="X20" i="22"/>
  <c r="N20" i="22"/>
  <c r="J71" i="22"/>
  <c r="J50" i="22"/>
  <c r="J20" i="22"/>
  <c r="H71" i="22"/>
  <c r="F71" i="22"/>
  <c r="N29" i="22" l="1"/>
  <c r="J29" i="22"/>
  <c r="J54" i="22" s="1"/>
  <c r="X29" i="22"/>
  <c r="X54" i="22" s="1"/>
  <c r="X65" i="22" s="1"/>
  <c r="X75" i="22" s="1"/>
  <c r="T75" i="22"/>
  <c r="R75" i="22"/>
  <c r="H75" i="22"/>
  <c r="F75" i="22"/>
  <c r="P17" i="29"/>
  <c r="G25" i="14" l="1"/>
  <c r="K25" i="14" s="1"/>
  <c r="G25" i="13" l="1"/>
  <c r="G40" i="7"/>
  <c r="AN42" i="23" l="1"/>
  <c r="AJ24" i="25"/>
  <c r="AJ41" i="24"/>
  <c r="AL42" i="23" l="1"/>
  <c r="AA34" i="3" l="1"/>
  <c r="AI91" i="18" l="1"/>
  <c r="AK91" i="18" s="1"/>
  <c r="AI92" i="18"/>
  <c r="AK92" i="18" s="1"/>
  <c r="AE104" i="17"/>
  <c r="AE68" i="17"/>
  <c r="AG49" i="22" l="1"/>
  <c r="AI49" i="22" s="1"/>
  <c r="AG33" i="22"/>
  <c r="AI33" i="22" s="1"/>
  <c r="AE100" i="17" l="1"/>
  <c r="AN50" i="23" l="1"/>
  <c r="AJ32" i="25"/>
  <c r="AJ49" i="24"/>
  <c r="AL49" i="24" s="1"/>
  <c r="AL50" i="23" l="1"/>
  <c r="R82" i="20" l="1"/>
  <c r="AL25" i="23" l="1"/>
  <c r="AA42" i="25" l="1"/>
  <c r="Y42" i="25"/>
  <c r="S42" i="25"/>
  <c r="S46" i="25" s="1"/>
  <c r="A39" i="13" l="1"/>
  <c r="A41" i="11"/>
  <c r="A41" i="10"/>
  <c r="A49" i="9"/>
  <c r="Q31" i="14" l="1"/>
  <c r="AL59" i="25"/>
  <c r="Q24" i="14"/>
  <c r="S24" i="14" s="1"/>
  <c r="G32" i="14"/>
  <c r="R31" i="11"/>
  <c r="G33" i="11"/>
  <c r="K33" i="11" s="1"/>
  <c r="G31" i="11"/>
  <c r="G24" i="11"/>
  <c r="K24" i="11" s="1"/>
  <c r="AJ77" i="20"/>
  <c r="AL77" i="20" s="1"/>
  <c r="AJ65" i="20"/>
  <c r="AL65" i="20" s="1"/>
  <c r="G20" i="11"/>
  <c r="AE27" i="17"/>
  <c r="AE28" i="17"/>
  <c r="AE142" i="17"/>
  <c r="AE78" i="17"/>
  <c r="AE77" i="17"/>
  <c r="AE76" i="17"/>
  <c r="AE75" i="17"/>
  <c r="AE74" i="17"/>
  <c r="AE72" i="17"/>
  <c r="AE72" i="16"/>
  <c r="AG40" i="22"/>
  <c r="AI40" i="22" s="1"/>
  <c r="AG39" i="22"/>
  <c r="AI39" i="22" s="1"/>
  <c r="AG38" i="22"/>
  <c r="AI38" i="22" s="1"/>
  <c r="AG37" i="22"/>
  <c r="AI37" i="22" s="1"/>
  <c r="AG35" i="22"/>
  <c r="AI35" i="22" s="1"/>
  <c r="AE56" i="17"/>
  <c r="AE55" i="17"/>
  <c r="AE56" i="16"/>
  <c r="AE54" i="16"/>
  <c r="AE53" i="16"/>
  <c r="AE104" i="16"/>
  <c r="AE100" i="16"/>
  <c r="AE76" i="16"/>
  <c r="AE75" i="16"/>
  <c r="AE68" i="16"/>
  <c r="I32" i="14" l="1"/>
  <c r="K32" i="14"/>
  <c r="U24" i="14"/>
  <c r="S31" i="14"/>
  <c r="U31" i="14"/>
  <c r="I31" i="11"/>
  <c r="K31" i="11"/>
  <c r="T31" i="11"/>
  <c r="V31" i="11"/>
  <c r="I20" i="11"/>
  <c r="K20" i="11"/>
  <c r="I33" i="11"/>
  <c r="G33" i="8"/>
  <c r="AD23" i="15"/>
  <c r="AH23" i="15" s="1"/>
  <c r="AJ23" i="15" s="1"/>
  <c r="AD52" i="15"/>
  <c r="AH52" i="15" s="1"/>
  <c r="AJ52" i="15" s="1"/>
  <c r="AD54" i="15"/>
  <c r="AD51" i="15"/>
  <c r="AH51" i="15" s="1"/>
  <c r="AJ51" i="15" s="1"/>
  <c r="G30" i="11"/>
  <c r="R30" i="11"/>
  <c r="AL54" i="21"/>
  <c r="R24" i="11"/>
  <c r="G24" i="14"/>
  <c r="K24" i="14" s="1"/>
  <c r="G26" i="14"/>
  <c r="G31" i="14"/>
  <c r="AJ93" i="24"/>
  <c r="AL93" i="24" s="1"/>
  <c r="Q32" i="14"/>
  <c r="U32" i="14" s="1"/>
  <c r="R23" i="11"/>
  <c r="N14" i="2"/>
  <c r="AE74" i="16"/>
  <c r="AE77" i="16"/>
  <c r="AG16" i="22"/>
  <c r="Q23" i="14"/>
  <c r="U23" i="14" s="1"/>
  <c r="G20" i="12"/>
  <c r="AE78" i="16"/>
  <c r="AG36" i="22"/>
  <c r="AI36" i="22" s="1"/>
  <c r="G34" i="11"/>
  <c r="AJ31" i="21"/>
  <c r="AL31" i="21" s="1"/>
  <c r="I26" i="14" l="1"/>
  <c r="K26" i="14"/>
  <c r="I31" i="14"/>
  <c r="K31" i="14"/>
  <c r="I20" i="12"/>
  <c r="K20" i="12"/>
  <c r="T23" i="11"/>
  <c r="V23" i="11"/>
  <c r="T30" i="11"/>
  <c r="V30" i="11"/>
  <c r="I34" i="11"/>
  <c r="K34" i="11"/>
  <c r="I30" i="11"/>
  <c r="K30" i="11"/>
  <c r="T24" i="11"/>
  <c r="V24" i="11"/>
  <c r="S32" i="14"/>
  <c r="AH54" i="15"/>
  <c r="AJ54" i="15" s="1"/>
  <c r="AI16" i="22"/>
  <c r="G32" i="13"/>
  <c r="G31" i="13"/>
  <c r="G24" i="13"/>
  <c r="J28" i="5" l="1"/>
  <c r="J19" i="5"/>
  <c r="H14" i="5"/>
  <c r="P14" i="5" s="1"/>
  <c r="L14" i="5"/>
  <c r="F15" i="5"/>
  <c r="H15" i="5"/>
  <c r="J15" i="5"/>
  <c r="J20" i="5"/>
  <c r="P21" i="5"/>
  <c r="P29" i="5"/>
  <c r="P37" i="5"/>
  <c r="P32" i="5" l="1"/>
  <c r="P42" i="5" s="1"/>
  <c r="J27" i="5"/>
  <c r="J26" i="5"/>
  <c r="J36" i="5"/>
  <c r="J35" i="5"/>
  <c r="J25" i="5"/>
  <c r="L118" i="19"/>
  <c r="J37" i="5" l="1"/>
  <c r="J29" i="5"/>
  <c r="L122" i="19" l="1"/>
  <c r="AE141" i="16" l="1"/>
  <c r="Z36" i="20"/>
  <c r="R36" i="20"/>
  <c r="P36" i="20"/>
  <c r="L36" i="20"/>
  <c r="Z29" i="20"/>
  <c r="L29" i="20"/>
  <c r="AG38" i="20"/>
  <c r="P38" i="20" l="1"/>
  <c r="P86" i="20" s="1"/>
  <c r="P110" i="20" s="1"/>
  <c r="P120" i="20" s="1"/>
  <c r="R38" i="20"/>
  <c r="L38" i="20"/>
  <c r="L86" i="20" s="1"/>
  <c r="L110" i="20" s="1"/>
  <c r="L120" i="20" s="1"/>
  <c r="AE105" i="17" l="1"/>
  <c r="AE102" i="17"/>
  <c r="AE101" i="17"/>
  <c r="AE98" i="17"/>
  <c r="AE97" i="17"/>
  <c r="AE94" i="17"/>
  <c r="AE92" i="17"/>
  <c r="AE86" i="17"/>
  <c r="AE91" i="17"/>
  <c r="AE90" i="17"/>
  <c r="AE89" i="17"/>
  <c r="AE85" i="17"/>
  <c r="AE84" i="17"/>
  <c r="AE82" i="17"/>
  <c r="AE79" i="17"/>
  <c r="AE70" i="17"/>
  <c r="AE69" i="17"/>
  <c r="AE67" i="17"/>
  <c r="AE65" i="17"/>
  <c r="AE33" i="17"/>
  <c r="AE39" i="17"/>
  <c r="AE36" i="17"/>
  <c r="AE49" i="17"/>
  <c r="AE45" i="17"/>
  <c r="AE130" i="17"/>
  <c r="AE127" i="17"/>
  <c r="AE128" i="17"/>
  <c r="AE126" i="17"/>
  <c r="AE123" i="17"/>
  <c r="AE122" i="17"/>
  <c r="AE121" i="17"/>
  <c r="AE120" i="17"/>
  <c r="AE119" i="17"/>
  <c r="AE118" i="17"/>
  <c r="AE116" i="17"/>
  <c r="AE115" i="17"/>
  <c r="AE114" i="17"/>
  <c r="AE65" i="16" l="1"/>
  <c r="AE64" i="17"/>
  <c r="AE124" i="17"/>
  <c r="AE133" i="17" s="1"/>
  <c r="L16" i="32" l="1"/>
  <c r="L19" i="32" s="1"/>
  <c r="G23" i="11"/>
  <c r="I23" i="11" l="1"/>
  <c r="K23" i="11"/>
  <c r="X45" i="18"/>
  <c r="D17" i="3" s="1"/>
  <c r="AD17" i="2" l="1"/>
  <c r="AA18" i="3"/>
  <c r="AG30" i="24"/>
  <c r="AA30" i="24"/>
  <c r="S30" i="24"/>
  <c r="M30" i="24"/>
  <c r="AA22" i="24"/>
  <c r="S22" i="24"/>
  <c r="M22" i="24"/>
  <c r="AA27" i="24"/>
  <c r="S27" i="24"/>
  <c r="Q27" i="24"/>
  <c r="Q32" i="24" s="1"/>
  <c r="M27" i="24"/>
  <c r="AE52" i="16"/>
  <c r="AE29" i="16"/>
  <c r="AE24" i="16"/>
  <c r="AE23" i="16"/>
  <c r="AD18" i="15" s="1"/>
  <c r="AE54" i="17"/>
  <c r="AE53" i="17"/>
  <c r="AE52" i="17"/>
  <c r="AE47" i="17"/>
  <c r="AE46" i="17"/>
  <c r="AE44" i="17"/>
  <c r="AE38" i="17"/>
  <c r="AE34" i="17"/>
  <c r="AE32" i="17"/>
  <c r="AE29" i="17"/>
  <c r="AE25" i="17"/>
  <c r="AE24" i="17"/>
  <c r="AH24" i="17" s="1"/>
  <c r="AE23" i="17"/>
  <c r="AJ25" i="24"/>
  <c r="AL25" i="24" s="1"/>
  <c r="AJ24" i="24"/>
  <c r="AE58" i="16" l="1"/>
  <c r="AE58" i="17"/>
  <c r="AD50" i="15"/>
  <c r="AD17" i="15"/>
  <c r="AD24" i="15"/>
  <c r="AH24" i="15" s="1"/>
  <c r="AJ24" i="15" s="1"/>
  <c r="AH18" i="15"/>
  <c r="AJ18" i="15" s="1"/>
  <c r="AD53" i="15"/>
  <c r="AD19" i="15"/>
  <c r="AH19" i="15" s="1"/>
  <c r="AJ19" i="15" s="1"/>
  <c r="AD20" i="15"/>
  <c r="AH20" i="15" s="1"/>
  <c r="AJ20" i="15" s="1"/>
  <c r="G22" i="14"/>
  <c r="AE50" i="17"/>
  <c r="AG32" i="24"/>
  <c r="C50" i="17"/>
  <c r="Q64" i="24"/>
  <c r="S32" i="24"/>
  <c r="S64" i="24" s="1"/>
  <c r="AA32" i="24"/>
  <c r="AA64" i="24" s="1"/>
  <c r="AJ29" i="24"/>
  <c r="AL29" i="24" s="1"/>
  <c r="M32" i="24"/>
  <c r="M64" i="24" s="1"/>
  <c r="AE42" i="17"/>
  <c r="C30" i="17"/>
  <c r="K22" i="14" l="1"/>
  <c r="I22" i="14"/>
  <c r="AH17" i="15"/>
  <c r="AJ17" i="15" s="1"/>
  <c r="G22" i="13"/>
  <c r="K22" i="13" s="1"/>
  <c r="O22" i="13" s="1"/>
  <c r="AJ30" i="24"/>
  <c r="AL30" i="24" s="1"/>
  <c r="R42" i="15"/>
  <c r="R53" i="15"/>
  <c r="R56" i="15" s="1"/>
  <c r="AG25" i="22"/>
  <c r="AI25" i="22" s="1"/>
  <c r="AG19" i="22"/>
  <c r="AI19" i="22" s="1"/>
  <c r="C30" i="16"/>
  <c r="AJ41" i="25"/>
  <c r="AL41" i="25" s="1"/>
  <c r="AJ40" i="25"/>
  <c r="AL40" i="25" s="1"/>
  <c r="AJ39" i="25"/>
  <c r="AJ37" i="25"/>
  <c r="AJ36" i="25"/>
  <c r="AJ34" i="25"/>
  <c r="AJ29" i="25"/>
  <c r="AJ31" i="25"/>
  <c r="AJ28" i="25"/>
  <c r="AJ27" i="25"/>
  <c r="AJ26" i="25"/>
  <c r="AJ25" i="25"/>
  <c r="AJ23" i="25"/>
  <c r="AJ21" i="25"/>
  <c r="AJ58" i="24"/>
  <c r="AL58" i="24" s="1"/>
  <c r="AJ57" i="24"/>
  <c r="AL57" i="24" s="1"/>
  <c r="AJ54" i="24"/>
  <c r="AL54" i="24" s="1"/>
  <c r="AJ53" i="24"/>
  <c r="AL53" i="24" s="1"/>
  <c r="AJ51" i="24"/>
  <c r="AL51" i="24" s="1"/>
  <c r="AJ50" i="24"/>
  <c r="AL50" i="24" s="1"/>
  <c r="AJ45" i="24"/>
  <c r="AL45" i="24" s="1"/>
  <c r="AJ44" i="24"/>
  <c r="AL44" i="24" s="1"/>
  <c r="AJ42" i="24"/>
  <c r="AL42" i="24" s="1"/>
  <c r="AE108" i="16"/>
  <c r="AE94" i="16"/>
  <c r="AE70" i="16"/>
  <c r="AG116" i="20"/>
  <c r="AJ35" i="20"/>
  <c r="AL35" i="20" s="1"/>
  <c r="AJ32" i="20"/>
  <c r="AL32" i="20" s="1"/>
  <c r="AJ27" i="20"/>
  <c r="AL27" i="20" s="1"/>
  <c r="AJ26" i="20"/>
  <c r="AJ24" i="20"/>
  <c r="AL24" i="20" s="1"/>
  <c r="AJ22" i="20"/>
  <c r="AL22" i="20" s="1"/>
  <c r="AJ21" i="20"/>
  <c r="AL21" i="20" s="1"/>
  <c r="AL27" i="23" l="1"/>
  <c r="AN27" i="23" s="1"/>
  <c r="R46" i="15"/>
  <c r="R47" i="15" s="1"/>
  <c r="AL21" i="23"/>
  <c r="AN21" i="23" s="1"/>
  <c r="R32" i="15"/>
  <c r="R35" i="15"/>
  <c r="B75" i="22"/>
  <c r="AJ42" i="25"/>
  <c r="AL42" i="25" s="1"/>
  <c r="AB27" i="16"/>
  <c r="AE27" i="16"/>
  <c r="AD22" i="15" s="1"/>
  <c r="C50" i="16"/>
  <c r="AL30" i="23"/>
  <c r="AN30" i="23" s="1"/>
  <c r="AE69" i="16"/>
  <c r="AE86" i="16"/>
  <c r="AE97" i="16"/>
  <c r="AE105" i="16"/>
  <c r="AJ31" i="20"/>
  <c r="AE79" i="16"/>
  <c r="AE85" i="16"/>
  <c r="AE33" i="16"/>
  <c r="AE39" i="16"/>
  <c r="AE46" i="16"/>
  <c r="AD43" i="15" s="1"/>
  <c r="AE67" i="16"/>
  <c r="AE90" i="16"/>
  <c r="AE32" i="16"/>
  <c r="AD28" i="15" s="1"/>
  <c r="AE38" i="16"/>
  <c r="AE45" i="16"/>
  <c r="AE101" i="16"/>
  <c r="AE34" i="16"/>
  <c r="AE91" i="16"/>
  <c r="AE82" i="16"/>
  <c r="AE89" i="16"/>
  <c r="AE92" i="16"/>
  <c r="AE102" i="16"/>
  <c r="AE36" i="16"/>
  <c r="AD32" i="15" s="1"/>
  <c r="AE49" i="16"/>
  <c r="AH45" i="15" s="1"/>
  <c r="AJ45" i="15" s="1"/>
  <c r="AD26" i="19"/>
  <c r="C60" i="17"/>
  <c r="AD27" i="19"/>
  <c r="AD22" i="19"/>
  <c r="AD34" i="19"/>
  <c r="AG36" i="19"/>
  <c r="AD16" i="2" s="1"/>
  <c r="AE44" i="16"/>
  <c r="AD41" i="15" s="1"/>
  <c r="AD33" i="19"/>
  <c r="AG118" i="19"/>
  <c r="AD31" i="19"/>
  <c r="AG100" i="19"/>
  <c r="AG109" i="19" s="1"/>
  <c r="AD32" i="19"/>
  <c r="AG29" i="19"/>
  <c r="AD15" i="2" s="1"/>
  <c r="AF28" i="23"/>
  <c r="AL26" i="23"/>
  <c r="AN26" i="23" s="1"/>
  <c r="AJ59" i="24"/>
  <c r="AL59" i="24" s="1"/>
  <c r="AJ43" i="24"/>
  <c r="AL43" i="24" s="1"/>
  <c r="AJ48" i="24"/>
  <c r="AL48" i="24" s="1"/>
  <c r="AJ46" i="24"/>
  <c r="AL46" i="24" s="1"/>
  <c r="AJ40" i="24"/>
  <c r="AL40" i="24" s="1"/>
  <c r="AJ36" i="24"/>
  <c r="AL36" i="24" s="1"/>
  <c r="AJ38" i="24"/>
  <c r="AL38" i="24" s="1"/>
  <c r="AJ17" i="20"/>
  <c r="AL17" i="20" s="1"/>
  <c r="AJ20" i="20"/>
  <c r="J15" i="3"/>
  <c r="AI51" i="18"/>
  <c r="AK51" i="18" s="1"/>
  <c r="AI49" i="18"/>
  <c r="AK49" i="18" s="1"/>
  <c r="AI48" i="18"/>
  <c r="AK48" i="18" s="1"/>
  <c r="F50" i="15"/>
  <c r="AI42" i="18"/>
  <c r="AK42" i="18" s="1"/>
  <c r="AI41" i="18"/>
  <c r="AK41" i="18" s="1"/>
  <c r="AI40" i="18"/>
  <c r="AK40" i="18" s="1"/>
  <c r="AI39" i="18"/>
  <c r="AK39" i="18" s="1"/>
  <c r="AI33" i="18"/>
  <c r="AK33" i="18" s="1"/>
  <c r="AI30" i="18"/>
  <c r="AK30" i="18" s="1"/>
  <c r="AI28" i="18"/>
  <c r="AK28" i="18" s="1"/>
  <c r="AI23" i="18"/>
  <c r="AK23" i="18" s="1"/>
  <c r="AI21" i="18"/>
  <c r="AK21" i="18" s="1"/>
  <c r="AI20" i="18"/>
  <c r="AK20" i="18" s="1"/>
  <c r="AI19" i="18"/>
  <c r="AK19" i="18" s="1"/>
  <c r="AI18" i="18"/>
  <c r="AK18" i="18" s="1"/>
  <c r="X37" i="18"/>
  <c r="R37" i="18"/>
  <c r="X26" i="18"/>
  <c r="AA13" i="3"/>
  <c r="Y13" i="3"/>
  <c r="F13" i="3"/>
  <c r="F12" i="3"/>
  <c r="D13" i="3"/>
  <c r="AB105" i="17"/>
  <c r="AE106" i="17"/>
  <c r="Z52" i="21"/>
  <c r="Z56" i="21" s="1"/>
  <c r="X52" i="21"/>
  <c r="AG86" i="20"/>
  <c r="AA46" i="25"/>
  <c r="Y46" i="25"/>
  <c r="O46" i="25"/>
  <c r="Y35" i="3" l="1"/>
  <c r="AA19" i="3"/>
  <c r="AE42" i="16"/>
  <c r="AG38" i="19"/>
  <c r="AG86" i="19" s="1"/>
  <c r="AG112" i="19" s="1"/>
  <c r="AG122" i="19" s="1"/>
  <c r="R55" i="18"/>
  <c r="R100" i="18" s="1"/>
  <c r="Q106" i="16" s="1"/>
  <c r="AD46" i="15"/>
  <c r="AD42" i="15"/>
  <c r="AD44" i="15"/>
  <c r="AD56" i="15"/>
  <c r="AD34" i="15"/>
  <c r="AD35" i="15"/>
  <c r="AD30" i="15"/>
  <c r="AD29" i="15"/>
  <c r="AA16" i="3"/>
  <c r="AJ34" i="19"/>
  <c r="AL34" i="19" s="1"/>
  <c r="J44" i="15"/>
  <c r="X44" i="15" s="1"/>
  <c r="AJ35" i="19"/>
  <c r="AL35" i="19" s="1"/>
  <c r="J46" i="15"/>
  <c r="AJ31" i="19"/>
  <c r="AL31" i="19" s="1"/>
  <c r="J41" i="15"/>
  <c r="AJ32" i="19"/>
  <c r="AL32" i="19" s="1"/>
  <c r="J42" i="15"/>
  <c r="X42" i="15" s="1"/>
  <c r="AJ33" i="19"/>
  <c r="AL33" i="19" s="1"/>
  <c r="J43" i="15"/>
  <c r="X43" i="15" s="1"/>
  <c r="AJ27" i="19"/>
  <c r="AL27" i="19" s="1"/>
  <c r="J35" i="15"/>
  <c r="AJ26" i="19"/>
  <c r="J34" i="15"/>
  <c r="AJ24" i="19"/>
  <c r="AL24" i="19" s="1"/>
  <c r="J32" i="15"/>
  <c r="X32" i="15" s="1"/>
  <c r="AJ22" i="19"/>
  <c r="AL22" i="19" s="1"/>
  <c r="J30" i="15"/>
  <c r="X30" i="15" s="1"/>
  <c r="AJ21" i="19"/>
  <c r="AL21" i="19" s="1"/>
  <c r="J29" i="15"/>
  <c r="AJ20" i="19"/>
  <c r="AL20" i="19" s="1"/>
  <c r="X50" i="15"/>
  <c r="AI29" i="18"/>
  <c r="AK29" i="18" s="1"/>
  <c r="AI34" i="18"/>
  <c r="AK34" i="18" s="1"/>
  <c r="AI31" i="18"/>
  <c r="X31" i="15"/>
  <c r="AH31" i="15" s="1"/>
  <c r="AJ31" i="15" s="1"/>
  <c r="AI44" i="18"/>
  <c r="F46" i="15"/>
  <c r="AI50" i="18"/>
  <c r="AK50" i="18" s="1"/>
  <c r="F53" i="15"/>
  <c r="X53" i="15" s="1"/>
  <c r="AH53" i="15" s="1"/>
  <c r="AJ53" i="15" s="1"/>
  <c r="J17" i="3"/>
  <c r="G22" i="11"/>
  <c r="J16" i="3"/>
  <c r="G21" i="11"/>
  <c r="G23" i="14"/>
  <c r="AJ36" i="20"/>
  <c r="AL36" i="20" s="1"/>
  <c r="AL31" i="20"/>
  <c r="AJ29" i="20"/>
  <c r="AL29" i="20" s="1"/>
  <c r="AL20" i="20"/>
  <c r="AG56" i="21"/>
  <c r="AL52" i="21"/>
  <c r="G20" i="10"/>
  <c r="K20" i="10" s="1"/>
  <c r="X56" i="21"/>
  <c r="AI25" i="18"/>
  <c r="AK25" i="18" s="1"/>
  <c r="AH27" i="16"/>
  <c r="AJ27" i="16" s="1"/>
  <c r="C60" i="16"/>
  <c r="AI24" i="18"/>
  <c r="AK24" i="18" s="1"/>
  <c r="AE50" i="16"/>
  <c r="AG46" i="25"/>
  <c r="AL46" i="25" s="1"/>
  <c r="X55" i="18"/>
  <c r="X100" i="18" s="1"/>
  <c r="AI47" i="18"/>
  <c r="G23" i="9"/>
  <c r="G22" i="9"/>
  <c r="AG27" i="22"/>
  <c r="G23" i="12"/>
  <c r="N17" i="2"/>
  <c r="AI20" i="22"/>
  <c r="G21" i="12"/>
  <c r="N15" i="2"/>
  <c r="AD36" i="19"/>
  <c r="J16" i="2" s="1"/>
  <c r="R86" i="20"/>
  <c r="AL31" i="23"/>
  <c r="AN31" i="23" s="1"/>
  <c r="R17" i="2"/>
  <c r="R16" i="2"/>
  <c r="AG64" i="24"/>
  <c r="AL28" i="23"/>
  <c r="AN28" i="23" s="1"/>
  <c r="AE106" i="16"/>
  <c r="AJ60" i="24"/>
  <c r="AL60" i="24" s="1"/>
  <c r="AD29" i="19"/>
  <c r="AB81" i="17"/>
  <c r="AB84" i="17"/>
  <c r="AB99" i="17"/>
  <c r="AB82" i="17"/>
  <c r="AA41" i="3"/>
  <c r="AA39" i="3"/>
  <c r="AA38" i="3"/>
  <c r="AA37" i="3"/>
  <c r="AA33" i="3"/>
  <c r="AA32" i="3"/>
  <c r="AA31" i="3"/>
  <c r="AA30" i="3"/>
  <c r="I23" i="14" l="1"/>
  <c r="K23" i="14"/>
  <c r="I21" i="12"/>
  <c r="K21" i="12"/>
  <c r="I23" i="12"/>
  <c r="K23" i="12"/>
  <c r="I22" i="11"/>
  <c r="K22" i="11"/>
  <c r="I22" i="9"/>
  <c r="K22" i="9"/>
  <c r="I23" i="9"/>
  <c r="K23" i="9"/>
  <c r="I21" i="11"/>
  <c r="K21" i="11"/>
  <c r="AI27" i="22"/>
  <c r="AG29" i="22"/>
  <c r="AI29" i="22" s="1"/>
  <c r="AB41" i="16"/>
  <c r="AH41" i="16" s="1"/>
  <c r="AJ41" i="16" s="1"/>
  <c r="Q42" i="16"/>
  <c r="F56" i="15"/>
  <c r="AK47" i="18"/>
  <c r="AI53" i="18"/>
  <c r="AK53" i="18" s="1"/>
  <c r="G23" i="7"/>
  <c r="AJ38" i="20"/>
  <c r="AL38" i="20" s="1"/>
  <c r="J15" i="2"/>
  <c r="AD38" i="15"/>
  <c r="AH30" i="15"/>
  <c r="AJ30" i="15" s="1"/>
  <c r="AH42" i="15"/>
  <c r="AJ42" i="15" s="1"/>
  <c r="AH32" i="15"/>
  <c r="AJ32" i="15" s="1"/>
  <c r="AH44" i="15"/>
  <c r="AJ44" i="15" s="1"/>
  <c r="AH43" i="15"/>
  <c r="AJ43" i="15" s="1"/>
  <c r="AD47" i="15"/>
  <c r="G23" i="13"/>
  <c r="AI45" i="18"/>
  <c r="AJ36" i="19"/>
  <c r="AL36" i="19" s="1"/>
  <c r="J47" i="15"/>
  <c r="X41" i="15"/>
  <c r="AH41" i="15" s="1"/>
  <c r="AJ41" i="15" s="1"/>
  <c r="X34" i="15"/>
  <c r="AH34" i="15" s="1"/>
  <c r="AJ34" i="15" s="1"/>
  <c r="X35" i="15"/>
  <c r="AH35" i="15" s="1"/>
  <c r="AJ35" i="15" s="1"/>
  <c r="AJ29" i="19"/>
  <c r="AL29" i="19" s="1"/>
  <c r="J38" i="15"/>
  <c r="X28" i="15"/>
  <c r="AH28" i="15" s="1"/>
  <c r="AJ28" i="15" s="1"/>
  <c r="AI37" i="18"/>
  <c r="AH50" i="15"/>
  <c r="AJ50" i="15" s="1"/>
  <c r="X46" i="15"/>
  <c r="F47" i="15"/>
  <c r="G21" i="9"/>
  <c r="G22" i="10"/>
  <c r="K22" i="10" s="1"/>
  <c r="G20" i="9"/>
  <c r="G21" i="10"/>
  <c r="K21" i="10" s="1"/>
  <c r="I21" i="9" l="1"/>
  <c r="K21" i="9"/>
  <c r="I20" i="9"/>
  <c r="K20" i="9"/>
  <c r="X56" i="15"/>
  <c r="AH56" i="15" s="1"/>
  <c r="AJ56" i="15" s="1"/>
  <c r="K23" i="13"/>
  <c r="O23" i="13" s="1"/>
  <c r="AH46" i="15"/>
  <c r="AJ46" i="15" s="1"/>
  <c r="X47" i="15"/>
  <c r="AH47" i="15" s="1"/>
  <c r="AJ47" i="15" s="1"/>
  <c r="F38" i="15"/>
  <c r="F58" i="15" s="1"/>
  <c r="G20" i="7"/>
  <c r="AJ114" i="20"/>
  <c r="AL114" i="20" s="1"/>
  <c r="J50" i="3"/>
  <c r="N29" i="5" l="1"/>
  <c r="AA29" i="3"/>
  <c r="AA27" i="3"/>
  <c r="AA26" i="3"/>
  <c r="AA25" i="3"/>
  <c r="AA20" i="3"/>
  <c r="AH105" i="17"/>
  <c r="AJ105" i="17" s="1"/>
  <c r="AH99" i="17"/>
  <c r="AJ99" i="17" s="1"/>
  <c r="AH84" i="17"/>
  <c r="AJ84" i="17" s="1"/>
  <c r="AH82" i="17"/>
  <c r="AJ82" i="17" s="1"/>
  <c r="AH81" i="17"/>
  <c r="AJ81" i="17" s="1"/>
  <c r="AJ51" i="21" l="1"/>
  <c r="AL51" i="21" s="1"/>
  <c r="AJ50" i="21"/>
  <c r="AL50" i="21" s="1"/>
  <c r="AJ48" i="21"/>
  <c r="AL48" i="21" s="1"/>
  <c r="AJ47" i="21"/>
  <c r="AL47" i="21" s="1"/>
  <c r="AJ46" i="21"/>
  <c r="AL46" i="21" s="1"/>
  <c r="AJ45" i="21"/>
  <c r="AL45" i="21" s="1"/>
  <c r="AJ44" i="21"/>
  <c r="AL44" i="21" s="1"/>
  <c r="AJ43" i="21"/>
  <c r="AL43" i="21" s="1"/>
  <c r="AJ42" i="21"/>
  <c r="AL42" i="21" s="1"/>
  <c r="AJ41" i="21"/>
  <c r="AJ39" i="21"/>
  <c r="AL39" i="21" s="1"/>
  <c r="AJ33" i="21"/>
  <c r="AL33" i="21" s="1"/>
  <c r="AJ38" i="21"/>
  <c r="AL38" i="21" s="1"/>
  <c r="AJ37" i="21"/>
  <c r="AL37" i="21" s="1"/>
  <c r="AJ36" i="21"/>
  <c r="AL36" i="21" s="1"/>
  <c r="AJ35" i="21"/>
  <c r="AL35" i="21" s="1"/>
  <c r="AJ32" i="21"/>
  <c r="AL32" i="21" s="1"/>
  <c r="AJ30" i="21"/>
  <c r="AJ29" i="21"/>
  <c r="AJ28" i="21"/>
  <c r="AJ27" i="21"/>
  <c r="AJ26" i="21"/>
  <c r="AJ24" i="21"/>
  <c r="AJ23" i="21"/>
  <c r="AJ22" i="21"/>
  <c r="AL21" i="21"/>
  <c r="AJ81" i="20"/>
  <c r="AL81" i="20" s="1"/>
  <c r="AJ80" i="20"/>
  <c r="AL80" i="20" s="1"/>
  <c r="AL79" i="20"/>
  <c r="AJ78" i="20"/>
  <c r="AL78" i="20" s="1"/>
  <c r="AJ76" i="20"/>
  <c r="AL76" i="20" s="1"/>
  <c r="AJ75" i="20"/>
  <c r="AL75" i="20" s="1"/>
  <c r="AJ74" i="20"/>
  <c r="AL74" i="20" s="1"/>
  <c r="AJ73" i="20"/>
  <c r="AL73" i="20" s="1"/>
  <c r="AJ71" i="20"/>
  <c r="AL71" i="20" s="1"/>
  <c r="AJ68" i="20"/>
  <c r="AL68" i="20" s="1"/>
  <c r="AJ62" i="20"/>
  <c r="AL62" i="20" s="1"/>
  <c r="AJ67" i="20"/>
  <c r="AL67" i="20" s="1"/>
  <c r="AJ66" i="20"/>
  <c r="AL66" i="20" s="1"/>
  <c r="AJ64" i="20"/>
  <c r="AL64" i="20" s="1"/>
  <c r="AJ61" i="20"/>
  <c r="AL61" i="20" s="1"/>
  <c r="AJ55" i="20"/>
  <c r="AL55" i="20" s="1"/>
  <c r="AJ54" i="20"/>
  <c r="AL54" i="20" s="1"/>
  <c r="AJ53" i="20"/>
  <c r="AL53" i="20" s="1"/>
  <c r="AJ52" i="20"/>
  <c r="AL52" i="20" s="1"/>
  <c r="AJ51" i="20"/>
  <c r="AL51" i="20" s="1"/>
  <c r="AJ50" i="20"/>
  <c r="AL50" i="20" s="1"/>
  <c r="AJ47" i="20"/>
  <c r="AL47" i="20" s="1"/>
  <c r="AJ46" i="20"/>
  <c r="AL46" i="20" s="1"/>
  <c r="AJ45" i="20"/>
  <c r="AL45" i="20" s="1"/>
  <c r="AJ44" i="20"/>
  <c r="AL44" i="20" s="1"/>
  <c r="AJ42" i="20"/>
  <c r="AL42" i="20" s="1"/>
  <c r="J118" i="19"/>
  <c r="AJ86" i="21" l="1"/>
  <c r="AL86" i="21" s="1"/>
  <c r="AL56" i="21"/>
  <c r="AJ19" i="21"/>
  <c r="AL19" i="21" s="1"/>
  <c r="AJ70" i="20"/>
  <c r="AL70" i="20" s="1"/>
  <c r="AB99" i="16"/>
  <c r="AB82" i="16"/>
  <c r="AB81" i="16"/>
  <c r="AB84" i="16"/>
  <c r="AB105" i="16"/>
  <c r="J122" i="19" l="1"/>
  <c r="AH105" i="16"/>
  <c r="AJ105" i="16" s="1"/>
  <c r="AH99" i="16"/>
  <c r="AJ99" i="16" s="1"/>
  <c r="AH84" i="16"/>
  <c r="AJ84" i="16" s="1"/>
  <c r="AH82" i="16"/>
  <c r="AJ82" i="16" s="1"/>
  <c r="AH81" i="16"/>
  <c r="AJ81" i="16" s="1"/>
  <c r="AJ52" i="21"/>
  <c r="J19" i="3"/>
  <c r="AJ82" i="20"/>
  <c r="J18" i="33" l="1"/>
  <c r="G26" i="11"/>
  <c r="G23" i="10"/>
  <c r="K23" i="10" s="1"/>
  <c r="AL82" i="20"/>
  <c r="O23" i="26" l="1"/>
  <c r="AD19" i="27"/>
  <c r="AD28" i="27"/>
  <c r="AD39" i="27"/>
  <c r="AG39" i="27" s="1"/>
  <c r="AD33" i="28"/>
  <c r="AG32" i="28"/>
  <c r="AI32" i="28" s="1"/>
  <c r="AG31" i="28"/>
  <c r="AI31" i="28" s="1"/>
  <c r="AD25" i="28"/>
  <c r="AG24" i="28"/>
  <c r="AI24" i="28" s="1"/>
  <c r="AG23" i="28"/>
  <c r="AI23" i="28" s="1"/>
  <c r="AG22" i="28"/>
  <c r="AI22" i="28" s="1"/>
  <c r="AE23" i="26"/>
  <c r="D26" i="5"/>
  <c r="AE33" i="26"/>
  <c r="A39" i="12"/>
  <c r="A48" i="8"/>
  <c r="AE37" i="26" l="1"/>
  <c r="AE49" i="26" s="1"/>
  <c r="D36" i="5"/>
  <c r="D35" i="5"/>
  <c r="AH31" i="26"/>
  <c r="AJ31" i="26" s="1"/>
  <c r="D28" i="5"/>
  <c r="L28" i="5" s="1"/>
  <c r="S28" i="5" s="1"/>
  <c r="U28" i="5" s="1"/>
  <c r="AH30" i="26"/>
  <c r="AJ30" i="26" s="1"/>
  <c r="D27" i="5"/>
  <c r="AH29" i="26"/>
  <c r="AJ29" i="26" s="1"/>
  <c r="AH28" i="26"/>
  <c r="AJ28" i="26" s="1"/>
  <c r="D25" i="5"/>
  <c r="AH21" i="26"/>
  <c r="AJ21" i="26" s="1"/>
  <c r="D20" i="5"/>
  <c r="L20" i="5" s="1"/>
  <c r="S20" i="5" s="1"/>
  <c r="U20" i="5" s="1"/>
  <c r="AH20" i="26"/>
  <c r="AJ20" i="26" s="1"/>
  <c r="D19" i="5"/>
  <c r="L19" i="5" s="1"/>
  <c r="S19" i="5" s="1"/>
  <c r="U19" i="5" s="1"/>
  <c r="AH19" i="26"/>
  <c r="AJ19" i="26" s="1"/>
  <c r="D18" i="5"/>
  <c r="H36" i="5"/>
  <c r="AG36" i="27"/>
  <c r="AI36" i="27" s="1"/>
  <c r="H35" i="5"/>
  <c r="AG26" i="27"/>
  <c r="AI26" i="27" s="1"/>
  <c r="AG25" i="27"/>
  <c r="AI25" i="27" s="1"/>
  <c r="L26" i="5"/>
  <c r="S26" i="5" s="1"/>
  <c r="U26" i="5" s="1"/>
  <c r="AG24" i="27"/>
  <c r="AI24" i="27" s="1"/>
  <c r="H25" i="5"/>
  <c r="H18" i="5"/>
  <c r="AH41" i="26"/>
  <c r="AJ41" i="26" s="1"/>
  <c r="AG33" i="28"/>
  <c r="AI33" i="28" s="1"/>
  <c r="AD32" i="27"/>
  <c r="AD44" i="27" s="1"/>
  <c r="AA33" i="28"/>
  <c r="AG17" i="27"/>
  <c r="AI17" i="27" s="1"/>
  <c r="AG25" i="28"/>
  <c r="AI25" i="28" s="1"/>
  <c r="L36" i="5" l="1"/>
  <c r="S36" i="5" s="1"/>
  <c r="U36" i="5" s="1"/>
  <c r="AI39" i="27"/>
  <c r="L18" i="5"/>
  <c r="D37" i="5"/>
  <c r="AH44" i="26"/>
  <c r="AJ44" i="26" s="1"/>
  <c r="D29" i="5"/>
  <c r="L27" i="5"/>
  <c r="S27" i="5" s="1"/>
  <c r="U27" i="5" s="1"/>
  <c r="AH33" i="26"/>
  <c r="AJ33" i="26" s="1"/>
  <c r="AH23" i="26"/>
  <c r="AJ23" i="26" s="1"/>
  <c r="D21" i="5"/>
  <c r="H37" i="5"/>
  <c r="L35" i="5"/>
  <c r="H29" i="5"/>
  <c r="L25" i="5"/>
  <c r="AG28" i="27"/>
  <c r="AI28" i="27" s="1"/>
  <c r="H21" i="5"/>
  <c r="AG19" i="27"/>
  <c r="AI19" i="27" s="1"/>
  <c r="AA37" i="28" l="1"/>
  <c r="D32" i="5"/>
  <c r="D42" i="5" s="1"/>
  <c r="AH37" i="26"/>
  <c r="L37" i="5"/>
  <c r="S37" i="5" s="1"/>
  <c r="S35" i="5"/>
  <c r="U35" i="5" s="1"/>
  <c r="S25" i="5"/>
  <c r="L29" i="5"/>
  <c r="H32" i="5"/>
  <c r="H42" i="5" s="1"/>
  <c r="L21" i="5"/>
  <c r="S18" i="5"/>
  <c r="AG32" i="27"/>
  <c r="AI32" i="27" s="1"/>
  <c r="AL60" i="23"/>
  <c r="AN60" i="23" s="1"/>
  <c r="AL55" i="23"/>
  <c r="AN55" i="23" s="1"/>
  <c r="AL54" i="23"/>
  <c r="AN54" i="23" s="1"/>
  <c r="AL51" i="23"/>
  <c r="AN51" i="23" s="1"/>
  <c r="AL49" i="23"/>
  <c r="AN49" i="23" s="1"/>
  <c r="AL46" i="23"/>
  <c r="AN46" i="23" s="1"/>
  <c r="AL44" i="23"/>
  <c r="AN44" i="23" s="1"/>
  <c r="AG45" i="22"/>
  <c r="AI45" i="22" s="1"/>
  <c r="AG42" i="22"/>
  <c r="AI42" i="22" s="1"/>
  <c r="AJ37" i="26" l="1"/>
  <c r="AH49" i="26"/>
  <c r="AJ49" i="26" s="1"/>
  <c r="U37" i="5"/>
  <c r="AG47" i="22"/>
  <c r="AI47" i="22" s="1"/>
  <c r="AL39" i="23"/>
  <c r="AN39" i="23" s="1"/>
  <c r="AL58" i="23"/>
  <c r="AN58" i="23" s="1"/>
  <c r="AL43" i="23"/>
  <c r="AN43" i="23" s="1"/>
  <c r="AL47" i="23"/>
  <c r="AN47" i="23" s="1"/>
  <c r="AL41" i="23"/>
  <c r="AN41" i="23" s="1"/>
  <c r="AL52" i="23"/>
  <c r="AN52" i="23" s="1"/>
  <c r="AL59" i="23"/>
  <c r="AN59" i="23" s="1"/>
  <c r="AL45" i="23"/>
  <c r="AN45" i="23" s="1"/>
  <c r="U25" i="5"/>
  <c r="S29" i="5"/>
  <c r="U29" i="5" s="1"/>
  <c r="L32" i="5"/>
  <c r="L42" i="5" s="1"/>
  <c r="S21" i="5"/>
  <c r="U21" i="5" s="1"/>
  <c r="U18" i="5"/>
  <c r="AG41" i="22"/>
  <c r="AI41" i="22" s="1"/>
  <c r="AG44" i="27"/>
  <c r="AI44" i="27" s="1"/>
  <c r="S32" i="5" l="1"/>
  <c r="U32" i="5" s="1"/>
  <c r="AG50" i="22"/>
  <c r="AI50" i="22" s="1"/>
  <c r="S42" i="5" l="1"/>
  <c r="U42" i="5" s="1"/>
  <c r="U27" i="14" l="1"/>
  <c r="G26" i="13"/>
  <c r="N39" i="3"/>
  <c r="L39" i="3"/>
  <c r="N37" i="3"/>
  <c r="L37" i="3"/>
  <c r="N34" i="3"/>
  <c r="L34" i="3"/>
  <c r="N33" i="3"/>
  <c r="L33" i="3"/>
  <c r="N32" i="3"/>
  <c r="L32" i="3"/>
  <c r="N31" i="3"/>
  <c r="L31" i="3"/>
  <c r="N30" i="3"/>
  <c r="L30" i="3"/>
  <c r="N29" i="3"/>
  <c r="L29" i="3"/>
  <c r="N27" i="3"/>
  <c r="L27" i="3"/>
  <c r="N26" i="3"/>
  <c r="L26" i="3"/>
  <c r="N25" i="3"/>
  <c r="L25" i="3"/>
  <c r="T13" i="3"/>
  <c r="R13" i="3"/>
  <c r="N13" i="3"/>
  <c r="L13" i="3"/>
  <c r="J13" i="3"/>
  <c r="H13" i="3"/>
  <c r="T12" i="3"/>
  <c r="N12" i="3"/>
  <c r="J12" i="3"/>
  <c r="N35" i="3" l="1"/>
  <c r="L35" i="3"/>
  <c r="H51" i="3"/>
  <c r="E142" i="17"/>
  <c r="K25" i="13" l="1"/>
  <c r="O25" i="13" s="1"/>
  <c r="E146" i="17"/>
  <c r="AA35" i="3"/>
  <c r="AA43" i="3" s="1"/>
  <c r="AJ44" i="19" l="1"/>
  <c r="AL44" i="19" s="1"/>
  <c r="AD45" i="19"/>
  <c r="AJ45" i="19" s="1"/>
  <c r="AL45" i="19" s="1"/>
  <c r="AD47" i="19"/>
  <c r="AJ47" i="19" s="1"/>
  <c r="AL47" i="19" s="1"/>
  <c r="AD51" i="19"/>
  <c r="AJ51" i="19" s="1"/>
  <c r="AL51" i="19" s="1"/>
  <c r="AJ52" i="19"/>
  <c r="AL52" i="19" s="1"/>
  <c r="AD54" i="19"/>
  <c r="AJ54" i="19" s="1"/>
  <c r="AL54" i="19" s="1"/>
  <c r="AD58" i="19"/>
  <c r="AJ58" i="19" s="1"/>
  <c r="AL58" i="19" s="1"/>
  <c r="AD65" i="19"/>
  <c r="AJ65" i="19" s="1"/>
  <c r="AL65" i="19" s="1"/>
  <c r="AD67" i="19"/>
  <c r="AJ67" i="19" s="1"/>
  <c r="AL67" i="19" s="1"/>
  <c r="AD62" i="19"/>
  <c r="AJ62" i="19" s="1"/>
  <c r="AL62" i="19" s="1"/>
  <c r="AD68" i="19"/>
  <c r="AJ68" i="19" s="1"/>
  <c r="AL68" i="19" s="1"/>
  <c r="AD71" i="19"/>
  <c r="AJ71" i="19" s="1"/>
  <c r="AL71" i="19" s="1"/>
  <c r="AD74" i="19"/>
  <c r="AJ74" i="19" s="1"/>
  <c r="AL74" i="19" s="1"/>
  <c r="AD75" i="19"/>
  <c r="AJ75" i="19" s="1"/>
  <c r="AL75" i="19" s="1"/>
  <c r="AD76" i="19"/>
  <c r="AJ76" i="19" s="1"/>
  <c r="AL76" i="19" s="1"/>
  <c r="AD78" i="19"/>
  <c r="AJ78" i="19" s="1"/>
  <c r="AL78" i="19" s="1"/>
  <c r="AD81" i="19"/>
  <c r="AJ81" i="19" s="1"/>
  <c r="AL81" i="19" s="1"/>
  <c r="AD80" i="19"/>
  <c r="AJ80" i="19" s="1"/>
  <c r="AL80" i="19" s="1"/>
  <c r="AD60" i="19"/>
  <c r="AJ60" i="19" s="1"/>
  <c r="AL60" i="19" s="1"/>
  <c r="AD50" i="19"/>
  <c r="AJ50" i="19" s="1"/>
  <c r="AL50" i="19" s="1"/>
  <c r="AD64" i="19"/>
  <c r="AJ64" i="19" s="1"/>
  <c r="AL64" i="19" s="1"/>
  <c r="AD57" i="19"/>
  <c r="AJ57" i="19" s="1"/>
  <c r="AL57" i="19" s="1"/>
  <c r="AI94" i="18"/>
  <c r="AK94" i="18" s="1"/>
  <c r="AI78" i="18"/>
  <c r="AI77" i="18"/>
  <c r="AK77" i="18" s="1"/>
  <c r="AI63" i="18"/>
  <c r="AK63" i="18" s="1"/>
  <c r="AI62" i="18"/>
  <c r="AK62" i="18" s="1"/>
  <c r="AB88" i="17" l="1"/>
  <c r="AH88" i="17" s="1"/>
  <c r="AJ88" i="17" s="1"/>
  <c r="AI65" i="18"/>
  <c r="AK65" i="18" s="1"/>
  <c r="AK64" i="18"/>
  <c r="AI83" i="18"/>
  <c r="AK83" i="18" s="1"/>
  <c r="AI86" i="18"/>
  <c r="AK86" i="18" s="1"/>
  <c r="AB88" i="16"/>
  <c r="AI95" i="18"/>
  <c r="AD79" i="19"/>
  <c r="AJ79" i="19" s="1"/>
  <c r="AL79" i="19" s="1"/>
  <c r="AD77" i="19"/>
  <c r="AJ77" i="19" s="1"/>
  <c r="AL77" i="19" s="1"/>
  <c r="AD73" i="19"/>
  <c r="AJ73" i="19" s="1"/>
  <c r="AL73" i="19" s="1"/>
  <c r="AD70" i="19"/>
  <c r="AJ70" i="19" s="1"/>
  <c r="AL70" i="19" s="1"/>
  <c r="AD66" i="19"/>
  <c r="AJ66" i="19" s="1"/>
  <c r="AL66" i="19" s="1"/>
  <c r="AJ61" i="19"/>
  <c r="AL61" i="19" s="1"/>
  <c r="AJ55" i="19"/>
  <c r="AL55" i="19" s="1"/>
  <c r="AD53" i="19"/>
  <c r="AJ53" i="19" s="1"/>
  <c r="AL53" i="19" s="1"/>
  <c r="AD46" i="19"/>
  <c r="AJ46" i="19" s="1"/>
  <c r="AL46" i="19" s="1"/>
  <c r="AD42" i="19"/>
  <c r="AI93" i="18"/>
  <c r="AK93" i="18" s="1"/>
  <c r="AI89" i="18"/>
  <c r="AK89" i="18" s="1"/>
  <c r="AI88" i="18"/>
  <c r="AK88" i="18" s="1"/>
  <c r="AI84" i="18"/>
  <c r="AK84" i="18" s="1"/>
  <c r="AI82" i="18"/>
  <c r="AK82" i="18" s="1"/>
  <c r="AI81" i="18"/>
  <c r="AK81" i="18" s="1"/>
  <c r="AI74" i="18"/>
  <c r="AK74" i="18" s="1"/>
  <c r="AI73" i="18"/>
  <c r="AK73" i="18" s="1"/>
  <c r="AI72" i="18"/>
  <c r="AK72" i="18" s="1"/>
  <c r="AI71" i="18"/>
  <c r="AK71" i="18" s="1"/>
  <c r="AI70" i="18"/>
  <c r="AK70" i="18" s="1"/>
  <c r="AI69" i="18"/>
  <c r="AK69" i="18" s="1"/>
  <c r="AI67" i="18"/>
  <c r="AK67" i="18" s="1"/>
  <c r="AI60" i="18"/>
  <c r="AK60" i="18" s="1"/>
  <c r="AI59" i="18"/>
  <c r="AK59" i="18" s="1"/>
  <c r="AD82" i="19" l="1"/>
  <c r="AH88" i="16"/>
  <c r="AJ88" i="16" s="1"/>
  <c r="C106" i="17"/>
  <c r="C110" i="17" s="1"/>
  <c r="C136" i="17" s="1"/>
  <c r="C146" i="17" s="1"/>
  <c r="C106" i="16"/>
  <c r="AJ42" i="19"/>
  <c r="AL42" i="19" s="1"/>
  <c r="AI96" i="18"/>
  <c r="AK96" i="18" s="1"/>
  <c r="G24" i="9"/>
  <c r="I24" i="9" l="1"/>
  <c r="K24" i="9"/>
  <c r="AJ82" i="19"/>
  <c r="F19" i="3" l="1"/>
  <c r="L50" i="3" l="1"/>
  <c r="L49" i="3"/>
  <c r="L19" i="3"/>
  <c r="L18" i="3"/>
  <c r="L16" i="3"/>
  <c r="L51" i="3" l="1"/>
  <c r="G25" i="10" l="1"/>
  <c r="L20" i="3"/>
  <c r="AG107" i="20" l="1"/>
  <c r="F15" i="6"/>
  <c r="AI128" i="18" l="1"/>
  <c r="AK128" i="18" s="1"/>
  <c r="AI129" i="18"/>
  <c r="AK129" i="18" s="1"/>
  <c r="G29" i="9"/>
  <c r="AI130" i="18"/>
  <c r="AK130" i="18" s="1"/>
  <c r="I29" i="9" l="1"/>
  <c r="K29" i="9"/>
  <c r="X28" i="27"/>
  <c r="J38" i="3"/>
  <c r="J34" i="3"/>
  <c r="J33" i="3"/>
  <c r="J32" i="3"/>
  <c r="J31" i="3"/>
  <c r="J30" i="3"/>
  <c r="J29" i="3"/>
  <c r="J27" i="3"/>
  <c r="J26" i="3"/>
  <c r="J25" i="3"/>
  <c r="J20" i="3" l="1"/>
  <c r="AL86" i="20"/>
  <c r="J39" i="3"/>
  <c r="J37" i="3"/>
  <c r="J35" i="3"/>
  <c r="AJ82" i="24"/>
  <c r="AL82" i="24" s="1"/>
  <c r="AJ81" i="24"/>
  <c r="AL81" i="24" s="1"/>
  <c r="AJ80" i="24"/>
  <c r="AL80" i="24" s="1"/>
  <c r="AJ77" i="24"/>
  <c r="AL77" i="24" s="1"/>
  <c r="AJ75" i="24"/>
  <c r="AL75" i="24" s="1"/>
  <c r="AJ74" i="24"/>
  <c r="AL74" i="24" s="1"/>
  <c r="AJ73" i="24"/>
  <c r="AL73" i="24" s="1"/>
  <c r="AJ72" i="24"/>
  <c r="AL72" i="24" s="1"/>
  <c r="AG76" i="25"/>
  <c r="AJ76" i="25" s="1"/>
  <c r="AA76" i="25"/>
  <c r="Y76" i="25"/>
  <c r="S76" i="25"/>
  <c r="O76" i="25"/>
  <c r="M76" i="25"/>
  <c r="M80" i="25" s="1"/>
  <c r="K76" i="25"/>
  <c r="I76" i="25"/>
  <c r="E76" i="25"/>
  <c r="AA60" i="25"/>
  <c r="AA67" i="25" s="1"/>
  <c r="Y60" i="25"/>
  <c r="Y67" i="25" s="1"/>
  <c r="S60" i="25"/>
  <c r="S67" i="25" s="1"/>
  <c r="AJ64" i="25"/>
  <c r="AL64" i="25" s="1"/>
  <c r="AJ63" i="25"/>
  <c r="AL63" i="25" s="1"/>
  <c r="AJ62" i="25"/>
  <c r="AL62" i="25" s="1"/>
  <c r="AJ58" i="25"/>
  <c r="AJ57" i="25"/>
  <c r="AL57" i="25" s="1"/>
  <c r="AJ56" i="25"/>
  <c r="AL56" i="25" s="1"/>
  <c r="AJ55" i="25"/>
  <c r="AL55" i="25" s="1"/>
  <c r="AJ54" i="25"/>
  <c r="AL54" i="25" s="1"/>
  <c r="AJ52" i="25"/>
  <c r="AJ50" i="25"/>
  <c r="S95" i="24"/>
  <c r="O95" i="24"/>
  <c r="M95" i="24"/>
  <c r="I95" i="24"/>
  <c r="Y44" i="26"/>
  <c r="W44" i="26"/>
  <c r="U44" i="26"/>
  <c r="Q44" i="26"/>
  <c r="K44" i="26"/>
  <c r="I44" i="26"/>
  <c r="G44" i="26"/>
  <c r="Y33" i="26"/>
  <c r="U33" i="26"/>
  <c r="O33" i="26"/>
  <c r="O37" i="26" s="1"/>
  <c r="O49" i="26" s="1"/>
  <c r="K33" i="26"/>
  <c r="Q23" i="26"/>
  <c r="K23" i="26"/>
  <c r="AG32" i="29"/>
  <c r="AI32" i="29" s="1"/>
  <c r="AG31" i="29"/>
  <c r="AI31" i="29" s="1"/>
  <c r="X39" i="27"/>
  <c r="V39" i="27"/>
  <c r="T39" i="27"/>
  <c r="P39" i="27"/>
  <c r="N39" i="27"/>
  <c r="L39" i="27"/>
  <c r="L44" i="27" s="1"/>
  <c r="J39" i="27"/>
  <c r="H39" i="27"/>
  <c r="H44" i="27" s="1"/>
  <c r="F39" i="27"/>
  <c r="D39" i="27"/>
  <c r="B39" i="27"/>
  <c r="V28" i="27"/>
  <c r="T28" i="27"/>
  <c r="P28" i="27"/>
  <c r="N28" i="27"/>
  <c r="J28" i="27"/>
  <c r="X19" i="27"/>
  <c r="X32" i="27" s="1"/>
  <c r="V19" i="27"/>
  <c r="T19" i="27"/>
  <c r="N19" i="27"/>
  <c r="J19" i="27"/>
  <c r="X33" i="29"/>
  <c r="T33" i="29"/>
  <c r="P33" i="29"/>
  <c r="N33" i="29"/>
  <c r="L33" i="29"/>
  <c r="J33" i="29"/>
  <c r="H33" i="29"/>
  <c r="F33" i="29"/>
  <c r="D33" i="29"/>
  <c r="B33" i="29"/>
  <c r="AG24" i="29"/>
  <c r="AI24" i="29" s="1"/>
  <c r="AG23" i="29"/>
  <c r="AI23" i="29" s="1"/>
  <c r="AG22" i="29"/>
  <c r="AI22" i="29" s="1"/>
  <c r="X25" i="29"/>
  <c r="T25" i="29"/>
  <c r="P25" i="29"/>
  <c r="N25" i="29"/>
  <c r="J25" i="29"/>
  <c r="X33" i="28"/>
  <c r="T33" i="28"/>
  <c r="R33" i="28"/>
  <c r="P33" i="28"/>
  <c r="L33" i="28"/>
  <c r="L37" i="28" s="1"/>
  <c r="H33" i="28"/>
  <c r="F33" i="28"/>
  <c r="D33" i="28"/>
  <c r="B33" i="28"/>
  <c r="X25" i="28"/>
  <c r="T25" i="28"/>
  <c r="P25" i="28"/>
  <c r="J25" i="28"/>
  <c r="X17" i="28"/>
  <c r="T17" i="28"/>
  <c r="P17" i="28"/>
  <c r="J17" i="28"/>
  <c r="X17" i="29"/>
  <c r="T17" i="29"/>
  <c r="N17" i="29"/>
  <c r="J17" i="29"/>
  <c r="C42" i="31"/>
  <c r="AG85" i="24"/>
  <c r="S78" i="24"/>
  <c r="S85" i="24" s="1"/>
  <c r="M78" i="24"/>
  <c r="M85" i="24" s="1"/>
  <c r="E95" i="24"/>
  <c r="G32" i="12"/>
  <c r="G26" i="12"/>
  <c r="G30" i="12"/>
  <c r="AG88" i="21"/>
  <c r="Z88" i="21"/>
  <c r="X88" i="21"/>
  <c r="H88" i="21"/>
  <c r="D88" i="21"/>
  <c r="G29" i="11"/>
  <c r="Z116" i="20"/>
  <c r="T116" i="20"/>
  <c r="R116" i="20"/>
  <c r="N116" i="20"/>
  <c r="N120" i="20" s="1"/>
  <c r="H116" i="20"/>
  <c r="F116" i="20"/>
  <c r="R100" i="20"/>
  <c r="R107" i="20" s="1"/>
  <c r="D116" i="20"/>
  <c r="Z118" i="19"/>
  <c r="N118" i="19"/>
  <c r="F118" i="19"/>
  <c r="AF120" i="18"/>
  <c r="I32" i="12" l="1"/>
  <c r="K32" i="12"/>
  <c r="I30" i="12"/>
  <c r="K30" i="12"/>
  <c r="I26" i="12"/>
  <c r="K26" i="12"/>
  <c r="I29" i="11"/>
  <c r="K29" i="11"/>
  <c r="AL76" i="25"/>
  <c r="S49" i="26"/>
  <c r="E29" i="8"/>
  <c r="E31" i="10"/>
  <c r="E29" i="10"/>
  <c r="E21" i="8"/>
  <c r="E32" i="8"/>
  <c r="E24" i="10"/>
  <c r="E30" i="8"/>
  <c r="E40" i="7"/>
  <c r="K40" i="7" s="1"/>
  <c r="E27" i="14"/>
  <c r="E21" i="10"/>
  <c r="O21" i="10" s="1"/>
  <c r="E23" i="10"/>
  <c r="O23" i="10" s="1"/>
  <c r="E25" i="8"/>
  <c r="E24" i="8"/>
  <c r="E30" i="10"/>
  <c r="O33" i="14"/>
  <c r="E25" i="10"/>
  <c r="E33" i="10"/>
  <c r="E33" i="8"/>
  <c r="K33" i="8" s="1"/>
  <c r="E33" i="14"/>
  <c r="E23" i="8"/>
  <c r="O27" i="14"/>
  <c r="E34" i="10"/>
  <c r="E31" i="8"/>
  <c r="E27" i="12"/>
  <c r="E20" i="8"/>
  <c r="E20" i="10"/>
  <c r="O20" i="10" s="1"/>
  <c r="E22" i="10"/>
  <c r="O22" i="10" s="1"/>
  <c r="E33" i="12"/>
  <c r="J43" i="3"/>
  <c r="Q67" i="25"/>
  <c r="J28" i="29"/>
  <c r="J37" i="29" s="1"/>
  <c r="V32" i="27"/>
  <c r="V44" i="27" s="1"/>
  <c r="T32" i="27"/>
  <c r="T44" i="27" s="1"/>
  <c r="Q37" i="26"/>
  <c r="Q49" i="26" s="1"/>
  <c r="J32" i="27"/>
  <c r="J44" i="27" s="1"/>
  <c r="Y37" i="26"/>
  <c r="Y49" i="26" s="1"/>
  <c r="R44" i="27"/>
  <c r="N32" i="27"/>
  <c r="N44" i="27" s="1"/>
  <c r="X28" i="28"/>
  <c r="X37" i="28" s="1"/>
  <c r="B37" i="28"/>
  <c r="G21" i="14"/>
  <c r="R37" i="28"/>
  <c r="AL100" i="20"/>
  <c r="AG79" i="21"/>
  <c r="AG82" i="21" s="1"/>
  <c r="T28" i="28"/>
  <c r="T37" i="28" s="1"/>
  <c r="G31" i="10"/>
  <c r="K31" i="10" s="1"/>
  <c r="G33" i="10"/>
  <c r="F44" i="27"/>
  <c r="H37" i="28"/>
  <c r="G24" i="10"/>
  <c r="K24" i="10" s="1"/>
  <c r="E100" i="24"/>
  <c r="E80" i="25"/>
  <c r="W37" i="26"/>
  <c r="W49" i="26" s="1"/>
  <c r="T28" i="29"/>
  <c r="T37" i="29" s="1"/>
  <c r="T120" i="20"/>
  <c r="X44" i="27"/>
  <c r="P28" i="28"/>
  <c r="P37" i="28" s="1"/>
  <c r="D44" i="27"/>
  <c r="N28" i="29"/>
  <c r="N37" i="29" s="1"/>
  <c r="B37" i="29"/>
  <c r="H37" i="29"/>
  <c r="P28" i="29"/>
  <c r="P37" i="29" s="1"/>
  <c r="X28" i="29"/>
  <c r="X37" i="29" s="1"/>
  <c r="F37" i="29"/>
  <c r="J28" i="28"/>
  <c r="J37" i="28" s="1"/>
  <c r="G30" i="10"/>
  <c r="K30" i="10" s="1"/>
  <c r="N122" i="19"/>
  <c r="D120" i="20"/>
  <c r="AG52" i="22"/>
  <c r="AI52" i="22" s="1"/>
  <c r="G25" i="12"/>
  <c r="AG33" i="29"/>
  <c r="AI33" i="29" s="1"/>
  <c r="AG25" i="29"/>
  <c r="AI25" i="29" s="1"/>
  <c r="R110" i="20"/>
  <c r="R120" i="20" s="1"/>
  <c r="AJ91" i="24"/>
  <c r="AL91" i="24" s="1"/>
  <c r="J21" i="3"/>
  <c r="Q88" i="24"/>
  <c r="Q100" i="24" s="1"/>
  <c r="S88" i="24"/>
  <c r="S100" i="24" s="1"/>
  <c r="AA88" i="24"/>
  <c r="AA100" i="24" s="1"/>
  <c r="W100" i="24"/>
  <c r="M88" i="24"/>
  <c r="Y100" i="24"/>
  <c r="AJ83" i="24"/>
  <c r="AL83" i="24" s="1"/>
  <c r="O70" i="25"/>
  <c r="O80" i="25" s="1"/>
  <c r="K80" i="25"/>
  <c r="S70" i="25"/>
  <c r="S80" i="25" s="1"/>
  <c r="AA70" i="25"/>
  <c r="AA80" i="25" s="1"/>
  <c r="Y70" i="25"/>
  <c r="Y80" i="25" s="1"/>
  <c r="AJ51" i="25"/>
  <c r="AL51" i="25" s="1"/>
  <c r="I49" i="26"/>
  <c r="K37" i="26"/>
  <c r="K49" i="26" s="1"/>
  <c r="B44" i="27"/>
  <c r="D37" i="29"/>
  <c r="AG60" i="22"/>
  <c r="AI60" i="22" s="1"/>
  <c r="G31" i="12"/>
  <c r="G49" i="26"/>
  <c r="AG69" i="22"/>
  <c r="AI69" i="22" s="1"/>
  <c r="AG68" i="22"/>
  <c r="AI68" i="22" s="1"/>
  <c r="F37" i="28"/>
  <c r="H120" i="20"/>
  <c r="AJ65" i="25"/>
  <c r="AL65" i="25" s="1"/>
  <c r="I80" i="25"/>
  <c r="AJ70" i="24"/>
  <c r="AL70" i="24" s="1"/>
  <c r="I100" i="24"/>
  <c r="AJ19" i="24"/>
  <c r="AL19" i="24" s="1"/>
  <c r="AJ26" i="24"/>
  <c r="AL26" i="24" s="1"/>
  <c r="AJ92" i="24"/>
  <c r="AL92" i="24" s="1"/>
  <c r="AJ20" i="24"/>
  <c r="AL20" i="24" s="1"/>
  <c r="D37" i="28"/>
  <c r="AJ76" i="24"/>
  <c r="AL76" i="24" s="1"/>
  <c r="AJ69" i="24"/>
  <c r="AL69" i="24" s="1"/>
  <c r="AJ68" i="24"/>
  <c r="AL68" i="24" s="1"/>
  <c r="AJ59" i="25"/>
  <c r="Q30" i="14"/>
  <c r="AJ44" i="25"/>
  <c r="AL44" i="25" s="1"/>
  <c r="AG58" i="22"/>
  <c r="AI58" i="22" s="1"/>
  <c r="AG110" i="20"/>
  <c r="AG120" i="20" s="1"/>
  <c r="AJ100" i="20"/>
  <c r="F120" i="20"/>
  <c r="AL107" i="20"/>
  <c r="C45" i="31"/>
  <c r="AA33" i="29"/>
  <c r="N19" i="6"/>
  <c r="N34" i="2"/>
  <c r="C101" i="30"/>
  <c r="C91" i="30"/>
  <c r="O30" i="10" l="1"/>
  <c r="S30" i="14"/>
  <c r="U30" i="14"/>
  <c r="U33" i="14" s="1"/>
  <c r="U37" i="14" s="1"/>
  <c r="I21" i="14"/>
  <c r="K21" i="14"/>
  <c r="O24" i="10"/>
  <c r="O31" i="10"/>
  <c r="I31" i="12"/>
  <c r="K31" i="12"/>
  <c r="K33" i="12" s="1"/>
  <c r="I25" i="12"/>
  <c r="K25" i="12"/>
  <c r="K27" i="12" s="1"/>
  <c r="J46" i="3"/>
  <c r="E22" i="7"/>
  <c r="C103" i="30"/>
  <c r="C158" i="30" s="1"/>
  <c r="AJ82" i="21"/>
  <c r="AG92" i="21"/>
  <c r="E37" i="14"/>
  <c r="E40" i="14" s="1"/>
  <c r="M100" i="24"/>
  <c r="G32" i="7"/>
  <c r="K32" i="7" s="1"/>
  <c r="E30" i="7"/>
  <c r="E20" i="7"/>
  <c r="K20" i="7" s="1"/>
  <c r="E31" i="7"/>
  <c r="E37" i="12"/>
  <c r="E40" i="12" s="1"/>
  <c r="O37" i="14"/>
  <c r="O40" i="14" s="1"/>
  <c r="E35" i="10"/>
  <c r="E34" i="8"/>
  <c r="E24" i="7"/>
  <c r="E25" i="7"/>
  <c r="K26" i="11"/>
  <c r="K35" i="11"/>
  <c r="E29" i="7"/>
  <c r="E21" i="7"/>
  <c r="E26" i="10"/>
  <c r="E31" i="9"/>
  <c r="E43" i="9"/>
  <c r="E33" i="13"/>
  <c r="E26" i="8"/>
  <c r="E33" i="7"/>
  <c r="E40" i="8"/>
  <c r="E41" i="7"/>
  <c r="E41" i="8"/>
  <c r="E42" i="7"/>
  <c r="E27" i="13"/>
  <c r="E23" i="7"/>
  <c r="K23" i="7" s="1"/>
  <c r="K33" i="10"/>
  <c r="O33" i="10" s="1"/>
  <c r="G33" i="7"/>
  <c r="O124" i="16"/>
  <c r="O133" i="16" s="1"/>
  <c r="AF79" i="23"/>
  <c r="AF86" i="23" s="1"/>
  <c r="G21" i="13"/>
  <c r="G22" i="7" s="1"/>
  <c r="K32" i="13"/>
  <c r="O32" i="13" s="1"/>
  <c r="G30" i="14"/>
  <c r="G20" i="14"/>
  <c r="G35" i="11"/>
  <c r="AL60" i="25"/>
  <c r="G33" i="12"/>
  <c r="G26" i="10"/>
  <c r="G27" i="12"/>
  <c r="K24" i="13"/>
  <c r="O24" i="13" s="1"/>
  <c r="Q27" i="14"/>
  <c r="AI71" i="22"/>
  <c r="K31" i="13"/>
  <c r="O31" i="13" s="1"/>
  <c r="AJ46" i="25"/>
  <c r="G24" i="7"/>
  <c r="AJ27" i="24"/>
  <c r="AL27" i="24" s="1"/>
  <c r="AJ22" i="24"/>
  <c r="AL22" i="24" s="1"/>
  <c r="AG54" i="22"/>
  <c r="AI54" i="22" s="1"/>
  <c r="AJ60" i="25"/>
  <c r="AJ78" i="24"/>
  <c r="AL78" i="24" s="1"/>
  <c r="AL95" i="24"/>
  <c r="AG62" i="22"/>
  <c r="AI62" i="22" s="1"/>
  <c r="AJ107" i="20"/>
  <c r="AG88" i="24"/>
  <c r="H24" i="6"/>
  <c r="AK37" i="18"/>
  <c r="G25" i="9"/>
  <c r="K25" i="9" s="1"/>
  <c r="AI105" i="18"/>
  <c r="AK105" i="18" s="1"/>
  <c r="AI108" i="18"/>
  <c r="AK108" i="18" s="1"/>
  <c r="AI109" i="18"/>
  <c r="AK109" i="18" s="1"/>
  <c r="AI110" i="18"/>
  <c r="AK110" i="18" s="1"/>
  <c r="AI111" i="18"/>
  <c r="AK111" i="18" s="1"/>
  <c r="AI112" i="18"/>
  <c r="AK112" i="18" s="1"/>
  <c r="AI113" i="18"/>
  <c r="AK113" i="18" s="1"/>
  <c r="R114" i="18"/>
  <c r="R120" i="18" s="1"/>
  <c r="Q133" i="16" s="1"/>
  <c r="AI116" i="18"/>
  <c r="AK116" i="18" s="1"/>
  <c r="G27" i="9"/>
  <c r="AI134" i="18"/>
  <c r="AK134" i="18" s="1"/>
  <c r="F137" i="18"/>
  <c r="H137" i="18"/>
  <c r="J137" i="18"/>
  <c r="L137" i="18"/>
  <c r="R137" i="18"/>
  <c r="T137" i="18"/>
  <c r="X137" i="18"/>
  <c r="Z137" i="18"/>
  <c r="Z70" i="21"/>
  <c r="Z79" i="21" s="1"/>
  <c r="X70" i="21"/>
  <c r="X79" i="21" s="1"/>
  <c r="X82" i="21" s="1"/>
  <c r="R70" i="21"/>
  <c r="R79" i="21" s="1"/>
  <c r="K20" i="14" l="1"/>
  <c r="K27" i="14" s="1"/>
  <c r="I20" i="14"/>
  <c r="I30" i="14"/>
  <c r="K30" i="14"/>
  <c r="K33" i="14" s="1"/>
  <c r="K33" i="7"/>
  <c r="K39" i="11"/>
  <c r="K24" i="7"/>
  <c r="I27" i="9"/>
  <c r="K27" i="9"/>
  <c r="K22" i="7"/>
  <c r="I25" i="9"/>
  <c r="G31" i="9"/>
  <c r="T92" i="21"/>
  <c r="R82" i="21"/>
  <c r="K37" i="12"/>
  <c r="G37" i="12"/>
  <c r="E39" i="10"/>
  <c r="E42" i="10" s="1"/>
  <c r="E37" i="8"/>
  <c r="E37" i="13"/>
  <c r="E40" i="13" s="1"/>
  <c r="E47" i="9"/>
  <c r="E26" i="7"/>
  <c r="E42" i="8"/>
  <c r="E46" i="8" s="1"/>
  <c r="K21" i="13"/>
  <c r="O21" i="13" s="1"/>
  <c r="G20" i="13"/>
  <c r="G30" i="13"/>
  <c r="G27" i="14"/>
  <c r="AG100" i="24"/>
  <c r="D92" i="21"/>
  <c r="G25" i="7"/>
  <c r="K25" i="7" s="1"/>
  <c r="Q33" i="14"/>
  <c r="Q37" i="14" s="1"/>
  <c r="AJ32" i="24"/>
  <c r="AL32" i="24" s="1"/>
  <c r="AI98" i="18"/>
  <c r="AK98" i="18" s="1"/>
  <c r="X92" i="21"/>
  <c r="N92" i="21"/>
  <c r="J92" i="21"/>
  <c r="AI133" i="18"/>
  <c r="AK133" i="18" s="1"/>
  <c r="G38" i="9"/>
  <c r="AI131" i="18"/>
  <c r="AK131" i="18" s="1"/>
  <c r="AI118" i="18"/>
  <c r="AK118" i="18" s="1"/>
  <c r="G36" i="9"/>
  <c r="AI117" i="18"/>
  <c r="AK117" i="18" s="1"/>
  <c r="G33" i="14"/>
  <c r="AK45" i="18"/>
  <c r="H92" i="21"/>
  <c r="AJ85" i="24"/>
  <c r="AL85" i="24" s="1"/>
  <c r="AI127" i="18"/>
  <c r="AK127" i="18" s="1"/>
  <c r="AJ110" i="20"/>
  <c r="AL110" i="20" s="1"/>
  <c r="R123" i="18"/>
  <c r="AI104" i="18"/>
  <c r="AK104" i="18" s="1"/>
  <c r="I38" i="9" l="1"/>
  <c r="K38" i="9"/>
  <c r="I36" i="9"/>
  <c r="K36" i="9"/>
  <c r="K37" i="14"/>
  <c r="R92" i="21"/>
  <c r="Z82" i="21"/>
  <c r="Z92" i="21" s="1"/>
  <c r="F49" i="3"/>
  <c r="K30" i="13"/>
  <c r="O30" i="13" s="1"/>
  <c r="G37" i="14"/>
  <c r="AI137" i="18"/>
  <c r="AK137" i="18" s="1"/>
  <c r="G31" i="7"/>
  <c r="K31" i="7" s="1"/>
  <c r="G30" i="7"/>
  <c r="K30" i="7" s="1"/>
  <c r="AJ64" i="24"/>
  <c r="AL64" i="24" s="1"/>
  <c r="AG65" i="22"/>
  <c r="AJ88" i="24"/>
  <c r="AL88" i="24" s="1"/>
  <c r="H33" i="6"/>
  <c r="H32" i="6"/>
  <c r="D33" i="6"/>
  <c r="D32" i="6"/>
  <c r="L32" i="6" l="1"/>
  <c r="S32" i="6" s="1"/>
  <c r="U32" i="6" s="1"/>
  <c r="O33" i="13"/>
  <c r="K33" i="13"/>
  <c r="G33" i="13"/>
  <c r="K20" i="13"/>
  <c r="O20" i="13" s="1"/>
  <c r="G27" i="13"/>
  <c r="G21" i="7"/>
  <c r="K21" i="7" s="1"/>
  <c r="AG75" i="22"/>
  <c r="AI75" i="22" s="1"/>
  <c r="AI65" i="22"/>
  <c r="AJ100" i="24"/>
  <c r="D34" i="6"/>
  <c r="L33" i="6"/>
  <c r="S33" i="6" s="1"/>
  <c r="U33" i="6" s="1"/>
  <c r="P34" i="6"/>
  <c r="J32" i="6"/>
  <c r="J33" i="6"/>
  <c r="H34" i="6"/>
  <c r="G34" i="10"/>
  <c r="K26" i="7" l="1"/>
  <c r="U34" i="6"/>
  <c r="K34" i="10"/>
  <c r="O34" i="10" s="1"/>
  <c r="AL100" i="24"/>
  <c r="G37" i="13"/>
  <c r="G26" i="7"/>
  <c r="S34" i="6"/>
  <c r="L34" i="6"/>
  <c r="J34" i="6"/>
  <c r="G42" i="7" l="1"/>
  <c r="K42" i="7" s="1"/>
  <c r="AE131" i="16" l="1"/>
  <c r="AJ74" i="21"/>
  <c r="AL74" i="21" s="1"/>
  <c r="AJ68" i="21"/>
  <c r="AL68" i="21" s="1"/>
  <c r="AJ96" i="20"/>
  <c r="AL96" i="20" s="1"/>
  <c r="R25" i="11"/>
  <c r="V25" i="11" s="1"/>
  <c r="AJ77" i="21"/>
  <c r="AL77" i="21" s="1"/>
  <c r="AJ73" i="21"/>
  <c r="AL73" i="21" s="1"/>
  <c r="AJ72" i="21"/>
  <c r="AL72" i="21" s="1"/>
  <c r="AJ69" i="21"/>
  <c r="AL69" i="21" s="1"/>
  <c r="AJ67" i="21"/>
  <c r="AL67" i="21" s="1"/>
  <c r="AJ66" i="21"/>
  <c r="AL66" i="21" s="1"/>
  <c r="AJ65" i="21"/>
  <c r="AL65" i="21" s="1"/>
  <c r="AJ64" i="21"/>
  <c r="AL64" i="21" s="1"/>
  <c r="AJ61" i="21"/>
  <c r="AL61" i="21" s="1"/>
  <c r="AJ62" i="21"/>
  <c r="AL62" i="21" s="1"/>
  <c r="AJ54" i="21"/>
  <c r="AJ56" i="21" s="1"/>
  <c r="AJ105" i="20"/>
  <c r="AL105" i="20" s="1"/>
  <c r="AJ104" i="20"/>
  <c r="AL104" i="20" s="1"/>
  <c r="AJ103" i="20"/>
  <c r="AL103" i="20" s="1"/>
  <c r="AJ102" i="20"/>
  <c r="AL102" i="20" s="1"/>
  <c r="AJ99" i="20"/>
  <c r="AL99" i="20" s="1"/>
  <c r="AJ98" i="20"/>
  <c r="AL98" i="20" s="1"/>
  <c r="AJ97" i="20"/>
  <c r="AL97" i="20" s="1"/>
  <c r="AJ95" i="20"/>
  <c r="AL95" i="20" s="1"/>
  <c r="AJ94" i="20"/>
  <c r="AL94" i="20" s="1"/>
  <c r="AJ92" i="20"/>
  <c r="AL92" i="20" s="1"/>
  <c r="AJ91" i="20"/>
  <c r="AL91" i="20" s="1"/>
  <c r="AJ90" i="20"/>
  <c r="AL90" i="20" s="1"/>
  <c r="AJ84" i="20"/>
  <c r="AL84" i="20" s="1"/>
  <c r="V26" i="11" l="1"/>
  <c r="T25" i="11"/>
  <c r="AE121" i="16"/>
  <c r="AE119" i="16"/>
  <c r="AE116" i="16"/>
  <c r="AE115" i="16"/>
  <c r="AE114" i="16"/>
  <c r="R26" i="11"/>
  <c r="AE122" i="16"/>
  <c r="AE123" i="16"/>
  <c r="AE127" i="16"/>
  <c r="AE120" i="16"/>
  <c r="AE126" i="16"/>
  <c r="AE118" i="16"/>
  <c r="AE128" i="16"/>
  <c r="AJ86" i="20"/>
  <c r="J51" i="3"/>
  <c r="J55" i="3" s="1"/>
  <c r="AD88" i="21"/>
  <c r="AJ85" i="21"/>
  <c r="AJ113" i="20"/>
  <c r="AL113" i="20" s="1"/>
  <c r="AJ60" i="21"/>
  <c r="AL60" i="21" s="1"/>
  <c r="R29" i="11"/>
  <c r="V29" i="11" s="1"/>
  <c r="V35" i="11" l="1"/>
  <c r="V39" i="11" s="1"/>
  <c r="T29" i="11"/>
  <c r="AL88" i="21"/>
  <c r="AD92" i="21"/>
  <c r="K59" i="30"/>
  <c r="I26" i="10"/>
  <c r="K25" i="10"/>
  <c r="O25" i="10" s="1"/>
  <c r="AL70" i="21"/>
  <c r="AD120" i="20"/>
  <c r="AL116" i="20"/>
  <c r="AE124" i="16"/>
  <c r="AJ88" i="21"/>
  <c r="AJ116" i="20"/>
  <c r="AJ120" i="20" s="1"/>
  <c r="G39" i="11"/>
  <c r="AL79" i="21"/>
  <c r="AJ70" i="21"/>
  <c r="O26" i="10" l="1"/>
  <c r="K26" i="10"/>
  <c r="AL120" i="20"/>
  <c r="G29" i="10"/>
  <c r="R35" i="11"/>
  <c r="R39" i="11" s="1"/>
  <c r="AJ79" i="21"/>
  <c r="AL82" i="21"/>
  <c r="K29" i="10" l="1"/>
  <c r="O29" i="10" s="1"/>
  <c r="G35" i="10"/>
  <c r="G39" i="10" s="1"/>
  <c r="AJ92" i="21"/>
  <c r="J15" i="6"/>
  <c r="O35" i="10" l="1"/>
  <c r="O39" i="10" s="1"/>
  <c r="AL92" i="21"/>
  <c r="K35" i="10"/>
  <c r="K39" i="10"/>
  <c r="AL69" i="23" l="1"/>
  <c r="AN69" i="23" s="1"/>
  <c r="AL74" i="23"/>
  <c r="AN74" i="23" s="1"/>
  <c r="AL78" i="23"/>
  <c r="AN78" i="23" s="1"/>
  <c r="AL92" i="23"/>
  <c r="AN92" i="23" s="1"/>
  <c r="E96" i="23"/>
  <c r="AL77" i="23"/>
  <c r="AN77" i="23" s="1"/>
  <c r="AL76" i="23"/>
  <c r="AN76" i="23" s="1"/>
  <c r="AL82" i="23"/>
  <c r="AN82" i="23" s="1"/>
  <c r="AL93" i="23"/>
  <c r="AN93" i="23" s="1"/>
  <c r="AL73" i="23"/>
  <c r="AN73" i="23" s="1"/>
  <c r="AL83" i="23"/>
  <c r="AN83" i="23" s="1"/>
  <c r="AL70" i="23"/>
  <c r="AN70" i="23" s="1"/>
  <c r="AL75" i="23"/>
  <c r="AN75" i="23" s="1"/>
  <c r="AL81" i="23"/>
  <c r="AN81" i="23" s="1"/>
  <c r="AD95" i="19"/>
  <c r="AJ95" i="19" s="1"/>
  <c r="AL95" i="19" s="1"/>
  <c r="AD107" i="19"/>
  <c r="AJ107" i="19" s="1"/>
  <c r="AL107" i="19" s="1"/>
  <c r="AD98" i="19"/>
  <c r="AD92" i="19"/>
  <c r="AJ92" i="19" s="1"/>
  <c r="AL92" i="19" s="1"/>
  <c r="AD90" i="19"/>
  <c r="AD99" i="19"/>
  <c r="AJ99" i="19" s="1"/>
  <c r="AL99" i="19" s="1"/>
  <c r="AD104" i="19"/>
  <c r="AD91" i="19"/>
  <c r="J25" i="2" s="1"/>
  <c r="AD96" i="19"/>
  <c r="AJ96" i="19" s="1"/>
  <c r="AL96" i="19" s="1"/>
  <c r="AJ102" i="19"/>
  <c r="AL102" i="19" s="1"/>
  <c r="AD84" i="19"/>
  <c r="AJ103" i="19"/>
  <c r="AL103" i="19" s="1"/>
  <c r="AD97" i="19"/>
  <c r="AJ97" i="19" s="1"/>
  <c r="AL97" i="19" s="1"/>
  <c r="AJ116" i="19"/>
  <c r="AL116" i="19" s="1"/>
  <c r="AD94" i="19"/>
  <c r="AB20" i="2"/>
  <c r="V48" i="2"/>
  <c r="M139" i="16" s="1"/>
  <c r="Z141" i="18"/>
  <c r="R141" i="18"/>
  <c r="L141" i="18"/>
  <c r="J141" i="18"/>
  <c r="H141" i="18"/>
  <c r="F141" i="18"/>
  <c r="AC143" i="18" l="1"/>
  <c r="AJ104" i="19"/>
  <c r="AL104" i="19" s="1"/>
  <c r="J38" i="2"/>
  <c r="AJ91" i="19"/>
  <c r="AL91" i="19" s="1"/>
  <c r="AJ98" i="19"/>
  <c r="AL98" i="19" s="1"/>
  <c r="J32" i="2"/>
  <c r="AJ94" i="19"/>
  <c r="AL94" i="19" s="1"/>
  <c r="AD100" i="19"/>
  <c r="C110" i="16"/>
  <c r="AL94" i="23"/>
  <c r="AN94" i="23" s="1"/>
  <c r="AJ84" i="19"/>
  <c r="AL84" i="19" s="1"/>
  <c r="AL63" i="23"/>
  <c r="AN63" i="23" s="1"/>
  <c r="AL82" i="19"/>
  <c r="AJ115" i="19"/>
  <c r="AL115" i="19" s="1"/>
  <c r="AD118" i="19"/>
  <c r="AJ118" i="19" s="1"/>
  <c r="AL118" i="19" s="1"/>
  <c r="AJ90" i="19"/>
  <c r="AL90" i="19" s="1"/>
  <c r="AL84" i="23"/>
  <c r="AN84" i="23" s="1"/>
  <c r="AL71" i="23"/>
  <c r="AN71" i="23" s="1"/>
  <c r="AN96" i="23"/>
  <c r="P34" i="2"/>
  <c r="P42" i="2" s="1"/>
  <c r="H34" i="2"/>
  <c r="H42" i="2" s="1"/>
  <c r="AL79" i="23" l="1"/>
  <c r="AJ100" i="19"/>
  <c r="AD109" i="19"/>
  <c r="AN79" i="23" l="1"/>
  <c r="AL86" i="23"/>
  <c r="N37" i="5"/>
  <c r="AJ109" i="19"/>
  <c r="AL109" i="19" s="1"/>
  <c r="AL100" i="19"/>
  <c r="AG67" i="25"/>
  <c r="AG70" i="25" l="1"/>
  <c r="AL70" i="25" s="1"/>
  <c r="AL67" i="25"/>
  <c r="AJ67" i="25"/>
  <c r="AJ70" i="25" l="1"/>
  <c r="AG80" i="25"/>
  <c r="AL80" i="25" l="1"/>
  <c r="AJ80" i="25"/>
  <c r="E43" i="7" l="1"/>
  <c r="E34" i="7"/>
  <c r="E37" i="7" l="1"/>
  <c r="E47" i="7"/>
  <c r="E50" i="7" s="1"/>
  <c r="AD34" i="2" l="1"/>
  <c r="AD42" i="2" s="1"/>
  <c r="AE143" i="16" l="1"/>
  <c r="N26" i="6" l="1"/>
  <c r="N29" i="6" s="1"/>
  <c r="H25" i="6" l="1"/>
  <c r="H23" i="6" l="1"/>
  <c r="H26" i="6" s="1"/>
  <c r="H27" i="32" l="1"/>
  <c r="O203" i="42"/>
  <c r="K50" i="30"/>
  <c r="K15" i="30"/>
  <c r="K142" i="30"/>
  <c r="D25" i="6"/>
  <c r="L25" i="6" s="1"/>
  <c r="S25" i="6" s="1"/>
  <c r="U25" i="6" s="1"/>
  <c r="D24" i="6"/>
  <c r="L24" i="6" s="1"/>
  <c r="D23" i="6"/>
  <c r="D18" i="6"/>
  <c r="D19" i="6" l="1"/>
  <c r="D26" i="6"/>
  <c r="D29" i="6" l="1"/>
  <c r="D39" i="6" s="1"/>
  <c r="W28" i="27"/>
  <c r="F20" i="33" l="1"/>
  <c r="F27" i="32"/>
  <c r="E28" i="31"/>
  <c r="M241" i="42"/>
  <c r="M234" i="42"/>
  <c r="M29" i="42"/>
  <c r="M55" i="42"/>
  <c r="M46" i="42"/>
  <c r="M91" i="42"/>
  <c r="M42" i="42"/>
  <c r="M225" i="42"/>
  <c r="S23" i="14"/>
  <c r="S20" i="14"/>
  <c r="K88" i="30"/>
  <c r="M63" i="42"/>
  <c r="M45" i="42"/>
  <c r="K116" i="30"/>
  <c r="G46" i="34"/>
  <c r="M46" i="34" s="1"/>
  <c r="M30" i="42"/>
  <c r="M18" i="42"/>
  <c r="K95" i="30"/>
  <c r="M49" i="42"/>
  <c r="C22" i="8"/>
  <c r="L23" i="32"/>
  <c r="J27" i="32"/>
  <c r="M23" i="42"/>
  <c r="S26" i="14"/>
  <c r="M80" i="42"/>
  <c r="G41" i="34"/>
  <c r="M41" i="34" s="1"/>
  <c r="K27" i="31"/>
  <c r="M176" i="42"/>
  <c r="M24" i="42"/>
  <c r="M44" i="42"/>
  <c r="G59" i="34"/>
  <c r="M59" i="34" s="1"/>
  <c r="M64" i="42"/>
  <c r="M67" i="42"/>
  <c r="M22" i="42"/>
  <c r="G22" i="34"/>
  <c r="M22" i="34" s="1"/>
  <c r="M57" i="42"/>
  <c r="G64" i="34"/>
  <c r="M64" i="34" s="1"/>
  <c r="M41" i="42"/>
  <c r="M35" i="42"/>
  <c r="M53" i="42"/>
  <c r="M50" i="42"/>
  <c r="G56" i="34"/>
  <c r="M56" i="34" s="1"/>
  <c r="M40" i="42"/>
  <c r="J19" i="33"/>
  <c r="M126" i="42"/>
  <c r="M125" i="42"/>
  <c r="M38" i="42"/>
  <c r="G36" i="34"/>
  <c r="M36" i="34" s="1"/>
  <c r="M70" i="42"/>
  <c r="M66" i="42"/>
  <c r="S25" i="14"/>
  <c r="G57" i="34"/>
  <c r="M57" i="34" s="1"/>
  <c r="G70" i="34"/>
  <c r="G66" i="34"/>
  <c r="M66" i="34" s="1"/>
  <c r="M55" i="34"/>
  <c r="G19" i="34"/>
  <c r="M19" i="34" s="1"/>
  <c r="E72" i="34"/>
  <c r="M26" i="42"/>
  <c r="J16" i="33"/>
  <c r="H20" i="33"/>
  <c r="M229" i="42"/>
  <c r="K117" i="30"/>
  <c r="G38" i="34"/>
  <c r="M38" i="34" s="1"/>
  <c r="I24" i="11"/>
  <c r="K85" i="30"/>
  <c r="M54" i="42"/>
  <c r="M33" i="42"/>
  <c r="K107" i="30"/>
  <c r="M231" i="42"/>
  <c r="M34" i="42"/>
  <c r="M51" i="42"/>
  <c r="K64" i="30"/>
  <c r="M52" i="42"/>
  <c r="S22" i="14"/>
  <c r="G20" i="34"/>
  <c r="Z12" i="37"/>
  <c r="M58" i="42"/>
  <c r="M89" i="42"/>
  <c r="M56" i="42"/>
  <c r="K112" i="30"/>
  <c r="M221" i="42"/>
  <c r="I25" i="14"/>
  <c r="S21" i="14"/>
  <c r="M17" i="42"/>
  <c r="M87" i="42"/>
  <c r="M60" i="42"/>
  <c r="G58" i="34"/>
  <c r="M58" i="34" s="1"/>
  <c r="M37" i="42"/>
  <c r="M99" i="42"/>
  <c r="M39" i="42"/>
  <c r="M20" i="42"/>
  <c r="M21" i="42"/>
  <c r="I24" i="14"/>
  <c r="M33" i="34"/>
  <c r="M68" i="42"/>
  <c r="M65" i="42"/>
  <c r="G63" i="34"/>
  <c r="M63" i="34" s="1"/>
  <c r="G52" i="34"/>
  <c r="T20" i="11"/>
  <c r="M86" i="42"/>
  <c r="C32" i="10"/>
  <c r="M32" i="10" s="1"/>
  <c r="I28" i="31"/>
  <c r="K18" i="31"/>
  <c r="G23" i="34"/>
  <c r="M23" i="34" s="1"/>
  <c r="M72" i="42"/>
  <c r="M97" i="42"/>
  <c r="M59" i="42"/>
  <c r="M48" i="42"/>
  <c r="M16" i="42"/>
  <c r="G37" i="34"/>
  <c r="M37" i="34" s="1"/>
  <c r="K149" i="30"/>
  <c r="M47" i="42"/>
  <c r="M218" i="42"/>
  <c r="G45" i="34"/>
  <c r="M45" i="34" s="1"/>
  <c r="M62" i="42"/>
  <c r="M43" i="42"/>
  <c r="M60" i="34"/>
  <c r="M15" i="42"/>
  <c r="M31" i="42"/>
  <c r="M28" i="42"/>
  <c r="G21" i="34"/>
  <c r="M21" i="34" s="1"/>
  <c r="M235" i="42"/>
  <c r="M32" i="42"/>
  <c r="M73" i="42"/>
  <c r="M230" i="42"/>
  <c r="M19" i="42"/>
  <c r="M10" i="42"/>
  <c r="G48" i="34"/>
  <c r="G42" i="34"/>
  <c r="M42" i="34" s="1"/>
  <c r="M71" i="42"/>
  <c r="M27" i="42"/>
  <c r="G69" i="34"/>
  <c r="M69" i="34" s="1"/>
  <c r="M36" i="42"/>
  <c r="K31" i="9"/>
  <c r="R48" i="2"/>
  <c r="R30" i="2"/>
  <c r="R37" i="2"/>
  <c r="R36" i="2"/>
  <c r="R28" i="2"/>
  <c r="R38" i="2"/>
  <c r="R41" i="2"/>
  <c r="R33" i="2"/>
  <c r="R32" i="2"/>
  <c r="R31" i="2"/>
  <c r="R29" i="2"/>
  <c r="R26" i="2"/>
  <c r="R24" i="2"/>
  <c r="R19" i="2"/>
  <c r="J20" i="33" l="1"/>
  <c r="X48" i="2"/>
  <c r="R49" i="2"/>
  <c r="R51" i="2" s="1"/>
  <c r="R25" i="2"/>
  <c r="R34" i="2" s="1"/>
  <c r="R42" i="2" s="1"/>
  <c r="AB139" i="16" l="1"/>
  <c r="AN86" i="23" l="1"/>
  <c r="AH139" i="16"/>
  <c r="AJ139" i="16" s="1"/>
  <c r="N50" i="3" l="1"/>
  <c r="N49" i="2"/>
  <c r="N49" i="3" s="1"/>
  <c r="T49" i="3" s="1"/>
  <c r="N40" i="2"/>
  <c r="N37" i="2"/>
  <c r="N38" i="3" s="1"/>
  <c r="N20" i="3"/>
  <c r="N18" i="2"/>
  <c r="N18" i="3"/>
  <c r="N16" i="3"/>
  <c r="N15" i="3"/>
  <c r="N19" i="3" l="1"/>
  <c r="T19" i="3" s="1"/>
  <c r="G24" i="8" s="1"/>
  <c r="K24" i="8" s="1"/>
  <c r="N20" i="2"/>
  <c r="X40" i="2"/>
  <c r="AI40" i="2" s="1"/>
  <c r="N41" i="3"/>
  <c r="T41" i="3" s="1"/>
  <c r="N51" i="3"/>
  <c r="N42" i="2"/>
  <c r="N51" i="2"/>
  <c r="N21" i="3" l="1"/>
  <c r="AD19" i="3"/>
  <c r="AF19" i="3" s="1"/>
  <c r="N43" i="3"/>
  <c r="AG40" i="2"/>
  <c r="G40" i="8"/>
  <c r="K40" i="8" s="1"/>
  <c r="AD49" i="3"/>
  <c r="G32" i="8"/>
  <c r="K32" i="8" s="1"/>
  <c r="AD41" i="3"/>
  <c r="AF41" i="3" s="1"/>
  <c r="N45" i="2"/>
  <c r="N55" i="2" s="1"/>
  <c r="N46" i="3" l="1"/>
  <c r="N55" i="3" s="1"/>
  <c r="Y51" i="3"/>
  <c r="AF49" i="3"/>
  <c r="J49" i="2" l="1"/>
  <c r="X49" i="2" s="1"/>
  <c r="J51" i="2" l="1"/>
  <c r="V41" i="2" l="1"/>
  <c r="J30" i="2"/>
  <c r="J26" i="2"/>
  <c r="J37" i="2" l="1"/>
  <c r="J31" i="2"/>
  <c r="J29" i="2"/>
  <c r="J28" i="2"/>
  <c r="J33" i="2"/>
  <c r="J24" i="2"/>
  <c r="J41" i="2"/>
  <c r="X41" i="2" s="1"/>
  <c r="AI41" i="2" s="1"/>
  <c r="J34" i="2" l="1"/>
  <c r="AG41" i="2"/>
  <c r="J36" i="2"/>
  <c r="J19" i="2"/>
  <c r="J18" i="2"/>
  <c r="J42" i="2" l="1"/>
  <c r="F38" i="2" l="1"/>
  <c r="F39" i="3" s="1"/>
  <c r="T39" i="3" s="1"/>
  <c r="F37" i="2"/>
  <c r="F36" i="2"/>
  <c r="F33" i="2"/>
  <c r="X33" i="2" s="1"/>
  <c r="F32" i="2"/>
  <c r="F31" i="2"/>
  <c r="F29" i="2"/>
  <c r="F19" i="2"/>
  <c r="F17" i="2"/>
  <c r="F15" i="2"/>
  <c r="F16" i="3" l="1"/>
  <c r="T16" i="3" s="1"/>
  <c r="X29" i="2"/>
  <c r="F30" i="3"/>
  <c r="T30" i="3" s="1"/>
  <c r="AD30" i="3" s="1"/>
  <c r="AF30" i="3" s="1"/>
  <c r="AI33" i="2"/>
  <c r="F34" i="3"/>
  <c r="T34" i="3" s="1"/>
  <c r="AD34" i="3" s="1"/>
  <c r="AF34" i="3" s="1"/>
  <c r="G31" i="8"/>
  <c r="K31" i="8" s="1"/>
  <c r="AD39" i="3"/>
  <c r="AF39" i="3" s="1"/>
  <c r="F20" i="3"/>
  <c r="T20" i="3" s="1"/>
  <c r="X31" i="2"/>
  <c r="F32" i="3"/>
  <c r="T32" i="3" s="1"/>
  <c r="AD32" i="3" s="1"/>
  <c r="AF32" i="3" s="1"/>
  <c r="X37" i="2"/>
  <c r="AI37" i="2" s="1"/>
  <c r="F38" i="3"/>
  <c r="T38" i="3" s="1"/>
  <c r="AD38" i="3" s="1"/>
  <c r="AF38" i="3" s="1"/>
  <c r="X28" i="2"/>
  <c r="F29" i="3"/>
  <c r="T29" i="3" s="1"/>
  <c r="AD29" i="3" s="1"/>
  <c r="AF29" i="3" s="1"/>
  <c r="X32" i="2"/>
  <c r="F33" i="3"/>
  <c r="T33" i="3" s="1"/>
  <c r="AD33" i="3" s="1"/>
  <c r="AF33" i="3" s="1"/>
  <c r="F18" i="3"/>
  <c r="T18" i="3" s="1"/>
  <c r="X30" i="2"/>
  <c r="F31" i="3"/>
  <c r="T31" i="3" s="1"/>
  <c r="AD31" i="3" s="1"/>
  <c r="AF31" i="3" s="1"/>
  <c r="X36" i="2"/>
  <c r="F37" i="3"/>
  <c r="T37" i="3" s="1"/>
  <c r="X19" i="2"/>
  <c r="AI19" i="2" s="1"/>
  <c r="X38" i="2"/>
  <c r="AI38" i="2" s="1"/>
  <c r="X17" i="2"/>
  <c r="AI17" i="2" s="1"/>
  <c r="F16" i="2"/>
  <c r="F24" i="2"/>
  <c r="F25" i="3" s="1"/>
  <c r="F25" i="2"/>
  <c r="F26" i="3" s="1"/>
  <c r="T26" i="3" s="1"/>
  <c r="AD26" i="3" s="1"/>
  <c r="AF26" i="3" s="1"/>
  <c r="F50" i="3"/>
  <c r="T50" i="3" s="1"/>
  <c r="AG36" i="2" l="1"/>
  <c r="AI36" i="2"/>
  <c r="AG32" i="2"/>
  <c r="AI32" i="2"/>
  <c r="AG31" i="2"/>
  <c r="AI31" i="2"/>
  <c r="AG30" i="2"/>
  <c r="AI30" i="2"/>
  <c r="AG29" i="2"/>
  <c r="AI29" i="2"/>
  <c r="AG28" i="2"/>
  <c r="AI28" i="2"/>
  <c r="AG33" i="2"/>
  <c r="AD16" i="3"/>
  <c r="AF16" i="3" s="1"/>
  <c r="G21" i="8"/>
  <c r="K21" i="8" s="1"/>
  <c r="F51" i="3"/>
  <c r="AD50" i="3"/>
  <c r="AD51" i="3" s="1"/>
  <c r="AF51" i="3" s="1"/>
  <c r="T25" i="3"/>
  <c r="AD18" i="3"/>
  <c r="AF18" i="3" s="1"/>
  <c r="G23" i="8"/>
  <c r="K23" i="8" s="1"/>
  <c r="AG37" i="2"/>
  <c r="AD20" i="3"/>
  <c r="AF20" i="3" s="1"/>
  <c r="G25" i="8"/>
  <c r="K25" i="8" s="1"/>
  <c r="F17" i="3"/>
  <c r="T17" i="3" s="1"/>
  <c r="AD37" i="3"/>
  <c r="AF37" i="3" s="1"/>
  <c r="G30" i="8"/>
  <c r="K30" i="8" s="1"/>
  <c r="F51" i="2"/>
  <c r="X24" i="2"/>
  <c r="AG19" i="2"/>
  <c r="X50" i="2"/>
  <c r="AG49" i="2"/>
  <c r="AG38" i="2"/>
  <c r="X25" i="2"/>
  <c r="AI25" i="2" s="1"/>
  <c r="AG17" i="2"/>
  <c r="X16" i="2"/>
  <c r="AI16" i="2" s="1"/>
  <c r="AI24" i="2" l="1"/>
  <c r="X51" i="2"/>
  <c r="AI50" i="2"/>
  <c r="AI49" i="2"/>
  <c r="AD25" i="3"/>
  <c r="AF25" i="3" s="1"/>
  <c r="G22" i="8"/>
  <c r="AD17" i="3"/>
  <c r="AF17" i="3" s="1"/>
  <c r="G41" i="8"/>
  <c r="K41" i="8" s="1"/>
  <c r="K42" i="8" s="1"/>
  <c r="T51" i="3"/>
  <c r="AG24" i="2"/>
  <c r="AG50" i="2"/>
  <c r="AG25" i="2"/>
  <c r="AG16" i="2"/>
  <c r="I22" i="8" l="1"/>
  <c r="K22" i="8"/>
  <c r="G42" i="8"/>
  <c r="AF50" i="3"/>
  <c r="AE133" i="16"/>
  <c r="J25" i="6" l="1"/>
  <c r="S24" i="6"/>
  <c r="U24" i="6" s="1"/>
  <c r="J24" i="6"/>
  <c r="L23" i="6"/>
  <c r="S23" i="6" s="1"/>
  <c r="U23" i="6" s="1"/>
  <c r="J23" i="6"/>
  <c r="J19" i="6"/>
  <c r="H15" i="6"/>
  <c r="L14" i="6"/>
  <c r="H14" i="6"/>
  <c r="P14" i="6" s="1"/>
  <c r="S26" i="6" l="1"/>
  <c r="U26" i="6" s="1"/>
  <c r="J26" i="6"/>
  <c r="J29" i="6" s="1"/>
  <c r="J39" i="6" s="1"/>
  <c r="L26" i="6"/>
  <c r="AG48" i="2" l="1"/>
  <c r="AI48" i="2" s="1"/>
  <c r="AB131" i="16"/>
  <c r="AA12" i="3"/>
  <c r="AG51" i="2" l="1"/>
  <c r="AI51" i="2" s="1"/>
  <c r="C124" i="16"/>
  <c r="C133" i="16" s="1"/>
  <c r="AH131" i="16"/>
  <c r="AJ131" i="16" s="1"/>
  <c r="F15" i="3" l="1"/>
  <c r="F20" i="2"/>
  <c r="F21" i="3" l="1"/>
  <c r="T15" i="3"/>
  <c r="C136" i="16"/>
  <c r="G20" i="8" l="1"/>
  <c r="K20" i="8" s="1"/>
  <c r="T21" i="3"/>
  <c r="G26" i="8" l="1"/>
  <c r="K26" i="8"/>
  <c r="L37" i="29" l="1"/>
  <c r="AA17" i="29"/>
  <c r="AA28" i="29" s="1"/>
  <c r="AA37" i="29" s="1"/>
  <c r="AB42" i="2" l="1"/>
  <c r="AB45" i="2" s="1"/>
  <c r="AG16" i="29"/>
  <c r="AI16" i="29" s="1"/>
  <c r="H18" i="6"/>
  <c r="L18" i="6" s="1"/>
  <c r="H19" i="6" l="1"/>
  <c r="H29" i="6" s="1"/>
  <c r="H39" i="6" s="1"/>
  <c r="AG17" i="29"/>
  <c r="AI17" i="29" s="1"/>
  <c r="L19" i="6" l="1"/>
  <c r="L29" i="6" s="1"/>
  <c r="AG28" i="29"/>
  <c r="AI28" i="29" s="1"/>
  <c r="L39" i="6" l="1"/>
  <c r="AG37" i="29"/>
  <c r="AI37" i="29" s="1"/>
  <c r="AG16" i="28" l="1"/>
  <c r="AG17" i="28" s="1"/>
  <c r="P19" i="6"/>
  <c r="P29" i="6" s="1"/>
  <c r="AD17" i="28"/>
  <c r="AD28" i="28" s="1"/>
  <c r="AG28" i="28" l="1"/>
  <c r="AI28" i="28" s="1"/>
  <c r="AD37" i="28"/>
  <c r="AI17" i="28"/>
  <c r="AI16" i="28"/>
  <c r="P39" i="6"/>
  <c r="S29" i="6"/>
  <c r="U29" i="6" s="1"/>
  <c r="S18" i="6"/>
  <c r="S39" i="6" l="1"/>
  <c r="S19" i="6"/>
  <c r="U19" i="6" s="1"/>
  <c r="U18" i="6"/>
  <c r="AG37" i="28"/>
  <c r="AI37" i="28" s="1"/>
  <c r="U39" i="6" l="1"/>
  <c r="AE26" i="16"/>
  <c r="AH26" i="16" s="1"/>
  <c r="AI17" i="18"/>
  <c r="AK17" i="18" s="1"/>
  <c r="AE26" i="17"/>
  <c r="AA15" i="3" l="1"/>
  <c r="AF55" i="18"/>
  <c r="AF100" i="18" s="1"/>
  <c r="AF123" i="18" s="1"/>
  <c r="AD21" i="15"/>
  <c r="AE30" i="17"/>
  <c r="AE60" i="17" s="1"/>
  <c r="AE110" i="17" s="1"/>
  <c r="AH21" i="15" l="1"/>
  <c r="AJ21" i="15" s="1"/>
  <c r="AF141" i="18"/>
  <c r="K110" i="30"/>
  <c r="AH16" i="15"/>
  <c r="AJ16" i="15" s="1"/>
  <c r="AD25" i="15"/>
  <c r="AE30" i="16"/>
  <c r="AE60" i="16" s="1"/>
  <c r="AI26" i="18"/>
  <c r="AD20" i="2"/>
  <c r="AD15" i="3"/>
  <c r="AA21" i="3"/>
  <c r="AA46" i="3" s="1"/>
  <c r="AA55" i="3" s="1"/>
  <c r="AE136" i="17"/>
  <c r="AE146" i="17" s="1"/>
  <c r="AF143" i="18" l="1"/>
  <c r="AD58" i="15"/>
  <c r="AE110" i="16"/>
  <c r="AF15" i="3"/>
  <c r="AD21" i="3"/>
  <c r="AI55" i="18"/>
  <c r="AK26" i="18"/>
  <c r="AD45" i="2"/>
  <c r="AD55" i="2" s="1"/>
  <c r="AI141" i="18" l="1"/>
  <c r="AK141" i="18" s="1"/>
  <c r="AD38" i="28"/>
  <c r="AE136" i="16"/>
  <c r="AI100" i="18"/>
  <c r="AK100" i="18" s="1"/>
  <c r="AK55" i="18"/>
  <c r="AF21" i="3"/>
  <c r="AE147" i="16" l="1"/>
  <c r="Z29" i="43" l="1"/>
  <c r="F26" i="2" l="1"/>
  <c r="X26" i="2" s="1"/>
  <c r="X34" i="2" s="1"/>
  <c r="G34" i="9"/>
  <c r="AI106" i="18"/>
  <c r="AK106" i="18" s="1"/>
  <c r="I34" i="9" l="1"/>
  <c r="K34" i="9"/>
  <c r="K43" i="9" s="1"/>
  <c r="K47" i="9" s="1"/>
  <c r="G43" i="9"/>
  <c r="G47" i="9" s="1"/>
  <c r="AI34" i="2"/>
  <c r="X42" i="2"/>
  <c r="X114" i="18"/>
  <c r="X120" i="18" s="1"/>
  <c r="F34" i="2"/>
  <c r="F42" i="2" s="1"/>
  <c r="F45" i="2" s="1"/>
  <c r="F27" i="3"/>
  <c r="AI123" i="18"/>
  <c r="AK123" i="18" s="1"/>
  <c r="AI26" i="2"/>
  <c r="AG26" i="2"/>
  <c r="AG34" i="2" s="1"/>
  <c r="AG42" i="2" s="1"/>
  <c r="G29" i="7"/>
  <c r="K29" i="7" s="1"/>
  <c r="AI114" i="18"/>
  <c r="K34" i="7" l="1"/>
  <c r="K37" i="7" s="1"/>
  <c r="F55" i="2"/>
  <c r="AI42" i="2"/>
  <c r="F35" i="3"/>
  <c r="T27" i="3"/>
  <c r="AK114" i="18"/>
  <c r="AI120" i="18"/>
  <c r="AK120" i="18" s="1"/>
  <c r="G34" i="7"/>
  <c r="F43" i="3" l="1"/>
  <c r="F46" i="3" s="1"/>
  <c r="F55" i="3" s="1"/>
  <c r="V50" i="2"/>
  <c r="M141" i="16" s="1"/>
  <c r="AD27" i="3"/>
  <c r="T35" i="3"/>
  <c r="T43" i="3" s="1"/>
  <c r="G37" i="7"/>
  <c r="S143" i="16" l="1"/>
  <c r="U143" i="16"/>
  <c r="U147" i="16" s="1"/>
  <c r="Q143" i="16"/>
  <c r="K143" i="16"/>
  <c r="K147" i="16" s="1"/>
  <c r="G143" i="16"/>
  <c r="G147" i="16" s="1"/>
  <c r="V51" i="2"/>
  <c r="G29" i="8"/>
  <c r="K29" i="8" s="1"/>
  <c r="T46" i="3"/>
  <c r="T55" i="3" s="1"/>
  <c r="AF27" i="3"/>
  <c r="AD35" i="3"/>
  <c r="AD43" i="3" s="1"/>
  <c r="AF43" i="3" s="1"/>
  <c r="AB141" i="16" l="1"/>
  <c r="W143" i="16"/>
  <c r="W147" i="16" s="1"/>
  <c r="AD46" i="3"/>
  <c r="AF46" i="3" s="1"/>
  <c r="G34" i="8"/>
  <c r="K34" i="8"/>
  <c r="K46" i="8" s="1"/>
  <c r="AF35" i="3"/>
  <c r="AD55" i="3" l="1"/>
  <c r="AF55" i="3" s="1"/>
  <c r="G46" i="8"/>
  <c r="G37" i="8"/>
  <c r="K37" i="8"/>
  <c r="D26" i="18" l="1"/>
  <c r="K94" i="30" l="1"/>
  <c r="E101" i="30"/>
  <c r="D55" i="18"/>
  <c r="D100" i="18" s="1"/>
  <c r="D123" i="18" s="1"/>
  <c r="D141" i="18" s="1"/>
  <c r="N21" i="5" l="1"/>
  <c r="N32" i="5" l="1"/>
  <c r="N42" i="5" s="1"/>
  <c r="E23" i="23"/>
  <c r="E33" i="23" l="1"/>
  <c r="E65" i="23" s="1"/>
  <c r="E89" i="23" s="1"/>
  <c r="E101" i="23" s="1"/>
  <c r="AB118" i="19" l="1"/>
  <c r="AB122" i="19" s="1"/>
  <c r="AB124" i="19" s="1"/>
  <c r="N26" i="18" l="1"/>
  <c r="D14" i="2" s="1"/>
  <c r="N37" i="18" l="1"/>
  <c r="D15" i="2" l="1"/>
  <c r="D16" i="3" s="1"/>
  <c r="N55" i="18"/>
  <c r="N100" i="18" s="1"/>
  <c r="N114" i="18" l="1"/>
  <c r="N120" i="18" s="1"/>
  <c r="N123" i="18" l="1"/>
  <c r="N141" i="18" l="1"/>
  <c r="V20" i="15" l="1"/>
  <c r="V18" i="15"/>
  <c r="V17" i="15"/>
  <c r="V19" i="15"/>
  <c r="V21" i="15" l="1"/>
  <c r="T141" i="18"/>
  <c r="S30" i="16" l="1"/>
  <c r="S60" i="16" l="1"/>
  <c r="U80" i="25" l="1"/>
  <c r="S106" i="16" l="1"/>
  <c r="S110" i="16" s="1"/>
  <c r="S136" i="16" s="1"/>
  <c r="S147" i="16" s="1"/>
  <c r="R34" i="3" l="1"/>
  <c r="AB44" i="17"/>
  <c r="AH44" i="17" s="1"/>
  <c r="V30" i="2"/>
  <c r="V16" i="2"/>
  <c r="V31" i="2"/>
  <c r="AB55" i="17"/>
  <c r="AH55" i="17" s="1"/>
  <c r="AJ55" i="17" s="1"/>
  <c r="AB139" i="17"/>
  <c r="AH139" i="17" s="1"/>
  <c r="AB104" i="17"/>
  <c r="AH104" i="17" s="1"/>
  <c r="AJ104" i="17" s="1"/>
  <c r="AB64" i="16"/>
  <c r="R33" i="3"/>
  <c r="AB98" i="16"/>
  <c r="AH98" i="16" s="1"/>
  <c r="AJ98" i="16" s="1"/>
  <c r="AB115" i="16"/>
  <c r="AH115" i="16" s="1"/>
  <c r="AJ115" i="16" s="1"/>
  <c r="AB68" i="16"/>
  <c r="AH68" i="16" s="1"/>
  <c r="AJ68" i="16" s="1"/>
  <c r="AB38" i="16"/>
  <c r="AH38" i="16" s="1"/>
  <c r="AJ38" i="16" s="1"/>
  <c r="AB64" i="17"/>
  <c r="AH64" i="17" s="1"/>
  <c r="AJ64" i="17" s="1"/>
  <c r="AB97" i="17"/>
  <c r="AH97" i="17" s="1"/>
  <c r="AJ97" i="17" s="1"/>
  <c r="AB86" i="17"/>
  <c r="AH86" i="17" s="1"/>
  <c r="AJ86" i="17" s="1"/>
  <c r="AB45" i="16"/>
  <c r="AH45" i="16" s="1"/>
  <c r="AJ45" i="16" s="1"/>
  <c r="AB116" i="16"/>
  <c r="AH116" i="16" s="1"/>
  <c r="AJ116" i="16" s="1"/>
  <c r="AB54" i="17"/>
  <c r="AH54" i="17" s="1"/>
  <c r="AJ54" i="17" s="1"/>
  <c r="AB101" i="17"/>
  <c r="AH101" i="17" s="1"/>
  <c r="AJ101" i="17" s="1"/>
  <c r="AB69" i="16"/>
  <c r="AH69" i="16" s="1"/>
  <c r="AJ69" i="16" s="1"/>
  <c r="AB126" i="16"/>
  <c r="AH126" i="16" s="1"/>
  <c r="AJ126" i="16" s="1"/>
  <c r="AB34" i="16"/>
  <c r="AH34" i="16" s="1"/>
  <c r="AJ34" i="16" s="1"/>
  <c r="AB46" i="16"/>
  <c r="AH46" i="16" s="1"/>
  <c r="AJ46" i="16" s="1"/>
  <c r="AB69" i="17"/>
  <c r="AH69" i="17" s="1"/>
  <c r="AJ69" i="17" s="1"/>
  <c r="AB34" i="17"/>
  <c r="AH34" i="17" s="1"/>
  <c r="AJ34" i="17" s="1"/>
  <c r="AB102" i="16"/>
  <c r="AH102" i="16" s="1"/>
  <c r="AJ102" i="16" s="1"/>
  <c r="AB79" i="17"/>
  <c r="AH79" i="17" s="1"/>
  <c r="AJ79" i="17" s="1"/>
  <c r="V29" i="2"/>
  <c r="AB85" i="17"/>
  <c r="AH85" i="17" s="1"/>
  <c r="AJ85" i="17" s="1"/>
  <c r="AB47" i="16"/>
  <c r="AH47" i="16" s="1"/>
  <c r="AJ47" i="16" s="1"/>
  <c r="V25" i="2"/>
  <c r="AB91" i="16"/>
  <c r="AH91" i="16" s="1"/>
  <c r="AJ91" i="16" s="1"/>
  <c r="AH123" i="16"/>
  <c r="AJ123" i="16" s="1"/>
  <c r="AB86" i="16"/>
  <c r="AH86" i="16" s="1"/>
  <c r="AJ86" i="16" s="1"/>
  <c r="AB67" i="17"/>
  <c r="AH67" i="17" s="1"/>
  <c r="AJ67" i="17" s="1"/>
  <c r="AB56" i="17"/>
  <c r="AH56" i="17" s="1"/>
  <c r="AJ56" i="17" s="1"/>
  <c r="AB24" i="16"/>
  <c r="AB95" i="16"/>
  <c r="AH95" i="16" s="1"/>
  <c r="AJ95" i="16" s="1"/>
  <c r="AB114" i="16"/>
  <c r="AB75" i="17"/>
  <c r="AH75" i="17" s="1"/>
  <c r="AJ75" i="17" s="1"/>
  <c r="AB72" i="17"/>
  <c r="AH72" i="17" s="1"/>
  <c r="AJ72" i="17" s="1"/>
  <c r="AB74" i="17"/>
  <c r="AH74" i="17" s="1"/>
  <c r="AJ74" i="17" s="1"/>
  <c r="AB122" i="16"/>
  <c r="AH122" i="16" s="1"/>
  <c r="AJ122" i="16" s="1"/>
  <c r="AB101" i="16"/>
  <c r="AH101" i="16" s="1"/>
  <c r="AJ101" i="16" s="1"/>
  <c r="AJ24" i="17"/>
  <c r="AB100" i="17"/>
  <c r="AH100" i="17" s="1"/>
  <c r="AJ100" i="17" s="1"/>
  <c r="AB77" i="16"/>
  <c r="AH77" i="16" s="1"/>
  <c r="AJ77" i="16" s="1"/>
  <c r="AB102" i="17"/>
  <c r="AH102" i="17" s="1"/>
  <c r="AJ102" i="17" s="1"/>
  <c r="AB126" i="17"/>
  <c r="AH126" i="17" s="1"/>
  <c r="AJ126" i="17" s="1"/>
  <c r="AB85" i="16"/>
  <c r="AH85" i="16" s="1"/>
  <c r="AJ85" i="16" s="1"/>
  <c r="AB91" i="17"/>
  <c r="AH91" i="17" s="1"/>
  <c r="AJ91" i="17" s="1"/>
  <c r="AB29" i="16"/>
  <c r="AH29" i="16" s="1"/>
  <c r="AJ29" i="16" s="1"/>
  <c r="AB70" i="16"/>
  <c r="AH70" i="16" s="1"/>
  <c r="AJ70" i="16" s="1"/>
  <c r="AB140" i="17"/>
  <c r="AH140" i="17" s="1"/>
  <c r="AJ140" i="17" s="1"/>
  <c r="AB44" i="16"/>
  <c r="AB128" i="17"/>
  <c r="AH128" i="17" s="1"/>
  <c r="AJ128" i="17" s="1"/>
  <c r="AB92" i="17"/>
  <c r="AH92" i="17" s="1"/>
  <c r="AJ92" i="17" s="1"/>
  <c r="AH68" i="17"/>
  <c r="AJ68" i="17" s="1"/>
  <c r="AB119" i="16"/>
  <c r="AH119" i="16" s="1"/>
  <c r="AJ119" i="16" s="1"/>
  <c r="AB75" i="16"/>
  <c r="AH75" i="16" s="1"/>
  <c r="AJ75" i="16" s="1"/>
  <c r="AB76" i="17"/>
  <c r="AH76" i="17" s="1"/>
  <c r="AJ76" i="17" s="1"/>
  <c r="AB94" i="16"/>
  <c r="AH94" i="16" s="1"/>
  <c r="AJ94" i="16" s="1"/>
  <c r="AB53" i="16"/>
  <c r="AH53" i="16" s="1"/>
  <c r="AJ53" i="16" s="1"/>
  <c r="AH22" i="16"/>
  <c r="AJ22" i="16" s="1"/>
  <c r="AB118" i="16"/>
  <c r="AH118" i="16" s="1"/>
  <c r="AJ118" i="16" s="1"/>
  <c r="AB103" i="17"/>
  <c r="AH103" i="17" s="1"/>
  <c r="AJ103" i="17" s="1"/>
  <c r="AB36" i="16"/>
  <c r="AH36" i="16" s="1"/>
  <c r="AJ36" i="16" s="1"/>
  <c r="AB89" i="16"/>
  <c r="AH89" i="16" s="1"/>
  <c r="AJ89" i="16" s="1"/>
  <c r="AB67" i="16"/>
  <c r="AH67" i="16" s="1"/>
  <c r="AJ67" i="16" s="1"/>
  <c r="AH21" i="16"/>
  <c r="AJ21" i="16" s="1"/>
  <c r="AH22" i="17"/>
  <c r="AJ22" i="17" s="1"/>
  <c r="AH21" i="17"/>
  <c r="AJ21" i="17" s="1"/>
  <c r="AB45" i="17"/>
  <c r="AH45" i="17" s="1"/>
  <c r="AJ45" i="17" s="1"/>
  <c r="AB77" i="17"/>
  <c r="AH77" i="17" s="1"/>
  <c r="AJ77" i="17" s="1"/>
  <c r="AB38" i="17"/>
  <c r="AH38" i="17" s="1"/>
  <c r="AJ38" i="17" s="1"/>
  <c r="AB32" i="16"/>
  <c r="R50" i="3"/>
  <c r="AB90" i="17"/>
  <c r="AH90" i="17" s="1"/>
  <c r="AJ90" i="17" s="1"/>
  <c r="AB49" i="17"/>
  <c r="AH49" i="17" s="1"/>
  <c r="AJ49" i="17" s="1"/>
  <c r="AB74" i="16"/>
  <c r="AH74" i="16" s="1"/>
  <c r="AJ74" i="16" s="1"/>
  <c r="AB115" i="17"/>
  <c r="AH115" i="17" s="1"/>
  <c r="AJ115" i="17" s="1"/>
  <c r="AB78" i="17"/>
  <c r="AH78" i="17" s="1"/>
  <c r="AJ78" i="17" s="1"/>
  <c r="AB121" i="17"/>
  <c r="AH121" i="17" s="1"/>
  <c r="AJ121" i="17" s="1"/>
  <c r="AB46" i="17"/>
  <c r="AH46" i="17" s="1"/>
  <c r="AJ46" i="17" s="1"/>
  <c r="AB53" i="17"/>
  <c r="AH53" i="17" s="1"/>
  <c r="AJ53" i="17" s="1"/>
  <c r="AB90" i="16"/>
  <c r="AH90" i="16" s="1"/>
  <c r="AJ90" i="16" s="1"/>
  <c r="AB54" i="16"/>
  <c r="AH54" i="16" s="1"/>
  <c r="AJ54" i="16" s="1"/>
  <c r="AB39" i="17"/>
  <c r="AH39" i="17" s="1"/>
  <c r="AJ39" i="17" s="1"/>
  <c r="AB39" i="16"/>
  <c r="AH39" i="16" s="1"/>
  <c r="AJ39" i="16" s="1"/>
  <c r="AB97" i="16"/>
  <c r="AH97" i="16" s="1"/>
  <c r="AJ97" i="16" s="1"/>
  <c r="AB55" i="16"/>
  <c r="AH55" i="16" s="1"/>
  <c r="AJ55" i="16" s="1"/>
  <c r="AB25" i="16"/>
  <c r="AH25" i="16" s="1"/>
  <c r="AJ25" i="16" s="1"/>
  <c r="AB108" i="17"/>
  <c r="AB56" i="16"/>
  <c r="AH56" i="16" s="1"/>
  <c r="AJ56" i="16" s="1"/>
  <c r="AB72" i="16"/>
  <c r="AH72" i="16" s="1"/>
  <c r="AJ72" i="16" s="1"/>
  <c r="AB114" i="17"/>
  <c r="AH114" i="17" s="1"/>
  <c r="AJ114" i="17" s="1"/>
  <c r="AH23" i="16"/>
  <c r="AJ23" i="16" s="1"/>
  <c r="AB25" i="17"/>
  <c r="AH25" i="17" s="1"/>
  <c r="AJ25" i="17" s="1"/>
  <c r="AB100" i="16"/>
  <c r="AH100" i="16" s="1"/>
  <c r="AJ100" i="16" s="1"/>
  <c r="AB29" i="17"/>
  <c r="AH29" i="17" s="1"/>
  <c r="AJ29" i="17" s="1"/>
  <c r="AB118" i="17"/>
  <c r="AH118" i="17" s="1"/>
  <c r="AJ118" i="17" s="1"/>
  <c r="AB65" i="17"/>
  <c r="AB122" i="17"/>
  <c r="AH122" i="17" s="1"/>
  <c r="AJ122" i="17" s="1"/>
  <c r="AB36" i="17"/>
  <c r="AH36" i="17" s="1"/>
  <c r="AJ36" i="17" s="1"/>
  <c r="AB120" i="16"/>
  <c r="AH120" i="16" s="1"/>
  <c r="AJ120" i="16" s="1"/>
  <c r="AB119" i="17"/>
  <c r="AH119" i="17" s="1"/>
  <c r="AJ119" i="17" s="1"/>
  <c r="AB95" i="17"/>
  <c r="AH95" i="17" s="1"/>
  <c r="AJ95" i="17" s="1"/>
  <c r="AB78" i="16"/>
  <c r="AH78" i="16" s="1"/>
  <c r="AJ78" i="16" s="1"/>
  <c r="AB108" i="16"/>
  <c r="AB94" i="17"/>
  <c r="AH94" i="17" s="1"/>
  <c r="AJ94" i="17" s="1"/>
  <c r="AB92" i="16"/>
  <c r="AH92" i="16" s="1"/>
  <c r="AJ92" i="16" s="1"/>
  <c r="AB128" i="16"/>
  <c r="AH128" i="16" s="1"/>
  <c r="AJ128" i="16" s="1"/>
  <c r="AB47" i="17"/>
  <c r="AH47" i="17" s="1"/>
  <c r="AJ47" i="17" s="1"/>
  <c r="AB33" i="17"/>
  <c r="AH33" i="17" s="1"/>
  <c r="AJ33" i="17" s="1"/>
  <c r="AB121" i="16"/>
  <c r="AH121" i="16" s="1"/>
  <c r="AJ121" i="16" s="1"/>
  <c r="AH103" i="16"/>
  <c r="AJ103" i="16" s="1"/>
  <c r="AB120" i="17"/>
  <c r="AH120" i="17" s="1"/>
  <c r="AJ120" i="17" s="1"/>
  <c r="V26" i="18"/>
  <c r="D15" i="3" s="1"/>
  <c r="AB79" i="16"/>
  <c r="AH79" i="16" s="1"/>
  <c r="AJ79" i="16" s="1"/>
  <c r="AB49" i="16"/>
  <c r="AH49" i="16" s="1"/>
  <c r="AJ49" i="16" s="1"/>
  <c r="AB70" i="17"/>
  <c r="AH70" i="17" s="1"/>
  <c r="AJ70" i="17" s="1"/>
  <c r="AB123" i="17"/>
  <c r="AH123" i="17" s="1"/>
  <c r="AJ123" i="17" s="1"/>
  <c r="AB116" i="17"/>
  <c r="AH116" i="17" s="1"/>
  <c r="AJ116" i="17" s="1"/>
  <c r="AB104" i="16"/>
  <c r="AH104" i="16" s="1"/>
  <c r="AJ104" i="16" s="1"/>
  <c r="AB76" i="16"/>
  <c r="AH76" i="16" s="1"/>
  <c r="AJ76" i="16" s="1"/>
  <c r="AB89" i="17"/>
  <c r="AH89" i="17" s="1"/>
  <c r="AJ89" i="17" s="1"/>
  <c r="AB98" i="17"/>
  <c r="AH98" i="17" s="1"/>
  <c r="AJ98" i="17" s="1"/>
  <c r="AB52" i="17"/>
  <c r="AH142" i="17" l="1"/>
  <c r="AJ142" i="17" s="1"/>
  <c r="AH24" i="16"/>
  <c r="AJ24" i="16" s="1"/>
  <c r="AB58" i="17"/>
  <c r="AH23" i="17"/>
  <c r="AJ23" i="17" s="1"/>
  <c r="AB26" i="17"/>
  <c r="V55" i="18"/>
  <c r="V100" i="18" s="1"/>
  <c r="R30" i="3"/>
  <c r="V33" i="2"/>
  <c r="R26" i="3"/>
  <c r="R17" i="3"/>
  <c r="R32" i="3"/>
  <c r="R31" i="3"/>
  <c r="V36" i="2"/>
  <c r="AH52" i="17"/>
  <c r="AH58" i="17" s="1"/>
  <c r="R18" i="3"/>
  <c r="V17" i="2"/>
  <c r="AB106" i="17"/>
  <c r="AH65" i="17"/>
  <c r="D51" i="2"/>
  <c r="AH44" i="16"/>
  <c r="AB50" i="16"/>
  <c r="AH124" i="17"/>
  <c r="AH64" i="16"/>
  <c r="V28" i="2"/>
  <c r="R29" i="3"/>
  <c r="AH108" i="16"/>
  <c r="AB124" i="17"/>
  <c r="AH108" i="17"/>
  <c r="AJ108" i="17" s="1"/>
  <c r="V24" i="2"/>
  <c r="AB124" i="16"/>
  <c r="AH114" i="16"/>
  <c r="V38" i="2"/>
  <c r="R39" i="3"/>
  <c r="AH32" i="16"/>
  <c r="R19" i="3"/>
  <c r="AB52" i="16"/>
  <c r="AB58" i="16" s="1"/>
  <c r="AJ44" i="17"/>
  <c r="AH50" i="17"/>
  <c r="AJ50" i="17" s="1"/>
  <c r="AB50" i="17"/>
  <c r="AB32" i="17"/>
  <c r="AJ139" i="17"/>
  <c r="V19" i="2"/>
  <c r="R20" i="3"/>
  <c r="R37" i="3"/>
  <c r="V26" i="2"/>
  <c r="R27" i="3"/>
  <c r="R16" i="3"/>
  <c r="AB142" i="17"/>
  <c r="V32" i="2"/>
  <c r="V123" i="18" l="1"/>
  <c r="V141" i="18" s="1"/>
  <c r="X123" i="18"/>
  <c r="X141" i="18" s="1"/>
  <c r="M143" i="16"/>
  <c r="E143" i="16"/>
  <c r="E147" i="16" s="1"/>
  <c r="C143" i="16"/>
  <c r="C147" i="16" s="1"/>
  <c r="Y143" i="16"/>
  <c r="Y147" i="16" s="1"/>
  <c r="AH32" i="17"/>
  <c r="AB42" i="17"/>
  <c r="V34" i="2"/>
  <c r="AJ64" i="16"/>
  <c r="D51" i="3"/>
  <c r="R49" i="3"/>
  <c r="R51" i="3" s="1"/>
  <c r="AJ32" i="16"/>
  <c r="AJ108" i="16"/>
  <c r="AJ44" i="16"/>
  <c r="AH50" i="16"/>
  <c r="AJ50" i="16" s="1"/>
  <c r="AJ65" i="17"/>
  <c r="AH106" i="17"/>
  <c r="AJ106" i="17" s="1"/>
  <c r="AJ52" i="17"/>
  <c r="AJ58" i="17"/>
  <c r="AH26" i="17"/>
  <c r="AJ26" i="17" s="1"/>
  <c r="AJ114" i="16"/>
  <c r="AH124" i="16"/>
  <c r="AJ124" i="16" s="1"/>
  <c r="D20" i="2"/>
  <c r="AH52" i="16"/>
  <c r="AH58" i="16" s="1"/>
  <c r="D35" i="3"/>
  <c r="D43" i="3" s="1"/>
  <c r="R25" i="3"/>
  <c r="R35" i="3" s="1"/>
  <c r="AJ124" i="17"/>
  <c r="O143" i="16" l="1"/>
  <c r="D45" i="2"/>
  <c r="D55" i="2" s="1"/>
  <c r="I143" i="16"/>
  <c r="I147" i="16" s="1"/>
  <c r="AJ26" i="16"/>
  <c r="AJ52" i="16"/>
  <c r="AH42" i="17"/>
  <c r="AJ42" i="17" s="1"/>
  <c r="AJ32" i="17"/>
  <c r="D21" i="3"/>
  <c r="D46" i="3" s="1"/>
  <c r="D55" i="3" s="1"/>
  <c r="AH141" i="16" l="1"/>
  <c r="AJ141" i="16" s="1"/>
  <c r="AB143" i="16"/>
  <c r="K108" i="30"/>
  <c r="AH140" i="16"/>
  <c r="AJ58" i="16"/>
  <c r="AJ140" i="16" l="1"/>
  <c r="AH143" i="16"/>
  <c r="AJ143" i="16" s="1"/>
  <c r="U23" i="26" l="1"/>
  <c r="U37" i="26" s="1"/>
  <c r="U49" i="26" s="1"/>
  <c r="B32" i="5"/>
  <c r="B42" i="5" s="1"/>
  <c r="O30" i="17" l="1"/>
  <c r="O60" i="17" s="1"/>
  <c r="N54" i="22"/>
  <c r="N65" i="22" s="1"/>
  <c r="N75" i="22" s="1"/>
  <c r="O110" i="17" l="1"/>
  <c r="O136" i="17" s="1"/>
  <c r="O146" i="17" s="1"/>
  <c r="O30" i="16"/>
  <c r="O60" i="16" l="1"/>
  <c r="N45" i="5" l="1"/>
  <c r="K46" i="30" l="1"/>
  <c r="K96" i="30"/>
  <c r="K38" i="31" l="1"/>
  <c r="O22" i="24" l="1"/>
  <c r="O32" i="24" s="1"/>
  <c r="O64" i="24" s="1"/>
  <c r="O88" i="24" s="1"/>
  <c r="O100" i="24" s="1"/>
  <c r="V29" i="15" l="1"/>
  <c r="V38" i="15" s="1"/>
  <c r="P38" i="15"/>
  <c r="P58" i="15" s="1"/>
  <c r="AB42" i="16" l="1"/>
  <c r="M42" i="16"/>
  <c r="M60" i="16" s="1"/>
  <c r="M110" i="16" s="1"/>
  <c r="R29" i="15"/>
  <c r="AL20" i="23"/>
  <c r="AN20" i="23" s="1"/>
  <c r="AH33" i="16" l="1"/>
  <c r="X29" i="15"/>
  <c r="R38" i="15"/>
  <c r="R58" i="15" s="1"/>
  <c r="AL23" i="23"/>
  <c r="AN23" i="23" s="1"/>
  <c r="R15" i="2"/>
  <c r="AF33" i="23"/>
  <c r="V15" i="2"/>
  <c r="AH42" i="16" l="1"/>
  <c r="AJ42" i="16" s="1"/>
  <c r="AJ33" i="16"/>
  <c r="AH29" i="15"/>
  <c r="AJ29" i="15" s="1"/>
  <c r="X38" i="15"/>
  <c r="AL33" i="23"/>
  <c r="X15" i="2"/>
  <c r="AH38" i="15" l="1"/>
  <c r="AJ38" i="15" s="1"/>
  <c r="AG15" i="2"/>
  <c r="AI15" i="2"/>
  <c r="AN33" i="23"/>
  <c r="G72" i="34" l="1"/>
  <c r="AB25" i="15" l="1"/>
  <c r="N19" i="35"/>
  <c r="R19" i="35" s="1"/>
  <c r="H31" i="35"/>
  <c r="Q42" i="25"/>
  <c r="Q46" i="25" l="1"/>
  <c r="Q70" i="25" s="1"/>
  <c r="Q80" i="25" s="1"/>
  <c r="K39" i="31"/>
  <c r="AF37" i="23"/>
  <c r="AL37" i="23" s="1"/>
  <c r="AN37" i="23" s="1"/>
  <c r="Q101" i="23"/>
  <c r="AL61" i="23" l="1"/>
  <c r="AN61" i="23" s="1"/>
  <c r="AB65" i="16"/>
  <c r="O106" i="16"/>
  <c r="O110" i="16" s="1"/>
  <c r="O136" i="16" s="1"/>
  <c r="O147" i="16" s="1"/>
  <c r="V18" i="2"/>
  <c r="P20" i="2"/>
  <c r="P45" i="2" s="1"/>
  <c r="P55" i="2" s="1"/>
  <c r="AF61" i="23"/>
  <c r="AF65" i="23" s="1"/>
  <c r="AF89" i="23" l="1"/>
  <c r="AF101" i="23" s="1"/>
  <c r="AL65" i="23"/>
  <c r="AL89" i="23" s="1"/>
  <c r="AN89" i="23" s="1"/>
  <c r="R18" i="2"/>
  <c r="AH65" i="16"/>
  <c r="AB106" i="16"/>
  <c r="X18" i="2" l="1"/>
  <c r="AI18" i="2" s="1"/>
  <c r="R20" i="2"/>
  <c r="R45" i="2" s="1"/>
  <c r="R55" i="2" s="1"/>
  <c r="AL101" i="23"/>
  <c r="AN101" i="23" s="1"/>
  <c r="AN65" i="23"/>
  <c r="AH106" i="16"/>
  <c r="AJ106" i="16" s="1"/>
  <c r="AJ65" i="16"/>
  <c r="AG18" i="2" l="1"/>
  <c r="N22" i="35"/>
  <c r="R22" i="35" s="1"/>
  <c r="P19" i="27" l="1"/>
  <c r="P32" i="27" s="1"/>
  <c r="P44" i="27" s="1"/>
  <c r="F21" i="5"/>
  <c r="F32" i="5" s="1"/>
  <c r="F42" i="5" s="1"/>
  <c r="J18" i="5" l="1"/>
  <c r="J21" i="5" s="1"/>
  <c r="J32" i="5" s="1"/>
  <c r="J42" i="5" s="1"/>
  <c r="Z38" i="20" l="1"/>
  <c r="Z86" i="20" s="1"/>
  <c r="Z110" i="20" s="1"/>
  <c r="Z120" i="20" s="1"/>
  <c r="AB27" i="17"/>
  <c r="H21" i="3" l="1"/>
  <c r="H46" i="3" s="1"/>
  <c r="H55" i="3" s="1"/>
  <c r="H20" i="2"/>
  <c r="H45" i="2" s="1"/>
  <c r="H55" i="2" s="1"/>
  <c r="AH27" i="17"/>
  <c r="Y30" i="17"/>
  <c r="Y60" i="17" s="1"/>
  <c r="Z38" i="19"/>
  <c r="Z86" i="19" s="1"/>
  <c r="Z112" i="19" s="1"/>
  <c r="Z122" i="19" s="1"/>
  <c r="AJ27" i="17" l="1"/>
  <c r="Y110" i="17"/>
  <c r="Y136" i="17" s="1"/>
  <c r="Y146" i="17" s="1"/>
  <c r="AD46" i="27" l="1"/>
  <c r="AG122" i="20" l="1"/>
  <c r="AG124" i="19"/>
  <c r="Z46" i="37"/>
  <c r="B46" i="37"/>
  <c r="AG102" i="24"/>
  <c r="AB47" i="15"/>
  <c r="AG94" i="21"/>
  <c r="D12" i="37" l="1"/>
  <c r="D46" i="37" s="1"/>
  <c r="F12" i="37" s="1"/>
  <c r="M14" i="42"/>
  <c r="D143" i="18"/>
  <c r="F12" i="18" s="1"/>
  <c r="F57" i="3" l="1"/>
  <c r="G49" i="9"/>
  <c r="AI143" i="18"/>
  <c r="AK143" i="18" s="1"/>
  <c r="F46" i="37"/>
  <c r="H12" i="37" s="1"/>
  <c r="M203" i="42"/>
  <c r="AI12" i="18"/>
  <c r="AK12" i="18" s="1"/>
  <c r="AJ13" i="20"/>
  <c r="D122" i="20"/>
  <c r="F13" i="20" s="1"/>
  <c r="G41" i="11"/>
  <c r="D13" i="19"/>
  <c r="J57" i="2" s="1"/>
  <c r="D94" i="21"/>
  <c r="AD13" i="21"/>
  <c r="AJ13" i="21" s="1"/>
  <c r="AL13" i="21" s="1"/>
  <c r="R41" i="11"/>
  <c r="V41" i="11" s="1"/>
  <c r="E50" i="9"/>
  <c r="F59" i="2"/>
  <c r="I49" i="9" l="1"/>
  <c r="K49" i="9"/>
  <c r="K50" i="9" s="1"/>
  <c r="I41" i="11"/>
  <c r="K41" i="11"/>
  <c r="K42" i="11" s="1"/>
  <c r="V42" i="11"/>
  <c r="T41" i="11"/>
  <c r="J59" i="3"/>
  <c r="F13" i="21"/>
  <c r="F94" i="21" s="1"/>
  <c r="H13" i="21" s="1"/>
  <c r="G50" i="9"/>
  <c r="E49" i="8"/>
  <c r="H46" i="37"/>
  <c r="J12" i="37" s="1"/>
  <c r="F143" i="18"/>
  <c r="H12" i="18" s="1"/>
  <c r="AD94" i="21"/>
  <c r="G42" i="11"/>
  <c r="AD122" i="20"/>
  <c r="G41" i="10"/>
  <c r="K41" i="10" s="1"/>
  <c r="R42" i="11"/>
  <c r="AD13" i="19"/>
  <c r="D124" i="19"/>
  <c r="F13" i="19" s="1"/>
  <c r="F59" i="3"/>
  <c r="AL13" i="20"/>
  <c r="AJ122" i="20"/>
  <c r="AL122" i="20" s="1"/>
  <c r="M41" i="10" l="1"/>
  <c r="O41" i="10"/>
  <c r="O42" i="10" s="1"/>
  <c r="AJ94" i="21"/>
  <c r="AL94" i="21" s="1"/>
  <c r="J46" i="37"/>
  <c r="L12" i="37" s="1"/>
  <c r="H94" i="21"/>
  <c r="J13" i="21" s="1"/>
  <c r="F122" i="20"/>
  <c r="H13" i="20" s="1"/>
  <c r="G42" i="10"/>
  <c r="AL13" i="19"/>
  <c r="AJ13" i="19"/>
  <c r="K42" i="10"/>
  <c r="L46" i="37" l="1"/>
  <c r="J94" i="21"/>
  <c r="L13" i="21" s="1"/>
  <c r="H143" i="18"/>
  <c r="J12" i="18" s="1"/>
  <c r="L94" i="21" l="1"/>
  <c r="N13" i="21" s="1"/>
  <c r="H122" i="20"/>
  <c r="J13" i="20" s="1"/>
  <c r="K34" i="31"/>
  <c r="J122" i="20" l="1"/>
  <c r="L13" i="20" s="1"/>
  <c r="N46" i="37"/>
  <c r="N94" i="21"/>
  <c r="J143" i="18"/>
  <c r="L12" i="18" s="1"/>
  <c r="K40" i="30"/>
  <c r="P46" i="37" l="1"/>
  <c r="P94" i="21"/>
  <c r="R46" i="37" l="1"/>
  <c r="T46" i="37" s="1"/>
  <c r="L122" i="20"/>
  <c r="N13" i="20" s="1"/>
  <c r="H57" i="3" s="1"/>
  <c r="R94" i="21"/>
  <c r="L143" i="18"/>
  <c r="N12" i="18" s="1"/>
  <c r="D57" i="2" s="1"/>
  <c r="G42" i="31"/>
  <c r="G45" i="31" s="1"/>
  <c r="V46" i="37" l="1"/>
  <c r="T94" i="21"/>
  <c r="V94" i="21" s="1"/>
  <c r="K97" i="30"/>
  <c r="X46" i="37" l="1"/>
  <c r="N143" i="18"/>
  <c r="K153" i="30"/>
  <c r="X94" i="21" l="1"/>
  <c r="N122" i="20"/>
  <c r="K60" i="30"/>
  <c r="Z94" i="21" l="1"/>
  <c r="P143" i="18"/>
  <c r="K40" i="31"/>
  <c r="R143" i="18" l="1"/>
  <c r="P122" i="20"/>
  <c r="N24" i="35" l="1"/>
  <c r="R24" i="35" s="1"/>
  <c r="T143" i="18" l="1"/>
  <c r="R122" i="20"/>
  <c r="I30" i="45"/>
  <c r="G30" i="45"/>
  <c r="Y43" i="3" l="1"/>
  <c r="Y21" i="3"/>
  <c r="V143" i="18" l="1"/>
  <c r="T122" i="20"/>
  <c r="B77" i="22"/>
  <c r="D12" i="22" s="1"/>
  <c r="C16" i="17"/>
  <c r="AB16" i="17" s="1"/>
  <c r="AA12" i="22"/>
  <c r="Y46" i="3"/>
  <c r="Y55" i="3" s="1"/>
  <c r="N59" i="2" l="1"/>
  <c r="D77" i="22"/>
  <c r="F12" i="22" s="1"/>
  <c r="V122" i="20"/>
  <c r="AA77" i="22"/>
  <c r="G39" i="12"/>
  <c r="C148" i="17"/>
  <c r="E16" i="17" s="1"/>
  <c r="N57" i="3"/>
  <c r="I39" i="12" l="1"/>
  <c r="K39" i="12"/>
  <c r="K40" i="12" s="1"/>
  <c r="T57" i="3"/>
  <c r="T59" i="3" s="1"/>
  <c r="N59" i="3"/>
  <c r="E148" i="17"/>
  <c r="X143" i="18"/>
  <c r="Y59" i="3"/>
  <c r="G40" i="12"/>
  <c r="G16" i="17" l="1"/>
  <c r="G148" i="17" s="1"/>
  <c r="I16" i="17" s="1"/>
  <c r="D57" i="3"/>
  <c r="G48" i="8"/>
  <c r="I48" i="8" l="1"/>
  <c r="K48" i="8"/>
  <c r="K49" i="8" s="1"/>
  <c r="D59" i="2"/>
  <c r="I148" i="17"/>
  <c r="K16" i="17" s="1"/>
  <c r="G49" i="8"/>
  <c r="F77" i="22"/>
  <c r="H12" i="22" s="1"/>
  <c r="Z143" i="18"/>
  <c r="X122" i="20"/>
  <c r="Z122" i="20" l="1"/>
  <c r="H59" i="3"/>
  <c r="D59" i="3"/>
  <c r="G101" i="30"/>
  <c r="K98" i="30"/>
  <c r="H77" i="22" l="1"/>
  <c r="J12" i="22" s="1"/>
  <c r="E32" i="44" l="1"/>
  <c r="E48" i="44" l="1"/>
  <c r="K118" i="30"/>
  <c r="E52" i="44" l="1"/>
  <c r="K45" i="30" l="1"/>
  <c r="N15" i="35" l="1"/>
  <c r="R15" i="35" s="1"/>
  <c r="L31" i="32" l="1"/>
  <c r="N21" i="35" l="1"/>
  <c r="N20" i="35"/>
  <c r="N27" i="35"/>
  <c r="R27" i="35" s="1"/>
  <c r="K151" i="30"/>
  <c r="E22" i="45" l="1"/>
  <c r="C30" i="45" l="1"/>
  <c r="E23" i="45"/>
  <c r="D30" i="45"/>
  <c r="E26" i="45" l="1"/>
  <c r="I72" i="34"/>
  <c r="Q72" i="34"/>
  <c r="K109" i="30"/>
  <c r="S72" i="34"/>
  <c r="K111" i="30"/>
  <c r="I113" i="30"/>
  <c r="E30" i="45" l="1"/>
  <c r="E156" i="30" l="1"/>
  <c r="P31" i="35"/>
  <c r="I156" i="30"/>
  <c r="E24" i="30"/>
  <c r="J48" i="32"/>
  <c r="N18" i="35"/>
  <c r="R18" i="35" s="1"/>
  <c r="E91" i="30"/>
  <c r="E103" i="30" s="1"/>
  <c r="H48" i="32"/>
  <c r="H51" i="32" s="1"/>
  <c r="K72" i="34"/>
  <c r="I42" i="31"/>
  <c r="G91" i="30"/>
  <c r="G103" i="30" s="1"/>
  <c r="I101" i="30"/>
  <c r="G24" i="30"/>
  <c r="F31" i="35"/>
  <c r="I24" i="30"/>
  <c r="F48" i="32"/>
  <c r="F51" i="32" s="1"/>
  <c r="G156" i="30"/>
  <c r="E42" i="31"/>
  <c r="E45" i="31" s="1"/>
  <c r="J31" i="35"/>
  <c r="M153" i="42"/>
  <c r="M139" i="42"/>
  <c r="AB16" i="26"/>
  <c r="D44" i="5" s="1"/>
  <c r="C51" i="26"/>
  <c r="E16" i="26" s="1"/>
  <c r="M147" i="42"/>
  <c r="K29" i="30"/>
  <c r="C25" i="8"/>
  <c r="I25" i="8" s="1"/>
  <c r="M151" i="42"/>
  <c r="K121" i="30"/>
  <c r="E82" i="25"/>
  <c r="Q39" i="14"/>
  <c r="AD14" i="25"/>
  <c r="AD82" i="25" s="1"/>
  <c r="K20" i="31"/>
  <c r="M183" i="42"/>
  <c r="C34" i="10"/>
  <c r="M34" i="10" s="1"/>
  <c r="K53" i="30"/>
  <c r="L46" i="32"/>
  <c r="K23" i="30"/>
  <c r="K69" i="30"/>
  <c r="C30" i="10"/>
  <c r="M30" i="10" s="1"/>
  <c r="K21" i="31"/>
  <c r="K150" i="30"/>
  <c r="M119" i="42"/>
  <c r="N29" i="35"/>
  <c r="R29" i="35" s="1"/>
  <c r="M258" i="42"/>
  <c r="M227" i="42"/>
  <c r="K84" i="30"/>
  <c r="K65" i="30"/>
  <c r="M257" i="42"/>
  <c r="M166" i="42"/>
  <c r="M237" i="42"/>
  <c r="M129" i="42"/>
  <c r="M93" i="42"/>
  <c r="M169" i="42"/>
  <c r="O261" i="42"/>
  <c r="M217" i="42"/>
  <c r="M116" i="42"/>
  <c r="K17" i="30"/>
  <c r="K133" i="30"/>
  <c r="M253" i="42"/>
  <c r="M156" i="42"/>
  <c r="N28" i="35"/>
  <c r="R28" i="35" s="1"/>
  <c r="D31" i="35"/>
  <c r="K128" i="30"/>
  <c r="K82" i="30"/>
  <c r="C23" i="13"/>
  <c r="M23" i="13" s="1"/>
  <c r="K18" i="30"/>
  <c r="M187" i="42"/>
  <c r="K19" i="31"/>
  <c r="M146" i="42"/>
  <c r="M115" i="42"/>
  <c r="K129" i="30"/>
  <c r="C24" i="13"/>
  <c r="M24" i="13" s="1"/>
  <c r="L32" i="32"/>
  <c r="M48" i="34"/>
  <c r="M108" i="42"/>
  <c r="L31" i="35"/>
  <c r="K130" i="30"/>
  <c r="C31" i="10"/>
  <c r="M31" i="10" s="1"/>
  <c r="L44" i="32"/>
  <c r="M163" i="42"/>
  <c r="K86" i="30"/>
  <c r="M136" i="42"/>
  <c r="K43" i="30"/>
  <c r="K147" i="30"/>
  <c r="L36" i="32"/>
  <c r="M260" i="42"/>
  <c r="M128" i="42"/>
  <c r="M111" i="42"/>
  <c r="M131" i="42"/>
  <c r="K36" i="30"/>
  <c r="M122" i="42"/>
  <c r="M143" i="42"/>
  <c r="K54" i="30"/>
  <c r="C21" i="13"/>
  <c r="M21" i="13" s="1"/>
  <c r="K22" i="30"/>
  <c r="K32" i="30"/>
  <c r="K47" i="30"/>
  <c r="L45" i="32"/>
  <c r="M207" i="42"/>
  <c r="M144" i="42"/>
  <c r="K140" i="30"/>
  <c r="L39" i="32"/>
  <c r="L38" i="32"/>
  <c r="K52" i="30"/>
  <c r="L41" i="32"/>
  <c r="M157" i="42"/>
  <c r="K120" i="30"/>
  <c r="M185" i="42"/>
  <c r="L40" i="32"/>
  <c r="M137" i="42"/>
  <c r="K155" i="30"/>
  <c r="C22" i="10"/>
  <c r="M22" i="10" s="1"/>
  <c r="M130" i="42"/>
  <c r="M83" i="42"/>
  <c r="M159" i="42"/>
  <c r="K123" i="30"/>
  <c r="M134" i="42"/>
  <c r="M246" i="42"/>
  <c r="M236" i="42"/>
  <c r="M20" i="34"/>
  <c r="L34" i="32"/>
  <c r="K55" i="30"/>
  <c r="M113" i="42"/>
  <c r="M82" i="42"/>
  <c r="N25" i="35"/>
  <c r="R25" i="35" s="1"/>
  <c r="C32" i="13"/>
  <c r="M32" i="13" s="1"/>
  <c r="O11" i="42"/>
  <c r="M11" i="42"/>
  <c r="E113" i="30"/>
  <c r="K106" i="30"/>
  <c r="M74" i="42"/>
  <c r="K41" i="30"/>
  <c r="M155" i="42"/>
  <c r="M189" i="42"/>
  <c r="M75" i="42"/>
  <c r="K90" i="30"/>
  <c r="M250" i="42"/>
  <c r="M123" i="42"/>
  <c r="K33" i="30"/>
  <c r="M222" i="42"/>
  <c r="M243" i="42"/>
  <c r="M100" i="42"/>
  <c r="K31" i="30"/>
  <c r="K21" i="30"/>
  <c r="K154" i="30"/>
  <c r="R21" i="35"/>
  <c r="C24" i="8"/>
  <c r="I24" i="8" s="1"/>
  <c r="C23" i="8"/>
  <c r="I23" i="8" s="1"/>
  <c r="M27" i="14"/>
  <c r="K71" i="30"/>
  <c r="M165" i="42"/>
  <c r="M172" i="42"/>
  <c r="M228" i="42"/>
  <c r="B38" i="28"/>
  <c r="D13" i="28" s="1"/>
  <c r="D41" i="6"/>
  <c r="C24" i="10"/>
  <c r="M24" i="10" s="1"/>
  <c r="C25" i="10"/>
  <c r="M25" i="10" s="1"/>
  <c r="M150" i="42"/>
  <c r="K80" i="30"/>
  <c r="K135" i="30"/>
  <c r="M219" i="42"/>
  <c r="M152" i="42"/>
  <c r="M70" i="34"/>
  <c r="M160" i="42"/>
  <c r="K63" i="30"/>
  <c r="L33" i="32"/>
  <c r="K26" i="13"/>
  <c r="O26" i="13" s="1"/>
  <c r="O27" i="13" s="1"/>
  <c r="C26" i="13"/>
  <c r="M121" i="42"/>
  <c r="C35" i="11"/>
  <c r="C29" i="10"/>
  <c r="M29" i="10" s="1"/>
  <c r="M140" i="42"/>
  <c r="M247" i="42"/>
  <c r="K36" i="31"/>
  <c r="AB56" i="15"/>
  <c r="AB58" i="15" s="1"/>
  <c r="K30" i="30"/>
  <c r="C32" i="7"/>
  <c r="I32" i="7" s="1"/>
  <c r="C32" i="8"/>
  <c r="I32" i="8" s="1"/>
  <c r="K37" i="31"/>
  <c r="L37" i="32"/>
  <c r="M76" i="42"/>
  <c r="M182" i="42"/>
  <c r="C29" i="8"/>
  <c r="I29" i="8" s="1"/>
  <c r="B46" i="27"/>
  <c r="D14" i="27" s="1"/>
  <c r="K20" i="30"/>
  <c r="K145" i="30"/>
  <c r="K138" i="30"/>
  <c r="K79" i="30"/>
  <c r="M148" i="42"/>
  <c r="C30" i="13"/>
  <c r="M30" i="13" s="1"/>
  <c r="C33" i="14"/>
  <c r="K23" i="31"/>
  <c r="C20" i="13"/>
  <c r="M20" i="13" s="1"/>
  <c r="C27" i="14"/>
  <c r="C25" i="13"/>
  <c r="M25" i="13" s="1"/>
  <c r="C40" i="7"/>
  <c r="I40" i="7" s="1"/>
  <c r="K58" i="30"/>
  <c r="M107" i="42"/>
  <c r="M212" i="42"/>
  <c r="R20" i="35"/>
  <c r="K134" i="30"/>
  <c r="M181" i="42"/>
  <c r="K77" i="30"/>
  <c r="M206" i="42"/>
  <c r="O208" i="42"/>
  <c r="M133" i="42"/>
  <c r="C31" i="13"/>
  <c r="M31" i="13" s="1"/>
  <c r="K37" i="30"/>
  <c r="K148" i="30"/>
  <c r="M77" i="42"/>
  <c r="M85" i="42"/>
  <c r="M232" i="42"/>
  <c r="M158" i="42"/>
  <c r="C22" i="13"/>
  <c r="M22" i="13" s="1"/>
  <c r="K66" i="30"/>
  <c r="K35" i="30"/>
  <c r="M226" i="42"/>
  <c r="N35" i="11"/>
  <c r="C33" i="8"/>
  <c r="I33" i="8" s="1"/>
  <c r="C33" i="10"/>
  <c r="M33" i="10" s="1"/>
  <c r="M220" i="42"/>
  <c r="K68" i="30"/>
  <c r="M142" i="42"/>
  <c r="M106" i="42"/>
  <c r="M112" i="42"/>
  <c r="K146" i="30"/>
  <c r="M117" i="42"/>
  <c r="M239" i="42"/>
  <c r="K73" i="30"/>
  <c r="K81" i="30"/>
  <c r="L42" i="32"/>
  <c r="AD77" i="22"/>
  <c r="AG12" i="22"/>
  <c r="AI12" i="22" s="1"/>
  <c r="AA57" i="3"/>
  <c r="AE16" i="17"/>
  <c r="AE148" i="17" s="1"/>
  <c r="M171" i="42"/>
  <c r="K99" i="30"/>
  <c r="AI103" i="23"/>
  <c r="AG82" i="25"/>
  <c r="M259" i="42"/>
  <c r="M69" i="42"/>
  <c r="M114" i="42"/>
  <c r="P41" i="6"/>
  <c r="P42" i="6" s="1"/>
  <c r="AD38" i="29"/>
  <c r="M179" i="42"/>
  <c r="K72" i="30"/>
  <c r="AE51" i="26"/>
  <c r="P44" i="5"/>
  <c r="P45" i="5" s="1"/>
  <c r="M120" i="42"/>
  <c r="M174" i="42"/>
  <c r="M240" i="42"/>
  <c r="M149" i="42"/>
  <c r="M84" i="42"/>
  <c r="C23" i="10"/>
  <c r="M23" i="10" s="1"/>
  <c r="K131" i="30"/>
  <c r="K16" i="30"/>
  <c r="M170" i="42"/>
  <c r="K51" i="30"/>
  <c r="K152" i="30"/>
  <c r="C21" i="8"/>
  <c r="I21" i="8" s="1"/>
  <c r="M105" i="42"/>
  <c r="C27" i="12"/>
  <c r="N17" i="35"/>
  <c r="R17" i="35" s="1"/>
  <c r="N26" i="11"/>
  <c r="K56" i="30"/>
  <c r="M94" i="42"/>
  <c r="M145" i="42"/>
  <c r="M90" i="42"/>
  <c r="K49" i="30"/>
  <c r="M242" i="42"/>
  <c r="K42" i="30"/>
  <c r="K87" i="30"/>
  <c r="M224" i="42"/>
  <c r="E102" i="24"/>
  <c r="G39" i="14"/>
  <c r="E15" i="23"/>
  <c r="R57" i="2" s="1"/>
  <c r="X57" i="2" s="1"/>
  <c r="AD102" i="24"/>
  <c r="M132" i="42"/>
  <c r="M254" i="42"/>
  <c r="M78" i="42"/>
  <c r="B38" i="29"/>
  <c r="D13" i="29" s="1"/>
  <c r="AA13" i="29"/>
  <c r="AG13" i="29" s="1"/>
  <c r="AI13" i="29" s="1"/>
  <c r="M135" i="42"/>
  <c r="C20" i="10"/>
  <c r="M20" i="10" s="1"/>
  <c r="C26" i="11"/>
  <c r="K44" i="30"/>
  <c r="K57" i="30"/>
  <c r="M79" i="42"/>
  <c r="M118" i="42"/>
  <c r="C33" i="12"/>
  <c r="K19" i="30"/>
  <c r="K22" i="31"/>
  <c r="M255" i="42"/>
  <c r="N34" i="6"/>
  <c r="N39" i="6" s="1"/>
  <c r="M109" i="42"/>
  <c r="M95" i="42"/>
  <c r="M223" i="42"/>
  <c r="K78" i="30"/>
  <c r="K122" i="30"/>
  <c r="M98" i="42"/>
  <c r="M52" i="34"/>
  <c r="M161" i="42"/>
  <c r="K25" i="31"/>
  <c r="M96" i="42"/>
  <c r="M244" i="42"/>
  <c r="K38" i="30"/>
  <c r="C20" i="8"/>
  <c r="I20" i="8" s="1"/>
  <c r="K125" i="30"/>
  <c r="K24" i="31"/>
  <c r="M154" i="42"/>
  <c r="M61" i="42"/>
  <c r="K126" i="30"/>
  <c r="L43" i="32"/>
  <c r="M92" i="42"/>
  <c r="M249" i="42"/>
  <c r="M124" i="42"/>
  <c r="L35" i="32"/>
  <c r="M238" i="42"/>
  <c r="M245" i="42"/>
  <c r="C31" i="8"/>
  <c r="I31" i="8" s="1"/>
  <c r="G113" i="30"/>
  <c r="K70" i="30"/>
  <c r="M88" i="42"/>
  <c r="O101" i="42" s="1"/>
  <c r="K41" i="31"/>
  <c r="M211" i="42"/>
  <c r="L25" i="32"/>
  <c r="K141" i="30"/>
  <c r="M141" i="42"/>
  <c r="I91" i="30"/>
  <c r="K28" i="30"/>
  <c r="K144" i="30"/>
  <c r="K119" i="30"/>
  <c r="K83" i="30"/>
  <c r="C21" i="10"/>
  <c r="M21" i="10" s="1"/>
  <c r="M252" i="42"/>
  <c r="C30" i="8"/>
  <c r="I30" i="8" s="1"/>
  <c r="K127" i="30"/>
  <c r="M33" i="14"/>
  <c r="M256" i="42"/>
  <c r="L24" i="32"/>
  <c r="M251" i="42"/>
  <c r="K75" i="30"/>
  <c r="M104" i="42"/>
  <c r="K76" i="30"/>
  <c r="K35" i="31"/>
  <c r="M233" i="42"/>
  <c r="M248" i="42"/>
  <c r="AB51" i="2"/>
  <c r="AB55" i="2" s="1"/>
  <c r="K100" i="30"/>
  <c r="K48" i="30"/>
  <c r="M81" i="42"/>
  <c r="M168" i="42"/>
  <c r="K143" i="30"/>
  <c r="K124" i="30"/>
  <c r="K26" i="31"/>
  <c r="O264" i="42" l="1"/>
  <c r="I39" i="14"/>
  <c r="K39" i="14"/>
  <c r="K40" i="14" s="1"/>
  <c r="S39" i="14"/>
  <c r="U39" i="14"/>
  <c r="U40" i="14" s="1"/>
  <c r="M26" i="13"/>
  <c r="M27" i="13" s="1"/>
  <c r="G14" i="25"/>
  <c r="G82" i="25" s="1"/>
  <c r="I14" i="25" s="1"/>
  <c r="G14" i="24"/>
  <c r="G102" i="24" s="1"/>
  <c r="I14" i="24" s="1"/>
  <c r="M214" i="42"/>
  <c r="M191" i="42"/>
  <c r="D45" i="5"/>
  <c r="Q40" i="14"/>
  <c r="AF15" i="23"/>
  <c r="M26" i="10"/>
  <c r="C22" i="7"/>
  <c r="I22" i="7" s="1"/>
  <c r="H44" i="5"/>
  <c r="H45" i="5" s="1"/>
  <c r="AA46" i="27"/>
  <c r="AG46" i="27" s="1"/>
  <c r="AI46" i="27" s="1"/>
  <c r="G40" i="14"/>
  <c r="K27" i="13"/>
  <c r="K37" i="13" s="1"/>
  <c r="L27" i="32"/>
  <c r="K101" i="30"/>
  <c r="AA38" i="28"/>
  <c r="AG38" i="28" s="1"/>
  <c r="AI38" i="28" s="1"/>
  <c r="K113" i="30"/>
  <c r="G158" i="30"/>
  <c r="M208" i="42"/>
  <c r="S33" i="14"/>
  <c r="AG77" i="22"/>
  <c r="AI77" i="22" s="1"/>
  <c r="K28" i="31"/>
  <c r="AJ14" i="24"/>
  <c r="AJ102" i="24" s="1"/>
  <c r="AL102" i="24" s="1"/>
  <c r="AA59" i="3"/>
  <c r="I35" i="11"/>
  <c r="C23" i="7"/>
  <c r="I23" i="7" s="1"/>
  <c r="C33" i="13"/>
  <c r="I33" i="12"/>
  <c r="AG13" i="28"/>
  <c r="AI13" i="28" s="1"/>
  <c r="M72" i="34"/>
  <c r="K24" i="30"/>
  <c r="I103" i="30"/>
  <c r="I158" i="30" s="1"/>
  <c r="K42" i="31"/>
  <c r="AG14" i="27"/>
  <c r="AI14" i="27" s="1"/>
  <c r="I27" i="12"/>
  <c r="C37" i="14"/>
  <c r="I45" i="31"/>
  <c r="N39" i="11"/>
  <c r="N42" i="11" s="1"/>
  <c r="C39" i="11"/>
  <c r="C42" i="11" s="1"/>
  <c r="AB51" i="26"/>
  <c r="AH51" i="26" s="1"/>
  <c r="AJ51" i="26" s="1"/>
  <c r="J51" i="32"/>
  <c r="AJ14" i="25"/>
  <c r="AL14" i="25" s="1"/>
  <c r="G39" i="13"/>
  <c r="G49" i="7" s="1"/>
  <c r="E103" i="23"/>
  <c r="G15" i="23" s="1"/>
  <c r="M33" i="13"/>
  <c r="I33" i="14"/>
  <c r="R31" i="35"/>
  <c r="I27" i="14"/>
  <c r="T35" i="11"/>
  <c r="E158" i="30"/>
  <c r="G41" i="7"/>
  <c r="K41" i="7" s="1"/>
  <c r="T26" i="11"/>
  <c r="I26" i="11"/>
  <c r="M37" i="14"/>
  <c r="C37" i="12"/>
  <c r="C40" i="12" s="1"/>
  <c r="AL82" i="25"/>
  <c r="N31" i="35"/>
  <c r="L48" i="32"/>
  <c r="K156" i="30"/>
  <c r="H41" i="6"/>
  <c r="H42" i="6" s="1"/>
  <c r="AA38" i="29"/>
  <c r="AG38" i="29" s="1"/>
  <c r="AI38" i="29" s="1"/>
  <c r="AH16" i="26"/>
  <c r="AJ16" i="26" s="1"/>
  <c r="S27" i="14"/>
  <c r="O37" i="13"/>
  <c r="AD57" i="2"/>
  <c r="AD59" i="2" s="1"/>
  <c r="AE16" i="16"/>
  <c r="AE149" i="16" s="1"/>
  <c r="C16" i="16"/>
  <c r="AB16" i="16" s="1"/>
  <c r="I26" i="8"/>
  <c r="K91" i="30"/>
  <c r="M261" i="42"/>
  <c r="M35" i="10"/>
  <c r="I34" i="8"/>
  <c r="C27" i="13"/>
  <c r="C21" i="7"/>
  <c r="I21" i="7" s="1"/>
  <c r="C30" i="7"/>
  <c r="I30" i="7" s="1"/>
  <c r="C34" i="8"/>
  <c r="C43" i="9"/>
  <c r="C47" i="9" s="1"/>
  <c r="C50" i="9" s="1"/>
  <c r="C29" i="7"/>
  <c r="I29" i="7" s="1"/>
  <c r="C33" i="7"/>
  <c r="I33" i="7" s="1"/>
  <c r="M101" i="42"/>
  <c r="C26" i="10"/>
  <c r="C25" i="7"/>
  <c r="I25" i="7" s="1"/>
  <c r="C35" i="10"/>
  <c r="C24" i="7"/>
  <c r="I24" i="7" s="1"/>
  <c r="C31" i="7"/>
  <c r="I31" i="7" s="1"/>
  <c r="C26" i="8"/>
  <c r="C20" i="7"/>
  <c r="I20" i="7" s="1"/>
  <c r="AD57" i="3"/>
  <c r="AD59" i="3" s="1"/>
  <c r="I43" i="9"/>
  <c r="C42" i="7"/>
  <c r="I42" i="7" s="1"/>
  <c r="C41" i="8"/>
  <c r="I41" i="8" s="1"/>
  <c r="C41" i="7"/>
  <c r="I31" i="9"/>
  <c r="C40" i="8"/>
  <c r="I40" i="8" s="1"/>
  <c r="AH16" i="17"/>
  <c r="AJ16" i="17" s="1"/>
  <c r="D42" i="6"/>
  <c r="I49" i="7" l="1"/>
  <c r="K49" i="7"/>
  <c r="I42" i="8"/>
  <c r="C40" i="14"/>
  <c r="I37" i="14"/>
  <c r="I40" i="14" s="1"/>
  <c r="M40" i="14"/>
  <c r="S37" i="14"/>
  <c r="S40" i="14" s="1"/>
  <c r="I41" i="7"/>
  <c r="I43" i="7" s="1"/>
  <c r="I37" i="12"/>
  <c r="I40" i="12" s="1"/>
  <c r="AI57" i="2"/>
  <c r="K43" i="7"/>
  <c r="K47" i="7" s="1"/>
  <c r="L44" i="5"/>
  <c r="L45" i="5" s="1"/>
  <c r="I26" i="7"/>
  <c r="I39" i="11"/>
  <c r="I42" i="11" s="1"/>
  <c r="AF103" i="23"/>
  <c r="AN103" i="23" s="1"/>
  <c r="AB59" i="2"/>
  <c r="I82" i="25"/>
  <c r="K14" i="25" s="1"/>
  <c r="I102" i="24"/>
  <c r="K14" i="24" s="1"/>
  <c r="E51" i="26"/>
  <c r="G16" i="26" s="1"/>
  <c r="D46" i="27"/>
  <c r="F14" i="27" s="1"/>
  <c r="D38" i="29"/>
  <c r="F13" i="29" s="1"/>
  <c r="D38" i="28"/>
  <c r="F13" i="28" s="1"/>
  <c r="K103" i="30"/>
  <c r="K158" i="30" s="1"/>
  <c r="AL14" i="24"/>
  <c r="AF59" i="3"/>
  <c r="C37" i="13"/>
  <c r="C40" i="13" s="1"/>
  <c r="K45" i="31"/>
  <c r="AJ82" i="25"/>
  <c r="AL15" i="23"/>
  <c r="AN15" i="23" s="1"/>
  <c r="G40" i="13"/>
  <c r="K39" i="13"/>
  <c r="O39" i="13" s="1"/>
  <c r="L51" i="32"/>
  <c r="T39" i="11"/>
  <c r="T42" i="11" s="1"/>
  <c r="G43" i="7"/>
  <c r="G47" i="7" s="1"/>
  <c r="I47" i="9"/>
  <c r="I50" i="9" s="1"/>
  <c r="L41" i="6"/>
  <c r="S41" i="6" s="1"/>
  <c r="I37" i="8"/>
  <c r="C37" i="8"/>
  <c r="C42" i="8"/>
  <c r="C46" i="8" s="1"/>
  <c r="C49" i="8" s="1"/>
  <c r="AH16" i="16"/>
  <c r="AJ16" i="16" s="1"/>
  <c r="R59" i="2"/>
  <c r="C149" i="16"/>
  <c r="E16" i="16" s="1"/>
  <c r="M264" i="42"/>
  <c r="I34" i="7"/>
  <c r="M39" i="10"/>
  <c r="M42" i="10" s="1"/>
  <c r="C34" i="7"/>
  <c r="AF57" i="3"/>
  <c r="C39" i="10"/>
  <c r="C42" i="10" s="1"/>
  <c r="C26" i="7"/>
  <c r="C43" i="7"/>
  <c r="K50" i="7" l="1"/>
  <c r="M39" i="13"/>
  <c r="O40" i="13"/>
  <c r="M37" i="13"/>
  <c r="AG57" i="2"/>
  <c r="I47" i="7"/>
  <c r="I50" i="7" s="1"/>
  <c r="I46" i="8"/>
  <c r="I49" i="8" s="1"/>
  <c r="C47" i="7"/>
  <c r="C50" i="7" s="1"/>
  <c r="S44" i="5"/>
  <c r="U44" i="5" s="1"/>
  <c r="K40" i="13"/>
  <c r="K82" i="25"/>
  <c r="M14" i="25" s="1"/>
  <c r="K102" i="24"/>
  <c r="M14" i="24" s="1"/>
  <c r="E149" i="16"/>
  <c r="G103" i="23"/>
  <c r="I15" i="23" s="1"/>
  <c r="AL103" i="23"/>
  <c r="L42" i="6"/>
  <c r="G50" i="7"/>
  <c r="I37" i="7"/>
  <c r="C37" i="7"/>
  <c r="U41" i="6"/>
  <c r="S42" i="6"/>
  <c r="U42" i="6" s="1"/>
  <c r="F38" i="19"/>
  <c r="F86" i="19" s="1"/>
  <c r="F112" i="19" s="1"/>
  <c r="F122" i="19" s="1"/>
  <c r="F124" i="19" s="1"/>
  <c r="H13" i="19" s="1"/>
  <c r="AD38" i="19"/>
  <c r="AD86" i="19" s="1"/>
  <c r="AD112" i="19" s="1"/>
  <c r="AD122" i="19" s="1"/>
  <c r="M40" i="13" l="1"/>
  <c r="G16" i="16"/>
  <c r="G149" i="16" s="1"/>
  <c r="I16" i="16" s="1"/>
  <c r="H124" i="19"/>
  <c r="J13" i="19" s="1"/>
  <c r="I103" i="23"/>
  <c r="K15" i="23" s="1"/>
  <c r="S45" i="5"/>
  <c r="U45" i="5" s="1"/>
  <c r="M82" i="25"/>
  <c r="O14" i="25" s="1"/>
  <c r="F38" i="29"/>
  <c r="H13" i="29" s="1"/>
  <c r="F38" i="28"/>
  <c r="H13" i="28" s="1"/>
  <c r="F46" i="27"/>
  <c r="H14" i="27" s="1"/>
  <c r="G51" i="26"/>
  <c r="I16" i="26" s="1"/>
  <c r="AJ122" i="19"/>
  <c r="AL122" i="19" s="1"/>
  <c r="AD124" i="19"/>
  <c r="AJ124" i="19" s="1"/>
  <c r="AL124" i="19" s="1"/>
  <c r="AJ17" i="19"/>
  <c r="J14" i="2"/>
  <c r="H25" i="15"/>
  <c r="H58" i="15" s="1"/>
  <c r="J22" i="15"/>
  <c r="O82" i="25" l="1"/>
  <c r="AJ38" i="19"/>
  <c r="AL38" i="19" s="1"/>
  <c r="AL17" i="19"/>
  <c r="J124" i="19"/>
  <c r="L13" i="19" s="1"/>
  <c r="X22" i="15"/>
  <c r="J25" i="15"/>
  <c r="J58" i="15" s="1"/>
  <c r="X14" i="2"/>
  <c r="J20" i="2"/>
  <c r="J45" i="2" s="1"/>
  <c r="J55" i="2" s="1"/>
  <c r="J59" i="2" s="1"/>
  <c r="Q82" i="25" l="1"/>
  <c r="AJ86" i="19"/>
  <c r="AL86" i="19" s="1"/>
  <c r="L124" i="19"/>
  <c r="N13" i="19" s="1"/>
  <c r="H57" i="2" s="1"/>
  <c r="H38" i="28"/>
  <c r="J13" i="28" s="1"/>
  <c r="H38" i="29"/>
  <c r="J13" i="29" s="1"/>
  <c r="I51" i="26"/>
  <c r="K16" i="26" s="1"/>
  <c r="H46" i="27"/>
  <c r="J14" i="27" s="1"/>
  <c r="I149" i="16"/>
  <c r="AG14" i="2"/>
  <c r="AG20" i="2" s="1"/>
  <c r="AI14" i="2"/>
  <c r="X20" i="2"/>
  <c r="X25" i="15"/>
  <c r="AH22" i="15"/>
  <c r="AJ22" i="15" s="1"/>
  <c r="K16" i="16" l="1"/>
  <c r="K149" i="16" s="1"/>
  <c r="M16" i="16" s="1"/>
  <c r="S82" i="25"/>
  <c r="AJ112" i="19"/>
  <c r="AL112" i="19" s="1"/>
  <c r="N124" i="19"/>
  <c r="K103" i="23"/>
  <c r="M15" i="23" s="1"/>
  <c r="X58" i="15"/>
  <c r="AH58" i="15" s="1"/>
  <c r="AJ58" i="15" s="1"/>
  <c r="AH25" i="15"/>
  <c r="AJ25" i="15" s="1"/>
  <c r="AI20" i="2"/>
  <c r="X45" i="2"/>
  <c r="M103" i="23" l="1"/>
  <c r="O15" i="23" s="1"/>
  <c r="P57" i="2" s="1"/>
  <c r="U82" i="25"/>
  <c r="P124" i="19"/>
  <c r="K51" i="26"/>
  <c r="M16" i="26" s="1"/>
  <c r="B44" i="5" s="1"/>
  <c r="J46" i="27"/>
  <c r="L14" i="27" s="1"/>
  <c r="F44" i="5" s="1"/>
  <c r="J38" i="28"/>
  <c r="L13" i="28" s="1"/>
  <c r="B41" i="6" s="1"/>
  <c r="J38" i="29"/>
  <c r="L13" i="29" s="1"/>
  <c r="F41" i="6" s="1"/>
  <c r="AG45" i="2"/>
  <c r="AG55" i="2" s="1"/>
  <c r="AG59" i="2" s="1"/>
  <c r="AI45" i="2"/>
  <c r="X55" i="2"/>
  <c r="W82" i="25" l="1"/>
  <c r="R124" i="19"/>
  <c r="AI55" i="2"/>
  <c r="X59" i="2"/>
  <c r="AI59" i="2" s="1"/>
  <c r="N42" i="6"/>
  <c r="M102" i="24"/>
  <c r="O14" i="24" s="1"/>
  <c r="O102" i="24" l="1"/>
  <c r="Y82" i="25"/>
  <c r="T124" i="19"/>
  <c r="M51" i="26"/>
  <c r="L46" i="27"/>
  <c r="L38" i="28"/>
  <c r="L38" i="29"/>
  <c r="J62" i="22"/>
  <c r="J65" i="22" s="1"/>
  <c r="J75" i="22" s="1"/>
  <c r="J77" i="22" s="1"/>
  <c r="L12" i="22" s="1"/>
  <c r="L57" i="2" s="1"/>
  <c r="V37" i="2"/>
  <c r="L41" i="3"/>
  <c r="R41" i="3" s="1"/>
  <c r="Q102" i="24" l="1"/>
  <c r="AA82" i="25"/>
  <c r="V124" i="19"/>
  <c r="AB130" i="17"/>
  <c r="AH130" i="17" s="1"/>
  <c r="AJ130" i="17" s="1"/>
  <c r="O103" i="23"/>
  <c r="K133" i="17"/>
  <c r="K136" i="17" s="1"/>
  <c r="K146" i="17" s="1"/>
  <c r="K148" i="17" s="1"/>
  <c r="M16" i="17" s="1"/>
  <c r="V40" i="2"/>
  <c r="V42" i="2" s="1"/>
  <c r="AB127" i="16"/>
  <c r="AH127" i="16" s="1"/>
  <c r="AJ127" i="16" s="1"/>
  <c r="L38" i="3"/>
  <c r="L43" i="3" s="1"/>
  <c r="M133" i="17"/>
  <c r="M136" i="17" s="1"/>
  <c r="M146" i="17" s="1"/>
  <c r="AB127" i="17"/>
  <c r="AB130" i="16"/>
  <c r="AH130" i="16" s="1"/>
  <c r="AJ130" i="16" s="1"/>
  <c r="L62" i="22"/>
  <c r="L65" i="22" s="1"/>
  <c r="L75" i="22" s="1"/>
  <c r="L77" i="22" s="1"/>
  <c r="L42" i="2"/>
  <c r="S102" i="24" l="1"/>
  <c r="X124" i="19"/>
  <c r="O51" i="26"/>
  <c r="N46" i="27"/>
  <c r="N38" i="28"/>
  <c r="N38" i="29"/>
  <c r="N77" i="22"/>
  <c r="Q103" i="23"/>
  <c r="M148" i="17"/>
  <c r="R38" i="3"/>
  <c r="R43" i="3" s="1"/>
  <c r="AB133" i="17"/>
  <c r="AH127" i="17"/>
  <c r="M133" i="16"/>
  <c r="M136" i="16" s="1"/>
  <c r="M147" i="16" s="1"/>
  <c r="M149" i="16" s="1"/>
  <c r="O149" i="16" s="1"/>
  <c r="AB133" i="16"/>
  <c r="U102" i="24" l="1"/>
  <c r="H59" i="2"/>
  <c r="Z124" i="19"/>
  <c r="O148" i="17"/>
  <c r="AH133" i="16"/>
  <c r="AJ133" i="16" s="1"/>
  <c r="AH133" i="17"/>
  <c r="AJ133" i="17" s="1"/>
  <c r="AJ127" i="17"/>
  <c r="W102" i="24" l="1"/>
  <c r="P38" i="29"/>
  <c r="P38" i="28"/>
  <c r="P46" i="27"/>
  <c r="Q51" i="26"/>
  <c r="S103" i="23"/>
  <c r="Y102" i="24" l="1"/>
  <c r="R38" i="29"/>
  <c r="AA102" i="24" l="1"/>
  <c r="R38" i="28"/>
  <c r="S51" i="26"/>
  <c r="R46" i="27"/>
  <c r="U103" i="23"/>
  <c r="W103" i="23" l="1"/>
  <c r="Y103" i="23" l="1"/>
  <c r="T38" i="28"/>
  <c r="T46" i="27"/>
  <c r="U51" i="26"/>
  <c r="T38" i="29"/>
  <c r="AA103" i="23" l="1"/>
  <c r="P59" i="2" l="1"/>
  <c r="V46" i="27"/>
  <c r="W51" i="26"/>
  <c r="V38" i="28"/>
  <c r="V38" i="29"/>
  <c r="B42" i="6" l="1"/>
  <c r="F42" i="6"/>
  <c r="F45" i="5"/>
  <c r="X46" i="27"/>
  <c r="B45" i="5"/>
  <c r="Y51" i="26"/>
  <c r="X38" i="28" l="1"/>
  <c r="J41" i="6"/>
  <c r="J42" i="6" s="1"/>
  <c r="X38" i="29"/>
  <c r="J44" i="5"/>
  <c r="J45" i="5" s="1"/>
  <c r="L25" i="15"/>
  <c r="L58" i="15" s="1"/>
  <c r="P29" i="22"/>
  <c r="P54" i="22" s="1"/>
  <c r="P65" i="22" s="1"/>
  <c r="P75" i="22" s="1"/>
  <c r="P77" i="22" s="1"/>
  <c r="Q30" i="17"/>
  <c r="Q60" i="17" s="1"/>
  <c r="Q30" i="16"/>
  <c r="AB30" i="16" s="1"/>
  <c r="V14" i="2"/>
  <c r="V20" i="2" s="1"/>
  <c r="V45" i="2" s="1"/>
  <c r="V55" i="2" s="1"/>
  <c r="R77" i="22" l="1"/>
  <c r="L15" i="3"/>
  <c r="R15" i="3" s="1"/>
  <c r="R21" i="3" s="1"/>
  <c r="R46" i="3" s="1"/>
  <c r="R55" i="3" s="1"/>
  <c r="L20" i="2"/>
  <c r="L45" i="2" s="1"/>
  <c r="L55" i="2" s="1"/>
  <c r="Q60" i="16"/>
  <c r="Q110" i="16" s="1"/>
  <c r="Q136" i="16" s="1"/>
  <c r="Q147" i="16" s="1"/>
  <c r="Q149" i="16" s="1"/>
  <c r="S149" i="16" s="1"/>
  <c r="U149" i="16" s="1"/>
  <c r="W149" i="16" s="1"/>
  <c r="AB60" i="16"/>
  <c r="AB110" i="16" s="1"/>
  <c r="AB136" i="16" s="1"/>
  <c r="Q110" i="17"/>
  <c r="Q136" i="17" s="1"/>
  <c r="Q146" i="17" s="1"/>
  <c r="Q148" i="17" s="1"/>
  <c r="S148" i="17" s="1"/>
  <c r="U148" i="17" s="1"/>
  <c r="W148" i="17" s="1"/>
  <c r="Y148" i="17" s="1"/>
  <c r="AB60" i="17"/>
  <c r="AB28" i="16"/>
  <c r="AH28" i="16" s="1"/>
  <c r="V25" i="15"/>
  <c r="V58" i="15" s="1"/>
  <c r="AB28" i="17"/>
  <c r="Y149" i="16" l="1"/>
  <c r="AH30" i="16"/>
  <c r="AH60" i="16" s="1"/>
  <c r="AJ28" i="16"/>
  <c r="T77" i="22"/>
  <c r="L21" i="3"/>
  <c r="L46" i="3" s="1"/>
  <c r="L55" i="3" s="1"/>
  <c r="AB30" i="17"/>
  <c r="AH28" i="17"/>
  <c r="AH60" i="17"/>
  <c r="AB110" i="17"/>
  <c r="AB136" i="17" s="1"/>
  <c r="AB147" i="16"/>
  <c r="AH136" i="16"/>
  <c r="AJ136" i="16" s="1"/>
  <c r="V77" i="22" l="1"/>
  <c r="AJ30" i="16"/>
  <c r="AH30" i="17"/>
  <c r="AJ30" i="17" s="1"/>
  <c r="AJ28" i="17"/>
  <c r="AH110" i="16"/>
  <c r="AJ110" i="16" s="1"/>
  <c r="AJ60" i="16"/>
  <c r="AB149" i="16"/>
  <c r="AH149" i="16" s="1"/>
  <c r="AJ149" i="16" s="1"/>
  <c r="AH147" i="16"/>
  <c r="AJ147" i="16" s="1"/>
  <c r="AJ60" i="17"/>
  <c r="AH110" i="17"/>
  <c r="AJ110" i="17" s="1"/>
  <c r="AH136" i="17"/>
  <c r="AJ136" i="17" s="1"/>
  <c r="AB146" i="17"/>
  <c r="X77" i="22" l="1"/>
  <c r="L59" i="2"/>
  <c r="AH146" i="17"/>
  <c r="AJ146" i="17" s="1"/>
  <c r="AB148" i="17"/>
  <c r="AH148" i="17" s="1"/>
  <c r="AJ148" i="17" s="1"/>
  <c r="V57" i="2" l="1"/>
  <c r="V59" i="2" s="1"/>
  <c r="L57" i="3"/>
  <c r="R57" i="3" s="1"/>
  <c r="R59" i="3" s="1"/>
  <c r="L59" i="3" l="1"/>
  <c r="N40" i="43" l="1"/>
  <c r="P40" i="43"/>
  <c r="R40" i="43"/>
  <c r="T40" i="43"/>
  <c r="Z20" i="43"/>
  <c r="Z32" i="43" s="1"/>
  <c r="Z38" i="43" s="1"/>
  <c r="Z40" i="43" s="1"/>
  <c r="D32" i="43"/>
  <c r="D38" i="43" s="1"/>
  <c r="D40" i="43" s="1"/>
  <c r="F12" i="43" s="1"/>
  <c r="F40" i="43" s="1"/>
  <c r="H12" i="43" s="1"/>
  <c r="H40" i="43" s="1"/>
  <c r="J12" i="43" s="1"/>
  <c r="J40" i="43" s="1"/>
  <c r="L12" i="43" s="1"/>
  <c r="L40" i="43" s="1"/>
</calcChain>
</file>

<file path=xl/sharedStrings.xml><?xml version="1.0" encoding="utf-8"?>
<sst xmlns="http://schemas.openxmlformats.org/spreadsheetml/2006/main" count="4172" uniqueCount="1540">
  <si>
    <t>STATE OF NEW YORK</t>
  </si>
  <si>
    <t>GOVERNMENTAL FUNDS</t>
  </si>
  <si>
    <t xml:space="preserve">GENERAL </t>
  </si>
  <si>
    <t xml:space="preserve">SPECIAL REVENUE </t>
  </si>
  <si>
    <t xml:space="preserve">DEBT SERVICE </t>
  </si>
  <si>
    <t xml:space="preserve">CAPITAL PROJECTS </t>
  </si>
  <si>
    <t>MONTH OF</t>
  </si>
  <si>
    <t>$ Increase/</t>
  </si>
  <si>
    <t>% Increase/</t>
  </si>
  <si>
    <t>REVENUE</t>
  </si>
  <si>
    <t>SERVICE</t>
  </si>
  <si>
    <t>(Decrease)</t>
  </si>
  <si>
    <t>Decrease</t>
  </si>
  <si>
    <t>RECEIPTS:</t>
  </si>
  <si>
    <t xml:space="preserve"> </t>
  </si>
  <si>
    <t xml:space="preserve">  Personal Income Tax       </t>
  </si>
  <si>
    <t xml:space="preserve">  Consumption/Use Taxes</t>
  </si>
  <si>
    <t xml:space="preserve">  Business Taxes</t>
  </si>
  <si>
    <t xml:space="preserve">  Other Taxes</t>
  </si>
  <si>
    <t xml:space="preserve">  Miscellaneous Receipts</t>
  </si>
  <si>
    <t xml:space="preserve">  Federal Receipts</t>
  </si>
  <si>
    <t xml:space="preserve">       Total Receipts</t>
  </si>
  <si>
    <t>DISBURSEMENTS:</t>
  </si>
  <si>
    <t xml:space="preserve">  Local Assistance Grants:</t>
  </si>
  <si>
    <t xml:space="preserve">       Education</t>
  </si>
  <si>
    <t xml:space="preserve">       Environment and Recreation</t>
  </si>
  <si>
    <t xml:space="preserve">       General Government</t>
  </si>
  <si>
    <t xml:space="preserve">       Public Health:</t>
  </si>
  <si>
    <t xml:space="preserve">         Medicaid</t>
  </si>
  <si>
    <t xml:space="preserve">         Other Public Health </t>
  </si>
  <si>
    <t xml:space="preserve">       Public Safety </t>
  </si>
  <si>
    <t xml:space="preserve">       Public Welfare </t>
  </si>
  <si>
    <t xml:space="preserve">       Support and Regulate Business </t>
  </si>
  <si>
    <t xml:space="preserve">       Transportation</t>
  </si>
  <si>
    <t xml:space="preserve">          Total Local Assistance Grants</t>
  </si>
  <si>
    <t xml:space="preserve">  Departmental Operations:</t>
  </si>
  <si>
    <t xml:space="preserve">       Personal Service</t>
  </si>
  <si>
    <t xml:space="preserve">       Non-Personal Service</t>
  </si>
  <si>
    <t xml:space="preserve">  General State Charges </t>
  </si>
  <si>
    <t xml:space="preserve">  Debt Service, Including Payments on</t>
  </si>
  <si>
    <t xml:space="preserve">    Financing Agreements</t>
  </si>
  <si>
    <t xml:space="preserve">  Capital Projects</t>
  </si>
  <si>
    <t xml:space="preserve">        Total Disbursements</t>
  </si>
  <si>
    <t>Excess (Deficiency) of Receipts</t>
  </si>
  <si>
    <t xml:space="preserve">  over Disbursements</t>
  </si>
  <si>
    <t>OTHER FINANCING SOURCES (USES):</t>
  </si>
  <si>
    <t xml:space="preserve">  Transfers from Other Funds</t>
  </si>
  <si>
    <t xml:space="preserve">  Transfers to Other Funds </t>
  </si>
  <si>
    <t xml:space="preserve">       Total Other Financing Sources (Uses)</t>
  </si>
  <si>
    <t xml:space="preserve"> and Other Financing Sources over</t>
  </si>
  <si>
    <t xml:space="preserve"> Disbursements and Other Financing Uses</t>
  </si>
  <si>
    <t xml:space="preserve">Beginning Fund Balances (Deficits) </t>
  </si>
  <si>
    <t xml:space="preserve">Ending Fund Balances (Deficits)                          </t>
  </si>
  <si>
    <t xml:space="preserve">EXHIBIT A </t>
  </si>
  <si>
    <t>SUPPLEMENTAL</t>
  </si>
  <si>
    <t>SPECIAL REVENUE</t>
  </si>
  <si>
    <t xml:space="preserve">       Total Disbursements</t>
  </si>
  <si>
    <t>and Other Financing Sources over</t>
  </si>
  <si>
    <t>Disbursements and Other Financing Uses</t>
  </si>
  <si>
    <t>Ending Fund Balances (Deficits)                            $</t>
  </si>
  <si>
    <t>EXHIBIT B</t>
  </si>
  <si>
    <t>ENTERPRISE</t>
  </si>
  <si>
    <t>INTERNAL SERVICE</t>
  </si>
  <si>
    <t>TOTAL PROPRIETARY FUNDS</t>
  </si>
  <si>
    <t xml:space="preserve">  Federal Receipts </t>
  </si>
  <si>
    <t xml:space="preserve">  Unemployment Taxes</t>
  </si>
  <si>
    <t xml:space="preserve">     Personal Service</t>
  </si>
  <si>
    <t xml:space="preserve">     Non-Personal Service</t>
  </si>
  <si>
    <t xml:space="preserve">  General State Charges</t>
  </si>
  <si>
    <t xml:space="preserve">  Unemployment Benefits</t>
  </si>
  <si>
    <t xml:space="preserve">  Over Disbursements</t>
  </si>
  <si>
    <t xml:space="preserve">  Transfers to Other Funds  </t>
  </si>
  <si>
    <t xml:space="preserve">  and Other Financing Sources </t>
  </si>
  <si>
    <t xml:space="preserve">  over Disbursements and Other  </t>
  </si>
  <si>
    <t xml:space="preserve">  Financing Uses</t>
  </si>
  <si>
    <t>Beginning Fund Balances (Deficits)</t>
  </si>
  <si>
    <t>Ending Fund Balances (Deficits)</t>
  </si>
  <si>
    <t>EXHIBIT C</t>
  </si>
  <si>
    <t>PRIVATE PURPOSE</t>
  </si>
  <si>
    <t>TOTAL TRUST FUNDS</t>
  </si>
  <si>
    <t xml:space="preserve">BUDGETARY BASIS - FINANCIAL PLAN AND ACTUAL  </t>
  </si>
  <si>
    <t>EXHIBIT D</t>
  </si>
  <si>
    <t>Actual</t>
  </si>
  <si>
    <t>(Under)</t>
  </si>
  <si>
    <t>Financial Plan</t>
  </si>
  <si>
    <t xml:space="preserve">  Taxes:</t>
  </si>
  <si>
    <t xml:space="preserve">    Personal Income</t>
  </si>
  <si>
    <t xml:space="preserve">    Consumption/Use</t>
  </si>
  <si>
    <t xml:space="preserve">    Business</t>
  </si>
  <si>
    <t xml:space="preserve">    Other</t>
  </si>
  <si>
    <t xml:space="preserve">      Total Receipts</t>
  </si>
  <si>
    <t xml:space="preserve">  Local Assistance Grants</t>
  </si>
  <si>
    <t xml:space="preserve">  Departmental Operations</t>
  </si>
  <si>
    <t xml:space="preserve">  Debt Service</t>
  </si>
  <si>
    <t xml:space="preserve">      Total Disbursements</t>
  </si>
  <si>
    <t xml:space="preserve">  Bond and Note Proceeds, net</t>
  </si>
  <si>
    <t xml:space="preserve">  Transfers to Other Funds</t>
  </si>
  <si>
    <t xml:space="preserve">      Total Other Financing Sources (Uses)</t>
  </si>
  <si>
    <t xml:space="preserve">Excess (Deficiency) of Receipts and Other   </t>
  </si>
  <si>
    <t xml:space="preserve">  Financing Sources over Disbursements    </t>
  </si>
  <si>
    <t xml:space="preserve">  and Other Financing Uses</t>
  </si>
  <si>
    <t>Fund Balances (Deficits) at April 1</t>
  </si>
  <si>
    <t>GENERAL</t>
  </si>
  <si>
    <t xml:space="preserve">  Transfers From:</t>
  </si>
  <si>
    <t xml:space="preserve">    Real Estate Taxes in excess of CW/CA Debt Service</t>
  </si>
  <si>
    <t xml:space="preserve">    All Other</t>
  </si>
  <si>
    <t xml:space="preserve">      Total Receipts and Other Financing Sources</t>
  </si>
  <si>
    <t xml:space="preserve">  Transfers To:</t>
  </si>
  <si>
    <t xml:space="preserve">    Debt Service</t>
  </si>
  <si>
    <t xml:space="preserve">    Capital Projects</t>
  </si>
  <si>
    <t xml:space="preserve">    State Share Medicaid</t>
  </si>
  <si>
    <t>(**)</t>
  </si>
  <si>
    <t xml:space="preserve">    SUNY Operations</t>
  </si>
  <si>
    <t xml:space="preserve">   </t>
  </si>
  <si>
    <t xml:space="preserve">    Other Purposes</t>
  </si>
  <si>
    <t xml:space="preserve">      Total Disbursements and Other Financing Uses</t>
  </si>
  <si>
    <t xml:space="preserve">Excess (Deficiency) of Receipts and Other     </t>
  </si>
  <si>
    <t xml:space="preserve">  Financing Sources over Disbursements   </t>
  </si>
  <si>
    <t>CAPITAL PROJECTS</t>
  </si>
  <si>
    <t>DEBT</t>
  </si>
  <si>
    <t>GOVERNMENTAL FUNDS (*)</t>
  </si>
  <si>
    <t xml:space="preserve">STATEMENT OF CASH FLOW </t>
  </si>
  <si>
    <t>APRIL</t>
  </si>
  <si>
    <t>MAY</t>
  </si>
  <si>
    <t>JUNE</t>
  </si>
  <si>
    <t>JULY</t>
  </si>
  <si>
    <t>AUGUST</t>
  </si>
  <si>
    <t xml:space="preserve"> SEPTEMBER</t>
  </si>
  <si>
    <t xml:space="preserve"> OCTOBER</t>
  </si>
  <si>
    <t>NOVEMBER</t>
  </si>
  <si>
    <t>DECEMBER</t>
  </si>
  <si>
    <t>JANUARY</t>
  </si>
  <si>
    <t>FEBRUARY</t>
  </si>
  <si>
    <t xml:space="preserve"> MARCH</t>
  </si>
  <si>
    <t>Beginning Fund Balance</t>
  </si>
  <si>
    <t xml:space="preserve">  Local Assistance Grants: </t>
  </si>
  <si>
    <t xml:space="preserve">       Personal Service </t>
  </si>
  <si>
    <t xml:space="preserve">       Non-Personal Service </t>
  </si>
  <si>
    <t xml:space="preserve">  Capital Projects </t>
  </si>
  <si>
    <t>Ending Fund Balance</t>
  </si>
  <si>
    <t>(*)   Governmental Funds includes General, Special Revenue, Debt Service and Capital Projects Funds combined.</t>
  </si>
  <si>
    <t>SEPTEMBER</t>
  </si>
  <si>
    <t>OCTOBER</t>
  </si>
  <si>
    <t>GENERAL FUND</t>
  </si>
  <si>
    <t>EXHIBIT F</t>
  </si>
  <si>
    <t>STATEMENT OF CASH FLOW</t>
  </si>
  <si>
    <t xml:space="preserve">   Federal Receipts</t>
  </si>
  <si>
    <t xml:space="preserve">          Total Receipts</t>
  </si>
  <si>
    <t xml:space="preserve">   Local Assistance Grants:</t>
  </si>
  <si>
    <t xml:space="preserve">   Departmental Operations:</t>
  </si>
  <si>
    <t xml:space="preserve">      Personal Service </t>
  </si>
  <si>
    <t xml:space="preserve">      Non-Personal Service              </t>
  </si>
  <si>
    <t xml:space="preserve">   General State Charges</t>
  </si>
  <si>
    <t xml:space="preserve">          Total Disbursements</t>
  </si>
  <si>
    <t xml:space="preserve">Excess (Deficiency) of Receipts </t>
  </si>
  <si>
    <t xml:space="preserve">                    </t>
  </si>
  <si>
    <t xml:space="preserve">   Transfers from Other Funds           </t>
  </si>
  <si>
    <t xml:space="preserve">   Transfers to State Capital Projects</t>
  </si>
  <si>
    <t xml:space="preserve">   Transfers to General Debt Service</t>
  </si>
  <si>
    <t xml:space="preserve">   Transfers to All Other State Funds</t>
  </si>
  <si>
    <t xml:space="preserve">          Total Other Financing</t>
  </si>
  <si>
    <t xml:space="preserve">            Sources (Uses)</t>
  </si>
  <si>
    <t xml:space="preserve">Excess (Deficiency) of Receipts and </t>
  </si>
  <si>
    <t xml:space="preserve">  Other Financing Sources over</t>
  </si>
  <si>
    <t xml:space="preserve">  Disbursements and Other Financing Uses</t>
  </si>
  <si>
    <t>EXHIBIT G</t>
  </si>
  <si>
    <t xml:space="preserve">   Departmental Operations: </t>
  </si>
  <si>
    <t xml:space="preserve">      Non-Personal Service </t>
  </si>
  <si>
    <t xml:space="preserve">   General State Charges </t>
  </si>
  <si>
    <t xml:space="preserve">   Capital Projects </t>
  </si>
  <si>
    <t xml:space="preserve">   Transfers from Other Funds </t>
  </si>
  <si>
    <t xml:space="preserve">   Transfers to Other Funds </t>
  </si>
  <si>
    <t>SPECIAL REVENUE FUNDS - STATE</t>
  </si>
  <si>
    <t xml:space="preserve">   Transfers from Other Funds   </t>
  </si>
  <si>
    <t>SPECIAL REVENUE FUNDS - FEDERAL</t>
  </si>
  <si>
    <t xml:space="preserve">   Miscellaneous Receipts</t>
  </si>
  <si>
    <t xml:space="preserve">      Non-Personal Service</t>
  </si>
  <si>
    <t xml:space="preserve">   Capital Projects</t>
  </si>
  <si>
    <t xml:space="preserve">   Transfers from Other Funds</t>
  </si>
  <si>
    <t xml:space="preserve">   Transfers to Other Funds</t>
  </si>
  <si>
    <t>.</t>
  </si>
  <si>
    <t>DEBT SERVICE FUNDS</t>
  </si>
  <si>
    <t>MARCH</t>
  </si>
  <si>
    <t xml:space="preserve">Beginning Fund Balance        </t>
  </si>
  <si>
    <t xml:space="preserve">             Total Receipts</t>
  </si>
  <si>
    <t xml:space="preserve">DISBURSEMENTS: </t>
  </si>
  <si>
    <t xml:space="preserve">             Total Disbursements</t>
  </si>
  <si>
    <t xml:space="preserve">   over Disbursements</t>
  </si>
  <si>
    <t xml:space="preserve">   Transfers to Other Funds            </t>
  </si>
  <si>
    <t>Excess (Deficiency) of Receipts and</t>
  </si>
  <si>
    <t xml:space="preserve">   Other Financing Sources over</t>
  </si>
  <si>
    <t>EXHIBIT I</t>
  </si>
  <si>
    <t xml:space="preserve">RECEIPTS:  </t>
  </si>
  <si>
    <t xml:space="preserve">          Total Receipts   </t>
  </si>
  <si>
    <t xml:space="preserve">          Total Local Assistance Grants  </t>
  </si>
  <si>
    <t xml:space="preserve">   Departmental Operations:  </t>
  </si>
  <si>
    <t xml:space="preserve">      Personal Service  </t>
  </si>
  <si>
    <t xml:space="preserve">      Non-Personal Service   </t>
  </si>
  <si>
    <t xml:space="preserve">   General State Charges   </t>
  </si>
  <si>
    <t xml:space="preserve">          Total Disbursements   </t>
  </si>
  <si>
    <t xml:space="preserve">Excess (Deficiency) of Receipts    </t>
  </si>
  <si>
    <t xml:space="preserve">  over Disbursements   </t>
  </si>
  <si>
    <t xml:space="preserve">OTHER FINANCING SOURCES (USES):  </t>
  </si>
  <si>
    <t xml:space="preserve">   Transfers to Other Funds  </t>
  </si>
  <si>
    <t xml:space="preserve">          Total Other Financing Sources (Uses)</t>
  </si>
  <si>
    <t xml:space="preserve">Excess (Deficiency) of Receipts and    </t>
  </si>
  <si>
    <t xml:space="preserve">  Other Financing Sources over  </t>
  </si>
  <si>
    <t>CAPITAL PROJECTS FUNDS - STATE</t>
  </si>
  <si>
    <t>CAPITAL PROJECTS FUNDS - FEDERAL</t>
  </si>
  <si>
    <t xml:space="preserve">   Capital Projects   </t>
  </si>
  <si>
    <t xml:space="preserve">   Transfers from Other Funds  </t>
  </si>
  <si>
    <t xml:space="preserve">   Transfers to Other Funds    </t>
  </si>
  <si>
    <t>ENTERPRISE FUNDS</t>
  </si>
  <si>
    <r>
      <t xml:space="preserve">   </t>
    </r>
    <r>
      <rPr>
        <sz val="14"/>
        <color indexed="8"/>
        <rFont val="Arial"/>
        <family val="2"/>
      </rPr>
      <t>Federal Receipts</t>
    </r>
  </si>
  <si>
    <t xml:space="preserve">   Unemployment Taxes</t>
  </si>
  <si>
    <t xml:space="preserve">      Personal Service</t>
  </si>
  <si>
    <t xml:space="preserve">   Unemployment Benefits</t>
  </si>
  <si>
    <t>INTERNAL SERVICE FUNDS</t>
  </si>
  <si>
    <t xml:space="preserve">STATEMENT OF CASH FLOW  </t>
  </si>
  <si>
    <t xml:space="preserve">    EXHIBIT K</t>
  </si>
  <si>
    <t>EXHIBIT L</t>
  </si>
  <si>
    <t xml:space="preserve">AUGUST </t>
  </si>
  <si>
    <t xml:space="preserve">  Other Financing Sources Over</t>
  </si>
  <si>
    <t>PRIVATE PURPOSE TRUST FUNDS</t>
  </si>
  <si>
    <t>EXHIBIT M</t>
  </si>
  <si>
    <t xml:space="preserve">GOVERNMENTAL FUNDS   </t>
  </si>
  <si>
    <t>SCHEDULE 1</t>
  </si>
  <si>
    <t xml:space="preserve">CHANGES IN FUND BALANCES    </t>
  </si>
  <si>
    <t/>
  </si>
  <si>
    <t>BALANCE</t>
  </si>
  <si>
    <t>OTHER FINANCING</t>
  </si>
  <si>
    <t>RECEIPTS</t>
  </si>
  <si>
    <t>DISBURSEMENTS</t>
  </si>
  <si>
    <t>SOURCES (USES)</t>
  </si>
  <si>
    <t xml:space="preserve">  10000-10049-Local Assistance Account</t>
  </si>
  <si>
    <t xml:space="preserve">  10050-10099-State Operations Account </t>
  </si>
  <si>
    <t xml:space="preserve">  10100-10149-Tax Stabilization Reserve </t>
  </si>
  <si>
    <t xml:space="preserve">  10150-10199-Contingency Reserve </t>
  </si>
  <si>
    <t xml:space="preserve">  10200-10249-Universal Pre-K Reserve</t>
  </si>
  <si>
    <t xml:space="preserve">  10250-10299-Community Projects </t>
  </si>
  <si>
    <t xml:space="preserve">  10300-10349-Rainy Day Reserve Fund</t>
  </si>
  <si>
    <t xml:space="preserve">  10400-10449-Refund Reserve Account</t>
  </si>
  <si>
    <t xml:space="preserve">  10500-10549-Fringe Benefits Escrow </t>
  </si>
  <si>
    <t xml:space="preserve">  10550-10599-Tobacco Revenue Guarantee </t>
  </si>
  <si>
    <t xml:space="preserve">     TOTAL GENERAL FUND </t>
  </si>
  <si>
    <t xml:space="preserve">  20000-20099-Mental Health Gifts and Donations</t>
  </si>
  <si>
    <t xml:space="preserve">  20100-20299-Combined Expendable Trust</t>
  </si>
  <si>
    <t xml:space="preserve">  20300-20349-New York Interest on Lawyer Account </t>
  </si>
  <si>
    <t xml:space="preserve">  20350-20399-NYS Archives Partnership Trust </t>
  </si>
  <si>
    <t xml:space="preserve">  20400-20449-Child Performer's Protection </t>
  </si>
  <si>
    <t xml:space="preserve">  20450-20499-Tuition Reimbursement </t>
  </si>
  <si>
    <t xml:space="preserve">  20500-20549-New York State Local Government Records</t>
  </si>
  <si>
    <t xml:space="preserve">                         Management Improvement</t>
  </si>
  <si>
    <t xml:space="preserve">  20550-20599-School Tax Relief </t>
  </si>
  <si>
    <t xml:space="preserve">  20600-20649-Charter Schools Stimulus </t>
  </si>
  <si>
    <t xml:space="preserve">   20650-20699-Not-For-Profit Short Term Revolving Loan </t>
  </si>
  <si>
    <t xml:space="preserve">  20800-20849-HCRA Resources</t>
  </si>
  <si>
    <t xml:space="preserve">  20850-20899-Dedicated Mass Transportation Trust </t>
  </si>
  <si>
    <t xml:space="preserve">  20900-20949-State Lottery</t>
  </si>
  <si>
    <t xml:space="preserve">  20950-20999-Combined Student Loan </t>
  </si>
  <si>
    <t xml:space="preserve">  21000-21049-Sewage Treatment Program Mgmt. &amp; Administration</t>
  </si>
  <si>
    <t xml:space="preserve">  21150-21199-Conservation </t>
  </si>
  <si>
    <t xml:space="preserve">  21200-21249-Environmental Protection and Oil Spill Compensation </t>
  </si>
  <si>
    <t xml:space="preserve">  21250-21299-Training and Education Program on OSHA </t>
  </si>
  <si>
    <t xml:space="preserve">  21300-21349-Lawyers' Fund for Client Protection</t>
  </si>
  <si>
    <t xml:space="preserve">  21350-21399-Equipment Loan for the Disabled</t>
  </si>
  <si>
    <t xml:space="preserve">  21400-21449-Mass Transportation Operating Assistance </t>
  </si>
  <si>
    <t xml:space="preserve">  21450-21499-Clean Air</t>
  </si>
  <si>
    <t xml:space="preserve">  21500-21549-New York State Infrastructure Trust </t>
  </si>
  <si>
    <t xml:space="preserve">  21600-21649-Biodiversity Stewardship and Research </t>
  </si>
  <si>
    <t xml:space="preserve">  21650-21699-Combined Non-Expendable Trust</t>
  </si>
  <si>
    <t xml:space="preserve">  21700-21749-Winter Sports Education Trust</t>
  </si>
  <si>
    <t xml:space="preserve">  21750-21799-Musical Instrument Revolving</t>
  </si>
  <si>
    <t xml:space="preserve">  21900-22499-Miscellaneous State Special Revenue</t>
  </si>
  <si>
    <t xml:space="preserve">  22500-22549-Court Facilities Incentive Aid </t>
  </si>
  <si>
    <t xml:space="preserve">  22550-22599-Employment Training </t>
  </si>
  <si>
    <t xml:space="preserve">  22650-22699-State University Income </t>
  </si>
  <si>
    <t xml:space="preserve">  22700-22749-Chemical Dependence Service </t>
  </si>
  <si>
    <t xml:space="preserve">  22750-22799-Lake George Park Trust</t>
  </si>
  <si>
    <t xml:space="preserve">  22800-22849-State Police Motor Vehicle Law Enforcement and</t>
  </si>
  <si>
    <t xml:space="preserve">                         Motor Vehicle Theft and Insurance Fraud Prevention</t>
  </si>
  <si>
    <t xml:space="preserve">  22850-22899-New York Great Lakes Protection </t>
  </si>
  <si>
    <t xml:space="preserve">  22900-22949-Federal Revenue Maximization</t>
  </si>
  <si>
    <t xml:space="preserve">  22950-22999-Housing Development</t>
  </si>
  <si>
    <t xml:space="preserve">  23000-23049-NYS/DOT Highway Safety Program </t>
  </si>
  <si>
    <t xml:space="preserve">  23050-23099-Vocational Rehabilitation </t>
  </si>
  <si>
    <t xml:space="preserve">  23100-23149-Drinking Water Program Management and </t>
  </si>
  <si>
    <t xml:space="preserve">                         Administration</t>
  </si>
  <si>
    <t xml:space="preserve">  23150-23199-NYC County Clerks' Operations Offset </t>
  </si>
  <si>
    <t xml:space="preserve">  23200-23249-Judiciary Data Processing Offset</t>
  </si>
  <si>
    <t xml:space="preserve">  23500-23549-USOC Lake Placid Training </t>
  </si>
  <si>
    <t xml:space="preserve">  23550-23599-Indigent Legal Services    </t>
  </si>
  <si>
    <t xml:space="preserve">  23600-23649-Unemployment Insurance Interest and Penalty </t>
  </si>
  <si>
    <t xml:space="preserve">  23650-23699-MTA Financial Assistance Fund </t>
  </si>
  <si>
    <t>TOTAL SPECIAL REVENUE FUNDS-STATE</t>
  </si>
  <si>
    <t>SPECIAL REVENUE FUNDS-FEDERAL</t>
  </si>
  <si>
    <t xml:space="preserve">  25100-25199-Federal Health and Human Services </t>
  </si>
  <si>
    <t xml:space="preserve">  25200-25249-Federal Education </t>
  </si>
  <si>
    <t xml:space="preserve">  25900-25949-Unemployment Insurance Administration </t>
  </si>
  <si>
    <t xml:space="preserve">  26000-26049-Federal Employment and Training Grants </t>
  </si>
  <si>
    <t xml:space="preserve">  TOTAL SPECIAL REVENUE FUNDS-FEDERAL</t>
  </si>
  <si>
    <t xml:space="preserve">   TOTAL SPECIAL REVENUE FUNDS</t>
  </si>
  <si>
    <t xml:space="preserve">  40000-40049-Debt Reduction Reserve </t>
  </si>
  <si>
    <t xml:space="preserve">  40100-40149-Mental Health Services </t>
  </si>
  <si>
    <t xml:space="preserve">  40150-40199-General Debt Service </t>
  </si>
  <si>
    <t xml:space="preserve">  40250-40299-State Housing Debt Service</t>
  </si>
  <si>
    <t xml:space="preserve">  40300-40349-Department of Health Income </t>
  </si>
  <si>
    <t xml:space="preserve">  40400-40449-Clean Water/Clean Air</t>
  </si>
  <si>
    <t xml:space="preserve">  40450-40499-Local Government Assistance Tax</t>
  </si>
  <si>
    <t xml:space="preserve">     TOTAL DEBT SERVICE FUNDS   </t>
  </si>
  <si>
    <t xml:space="preserve">  30000-30049-State Capital Projects </t>
  </si>
  <si>
    <t xml:space="preserve">  30050-30099-Dedicated Highway and Bridge Trust </t>
  </si>
  <si>
    <t xml:space="preserve">  30100-30299-SUNY Residence Halls Rehabilitation and Repair </t>
  </si>
  <si>
    <t xml:space="preserve">  30300-30349-New York State Canal System Development</t>
  </si>
  <si>
    <t xml:space="preserve">  30350-30399-Parks Infrastructure </t>
  </si>
  <si>
    <t xml:space="preserve">  30400-30449-Passenger Facility Charge </t>
  </si>
  <si>
    <t xml:space="preserve">  30450-30499-Environmental Protection </t>
  </si>
  <si>
    <t xml:space="preserve">  30500-30549-Clean Water/Clean Air Implementation</t>
  </si>
  <si>
    <t xml:space="preserve">  30600-30609-Energy Conservation Thru Improved Transportation Bond</t>
  </si>
  <si>
    <t xml:space="preserve">  30620-30629-Pure Waters Bond</t>
  </si>
  <si>
    <t xml:space="preserve">  30630-30639-Transportation Capital Facilities Bond</t>
  </si>
  <si>
    <t xml:space="preserve">  30640-30649-Environmental Quality Protection Bond</t>
  </si>
  <si>
    <t xml:space="preserve">  30650-30659-Rebuild and Renew New York Transportation Bond</t>
  </si>
  <si>
    <t xml:space="preserve">  30660-30669-Transportation Infrastructure Renewal Bond</t>
  </si>
  <si>
    <t xml:space="preserve">  30670-30679-1986 Environmental Quality Bond Act</t>
  </si>
  <si>
    <t xml:space="preserve">  30680-30689-Accelerated Capacity and Transportation</t>
  </si>
  <si>
    <t xml:space="preserve">                         Improvement Bond</t>
  </si>
  <si>
    <t xml:space="preserve">  30690-30699-Clean Water/Clean Air Bond</t>
  </si>
  <si>
    <t xml:space="preserve">  30750-30799-Outdoor Recreation Development Bond</t>
  </si>
  <si>
    <t xml:space="preserve">  30900-30949-Rail Preservation and Development Bond</t>
  </si>
  <si>
    <t xml:space="preserve">  31350-31449-Federal Capital Projects </t>
  </si>
  <si>
    <t xml:space="preserve">  31450-31499-Forest Preserve Expansion </t>
  </si>
  <si>
    <t xml:space="preserve">  31500-31549-Hazardous Waste Remedial</t>
  </si>
  <si>
    <t xml:space="preserve">  31650-31699-Suburban Transportation </t>
  </si>
  <si>
    <t xml:space="preserve">  31700-31749-Division for Youth Facilities Improvement</t>
  </si>
  <si>
    <t xml:space="preserve">  31800-31849-Housing Assistance</t>
  </si>
  <si>
    <t xml:space="preserve">  31850-31899-Housing Program</t>
  </si>
  <si>
    <t xml:space="preserve">  31900-31949-Natural Resource Damage</t>
  </si>
  <si>
    <t xml:space="preserve">  32200-32249-Miscellaneous Capital Projects</t>
  </si>
  <si>
    <t xml:space="preserve">  32250-32299-CUNY Capital Projects</t>
  </si>
  <si>
    <t xml:space="preserve">  32300-32349-Mental Hygiene Facilities Capital Improvement</t>
  </si>
  <si>
    <t xml:space="preserve">  32350-32399-Correction Facilities Capital Improvement</t>
  </si>
  <si>
    <t xml:space="preserve">  32400-32999-State University Capital Projects</t>
  </si>
  <si>
    <t xml:space="preserve">  33000-33049-NYS Storm Recovery Fund</t>
  </si>
  <si>
    <t xml:space="preserve">     TOTAL GOVERNMENTAL FUNDS       </t>
  </si>
  <si>
    <t>SCHEDULE 2</t>
  </si>
  <si>
    <t>PROPRIETARY FUNDS</t>
  </si>
  <si>
    <t xml:space="preserve">CHANGES IN FUND BALANCES  </t>
  </si>
  <si>
    <t>OTHER</t>
  </si>
  <si>
    <t>FINANCING</t>
  </si>
  <si>
    <t>FUND TYPE</t>
  </si>
  <si>
    <t xml:space="preserve">  50000-50049-Youth Commissary </t>
  </si>
  <si>
    <t xml:space="preserve">  50050-50099-State Exposition Special </t>
  </si>
  <si>
    <t xml:space="preserve">  50100-50299-Correctional Services Commissary </t>
  </si>
  <si>
    <t xml:space="preserve">  50500-50599-Mental Hygiene Community Stores </t>
  </si>
  <si>
    <t xml:space="preserve">     TOTAL ENTERPRISE FUNDS</t>
  </si>
  <si>
    <t xml:space="preserve">  55050-55099-Agency Internal Service </t>
  </si>
  <si>
    <t xml:space="preserve">  55100-55149-Mental Hygiene Revolving </t>
  </si>
  <si>
    <t xml:space="preserve">  55150-55199-Youth Vocational Education </t>
  </si>
  <si>
    <t xml:space="preserve">  55250-55299-Audit and Control Revolving </t>
  </si>
  <si>
    <t xml:space="preserve">  55300-55349-Health Insurance Revolving </t>
  </si>
  <si>
    <t xml:space="preserve">  55350-55399-Correctional Industries Revolving </t>
  </si>
  <si>
    <t xml:space="preserve">     TOTAL INTERNAL SERVICE FUNDS</t>
  </si>
  <si>
    <t>SCHEDULE 3</t>
  </si>
  <si>
    <t>FIDUCIARY FUNDS</t>
  </si>
  <si>
    <t xml:space="preserve">  66000-66049-Agriculture Producers' Security</t>
  </si>
  <si>
    <t xml:space="preserve">  66050-66099-Milk Producers' Security</t>
  </si>
  <si>
    <t>AGENCY FUNDS</t>
  </si>
  <si>
    <t xml:space="preserve">  60150-60199-Child Performer's Holding</t>
  </si>
  <si>
    <t xml:space="preserve">  60200-60249-Employees Health Insurance </t>
  </si>
  <si>
    <t xml:space="preserve">  60250-60299-Social Security Contribution </t>
  </si>
  <si>
    <t xml:space="preserve">  60400-60449-Employees Dental Insurance </t>
  </si>
  <si>
    <t xml:space="preserve">  60450-60499-Management Confidential Group Insurance </t>
  </si>
  <si>
    <t xml:space="preserve">  60500-60549-Lottery Prize </t>
  </si>
  <si>
    <t xml:space="preserve">  60550-60599-Health Insurance Reserve Receipts </t>
  </si>
  <si>
    <t xml:space="preserve">  60600-60799-Miscellaneous New York State Agency </t>
  </si>
  <si>
    <t xml:space="preserve">  60850-60899-CUNY Senior College Operating </t>
  </si>
  <si>
    <t xml:space="preserve">  60950-60999-Special Education</t>
  </si>
  <si>
    <t xml:space="preserve">   SCHEDULE 4</t>
  </si>
  <si>
    <t>SOLE CUSTODY AND INVESTMENT ACCOUNTS</t>
  </si>
  <si>
    <t xml:space="preserve">STATEMENT OF CASH RECEIPTS AND DISBURSEMENTS </t>
  </si>
  <si>
    <t>ACCOUNTS</t>
  </si>
  <si>
    <t xml:space="preserve">  70000-70049-Tobacco Settlement</t>
  </si>
  <si>
    <t>TOTAL ACCOUNTS</t>
  </si>
  <si>
    <t>SCHEDULE 5</t>
  </si>
  <si>
    <t>STATEMENT OF DIRECT STATE DEBT ACTIVITY</t>
  </si>
  <si>
    <t>OUTSTANDING</t>
  </si>
  <si>
    <t xml:space="preserve"> MONTH OF </t>
  </si>
  <si>
    <t>PURPOSE</t>
  </si>
  <si>
    <t>GENERAL OBLIGATION BONDED DEBT:</t>
  </si>
  <si>
    <t xml:space="preserve">  Clean Water/Clean Air:</t>
  </si>
  <si>
    <t xml:space="preserve">           Safe Drinking Water</t>
  </si>
  <si>
    <t xml:space="preserve">           Solid Waste </t>
  </si>
  <si>
    <t xml:space="preserve">           Air</t>
  </si>
  <si>
    <t xml:space="preserve">           Water</t>
  </si>
  <si>
    <t xml:space="preserve">  Environmental Quality (1986):</t>
  </si>
  <si>
    <t xml:space="preserve">           Solid Waste Management</t>
  </si>
  <si>
    <t xml:space="preserve">  Housing:</t>
  </si>
  <si>
    <t xml:space="preserve">  Pure Waters</t>
  </si>
  <si>
    <t xml:space="preserve">  Rail Preservation Development</t>
  </si>
  <si>
    <t xml:space="preserve">  Rebuild and Renew New York Transportation:</t>
  </si>
  <si>
    <t xml:space="preserve">           Highway Facilities</t>
  </si>
  <si>
    <t xml:space="preserve">           Canals and Waterways</t>
  </si>
  <si>
    <t xml:space="preserve">           Aviation</t>
  </si>
  <si>
    <t xml:space="preserve">           Rail and Port</t>
  </si>
  <si>
    <t xml:space="preserve">           Mass Transit - Dept. of Transportation</t>
  </si>
  <si>
    <t xml:space="preserve">  Transportation Capital Facilities:</t>
  </si>
  <si>
    <t xml:space="preserve">           Mass Transportation</t>
  </si>
  <si>
    <t xml:space="preserve">            Total General Obligation Bonded Debt</t>
  </si>
  <si>
    <t>SCHEDULE 5a</t>
  </si>
  <si>
    <t xml:space="preserve">DEBT SERVICE FUNDS </t>
  </si>
  <si>
    <t>FINANCING AGREEMENTS</t>
  </si>
  <si>
    <t>REDUCTION</t>
  </si>
  <si>
    <t>DEPARTMENT</t>
  </si>
  <si>
    <t>RESERVE</t>
  </si>
  <si>
    <t>OF HEALTH</t>
  </si>
  <si>
    <t>BOND</t>
  </si>
  <si>
    <t>COMBINED TOTALS</t>
  </si>
  <si>
    <t>INCOME</t>
  </si>
  <si>
    <t>TAX</t>
  </si>
  <si>
    <t>(40000-40049)</t>
  </si>
  <si>
    <t>(40151)</t>
  </si>
  <si>
    <t>(40300-40349)</t>
  </si>
  <si>
    <t>(40152)</t>
  </si>
  <si>
    <t>(DECREASE)</t>
  </si>
  <si>
    <t xml:space="preserve">Special Contractual Financing Obligations: </t>
  </si>
  <si>
    <t>Payments to Public Authorities:</t>
  </si>
  <si>
    <t xml:space="preserve">     City University Construction </t>
  </si>
  <si>
    <t xml:space="preserve">     Dormitory Authority: </t>
  </si>
  <si>
    <t xml:space="preserve">         Department of Health Facilities</t>
  </si>
  <si>
    <t xml:space="preserve">     Urban Development Corporation:</t>
  </si>
  <si>
    <t>Total Disbursements for Special Contractual</t>
  </si>
  <si>
    <t xml:space="preserve">       Financing Obligations </t>
  </si>
  <si>
    <t xml:space="preserve">PRIOR FISCAL </t>
  </si>
  <si>
    <t>FISCAL YEAR</t>
  </si>
  <si>
    <t>YEAR TO DATE</t>
  </si>
  <si>
    <t>TO DATE</t>
  </si>
  <si>
    <t>TOTAL INVESTMENT EARNINGS</t>
  </si>
  <si>
    <t>Month-End Portfolio Balances</t>
  </si>
  <si>
    <t>DESCRIPTION</t>
  </si>
  <si>
    <t>PAR  AMOUNT</t>
  </si>
  <si>
    <t>GOVT. AGENCY BILLS/NOTES</t>
  </si>
  <si>
    <t>REPURCHASE AGREEMENTS</t>
  </si>
  <si>
    <t>COMMERCIAL PAPER</t>
  </si>
  <si>
    <t>CERTIFICATES OF DEPOSIT/SAVINGS</t>
  </si>
  <si>
    <t>APPENDIX A</t>
  </si>
  <si>
    <t xml:space="preserve">HCRA RESOURCES FUND </t>
  </si>
  <si>
    <t>OPENING CASH BALANCE</t>
  </si>
  <si>
    <t xml:space="preserve">   Cigarette Tax </t>
  </si>
  <si>
    <t xml:space="preserve">   STIP Interest</t>
  </si>
  <si>
    <t xml:space="preserve">   Assessments </t>
  </si>
  <si>
    <t xml:space="preserve">   Fees</t>
  </si>
  <si>
    <t xml:space="preserve">   Rebates</t>
  </si>
  <si>
    <t xml:space="preserve">   Restitution and Settlements</t>
  </si>
  <si>
    <t xml:space="preserve">   Miscellaneous</t>
  </si>
  <si>
    <t xml:space="preserve">   Grants </t>
  </si>
  <si>
    <t xml:space="preserve">   Interest - Late Payments</t>
  </si>
  <si>
    <t xml:space="preserve">   Personal Service</t>
  </si>
  <si>
    <t xml:space="preserve">   Non-Personal Service</t>
  </si>
  <si>
    <t xml:space="preserve">   Employee Benefits/Indirect Costs</t>
  </si>
  <si>
    <t>OPERATING TRANSFERS:</t>
  </si>
  <si>
    <t xml:space="preserve">   Transfers to Capital Projects Fund</t>
  </si>
  <si>
    <t xml:space="preserve">   Transfers to General Fund</t>
  </si>
  <si>
    <t xml:space="preserve">      Administration Program Account</t>
  </si>
  <si>
    <t xml:space="preserve">      Empire State Stem Cell Trust Account</t>
  </si>
  <si>
    <t xml:space="preserve">   Transfers to SUNY Income Fund</t>
  </si>
  <si>
    <t xml:space="preserve">          Total Operating Transfers</t>
  </si>
  <si>
    <t xml:space="preserve">          Total Disbursements and Transfers</t>
  </si>
  <si>
    <t xml:space="preserve">CLOSING CASH BALANCE             </t>
  </si>
  <si>
    <t xml:space="preserve">STATE OF NEW YORK </t>
  </si>
  <si>
    <t>APPENDIX B</t>
  </si>
  <si>
    <t>HCRA RESOURCES FUND</t>
  </si>
  <si>
    <t xml:space="preserve">STATEMENT OF PROGRAM DISBURSEMENTS </t>
  </si>
  <si>
    <t>Program/Purpose</t>
  </si>
  <si>
    <t xml:space="preserve">CENTER FOR COMMUNITY HEALTH PROGRAM          </t>
  </si>
  <si>
    <t xml:space="preserve">CHILD HEALTH INSURANCE PROGRAM         </t>
  </si>
  <si>
    <t xml:space="preserve">HEALTH CARE REFORM ACT PROGRAM         </t>
  </si>
  <si>
    <t xml:space="preserve">MEDICAL ASSISTANCE PROGRAM             </t>
  </si>
  <si>
    <t xml:space="preserve">OFFICE OF HEALTH INSURANCE PROGRAM     </t>
  </si>
  <si>
    <t xml:space="preserve">OFFICE OF HEALTH SYSTEMS MANAGEMENT    </t>
  </si>
  <si>
    <t xml:space="preserve">     Reclass of SUNY Hospital Disprop Share to Transfer</t>
  </si>
  <si>
    <t xml:space="preserve">     Reconciling Adjustment (P-Card and T-Card)</t>
  </si>
  <si>
    <t>APPENDIX C</t>
  </si>
  <si>
    <t>APPENDIX D</t>
  </si>
  <si>
    <t xml:space="preserve">     Patient Services</t>
  </si>
  <si>
    <t xml:space="preserve">     Covered Lives</t>
  </si>
  <si>
    <t xml:space="preserve">     Provider Assessments</t>
  </si>
  <si>
    <t xml:space="preserve">     1% Assessments</t>
  </si>
  <si>
    <t xml:space="preserve">     DASNY- MOE/Recast receivables</t>
  </si>
  <si>
    <t xml:space="preserve">     Interest Income</t>
  </si>
  <si>
    <t xml:space="preserve">     Unassigned</t>
  </si>
  <si>
    <t xml:space="preserve">     Poison Control Centers</t>
  </si>
  <si>
    <t xml:space="preserve">     School Based Health Center Grants</t>
  </si>
  <si>
    <t xml:space="preserve">     ECRIP Distributions</t>
  </si>
  <si>
    <t>Excess (Deficiency) of Receipts over Disbursements</t>
  </si>
  <si>
    <t xml:space="preserve">     Medicaid Disproportionate Share</t>
  </si>
  <si>
    <t xml:space="preserve">     Health Facility Assessment Fund - Hospital Quality Contribution</t>
  </si>
  <si>
    <t xml:space="preserve">  Transfers From State Funds:</t>
  </si>
  <si>
    <t xml:space="preserve">     HCRA Resources Fund</t>
  </si>
  <si>
    <t xml:space="preserve">         Total Other Financing Sources</t>
  </si>
  <si>
    <t xml:space="preserve">     Health Facility Assessment Fund</t>
  </si>
  <si>
    <t xml:space="preserve">          Total Other Financing Uses</t>
  </si>
  <si>
    <t>Excess (Deficiency) of Receipts and Other Financing Sources</t>
  </si>
  <si>
    <t xml:space="preserve">     over Disbursements and Other Financing Uses</t>
  </si>
  <si>
    <t>CLOSING CASH BALANCE</t>
  </si>
  <si>
    <t>Source: HCRA - Office of Pool Administration</t>
  </si>
  <si>
    <t>APPENDIX E</t>
  </si>
  <si>
    <t xml:space="preserve">     Indigent Care</t>
  </si>
  <si>
    <t xml:space="preserve">     High Need Indigent Care</t>
  </si>
  <si>
    <t xml:space="preserve">     Other</t>
  </si>
  <si>
    <t xml:space="preserve">     Public Goods Pool</t>
  </si>
  <si>
    <t xml:space="preserve">     HCRA Resources Indigent Care - Matched</t>
  </si>
  <si>
    <t xml:space="preserve">     HCRA Resources Indigent Care - Unmatched</t>
  </si>
  <si>
    <t xml:space="preserve">     Federal DHHS Fund</t>
  </si>
  <si>
    <t xml:space="preserve">     HCRA Resources Fund Indigent Care Acct</t>
  </si>
  <si>
    <t>Excess (Deficiency) of Receipts and Other Financing</t>
  </si>
  <si>
    <t xml:space="preserve">  Sources over Disbursements and Other Financing Uses</t>
  </si>
  <si>
    <t>APPENDIX F</t>
  </si>
  <si>
    <t>SUMMARY OF OFF-BUDGET SPENDING REPORT</t>
  </si>
  <si>
    <t>TOTAL</t>
  </si>
  <si>
    <t>DORMITORY AUTHORITY:</t>
  </si>
  <si>
    <t>Education - All Other</t>
  </si>
  <si>
    <t>Education - EXCEL</t>
  </si>
  <si>
    <t>Department of Health - All Other</t>
  </si>
  <si>
    <t>Brooklyn Court Officer Training Academy</t>
  </si>
  <si>
    <t xml:space="preserve">The Division of the Budget (DOB) is responsible for organizing and presenting the above schedule of ‘Off Budget Spending’.  Such reported disbursements are drawn from unaudited financial data provided by public authorities.  Although the Office of the State Comptroller (OSC) has no reason to believe this information to be unreliable, it is important to note that these program disbursements are financed with public authority bond proceeds deposited directly into public authority accounts and all disbursements are made without any oversight by the OSC.  Therefore, and pursuant to the provisions of Chapter 60, §16, of the Laws of 2006; this schedule is provided for information only. </t>
  </si>
  <si>
    <t>APPENDIX G</t>
  </si>
  <si>
    <t>SFS Fund</t>
  </si>
  <si>
    <t>ACCOUNT TITLE</t>
  </si>
  <si>
    <t>Change</t>
  </si>
  <si>
    <t>TOTAL GENERAL FUND</t>
  </si>
  <si>
    <t xml:space="preserve">CAPITAL PROJECT AND BOND REIMBURSABLE FUNDS </t>
  </si>
  <si>
    <t>HIGHWAY AND BRIDGE CAPITAL</t>
  </si>
  <si>
    <t>REHAB/REPAIR COBLESKILL</t>
  </si>
  <si>
    <t>STATE PARK INFRASTRUCTURE</t>
  </si>
  <si>
    <t>HAZARDOUS WASTE CLEAN UP</t>
  </si>
  <si>
    <t>YOUTH FACILITIES IMPROVEMENT</t>
  </si>
  <si>
    <t>HOUSING ASSISTANCE</t>
  </si>
  <si>
    <t>HOUSING PROG FD-HSG TR FD CORP</t>
  </si>
  <si>
    <t>HOUSING PROG FD AFFORD HSG CORP</t>
  </si>
  <si>
    <t>HOUSING PROG FD-DEPT OF SOCIAL SERVICES</t>
  </si>
  <si>
    <t xml:space="preserve">HIGHWAY FAC PURPOSE </t>
  </si>
  <si>
    <t>NY RACING ACCOUNT</t>
  </si>
  <si>
    <t>OMH-COMMUNITY FACILITIES</t>
  </si>
  <si>
    <t>DASNY - OPWDD ADMIN</t>
  </si>
  <si>
    <t>DASNY - OASAS ADMIN</t>
  </si>
  <si>
    <t>OMH -STATE FACILITIES</t>
  </si>
  <si>
    <t>OPWDD -STATE FACILITIES</t>
  </si>
  <si>
    <t>OASAS -STATE FACILITIES</t>
  </si>
  <si>
    <t>CORR. FACILITIES CAPITAL IMPROVEMENT</t>
  </si>
  <si>
    <t>DOCS-REHABILITATION PROJECTS</t>
  </si>
  <si>
    <t>STORM RECOVERY ACCOUNT</t>
  </si>
  <si>
    <t xml:space="preserve">TOTAL CAPITAL AND BOND REIMBURSABLE FUNDS </t>
  </si>
  <si>
    <t>STATE SPECIAL REVENUE FUNDS</t>
  </si>
  <si>
    <t>LOCAL GOVERNMENT RECORDS MGMT</t>
  </si>
  <si>
    <t>CHILD HEALTH INSURANCE</t>
  </si>
  <si>
    <t>EPIC PREMIUM ACCOUNT</t>
  </si>
  <si>
    <t>LOTTERY-EDUCATION</t>
  </si>
  <si>
    <t>VLT EDUCATION</t>
  </si>
  <si>
    <t>HAZARDOUS BULK STORAGE</t>
  </si>
  <si>
    <t xml:space="preserve">FEDERAL GRANTS INDIRECT COST RECOVERY ACCOUNT  </t>
  </si>
  <si>
    <t>ENCON-LOW LEVEL RADIOACTIVE WASTE SITING</t>
  </si>
  <si>
    <t>ENCON-RECREATION</t>
  </si>
  <si>
    <t>PUBLIC SAFETY RECOVERY ACCOUNT</t>
  </si>
  <si>
    <t>ENVIRONMENTAL REGULATORY</t>
  </si>
  <si>
    <t>NATURAL RESOURCES ACCOUNT</t>
  </si>
  <si>
    <t>MINED LAND RECLAMATION ACCT</t>
  </si>
  <si>
    <t>GREAT LAKES RESTORATION INITIATIVE</t>
  </si>
  <si>
    <t>AUDIT AND CONTROL OIL SPILL</t>
  </si>
  <si>
    <t>HEALTH DEPT OIL SPILL</t>
  </si>
  <si>
    <t>DEPT OF ENVIRONMENTAL CONSERVATION OIL SPILL</t>
  </si>
  <si>
    <t xml:space="preserve">PUBLIC TRANSPORTATION SYSTEMS </t>
  </si>
  <si>
    <t xml:space="preserve">METROPOLITAN MASS TRANSPORTATION </t>
  </si>
  <si>
    <t>OPERATING PERMIT PROGRAM</t>
  </si>
  <si>
    <t>MOBILE SOURCE</t>
  </si>
  <si>
    <t>MENTAL HYGIENE PROGRAM</t>
  </si>
  <si>
    <t>MENTAL HYGIENE PATIENT INCOME ACCOUNT</t>
  </si>
  <si>
    <t xml:space="preserve">FINANCIAL CONTROL BOARD </t>
  </si>
  <si>
    <t>RACING REGULATION ACCOUNT</t>
  </si>
  <si>
    <t xml:space="preserve">SU DORM INCOME REIMBURSE </t>
  </si>
  <si>
    <t>CRIMINAL JUSTICE IMPROVEMENT</t>
  </si>
  <si>
    <t>ENV LAB REF FEE</t>
  </si>
  <si>
    <t>CLINICAL LAB FEE</t>
  </si>
  <si>
    <t>INDIRECT COST RECOVERY</t>
  </si>
  <si>
    <t xml:space="preserve">MULTI - AGENCY TRAINING ACCOUNT </t>
  </si>
  <si>
    <t>BELL JAR COLLECTION ACCOUNT</t>
  </si>
  <si>
    <t>INDUSTRY AND UTILITY SERVICE</t>
  </si>
  <si>
    <t>REAL PROPERTY DISPOSITION</t>
  </si>
  <si>
    <t>PARKING ACCOUNT</t>
  </si>
  <si>
    <t>ASBESTOS SAFETY TRAINING</t>
  </si>
  <si>
    <t>BATAVIA SCHOOL FOR THE BLIND</t>
  </si>
  <si>
    <t>INVESTMENT SERVICES</t>
  </si>
  <si>
    <t>SURPLUS PROPERTY ACCOUNT</t>
  </si>
  <si>
    <t>FINANCIAL OVERSIGHT</t>
  </si>
  <si>
    <t>REGULATION INDIAN GAMING</t>
  </si>
  <si>
    <t>ROME SCHOOL FOR THE DEAF</t>
  </si>
  <si>
    <t>DSP-SEIZED ASSETS</t>
  </si>
  <si>
    <t xml:space="preserve">ADMINISTRATIVE ADJUDICATION </t>
  </si>
  <si>
    <t>NYC ASSESSMENT ACCT</t>
  </si>
  <si>
    <t>CULTURAL EDUCATION ACCOUNT</t>
  </si>
  <si>
    <t>LOCAL SERVICE ACCOUNT</t>
  </si>
  <si>
    <t>DHCR MORTGAGE SERVICES</t>
  </si>
  <si>
    <t>HOUSING INDIRECT COST RECOVERY</t>
  </si>
  <si>
    <t>DHCR-HOUSING CREDIT AGENCY APPLY FEE</t>
  </si>
  <si>
    <t>LOW INCOME HOUSING CREDIT MONITORING</t>
  </si>
  <si>
    <t>EFC-CORPORATION ADMINISTRATION</t>
  </si>
  <si>
    <t>MONTROSE VETERAN'S HOME</t>
  </si>
  <si>
    <t>DEFERRED COMPENSATION ADMIN</t>
  </si>
  <si>
    <t>RENT REVENUE OTHER - NYC</t>
  </si>
  <si>
    <t xml:space="preserve">RENT REVENUE </t>
  </si>
  <si>
    <t>TAX REVENUE ARREARAGE ACCOUNT</t>
  </si>
  <si>
    <t>S.U. NON-RESIDENT REV.  OFFSET</t>
  </si>
  <si>
    <t>DOT - HIGHWAY SAFETY PRGM</t>
  </si>
  <si>
    <t>DOH DRINKING WATER PROGRAM</t>
  </si>
  <si>
    <t>NYCCC OPERATING OFFSET</t>
  </si>
  <si>
    <t xml:space="preserve">TOTAL STATE SPECIAL REVENUE FUNDS </t>
  </si>
  <si>
    <t xml:space="preserve">FEDERAL FUNDS  </t>
  </si>
  <si>
    <t>25000-25099</t>
  </si>
  <si>
    <t>FEDERAL USDA/FOOD AND NUTRITION SERVICES FUND</t>
  </si>
  <si>
    <t>25100-25199</t>
  </si>
  <si>
    <t>FEDERAL HEALTH AND HUMAN SERVICES FUND</t>
  </si>
  <si>
    <t>25200-25249</t>
  </si>
  <si>
    <t>FEDERAL EDUCATION GRANTS FUND</t>
  </si>
  <si>
    <t>25300-25899</t>
  </si>
  <si>
    <t>FEDERAL OPERATING GRANTS FUND</t>
  </si>
  <si>
    <t>DEPARTMENT OF TRANSPORTATION</t>
  </si>
  <si>
    <t>31350-31449</t>
  </si>
  <si>
    <t>FEDERAL CAPITAL PROJECTS FUND (ALL OTHER)</t>
  </si>
  <si>
    <t xml:space="preserve">FEDERAL UNEMPLOYMENT INS OCCUPATIONAL TRAINING  </t>
  </si>
  <si>
    <t>TOTAL FEDERAL FUNDS</t>
  </si>
  <si>
    <t xml:space="preserve">AGENCY FUNDS </t>
  </si>
  <si>
    <t>EMPLOYEES HEALTH INSURANCE ACCT</t>
  </si>
  <si>
    <t>TOTAL AGENCY FUNDS</t>
  </si>
  <si>
    <t>ENTERPRISE FUND</t>
  </si>
  <si>
    <t>OGS CONVENTION CENTER ACCOUNT</t>
  </si>
  <si>
    <t>TOTAL ENTERPRISE FUND</t>
  </si>
  <si>
    <t>CENTRALIZED SERVICES-PRINTING</t>
  </si>
  <si>
    <t>CENTRALIZED SERVICES-REAL PROPERTY-LABOR</t>
  </si>
  <si>
    <t>CENTRALIZED SERVICES-PERSONAL PROPERTY</t>
  </si>
  <si>
    <t>CENTRALIZED SERVICES-CONSTRUCTION SERVICES</t>
  </si>
  <si>
    <t>CENTRALIZED SERVICES-PASNY</t>
  </si>
  <si>
    <t>CENTRALIZED SERVICES-INSURANCE</t>
  </si>
  <si>
    <t>CENTRALIZED SERVICES-SECURITY CARD ACCESS</t>
  </si>
  <si>
    <t>CENTRALIZED SERVICES-IMMICS</t>
  </si>
  <si>
    <t>DOWNSTATE WAREHOUSE</t>
  </si>
  <si>
    <t>OGS ENTERPRISE CONTRACTING ACCT</t>
  </si>
  <si>
    <t>NYS MEDIA CENTER</t>
  </si>
  <si>
    <t>BUSINESS SERVICES CENTER</t>
  </si>
  <si>
    <t xml:space="preserve">ARCHIVES RECORD MGMT I.S. </t>
  </si>
  <si>
    <t>FEDERAL SINGLE AUDIT</t>
  </si>
  <si>
    <t>CIVIL SERVICE EHS OCCUP HEALTH PROG</t>
  </si>
  <si>
    <t>BANKING SERVICES ACCOUNT</t>
  </si>
  <si>
    <t>CULTURAL RESOURCE SURVEY</t>
  </si>
  <si>
    <t>AUTOMATIC/PRINT CHARGBACKS</t>
  </si>
  <si>
    <t>OFT NYT ACCT</t>
  </si>
  <si>
    <t>DATA CENTER ACCOUNT</t>
  </si>
  <si>
    <t>CYBER SECURITY INTRUSION ACCT</t>
  </si>
  <si>
    <t>DOMESTIC VIOLENCE GRANT</t>
  </si>
  <si>
    <t>CENTRALIZED TECHNOLOGY SERVICES</t>
  </si>
  <si>
    <t>EXECUTIVE DIRECTION INTERNAL AUDIT</t>
  </si>
  <si>
    <t>CIO INFORMATION TECHNOLOGY CENTRALIZED SERVICES</t>
  </si>
  <si>
    <t>HEALTH INSURANCE INTERNAL SERVICE</t>
  </si>
  <si>
    <t>CIVIL SERVICE EMPLOYEE BENEFITS DIV ADM</t>
  </si>
  <si>
    <t>CORR INDUSTRIES INTERNAL SERVICE</t>
  </si>
  <si>
    <t>TOTAL INTERNAL SERVICE FUNDS</t>
  </si>
  <si>
    <t>GRAND TOTAL - TEMPORARY LOANS OUTSTANDING</t>
  </si>
  <si>
    <t>The loans represent authorizations made by the Legislature to allow certain funds/accounts to make appropriated payments regardless of the fund (cash) balance.</t>
  </si>
  <si>
    <t>Such loans are made from the State's Short-Term Investment Pool (STIP) and are intended to satisfy temporary cash shortfalls whenever scheduled disbursements</t>
  </si>
  <si>
    <t>exceed available revenues during the fiscal year.  Generally, temporary loans are repaid from the first cash receipts of the fund or account; however, in some cases actual</t>
  </si>
  <si>
    <t>revenues are not sufficient to repay all loans made to the fund or account and a transfer from the General Fund "Repayment of Receivables" appropriation is approved by the Budget Director.</t>
  </si>
  <si>
    <t xml:space="preserve">GOVERNMENTAL FUNDS FOOTNOTES </t>
  </si>
  <si>
    <t>1.</t>
  </si>
  <si>
    <t xml:space="preserve">Certain disbursements from Capital Projects funds are financed by operating transfers from other </t>
  </si>
  <si>
    <t xml:space="preserve">funds, proceeds of State bonds and notes, and reimbursements received from Public Authorities </t>
  </si>
  <si>
    <t xml:space="preserve">and the Federal Government.  The amounts shown below represent disbursements to be </t>
  </si>
  <si>
    <t>reimbursed in future months from the sources indicated:</t>
  </si>
  <si>
    <t>million</t>
  </si>
  <si>
    <t>Housing Finance Agency (HFA)</t>
  </si>
  <si>
    <t>Housing Assistance Fund</t>
  </si>
  <si>
    <t>Federal Capital Projects</t>
  </si>
  <si>
    <t>2.</t>
  </si>
  <si>
    <t>General Debt Service Fund</t>
  </si>
  <si>
    <t>Revenue Bond Tax Fund</t>
  </si>
  <si>
    <t>Sales Tax Revenue Bond Tax Fund</t>
  </si>
  <si>
    <t>Clean Water/Clean Air Fund</t>
  </si>
  <si>
    <t>Also included in the General Fund are transfers representing payments for patients residing in State-</t>
  </si>
  <si>
    <t>Total</t>
  </si>
  <si>
    <t xml:space="preserve">DIVISION OF PAYROLL, ACCOUNTING AND REVENUE SERVICES    </t>
  </si>
  <si>
    <t xml:space="preserve">BUREAU OF FINANCIAL REPORTING AND OIL SPILL REMEDIATION   </t>
  </si>
  <si>
    <t>COMPTROLLER'S MONTHLY REPORT TO THE LEGISLATURE ON STATE FUNDS - CASH BASIS OF ACCOUNTING</t>
  </si>
  <si>
    <t xml:space="preserve">TABLE OF CONTENTS  </t>
  </si>
  <si>
    <t xml:space="preserve">Combined Statements of Cash Receipts, Disbursements and Changes in Fund Balances       </t>
  </si>
  <si>
    <t xml:space="preserve">Governmental Funds  </t>
  </si>
  <si>
    <t xml:space="preserve">Proprietary Funds  </t>
  </si>
  <si>
    <t xml:space="preserve">Trust Funds  </t>
  </si>
  <si>
    <t xml:space="preserve">Comparative Schedule of Tax Receipts  </t>
  </si>
  <si>
    <t xml:space="preserve">Combining Statements of Cash Receipts, Disbursements and Changes in Fund Balances   </t>
  </si>
  <si>
    <t>Exhibit G</t>
  </si>
  <si>
    <t>Exhibit H</t>
  </si>
  <si>
    <t>Exhibit I</t>
  </si>
  <si>
    <t>Exhibit J</t>
  </si>
  <si>
    <t>Exhibit K</t>
  </si>
  <si>
    <t>Exhibit L</t>
  </si>
  <si>
    <t>Exhibit M</t>
  </si>
  <si>
    <t>Supplementary Schedules</t>
  </si>
  <si>
    <t>Schedule 1</t>
  </si>
  <si>
    <t>Schedule 2</t>
  </si>
  <si>
    <t>Schedule 3</t>
  </si>
  <si>
    <t>Schedule 4</t>
  </si>
  <si>
    <t>Schedule 5</t>
  </si>
  <si>
    <t>Schedule 5a</t>
  </si>
  <si>
    <t>Schedule 6</t>
  </si>
  <si>
    <t xml:space="preserve">Summary of the Operating Fund Investments  </t>
  </si>
  <si>
    <t xml:space="preserve">HCRA Resources Fund - Statement of Receipts and Disbursements by Account  </t>
  </si>
  <si>
    <t xml:space="preserve">HCRA Resources Fund - Statement of Program Disbursements  </t>
  </si>
  <si>
    <t xml:space="preserve">HCRA Public Goods Pool - Statement of Cash Flow  </t>
  </si>
  <si>
    <t xml:space="preserve">HCRA Medicaid Disproportionate Share - Statement of Cash Flow  </t>
  </si>
  <si>
    <t xml:space="preserve">Schedule of Month-End Temporary Loans Outstanding  </t>
  </si>
  <si>
    <t xml:space="preserve">         Secured Hospital Program</t>
  </si>
  <si>
    <t>0% COMPENSATING BALANCE CDs</t>
  </si>
  <si>
    <t xml:space="preserve">Urban Development Corporation (Correctional Facilities)       </t>
  </si>
  <si>
    <t>Exhibit A</t>
  </si>
  <si>
    <t xml:space="preserve">Exhibit A Supplemental </t>
  </si>
  <si>
    <t>Exhibit B</t>
  </si>
  <si>
    <t>Exhibit C</t>
  </si>
  <si>
    <t>Exhibit E</t>
  </si>
  <si>
    <t>Exhibit F</t>
  </si>
  <si>
    <t>Exhibit G State</t>
  </si>
  <si>
    <t>Exhibit G Federal</t>
  </si>
  <si>
    <t>Exhibit I State</t>
  </si>
  <si>
    <t>Exhibit I Federal</t>
  </si>
  <si>
    <t xml:space="preserve">Appendix A </t>
  </si>
  <si>
    <t>Appendix B</t>
  </si>
  <si>
    <t>Appendix C</t>
  </si>
  <si>
    <t>Appendix D</t>
  </si>
  <si>
    <t>Appendix E</t>
  </si>
  <si>
    <t>Appendix F</t>
  </si>
  <si>
    <t>Appendix G</t>
  </si>
  <si>
    <t>(***)</t>
  </si>
  <si>
    <t>(*)</t>
  </si>
  <si>
    <t>Please refer to Schedule 1 for a detailed analysis of the 'reported' cash balances of the fund group.</t>
  </si>
  <si>
    <t>SCHEDULE OF MONTH-END TEMPORARY LOANS OUTSTANDING(*)</t>
  </si>
  <si>
    <t xml:space="preserve">Special Revenue Funds Combined - Statement of Cash Flow  </t>
  </si>
  <si>
    <t>Cash Flow - Governmental</t>
  </si>
  <si>
    <t xml:space="preserve">Internal Service Funds - Statement of Cash Flow  </t>
  </si>
  <si>
    <t xml:space="preserve">Private Purpose Trust Funds - Statement of Cash Flow  </t>
  </si>
  <si>
    <t xml:space="preserve">General Fund - Statement of Cash Flow  </t>
  </si>
  <si>
    <t xml:space="preserve">Enterprise Funds - Statement of Cash Flow  </t>
  </si>
  <si>
    <t xml:space="preserve">Governmental Funds - Summary of Cash Receipts, Disbursements and Changes in Fund Balances  </t>
  </si>
  <si>
    <t xml:space="preserve">Proprietary Funds - Summary of Cash Receipts, Disbursements and Changes in Fund Balances     </t>
  </si>
  <si>
    <t xml:space="preserve">Fiduciary Funds - Summary of Cash Receipts, Disbursements and Changes in Fund Balances    </t>
  </si>
  <si>
    <t xml:space="preserve">Debt Service Funds - Statement of Direct State Debt Activity  </t>
  </si>
  <si>
    <t xml:space="preserve">Debt Service Funds - Financing Agreements  </t>
  </si>
  <si>
    <t xml:space="preserve">Sole Custody and Investment Accounts - Statement of Cash Receipts and Disbursements  </t>
  </si>
  <si>
    <t>AS REQUIRED OF THE STATE COMPTROLLER</t>
  </si>
  <si>
    <t xml:space="preserve">COMBINED STATEMENT OF CASH RECEIPTS, DISBURSEMENTS AND CHANGES IN FUND BALANCES </t>
  </si>
  <si>
    <t>TRUST FUNDS</t>
  </si>
  <si>
    <t xml:space="preserve">COMBINED STATEMENT OF CASH RECEIPTS, DISBURSEMENTS AND CHANGES IN FUND BALANCES  </t>
  </si>
  <si>
    <t>Over/</t>
  </si>
  <si>
    <t>SPECIAL REVENUE FUNDS-STATE</t>
  </si>
  <si>
    <t>STATEMENT OF CASH FLOW - PUBLIC GOODS POOL</t>
  </si>
  <si>
    <t xml:space="preserve"> Transfers From Other Pools:</t>
  </si>
  <si>
    <t>TOTAL OFF-BUDGET</t>
  </si>
  <si>
    <t xml:space="preserve">     TOTAL DORMITORY AUTHORITY</t>
  </si>
  <si>
    <t xml:space="preserve">  Energy Conservation Through Improved Transportation:</t>
  </si>
  <si>
    <t xml:space="preserve">           Mass Transit - Metropolitan Transportation Authority</t>
  </si>
  <si>
    <t xml:space="preserve">  Rebuild New York-Transportation Infrastructure Renewal:</t>
  </si>
  <si>
    <t>SALES TAX</t>
  </si>
  <si>
    <t>REVENUE BOND</t>
  </si>
  <si>
    <t>$ INCREASE/</t>
  </si>
  <si>
    <t>(40154)</t>
  </si>
  <si>
    <t xml:space="preserve">         Transportation </t>
  </si>
  <si>
    <t xml:space="preserve">  40350-40399-State University Dormitory Income </t>
  </si>
  <si>
    <t>EXHIBIT E</t>
  </si>
  <si>
    <t>TOTAL GOVERNMENTAL FUNDS</t>
  </si>
  <si>
    <t>YEAR OVER YEAR</t>
  </si>
  <si>
    <t xml:space="preserve">  Returns</t>
  </si>
  <si>
    <t xml:space="preserve">  State/City Offsets</t>
  </si>
  <si>
    <t xml:space="preserve">  Other (Assessments/LLC)</t>
  </si>
  <si>
    <t xml:space="preserve">    Gross Receipts</t>
  </si>
  <si>
    <t xml:space="preserve">  Transfers to School Tax Relief Fund</t>
  </si>
  <si>
    <t xml:space="preserve">  Transfers to Revenue Bond Tax Fund</t>
  </si>
  <si>
    <t xml:space="preserve">  Less: Refunds Issued</t>
  </si>
  <si>
    <t xml:space="preserve">    Total  </t>
  </si>
  <si>
    <t xml:space="preserve">  Sales and Use </t>
  </si>
  <si>
    <t xml:space="preserve">  Auto Rental </t>
  </si>
  <si>
    <t xml:space="preserve">  Cigarette/Tobacco Products </t>
  </si>
  <si>
    <t xml:space="preserve">  Motor Fuel </t>
  </si>
  <si>
    <t xml:space="preserve">  Alcoholic Beverage </t>
  </si>
  <si>
    <t xml:space="preserve">  Highway Use </t>
  </si>
  <si>
    <t xml:space="preserve">    Total</t>
  </si>
  <si>
    <t xml:space="preserve">  Corporation Franchise </t>
  </si>
  <si>
    <t xml:space="preserve">  Corporation and Utilities </t>
  </si>
  <si>
    <t xml:space="preserve">  Insurance </t>
  </si>
  <si>
    <t xml:space="preserve">  Bank </t>
  </si>
  <si>
    <t xml:space="preserve">  Petroleum Business</t>
  </si>
  <si>
    <t xml:space="preserve">  Real Property Gains </t>
  </si>
  <si>
    <t xml:space="preserve">  Estate and Gift </t>
  </si>
  <si>
    <t xml:space="preserve">  Pari-Mutuel </t>
  </si>
  <si>
    <t xml:space="preserve">  Real Estate Transfer </t>
  </si>
  <si>
    <t xml:space="preserve">    Total Tax Receipts</t>
  </si>
  <si>
    <t>SPECIAL REVENUE FUNDS-STATE (CONTINUED)</t>
  </si>
  <si>
    <t>CAPITAL PROJECTS FUNDS</t>
  </si>
  <si>
    <t>THOMAS P. DiNAPOLI</t>
  </si>
  <si>
    <t>STATE COMPTROLLER</t>
  </si>
  <si>
    <t xml:space="preserve">                               OFFICE OF OPERATIONS  </t>
  </si>
  <si>
    <t xml:space="preserve">    INTEREST DISBURSED </t>
  </si>
  <si>
    <t xml:space="preserve">                             STATE OF NEW YORK</t>
  </si>
  <si>
    <t xml:space="preserve">   Federal Receipts </t>
  </si>
  <si>
    <t>PROGRAM DISBURSEMENTS:</t>
  </si>
  <si>
    <t xml:space="preserve">  Transfers To Other Pools:</t>
  </si>
  <si>
    <t xml:space="preserve">  Transfers To State Funds:</t>
  </si>
  <si>
    <t xml:space="preserve"> PROGRAM DISBURSEMENTS:</t>
  </si>
  <si>
    <t xml:space="preserve">     for administration of grant programs, and transfers to the Public Goods Pool to finance payments made by the State’s fiscal agent.</t>
  </si>
  <si>
    <t xml:space="preserve">(***) Full title is: NYC Personal Care Workforce Recruitment and Retention Rates Grants.                           </t>
  </si>
  <si>
    <t xml:space="preserve">(****) Full title is: Personal Care Workforce Recruitment and Retention Rates Grants.                                  </t>
  </si>
  <si>
    <t xml:space="preserve">  Disbursements and Other Financing Uses   </t>
  </si>
  <si>
    <t xml:space="preserve">         Dedicated Highway and Bridge </t>
  </si>
  <si>
    <t xml:space="preserve">     Thruway Authority:</t>
  </si>
  <si>
    <t>COMMERCIAL GAMING REGULATION</t>
  </si>
  <si>
    <t>25900-25949</t>
  </si>
  <si>
    <t>UNEMPLOYMENT INSURANCE ADMINISTRATION</t>
  </si>
  <si>
    <t>DOL EMPLOYMENT AND TRAINING GRANTS</t>
  </si>
  <si>
    <t>LABOR CONTACT CENTER ACCT</t>
  </si>
  <si>
    <t>HUMAN SERVICES CONTACT CNTR ACCT</t>
  </si>
  <si>
    <t>TAX CONTACT CENTER ACCT</t>
  </si>
  <si>
    <t xml:space="preserve">             Total Other Financing Sources (Uses)      </t>
  </si>
  <si>
    <t>(1)</t>
  </si>
  <si>
    <t xml:space="preserve">          Total Program Disbursements</t>
  </si>
  <si>
    <t xml:space="preserve">  30610-30619-Park and Recreation Land Acquisition Bond</t>
  </si>
  <si>
    <t xml:space="preserve">  25000-25099-Federal USDA/Food and Consumer Services </t>
  </si>
  <si>
    <t xml:space="preserve">           Rapid Transit, Rail and Aviation</t>
  </si>
  <si>
    <t>AVERAGE YIELD (**)</t>
  </si>
  <si>
    <t>AVERAGE DAILY INVESTMENT BALANCE (**)</t>
  </si>
  <si>
    <t>SHORT TERM INVESTMENT POOL (*)</t>
  </si>
  <si>
    <t>(**) Does not include 0% Compensating Balance CDs.</t>
  </si>
  <si>
    <t xml:space="preserve">  31950-31999-DOT Engineering Services</t>
  </si>
  <si>
    <t>EXHIBIT A NOTES</t>
  </si>
  <si>
    <t xml:space="preserve">  Estimated Payments </t>
  </si>
  <si>
    <t>Governmental Funds Footnotes</t>
  </si>
  <si>
    <t xml:space="preserve">(**) Disbursements from the HCRA Resources Fund includes direct grant payments to program beneficiaries, services and expenses </t>
  </si>
  <si>
    <t>Note to users: This Excel file contains formulas and links.</t>
  </si>
  <si>
    <t>STATE OPERATIONS AND LOCAL ASSISTANCE</t>
  </si>
  <si>
    <t>MMIS - STATE AND FEDERAL</t>
  </si>
  <si>
    <t>CENTRALIZED SERVICES-DESIGN AND CONSTR</t>
  </si>
  <si>
    <t xml:space="preserve">Per Section 72 of the State Finance Law, the General Fund includes the Local Assistance Fund (10000) and State Purpose Fund (10050). </t>
  </si>
  <si>
    <t xml:space="preserve">           Total Program Disbursements</t>
  </si>
  <si>
    <t xml:space="preserve">Capital Projects Funds Combined - Statement of Cash Flow  </t>
  </si>
  <si>
    <t xml:space="preserve">Operating Transfers constitute legally authorized transfers from a fund receiving revenues to a </t>
  </si>
  <si>
    <t xml:space="preserve">§72(4)(b) was added to the State Finance Law in 2010 to permit the State's General Debt Service </t>
  </si>
  <si>
    <t xml:space="preserve">Fund to maintain a cash reserve for the payment of debt service, and related expenses, during </t>
  </si>
  <si>
    <t xml:space="preserve">             Total Local Assistance Grants </t>
  </si>
  <si>
    <t xml:space="preserve">  Accelerated Capacity and Transportation Improvements </t>
  </si>
  <si>
    <t xml:space="preserve">           Air Quality </t>
  </si>
  <si>
    <t xml:space="preserve">           Environmental Restoration </t>
  </si>
  <si>
    <t xml:space="preserve">           Land and Wetlands </t>
  </si>
  <si>
    <t xml:space="preserve">           Middle Income </t>
  </si>
  <si>
    <t xml:space="preserve">  Park and Recreation Land Acquisition </t>
  </si>
  <si>
    <t xml:space="preserve">           Highways, Parkways, and Bridges </t>
  </si>
  <si>
    <t xml:space="preserve">STATEMENT OF CASH FLOW - MEDICAID DISPROPORTIONATE SHARE  </t>
  </si>
  <si>
    <t xml:space="preserve">  21550-21599-Legislative Computer Services </t>
  </si>
  <si>
    <t xml:space="preserve">   Transfers from Revenue Bond Tax Fund           </t>
  </si>
  <si>
    <t xml:space="preserve">   Transfers from CW/CA Fund           </t>
  </si>
  <si>
    <t xml:space="preserve">Also included in Debt Service funds are transfers to Special Revenue funds representing receipts in excess </t>
  </si>
  <si>
    <t>Community Enhancement Facilities Assistance Program (CEFAP)</t>
  </si>
  <si>
    <t xml:space="preserve">Urban Development Corporation (Youth Facilities) </t>
  </si>
  <si>
    <t xml:space="preserve">Dormitory Authority (Mental Hygiene)  </t>
  </si>
  <si>
    <t xml:space="preserve">CAPITAL PROJECTS FUNDS - COMBINED  </t>
  </si>
  <si>
    <t xml:space="preserve">  60050-60149-School Capital Facilities Financing Reserve   </t>
  </si>
  <si>
    <t xml:space="preserve">           Rapid Transit and Rail Freight     </t>
  </si>
  <si>
    <t xml:space="preserve">         UDC Revenue Bond</t>
  </si>
  <si>
    <t xml:space="preserve">  50300-50399-Agencies Enterprise </t>
  </si>
  <si>
    <t xml:space="preserve">  50400-50449-Sheltered Workshop </t>
  </si>
  <si>
    <t xml:space="preserve">  50450-50499-Patient Workshop </t>
  </si>
  <si>
    <t xml:space="preserve">  55000-55049-Centralized Services</t>
  </si>
  <si>
    <t xml:space="preserve">  55200-55249-Joint Labor and Management Administration </t>
  </si>
  <si>
    <t xml:space="preserve">  65000-65049-Common Retirement Administration</t>
  </si>
  <si>
    <t xml:space="preserve">  61000-61099-State University of New York Revenue Collection</t>
  </si>
  <si>
    <t xml:space="preserve">  61100-61999-State University Federal Direct Lending Program   </t>
  </si>
  <si>
    <t xml:space="preserve">  60300-60399-Employee Payroll Withholding</t>
  </si>
  <si>
    <t>OASAS-COMMUNITY FACILITIES</t>
  </si>
  <si>
    <t xml:space="preserve">Debt Service Funds - Statement of Cash Flow  </t>
  </si>
  <si>
    <t xml:space="preserve">  60800-60849-Elderly Pharmaceutical Insurance Coverage (EPIC) Escrow     </t>
  </si>
  <si>
    <t xml:space="preserve">  60900-60949-Medicaid Management Information System (MMIS) Escrow       </t>
  </si>
  <si>
    <t xml:space="preserve">        Abandoned Property</t>
  </si>
  <si>
    <t xml:space="preserve">        Bottle Bill</t>
  </si>
  <si>
    <t xml:space="preserve">   Miscellaneous Receipts:</t>
  </si>
  <si>
    <t xml:space="preserve">      Fines, Penalties and Forfeitures</t>
  </si>
  <si>
    <t xml:space="preserve">      Interest Earnings</t>
  </si>
  <si>
    <t xml:space="preserve">        Business</t>
  </si>
  <si>
    <t xml:space="preserve">        Medical Care</t>
  </si>
  <si>
    <t xml:space="preserve">        Public Utilities</t>
  </si>
  <si>
    <t xml:space="preserve">        Other</t>
  </si>
  <si>
    <t xml:space="preserve">        Alcohol Beverage Control Licensing</t>
  </si>
  <si>
    <t xml:space="preserve">        Business/Professional</t>
  </si>
  <si>
    <t xml:space="preserve">        Civil </t>
  </si>
  <si>
    <t xml:space="preserve">        Criminal</t>
  </si>
  <si>
    <t xml:space="preserve">        Motor Vehicle</t>
  </si>
  <si>
    <t xml:space="preserve">        Recreational/Consumer</t>
  </si>
  <si>
    <t xml:space="preserve">        Casino</t>
  </si>
  <si>
    <t xml:space="preserve">        Video Lottery</t>
  </si>
  <si>
    <t xml:space="preserve">        Bond Proceeds</t>
  </si>
  <si>
    <t xml:space="preserve">        Cost Recovery Assessments</t>
  </si>
  <si>
    <t xml:space="preserve">        Issuance Fees</t>
  </si>
  <si>
    <t xml:space="preserve">        Non Bond Related</t>
  </si>
  <si>
    <t xml:space="preserve">      Receipts from Municipalities</t>
  </si>
  <si>
    <t xml:space="preserve">      Rentals</t>
  </si>
  <si>
    <t xml:space="preserve">        Administrative Recoveries</t>
  </si>
  <si>
    <t xml:space="preserve">        Commissions</t>
  </si>
  <si>
    <t xml:space="preserve">        Gifts, Grants and Donations</t>
  </si>
  <si>
    <t xml:space="preserve">        Indirect Cost Recoveries</t>
  </si>
  <si>
    <t xml:space="preserve">        Patient/Client Care Reimbursement</t>
  </si>
  <si>
    <t xml:space="preserve">        Rebates</t>
  </si>
  <si>
    <t xml:space="preserve">        Restitution and Settlements</t>
  </si>
  <si>
    <t xml:space="preserve">        Student Loans</t>
  </si>
  <si>
    <t xml:space="preserve">        All Other</t>
  </si>
  <si>
    <t xml:space="preserve">      Sales</t>
  </si>
  <si>
    <t xml:space="preserve">      Tuition</t>
  </si>
  <si>
    <t xml:space="preserve">            Abandoned Property</t>
  </si>
  <si>
    <t xml:space="preserve">            Bottle Bill</t>
  </si>
  <si>
    <t xml:space="preserve">            Business</t>
  </si>
  <si>
    <t xml:space="preserve">            Medical Care</t>
  </si>
  <si>
    <t xml:space="preserve">            Public Utilities</t>
  </si>
  <si>
    <t xml:space="preserve">            Other</t>
  </si>
  <si>
    <t xml:space="preserve">            Business/Professional</t>
  </si>
  <si>
    <t xml:space="preserve">            Civil </t>
  </si>
  <si>
    <t xml:space="preserve">            Criminal</t>
  </si>
  <si>
    <t xml:space="preserve">            Motor Vehicle</t>
  </si>
  <si>
    <t xml:space="preserve">            Recreational/Consumer</t>
  </si>
  <si>
    <t xml:space="preserve">            Casino</t>
  </si>
  <si>
    <t xml:space="preserve">            Video Lottery</t>
  </si>
  <si>
    <t xml:space="preserve">            Bond Proceeds</t>
  </si>
  <si>
    <t xml:space="preserve">            Cost Recovery Assessments</t>
  </si>
  <si>
    <t xml:space="preserve">            Issuance Fees</t>
  </si>
  <si>
    <t xml:space="preserve">            Non Bond Related</t>
  </si>
  <si>
    <t xml:space="preserve">            Administrative Recoveries</t>
  </si>
  <si>
    <t xml:space="preserve">            Commissions</t>
  </si>
  <si>
    <t xml:space="preserve">            Gifts, Grants and Donations</t>
  </si>
  <si>
    <t xml:space="preserve">            Indirect Cost Recoveries</t>
  </si>
  <si>
    <t xml:space="preserve">            Patient/Client Care Reimbursement</t>
  </si>
  <si>
    <t xml:space="preserve">            Rebates</t>
  </si>
  <si>
    <t xml:space="preserve">            Restitution and Settlements</t>
  </si>
  <si>
    <t xml:space="preserve">            Student Loans</t>
  </si>
  <si>
    <t xml:space="preserve">            All Other</t>
  </si>
  <si>
    <t>Enacted</t>
  </si>
  <si>
    <t>Updated</t>
  </si>
  <si>
    <t>EXHIBIT J</t>
  </si>
  <si>
    <t xml:space="preserve">   Taxes:</t>
  </si>
  <si>
    <t xml:space="preserve">                  Total Taxes</t>
  </si>
  <si>
    <t xml:space="preserve">                  Total Miscellaneous Receipts</t>
  </si>
  <si>
    <t xml:space="preserve">     Personal Income Tax   </t>
  </si>
  <si>
    <t xml:space="preserve">     Business Taxes</t>
  </si>
  <si>
    <t xml:space="preserve">     Other Taxes</t>
  </si>
  <si>
    <t xml:space="preserve">         Withholdings</t>
  </si>
  <si>
    <t xml:space="preserve">         Returns</t>
  </si>
  <si>
    <t xml:space="preserve">         State/City Offsets</t>
  </si>
  <si>
    <t xml:space="preserve">               Gross Receipts</t>
  </si>
  <si>
    <t xml:space="preserve">                  Total Personal Income Tax</t>
  </si>
  <si>
    <t xml:space="preserve">         Transfers to School Tax Relief Fund</t>
  </si>
  <si>
    <t xml:space="preserve">         Transfers to Revenue Bond Tax Fund</t>
  </si>
  <si>
    <t xml:space="preserve">     Consumption/Use Taxes</t>
  </si>
  <si>
    <t xml:space="preserve">                  Total Consumption/Use Taxes</t>
  </si>
  <si>
    <t xml:space="preserve">         Sales and Use </t>
  </si>
  <si>
    <t xml:space="preserve">         Auto Rental </t>
  </si>
  <si>
    <t xml:space="preserve">         Cigarette/Tobacco Products </t>
  </si>
  <si>
    <t xml:space="preserve">         Motor Fuel </t>
  </si>
  <si>
    <t xml:space="preserve">         Alcoholic Beverage </t>
  </si>
  <si>
    <t xml:space="preserve">         Highway Use </t>
  </si>
  <si>
    <t xml:space="preserve">                  Total Business Taxes</t>
  </si>
  <si>
    <t xml:space="preserve">         Corporation Franchise </t>
  </si>
  <si>
    <t xml:space="preserve">         Corporation and Utilities </t>
  </si>
  <si>
    <t xml:space="preserve">         Insurance </t>
  </si>
  <si>
    <t xml:space="preserve">         Bank </t>
  </si>
  <si>
    <t xml:space="preserve">         Petroleum Business </t>
  </si>
  <si>
    <t xml:space="preserve">                  Total Other Taxes</t>
  </si>
  <si>
    <t xml:space="preserve">                      Total Taxes</t>
  </si>
  <si>
    <t xml:space="preserve">         Real Property Gains </t>
  </si>
  <si>
    <t xml:space="preserve">         Estate and Gift </t>
  </si>
  <si>
    <t xml:space="preserve">         Pari-Mutuel </t>
  </si>
  <si>
    <t xml:space="preserve">         Real Estate Transfer </t>
  </si>
  <si>
    <t>Financial</t>
  </si>
  <si>
    <t xml:space="preserve">  Plan (*)</t>
  </si>
  <si>
    <t>Exhibit D Governmental</t>
  </si>
  <si>
    <t>Exhibit D State Operating</t>
  </si>
  <si>
    <t>Exhibit D General Fund</t>
  </si>
  <si>
    <t>Exhibit D Special Revenue</t>
  </si>
  <si>
    <t>Exhibit D Special Revenue State/Federal</t>
  </si>
  <si>
    <t>Exhibit D Debt</t>
  </si>
  <si>
    <t>Exhibit D Capital Projects</t>
  </si>
  <si>
    <t>Exhibit D Capital Projects State/Federal</t>
  </si>
  <si>
    <t>Cash Flow - State Operating</t>
  </si>
  <si>
    <t xml:space="preserve">                 STATE SPECIAL REVENUE FUNDS</t>
  </si>
  <si>
    <t xml:space="preserve">                 FEDERAL SPECIAL REVENUE FUNDS</t>
  </si>
  <si>
    <t xml:space="preserve">                                   ALL GOVERNMENTAL FUNDS</t>
  </si>
  <si>
    <t xml:space="preserve">                                GENERAL FUND</t>
  </si>
  <si>
    <t xml:space="preserve">                                                                    SPECIAL REVENUE FUNDS</t>
  </si>
  <si>
    <t xml:space="preserve">                                           DEBT SERVICE FUNDS</t>
  </si>
  <si>
    <t xml:space="preserve">     CAPITAL PROJECTS FUNDS</t>
  </si>
  <si>
    <t xml:space="preserve">                             STATE CAPITAL PROJECTS FUNDS</t>
  </si>
  <si>
    <t xml:space="preserve">                     FEDERAL CAPITAL PROJECTS FUNDS</t>
  </si>
  <si>
    <t xml:space="preserve">      Abandoned Property:</t>
  </si>
  <si>
    <t xml:space="preserve">      Assessments:</t>
  </si>
  <si>
    <t xml:space="preserve">      Gaming:</t>
  </si>
  <si>
    <t xml:space="preserve">      Receipts from Public Authorities:</t>
  </si>
  <si>
    <t xml:space="preserve">      Revenues of State Departments:</t>
  </si>
  <si>
    <t xml:space="preserve">      Fees, Licenses and Permits:</t>
  </si>
  <si>
    <t xml:space="preserve">     Consumption/Use Taxes:</t>
  </si>
  <si>
    <t xml:space="preserve">     Business Taxes:</t>
  </si>
  <si>
    <t xml:space="preserve">     Other Taxes:</t>
  </si>
  <si>
    <t xml:space="preserve">     Personal Income Tax:   </t>
  </si>
  <si>
    <t xml:space="preserve">    Financing Agreements </t>
  </si>
  <si>
    <t>STATE SPECIAL REVENUE (**)</t>
  </si>
  <si>
    <t>EXHIBIT H</t>
  </si>
  <si>
    <t xml:space="preserve">SUMMARY OF THE OPERATING FUND INVESTMENTS                                                                    </t>
  </si>
  <si>
    <t>SCHEDULE 6</t>
  </si>
  <si>
    <t xml:space="preserve">         Debt Reduction Reserve</t>
  </si>
  <si>
    <t>Governmental Funds - State Operating</t>
  </si>
  <si>
    <t>Governmental Funds - Budgetary Basis - Financial Plan and Actual - Governmental</t>
  </si>
  <si>
    <t xml:space="preserve">Governmental Funds - Budgetary Basis - Financial Plan and Actual - State Operating  </t>
  </si>
  <si>
    <t xml:space="preserve">Governmental Funds - Budgetary Basis - Financial Plan and Actual - Special Revenue  </t>
  </si>
  <si>
    <t xml:space="preserve">Governmental Funds - Budgetary Basis - Financial Plan and Actual - Special Revenue State and Federal  </t>
  </si>
  <si>
    <t xml:space="preserve">Governmental Funds - Budgetary Basis - Financial Plan and Actual - Debt Service  </t>
  </si>
  <si>
    <t xml:space="preserve">Governmental Funds - Budgetary Basis - Financial Plan and Actual - Capital Projects  </t>
  </si>
  <si>
    <t xml:space="preserve">Governmental Funds - Budgetary Basis - Financial Plan and Actual - Capital Projects State and Federal  </t>
  </si>
  <si>
    <t>Governmental Funds - Governmental</t>
  </si>
  <si>
    <t>Governmental Funds - Budgetary Basis - Financial Plan and Actual - General Fund</t>
  </si>
  <si>
    <r>
      <t xml:space="preserve">(*)   </t>
    </r>
    <r>
      <rPr>
        <u/>
        <sz val="12"/>
        <rFont val="Arial"/>
        <family val="2"/>
      </rPr>
      <t>State Operating Funds</t>
    </r>
    <r>
      <rPr>
        <sz val="12"/>
        <rFont val="Arial"/>
        <family val="2"/>
      </rPr>
      <t xml:space="preserve"> are comprised of the General Fund, State Special Revenue Funds supported by activities</t>
    </r>
  </si>
  <si>
    <t xml:space="preserve">STATEMENT OF RECEIPTS AND DISBURSEMENTS   </t>
  </si>
  <si>
    <t xml:space="preserve">STATEMENT OF RECEIPTS AND DISBURSEMENTS BY ACCOUNT       </t>
  </si>
  <si>
    <t xml:space="preserve">SPECIAL REVENUE FUNDS - COMBINED  </t>
  </si>
  <si>
    <t>PERSONAL INCOME TAX</t>
  </si>
  <si>
    <t xml:space="preserve">CONSUMPTION/USE TAXES </t>
  </si>
  <si>
    <t>BUSINESS TAXES</t>
  </si>
  <si>
    <t xml:space="preserve">OTHER TAXES </t>
  </si>
  <si>
    <t xml:space="preserve">  Transfers from Other Funds (**)</t>
  </si>
  <si>
    <t xml:space="preserve">  Transfers to Other Funds (**)</t>
  </si>
  <si>
    <t xml:space="preserve">             Total Local Assistance Grants     </t>
  </si>
  <si>
    <t xml:space="preserve">       Total Other Financing Sources (Uses)    </t>
  </si>
  <si>
    <t xml:space="preserve">  Disbursements and Other Financing Uses     </t>
  </si>
  <si>
    <t xml:space="preserve">Ending Fund Balance   </t>
  </si>
  <si>
    <t xml:space="preserve">                  Total Miscellaneous Receipts     </t>
  </si>
  <si>
    <t xml:space="preserve">             Total Local Assistance Grants            </t>
  </si>
  <si>
    <t xml:space="preserve">       Total Other Financing Sources (Uses)       </t>
  </si>
  <si>
    <t xml:space="preserve">             Total Local Assistance Grants   </t>
  </si>
  <si>
    <t xml:space="preserve">                  Total Consumption/Use Taxes    </t>
  </si>
  <si>
    <t xml:space="preserve">                  Total Business Taxes     </t>
  </si>
  <si>
    <t xml:space="preserve">                  Total Other Taxes    </t>
  </si>
  <si>
    <t xml:space="preserve">          Total Other Financing Sources (Uses)   </t>
  </si>
  <si>
    <t xml:space="preserve">Ending Fund Balance     </t>
  </si>
  <si>
    <t xml:space="preserve">          Total Other Financing Sources (Uses)     </t>
  </si>
  <si>
    <t xml:space="preserve">  Disbursements and Other Financing Uses    </t>
  </si>
  <si>
    <t xml:space="preserve">BUDGETARY BASIS - FINANCIAL PLAN AND ACTUAL     </t>
  </si>
  <si>
    <t>(**) Eliminations between Special Revenue - State and Federal Funds are not included.</t>
  </si>
  <si>
    <r>
      <t xml:space="preserve">(*) </t>
    </r>
    <r>
      <rPr>
        <u/>
        <sz val="12"/>
        <rFont val="Arial"/>
        <family val="2"/>
      </rPr>
      <t>State Operating Funds</t>
    </r>
    <r>
      <rPr>
        <sz val="12"/>
        <rFont val="Arial"/>
        <family val="2"/>
      </rPr>
      <t xml:space="preserve"> are comprised of the General Fund, State Special Revenue Funds supported by activities from dedicated revenue sources (including operating transfers from Federal Funds) and Debt Service Funds.          </t>
    </r>
  </si>
  <si>
    <t xml:space="preserve">  23700-23749-New York State Commercial Gaming Fund</t>
  </si>
  <si>
    <t xml:space="preserve">  21050-21149-Encon Special Revenue</t>
  </si>
  <si>
    <t xml:space="preserve">            Civil</t>
  </si>
  <si>
    <t xml:space="preserve">  30700-30709-State Housing Bond</t>
  </si>
  <si>
    <t xml:space="preserve">     TOTAL AGENCY FUNDS   </t>
  </si>
  <si>
    <t xml:space="preserve">TOTAL FIDUCIARY FUNDS    </t>
  </si>
  <si>
    <t xml:space="preserve">     TOTAL PRIVATE PURPOSE TRUST FUNDS       </t>
  </si>
  <si>
    <t xml:space="preserve">Excess (Deficiency) of Receipts over Disbursements       </t>
  </si>
  <si>
    <t xml:space="preserve">  62000-62049-SSI SSP Payment Escrow</t>
  </si>
  <si>
    <t xml:space="preserve">  33050-33099 Dedicated Infrastructure Investment Fund</t>
  </si>
  <si>
    <t xml:space="preserve">        Patient/Client Care Reimbursement   </t>
  </si>
  <si>
    <t>ELDERLY PHARMACEUTICAL INS COVERAGE PRG</t>
  </si>
  <si>
    <t xml:space="preserve">                  Total Miscellaneous Receipts           </t>
  </si>
  <si>
    <t xml:space="preserve">                  Total Consumption/Use Taxes                </t>
  </si>
  <si>
    <t xml:space="preserve">                  Total Business Taxes             </t>
  </si>
  <si>
    <t xml:space="preserve">                  Total Taxes                </t>
  </si>
  <si>
    <t xml:space="preserve">                  Total Business Taxes                </t>
  </si>
  <si>
    <t xml:space="preserve">      Transformative Economic Development Projects</t>
  </si>
  <si>
    <t xml:space="preserve">      Southern Tier / Hudson Valley Farm Initiative</t>
  </si>
  <si>
    <t xml:space="preserve">      Infrastructure Improvements</t>
  </si>
  <si>
    <t xml:space="preserve">      Broadband Initiative</t>
  </si>
  <si>
    <t xml:space="preserve">   Transfers from General Fund (**)</t>
  </si>
  <si>
    <t>State Capital Projects Fund</t>
  </si>
  <si>
    <t xml:space="preserve">Beginning Fund Balance       </t>
  </si>
  <si>
    <t xml:space="preserve">   Disbursements and Other Financing Uses         </t>
  </si>
  <si>
    <t xml:space="preserve">Beginning Fund Balance              </t>
  </si>
  <si>
    <t>Dedicated Infrastructure Investment Fund - Statement of Receipts and Disbursements</t>
  </si>
  <si>
    <t xml:space="preserve">   Transfers to All Other Capital Projects</t>
  </si>
  <si>
    <t>Temporary loans to federal funds are typically reimbursed within 2-3 days.  Such loans are made pursuant to federal regulations which require the State to disburse funds prior to</t>
  </si>
  <si>
    <t>making a reimbursement claim from the U.S. Treasury.</t>
  </si>
  <si>
    <t xml:space="preserve">   Federal Receipts             </t>
  </si>
  <si>
    <t xml:space="preserve">  Other Financing Sources over           </t>
  </si>
  <si>
    <t xml:space="preserve">      Upstate Revitalization Program</t>
  </si>
  <si>
    <t xml:space="preserve">            Audit Fees</t>
  </si>
  <si>
    <t xml:space="preserve">        Audit Fees</t>
  </si>
  <si>
    <t xml:space="preserve">         Consolidated Service Contract Refunding</t>
  </si>
  <si>
    <t xml:space="preserve">         DASNY Revenue Bond</t>
  </si>
  <si>
    <t xml:space="preserve">         SUNY Community Colleges</t>
  </si>
  <si>
    <t xml:space="preserve">         SUNY Educational Facilities</t>
  </si>
  <si>
    <t xml:space="preserve">  Environmental Quality (1972):</t>
  </si>
  <si>
    <t xml:space="preserve">           Land Acquisition/Development/Restoration/Forests</t>
  </si>
  <si>
    <t>IT CAPITAL FINANCING ACCT</t>
  </si>
  <si>
    <t>HEALTH-SPARC'S</t>
  </si>
  <si>
    <t>26001-26049</t>
  </si>
  <si>
    <t>(2)</t>
  </si>
  <si>
    <t>THRUWAY AUTHORITY ACCT</t>
  </si>
  <si>
    <t>The balances reported here in Appendix F are the actual fund balances as of the close of business on the last day of the reporting month and do not include post-closing adjustments.</t>
  </si>
  <si>
    <t>REVENUE, PROCESSING &amp; RECONCILIATION</t>
  </si>
  <si>
    <t xml:space="preserve">State bond and note proceeds </t>
  </si>
  <si>
    <t xml:space="preserve">      Resiliency, Mitigation, Security and Emergency Response</t>
  </si>
  <si>
    <t>Eliminations</t>
  </si>
  <si>
    <t xml:space="preserve">  Debt Service, Including Payments on  </t>
  </si>
  <si>
    <t xml:space="preserve">  23800-23899-Dedicated Miscellaneous State Special Revenue</t>
  </si>
  <si>
    <t xml:space="preserve">Beginning Fund Balance           </t>
  </si>
  <si>
    <t>EMPIRE PLAZA GIFT SHOP</t>
  </si>
  <si>
    <t xml:space="preserve">  </t>
  </si>
  <si>
    <t>NEIGHBOR WORK PROJECT</t>
  </si>
  <si>
    <t>LAKE GEORGE PARK TRUST FUND</t>
  </si>
  <si>
    <t>Intra-Fund</t>
  </si>
  <si>
    <t>Transfer</t>
  </si>
  <si>
    <t>Eliminations (*)</t>
  </si>
  <si>
    <t>(*)      Intra-Fund transfer eliminations represent transfers between Special Revenue-State and Federal Funds.</t>
  </si>
  <si>
    <t xml:space="preserve">      Affordable and Homeless Housing</t>
  </si>
  <si>
    <t>CAPITAL PROJECT MISC GIFTS</t>
  </si>
  <si>
    <t>HIGHWAY USE TAX ADMIN</t>
  </si>
  <si>
    <t xml:space="preserve">      Empire State Poverty Reduction Initiatives</t>
  </si>
  <si>
    <t xml:space="preserve">SUMMARY OF CASH RECEIPTS, DISBURSEMENTS AND   </t>
  </si>
  <si>
    <t xml:space="preserve">  30710-30719-Smart Schools Bond</t>
  </si>
  <si>
    <t xml:space="preserve">  Smart Schools Bond Act</t>
  </si>
  <si>
    <t>SUMMARY OF CASH RECEIPTS, DISBURSEMENTS AND</t>
  </si>
  <si>
    <t>Exhibit A Notes</t>
  </si>
  <si>
    <t xml:space="preserve">Special Revenue Funds State - Statement of Cash Flow  </t>
  </si>
  <si>
    <t xml:space="preserve">Special Revenue Funds Federal - Statement of Cash Flow  </t>
  </si>
  <si>
    <t xml:space="preserve">Capital Projects Funds State - Statement of Cash Flow  </t>
  </si>
  <si>
    <t xml:space="preserve">Capital Projects Funds Federal - Statement of Cash Flow  </t>
  </si>
  <si>
    <t xml:space="preserve">Summary of Off-Budget Spending Report  </t>
  </si>
  <si>
    <t xml:space="preserve">   Public Health:</t>
  </si>
  <si>
    <t>(*)  Intra-Fund transfer eliminations represent transfers from Capital Projects-State and Federal Funds.</t>
  </si>
  <si>
    <t xml:space="preserve">           Clean Water </t>
  </si>
  <si>
    <t xml:space="preserve">           Low Income</t>
  </si>
  <si>
    <t xml:space="preserve">Chapter 1 of the Laws of 2002 authorized the conversion of Empire Health Choice, d/b/a Empire Blue Cross and Blue Shield from a not-for-profit corporation to a for-profit corporation. Chapter 1 requires, in part, that upon such conversion, assets representing 95 percent of the fair market value of the not-for-profit corporation be transferred to a fund designated as the "Public Asset Fund" and 5 percent transferred to a Charitable Foundation - as set forth in Section 7317 of the Insurance Law. On December 28, 2005, WellChoice, Inc. (previously known as Empire Blue Cross, Blue Shield) approved a takeover by WellPoint, Inc. This conversion was also subject to the same Chapter 1 requirements of assigning assets representing 95 percent of the fair market value of the not-for-profit corporation be transferred to the "Public Asset Fund".  </t>
  </si>
  <si>
    <t>CIVIL RECOVERIES ACCT</t>
  </si>
  <si>
    <t xml:space="preserve">      Downtown Revitalization</t>
  </si>
  <si>
    <t xml:space="preserve">      Life Sciences Initiative</t>
  </si>
  <si>
    <t xml:space="preserve">DEBT MATURED </t>
  </si>
  <si>
    <t xml:space="preserve">     Reclass of SUNY Hospital Poison Control Centers to Transfer</t>
  </si>
  <si>
    <t xml:space="preserve">     Reclass of SUNY Empire Clinical Research Investigator Program to Transfer</t>
  </si>
  <si>
    <t>NY ENVIRONMENTAL PROTECTION &amp; SPILL REMEDIATION</t>
  </si>
  <si>
    <t>UTILITY ENVIRONMENTAL REGULATORY ACCOUNT</t>
  </si>
  <si>
    <t>COURTS SPECIAL GRANTS</t>
  </si>
  <si>
    <t>NYS SECURE CHOICE ADMIN</t>
  </si>
  <si>
    <t>FANTASY SPORTS ADMINISTRATION</t>
  </si>
  <si>
    <t>(**)   Pursuant to Section 93(b) of the State Finance Law</t>
  </si>
  <si>
    <t xml:space="preserve">  70200-Comptroller's Refund Account  </t>
  </si>
  <si>
    <t>Mental Health Services Fund</t>
  </si>
  <si>
    <t xml:space="preserve">  24850-24899-Health Care Transformation</t>
  </si>
  <si>
    <t>ENCON ADMIN ACCT</t>
  </si>
  <si>
    <t>Appropriation Amount (*)</t>
  </si>
  <si>
    <t>CENTER FOR COMMUNITY HLTH</t>
  </si>
  <si>
    <t xml:space="preserve">CHILD HEALTH INSURANCE        </t>
  </si>
  <si>
    <t>ELDERLY PHARMACEUTICAL INSURANCE COVERAGE</t>
  </si>
  <si>
    <t>AIDS DRUG ASSISTANCE</t>
  </si>
  <si>
    <t xml:space="preserve">AMBULATORY CARE TRAINING </t>
  </si>
  <si>
    <t>AREA HEALTH EDUCATION CENTER</t>
  </si>
  <si>
    <t>COMMISSIONER EMERGENCY DISTRIBUTIONS</t>
  </si>
  <si>
    <t>DIAGNOSTIC AND TREATMENT CTR UNCOMPENSATED CARE</t>
  </si>
  <si>
    <t xml:space="preserve">DIVERSITY IN MEDICINE </t>
  </si>
  <si>
    <t>EMPIRE CLINIC RESEARCH INVESTMENT (ECRIP)</t>
  </si>
  <si>
    <t>HCRA PAYOR / PROVIDER AUDITS</t>
  </si>
  <si>
    <t>HEALTH FACILITY RESTRUCTURING DASNY</t>
  </si>
  <si>
    <t>HEALTH WORKFORCE RETRAINING</t>
  </si>
  <si>
    <t>INFERTILITY SERVICES GRANTS</t>
  </si>
  <si>
    <t xml:space="preserve">MEDICAL INDEMNITY FUND       </t>
  </si>
  <si>
    <t>PART 405.4 HOSPITAL AUDITS NYCRR</t>
  </si>
  <si>
    <t xml:space="preserve">PHYSICIAN EXCESS MEDICAL MALPRACTICE            </t>
  </si>
  <si>
    <t>PHYSICIAN LOAN REPAYMENT</t>
  </si>
  <si>
    <t>PHYSICIAN WORKFORCE STUDIES</t>
  </si>
  <si>
    <t>POISON CONTROL CENTERS</t>
  </si>
  <si>
    <t>POOL ADMINISTRATION</t>
  </si>
  <si>
    <t>ROSWELL PARK CANCER INSTITUTE</t>
  </si>
  <si>
    <t>RURAL HEALTH CARE ACCESS</t>
  </si>
  <si>
    <t>RURAL HEALTH NETWORK</t>
  </si>
  <si>
    <t>SCHOOL BASED HEALTH CENTERS</t>
  </si>
  <si>
    <t>SCHOOL BASED HEALTH CLINICS-POOL ADMN</t>
  </si>
  <si>
    <t>TRANSITION ACCT - PRIOR YEAR ALLOCATION</t>
  </si>
  <si>
    <t>HOME HEALTH RATE INCREASE</t>
  </si>
  <si>
    <t>MEDICAID INDIGENT CARE</t>
  </si>
  <si>
    <t xml:space="preserve">MEDICAL ASSISTANCE </t>
  </si>
  <si>
    <t>PSNL CRE WRKR RECR &amp; RETEN NYC  (***)</t>
  </si>
  <si>
    <t>PSNL CRE WRKR RECR &amp; RETEN ROS  (****)</t>
  </si>
  <si>
    <t xml:space="preserve">OFFICE OF HEALTH INSURANCE </t>
  </si>
  <si>
    <t xml:space="preserve">OFFICE HEALTH SYSTEMS MANAGEMENT </t>
  </si>
  <si>
    <t>TOTAL REPORTED AMOUNT</t>
  </si>
  <si>
    <t xml:space="preserve">  24900-24949-Charitable Gifts Trust Fund</t>
  </si>
  <si>
    <t xml:space="preserve">            Commissions - Asset Conversion</t>
  </si>
  <si>
    <t xml:space="preserve">         Other (Assessments/LLC)</t>
  </si>
  <si>
    <t xml:space="preserve">         Estimated Payments</t>
  </si>
  <si>
    <t xml:space="preserve">         Refunds Issued</t>
  </si>
  <si>
    <t xml:space="preserve">     Personal Income Tax:</t>
  </si>
  <si>
    <t>DOL-CHILD PERFORMER PROTECTION ACCOUNT</t>
  </si>
  <si>
    <t>TRAINING, MANAGEMENT AND EVALUATION ACCOUNT</t>
  </si>
  <si>
    <t>NYS MEDICAL INDEMNITY FUND ACCOUNT</t>
  </si>
  <si>
    <t xml:space="preserve">  21850-21899-Arts Capital Grants</t>
  </si>
  <si>
    <t>NEW YORK STATE OF HEALTH</t>
  </si>
  <si>
    <t>NEW YORK STATE OF HEALTH ADMINISTRATION</t>
  </si>
  <si>
    <t>(amounts in millions)</t>
  </si>
  <si>
    <t xml:space="preserve">(amounts in millions)  </t>
  </si>
  <si>
    <t xml:space="preserve">(amounts in millions)        </t>
  </si>
  <si>
    <t xml:space="preserve">(amounts in millions)     </t>
  </si>
  <si>
    <t xml:space="preserve">(amounts in millions)    </t>
  </si>
  <si>
    <t>(amounts in thousands)</t>
  </si>
  <si>
    <t>Court Facilities Incentive Aid Fund</t>
  </si>
  <si>
    <t xml:space="preserve">         Employer Compensation Expense Tax</t>
  </si>
  <si>
    <t xml:space="preserve">  Employer Compensation Expense Tax</t>
  </si>
  <si>
    <t>fund through which disbursements will ultimately be made.  The more significant transfers include:</t>
  </si>
  <si>
    <t xml:space="preserve">        Commissions - Asset Conversion</t>
  </si>
  <si>
    <t>of lease-purchase obligations that are used to finance a portion of the operating expenses for the Department</t>
  </si>
  <si>
    <t>ROSWELL PARK COMPREHENSIVE CANCER CENTER</t>
  </si>
  <si>
    <t xml:space="preserve">DEDICATED INFRASTRUCTURE INVESTMENT FUND(*)   </t>
  </si>
  <si>
    <t>(*)    Fund created pursuant to Chapter 60, Laws of 2015-16, Part H and SFL § 93-b</t>
  </si>
  <si>
    <t xml:space="preserve">   Debt Service, Including Payments on</t>
  </si>
  <si>
    <t xml:space="preserve">  50650-50699-Unemployment Insurance</t>
  </si>
  <si>
    <t>Department of Health</t>
  </si>
  <si>
    <t>Other State Agencies</t>
  </si>
  <si>
    <t xml:space="preserve"> Year to Date</t>
  </si>
  <si>
    <t>Adult State Share Medicaid</t>
  </si>
  <si>
    <t>Reducing Maternal Mortality</t>
  </si>
  <si>
    <t>New York Connects</t>
  </si>
  <si>
    <t>Facilitated Enrollment</t>
  </si>
  <si>
    <t>AIDS Epidemic</t>
  </si>
  <si>
    <t>Provide Affordable Housing</t>
  </si>
  <si>
    <t>Community Provider Network</t>
  </si>
  <si>
    <t>Nursing Home Services</t>
  </si>
  <si>
    <t>Pharmacy Services</t>
  </si>
  <si>
    <t>Medical Assistance (HCRA)</t>
  </si>
  <si>
    <t>TOTAL REPORTED MEDICAID</t>
  </si>
  <si>
    <t xml:space="preserve">Medical Assistance Administration </t>
  </si>
  <si>
    <t>Inpatient Services</t>
  </si>
  <si>
    <t>Outpatient &amp; Emergency Room Services</t>
  </si>
  <si>
    <t>Clinic Services</t>
  </si>
  <si>
    <t>Other Long Term Care Services</t>
  </si>
  <si>
    <t>Managed Care Services</t>
  </si>
  <si>
    <t>Transportation Services</t>
  </si>
  <si>
    <t>Dental Services</t>
  </si>
  <si>
    <t>Medical Services State Facilities</t>
  </si>
  <si>
    <t xml:space="preserve">State Share Medicaid </t>
  </si>
  <si>
    <t>Medical Assistance (OPWDD)</t>
  </si>
  <si>
    <t>Traumatic Brain Injury Services</t>
  </si>
  <si>
    <t>Managed Long-Term Care Ombudsman</t>
  </si>
  <si>
    <t>CSEA Family Health Plus Buy In</t>
  </si>
  <si>
    <t>Indigent Care</t>
  </si>
  <si>
    <t>Provider Assessments</t>
  </si>
  <si>
    <t>APPENDIX H</t>
  </si>
  <si>
    <t>Appendix H</t>
  </si>
  <si>
    <t>Appendix I</t>
  </si>
  <si>
    <t>APPENDIX I</t>
  </si>
  <si>
    <t>General Hospitals Safety-Net Providers</t>
  </si>
  <si>
    <t>Medical Assistance &amp; Survey Certification Program</t>
  </si>
  <si>
    <t>Expanding Caregiver Support Services</t>
  </si>
  <si>
    <r>
      <t>TOTAL</t>
    </r>
    <r>
      <rPr>
        <b/>
        <vertAlign val="superscript"/>
        <sz val="12"/>
        <rFont val="Arial"/>
        <family val="2"/>
      </rPr>
      <t>(**)</t>
    </r>
  </si>
  <si>
    <r>
      <t>TOTAL REPORTED MEDICAID</t>
    </r>
    <r>
      <rPr>
        <b/>
        <vertAlign val="superscript"/>
        <sz val="12"/>
        <color theme="1"/>
        <rFont val="Arial"/>
        <family val="2"/>
      </rPr>
      <t>(***)</t>
    </r>
  </si>
  <si>
    <t>Non-Institutional &amp; Other</t>
  </si>
  <si>
    <t xml:space="preserve">Non-Institutional &amp; Other </t>
  </si>
  <si>
    <r>
      <rPr>
        <vertAlign val="superscript"/>
        <sz val="10"/>
        <color theme="1"/>
        <rFont val="Arial"/>
        <family val="2"/>
      </rPr>
      <t>(**)</t>
    </r>
    <r>
      <rPr>
        <sz val="10"/>
        <color theme="1"/>
        <rFont val="Arial"/>
        <family val="2"/>
      </rPr>
      <t xml:space="preserve">  Source: Statewide Financial System</t>
    </r>
  </si>
  <si>
    <r>
      <rPr>
        <vertAlign val="superscript"/>
        <sz val="10"/>
        <color theme="1"/>
        <rFont val="Arial"/>
        <family val="2"/>
      </rPr>
      <t xml:space="preserve">(***)  </t>
    </r>
    <r>
      <rPr>
        <sz val="10"/>
        <color theme="1"/>
        <rFont val="Arial"/>
        <family val="2"/>
      </rPr>
      <t>Reported Medicaid spending does not include the Basic Health Plan.</t>
    </r>
  </si>
  <si>
    <t xml:space="preserve">         Vapor Excise </t>
  </si>
  <si>
    <t xml:space="preserve">         Vapor Excise  </t>
  </si>
  <si>
    <t xml:space="preserve">         Opioid Excise </t>
  </si>
  <si>
    <t xml:space="preserve">  Vapor Excise </t>
  </si>
  <si>
    <t xml:space="preserve">  Opioid Excise </t>
  </si>
  <si>
    <t>Reclassification of Medical Assistance payments for care and treatment of patients at State-operated health, mental hygiene and State University facilities to Transfers.</t>
  </si>
  <si>
    <t xml:space="preserve">Reclassification of Medical Assistance payments for care and treatment of patients at State-operated health, mental hygiene and State University facilities to Transfers and adjustments for timing of payments at month end.  </t>
  </si>
  <si>
    <r>
      <t>MEDICAL ASSISTANCE DISBURSEMENTS - STATE FUNDS</t>
    </r>
    <r>
      <rPr>
        <b/>
        <vertAlign val="superscript"/>
        <sz val="14"/>
        <color theme="1"/>
        <rFont val="Arial"/>
        <family val="2"/>
      </rPr>
      <t>(*)</t>
    </r>
  </si>
  <si>
    <t xml:space="preserve">    and therefore amounts for any individual program may be restated by DOH.</t>
  </si>
  <si>
    <r>
      <t>MEDICAL ASSISTANCE DISBURSEMENTS - FEDERAL FUNDS</t>
    </r>
    <r>
      <rPr>
        <b/>
        <vertAlign val="superscript"/>
        <sz val="14"/>
        <color theme="1"/>
        <rFont val="Arial"/>
        <family val="2"/>
      </rPr>
      <t>(*)</t>
    </r>
  </si>
  <si>
    <r>
      <t xml:space="preserve">(*) </t>
    </r>
    <r>
      <rPr>
        <sz val="10"/>
        <color theme="1"/>
        <rFont val="Arial"/>
        <family val="2"/>
      </rPr>
      <t xml:space="preserve"> General Fund and State Special Revenue Funds only.</t>
    </r>
  </si>
  <si>
    <r>
      <t xml:space="preserve">(*) </t>
    </r>
    <r>
      <rPr>
        <sz val="10"/>
        <color theme="1"/>
        <rFont val="Arial"/>
        <family val="2"/>
      </rPr>
      <t xml:space="preserve"> Special Revenue Federal Funds only.</t>
    </r>
  </si>
  <si>
    <t xml:space="preserve">    These amounts are not comparable to Medicaid Global Cap spending.</t>
  </si>
  <si>
    <t xml:space="preserve">    These amounts do not include Medical Assistance spending for State Operations.</t>
  </si>
  <si>
    <t>Medical Assistance Disbursements - State Funds</t>
  </si>
  <si>
    <t>Medical Assistance Disbursements - Federal Funds</t>
  </si>
  <si>
    <t xml:space="preserve">    Department of Health regularly reclassifies spending between programs,  </t>
  </si>
  <si>
    <t xml:space="preserve">   Vapor Excise Tax</t>
  </si>
  <si>
    <t>Patient Centered Medical Homes</t>
  </si>
  <si>
    <t>Additional DSH Payments SUNY</t>
  </si>
  <si>
    <t xml:space="preserve">   State Share of NYC Cigarette Tax   </t>
  </si>
  <si>
    <t xml:space="preserve">   Transfers to Miscellaneous Special Revenue Fund:    </t>
  </si>
  <si>
    <t xml:space="preserve">   Other</t>
  </si>
  <si>
    <t xml:space="preserve">      Health Care / Hospital Initiatives </t>
  </si>
  <si>
    <t>RURAL HEALTH CARE ACCESS &amp; NETWORK DEVELOPMENT</t>
  </si>
  <si>
    <t xml:space="preserve">  70093, 70095, 70300-70301-MTA State Assistance   </t>
  </si>
  <si>
    <t xml:space="preserve">  70050-70149-Sole Custody Investment (*)  </t>
  </si>
  <si>
    <t>(*) Includes Public Asset Fund resources:</t>
  </si>
  <si>
    <t xml:space="preserve">  Bond and Note Proceeds (net)</t>
  </si>
  <si>
    <t xml:space="preserve">   Bond and Note Proceeds (net)   </t>
  </si>
  <si>
    <t>(*) Pursuant to §98 of the State Finance Law, the State Comptroller is authorized to invest and keep invested all moneys, in any fund, held by the State.  The Short Term investment Pool (STIP) represents an accounting mechanism that allows for the separate accounting of individual funds (on deposit in the State's General Checking account) for the purpose of making short term investments.  Pursuant to State Finance Law §4(5) the STIP is authorized to temporarily loan to the General Fund-State Operations Account (10050) funds for a period not to exceed the end of the fiscal year.  However, it must be noted that certain funds are invested as part of STIP, but are held by the State Comptroller in a fiduciary capacity.  Fiduciary fund balances are restricted and may not be used for any State purposes since moneys in such funds are held by the State in a trustee (or fiduciary) capacity or as an agent for individuals, private organizations, or non-State governmental units (e.g. local governments and public authorities). Therefore, Fiduciary fund balances are not available to be temporarily loaned to the General Fund-State Operations Account. Fiduciary fund balances are presented in Schedules 3 and 4 of this report.</t>
  </si>
  <si>
    <t>New York City County Clerks' Operations Offset</t>
  </si>
  <si>
    <t>RURAL HEALTH CARE GRANTS</t>
  </si>
  <si>
    <t>New York Central Business District Trust Fund</t>
  </si>
  <si>
    <t xml:space="preserve">     TOTAL CAPITAL PROJECTS FUNDS </t>
  </si>
  <si>
    <t>Mass Transportation Financial Assistance</t>
  </si>
  <si>
    <t>State University Income Fund</t>
  </si>
  <si>
    <t>DEBT ISSUED</t>
  </si>
  <si>
    <t xml:space="preserve">                        TOTAL GOVERNMENTAL FUNDS                                              YEAR OVER YEAR</t>
  </si>
  <si>
    <t xml:space="preserve">                                                                                                                                                             TOTAL STATE OPERATING FUNDS                                                </t>
  </si>
  <si>
    <t xml:space="preserve">COMPARATIVE SCHEDULE OF TAX RECEIPTS                   </t>
  </si>
  <si>
    <t>GOVT. SPONSORED AGENCIES</t>
  </si>
  <si>
    <t xml:space="preserve">     CSRA Inc (eMedNY) General Fund</t>
  </si>
  <si>
    <t xml:space="preserve">     Financing Agreements</t>
  </si>
  <si>
    <r>
      <t>Debt Service Funds</t>
    </r>
    <r>
      <rPr>
        <b/>
        <sz val="9"/>
        <rFont val="Arial"/>
        <family val="2"/>
      </rPr>
      <t xml:space="preserve"> </t>
    </r>
    <r>
      <rPr>
        <sz val="9"/>
        <rFont val="Arial"/>
        <family val="2"/>
      </rPr>
      <t>“Transfers To Other Funds” includes transfers to the General Fund from the following:</t>
    </r>
  </si>
  <si>
    <r>
      <t>General Fund</t>
    </r>
    <r>
      <rPr>
        <sz val="9"/>
        <rFont val="Arial"/>
        <family val="2"/>
      </rPr>
      <t xml:space="preserve">  “Transfers to Other Funds” are as follows:</t>
    </r>
  </si>
  <si>
    <t>BEHAVIORAL HEALTH PARITY COMPLIANCE FUND</t>
  </si>
  <si>
    <t>CIVIL SERVICE ADMINISTRATION ACCOUNT</t>
  </si>
  <si>
    <t>D21RVE- MARITIME</t>
  </si>
  <si>
    <t>D36RVE- CENTRAL ADMIN</t>
  </si>
  <si>
    <t>RESIDENCE HALL CAMPUS LET BOND PROCEEDS</t>
  </si>
  <si>
    <t>REHAB/REPAIR ALBANY</t>
  </si>
  <si>
    <t>D01RVE- ALBANY</t>
  </si>
  <si>
    <t>REHAB/REPAIR BINGHAMTON</t>
  </si>
  <si>
    <t>D07RVE- BINGHAMTON</t>
  </si>
  <si>
    <t>REHAB/REPAIR BUFFALO UNIVERSITY</t>
  </si>
  <si>
    <t>D28RVE- SUNY BUFFALO</t>
  </si>
  <si>
    <t>REHAB/REPAIR STONYBROOK</t>
  </si>
  <si>
    <t>D13RVE- STONYBROOK</t>
  </si>
  <si>
    <t>REHAB/REPAIR BROOKLYN</t>
  </si>
  <si>
    <t>D14RVE - HSC BROOKLYN</t>
  </si>
  <si>
    <t>REHAB/REPAIR SYRACUSE</t>
  </si>
  <si>
    <t>D15RVE- HSC SYRACUSE</t>
  </si>
  <si>
    <t>REHAB/REPAIR BROCKPORT</t>
  </si>
  <si>
    <t>D02RVE- BROCKPORT</t>
  </si>
  <si>
    <t>REHAB/REPAIR BUFFALO COLLEGE</t>
  </si>
  <si>
    <t>D03RVE -SUB BUFFALO</t>
  </si>
  <si>
    <t>REHAB/REPAIR CORTLAND</t>
  </si>
  <si>
    <t>D04RVE- CORTLAND</t>
  </si>
  <si>
    <t>REHAB/REPAIR FREDONIA</t>
  </si>
  <si>
    <t>D05RVE- FREDONIA</t>
  </si>
  <si>
    <t>REHAB/REPAIR GENESEO</t>
  </si>
  <si>
    <t>D06RVE- GENESEO</t>
  </si>
  <si>
    <t>REHAB/REPAIR OLD WESTBURY</t>
  </si>
  <si>
    <t>D31RVE- OLD WESTBURY</t>
  </si>
  <si>
    <t>REHAB/REPAIR NEW PALTZ</t>
  </si>
  <si>
    <t>D08RVE- NEW PALTZ</t>
  </si>
  <si>
    <t>REHAB/REPAIR ONEONTA</t>
  </si>
  <si>
    <t>D09RVE- ONEONTA</t>
  </si>
  <si>
    <t>REHAB/REPAIR OSWEGO</t>
  </si>
  <si>
    <t>D10RVE- OSWEGO</t>
  </si>
  <si>
    <t>REHAB/REPAIR PLATTSBURGH</t>
  </si>
  <si>
    <t>D11RVE- PLATTSBURGH</t>
  </si>
  <si>
    <t>REHAB/REPAIR POTSDAM</t>
  </si>
  <si>
    <t>D12RVE- POTSDAM</t>
  </si>
  <si>
    <t>REHAB/REPAIR PURCHASE</t>
  </si>
  <si>
    <t>D29RVE- PURCHASE</t>
  </si>
  <si>
    <t>REHAB/REPAIR FOR UTICA/ROME</t>
  </si>
  <si>
    <t>D27RVE- CAMPUS RESERVE</t>
  </si>
  <si>
    <t>REHAB/REPAIR ALFRED</t>
  </si>
  <si>
    <t>D22RVE- ALFRED</t>
  </si>
  <si>
    <t>REHAB/REPAIR CANTON</t>
  </si>
  <si>
    <t>D23RVE- CANTON</t>
  </si>
  <si>
    <t>REHAB/REPAIR MARITIME</t>
  </si>
  <si>
    <t>D24RVE- COBLESKILL</t>
  </si>
  <si>
    <t>REHAB/REPAIR DELHI</t>
  </si>
  <si>
    <t>D25RVE- DELHI</t>
  </si>
  <si>
    <t>REHAB/REPAIR FARMINGDALE</t>
  </si>
  <si>
    <t>D26RVE- FARMINGDALE</t>
  </si>
  <si>
    <t>REHAB/REPAIR MORRISVILLE</t>
  </si>
  <si>
    <t>D27RVE- MORRISVILLE</t>
  </si>
  <si>
    <t>CW/CA IMPLEMENTATION DEC</t>
  </si>
  <si>
    <t>CW/CA IMPLEMENTATION STATE</t>
  </si>
  <si>
    <t>CW/CA IMPLEMENTATION ERDA</t>
  </si>
  <si>
    <t>CW/CA IMPLEMENTATION EFC</t>
  </si>
  <si>
    <t>HOUSING PROG FD-HFA</t>
  </si>
  <si>
    <t>OPWDD-STATE FACILITIES PRE 12/99</t>
  </si>
  <si>
    <t>DSAS-COMMUINTY FACILITIES</t>
  </si>
  <si>
    <t>OPWDD-COMMUNITY FACILITIES</t>
  </si>
  <si>
    <t>DASNY - OMH ADMIN</t>
  </si>
  <si>
    <t>CORR. FACILITIES CAPITAL CLOSURE</t>
  </si>
  <si>
    <t>ENVIR FAC CORP ADM ACCT</t>
  </si>
  <si>
    <t>OIL SPILL COMPENSATION</t>
  </si>
  <si>
    <t>LICENSE FEE SURCHARGES</t>
  </si>
  <si>
    <t>CENTRALIZED SERVICES-FLEET MGMT</t>
  </si>
  <si>
    <t>CENTRALIZED SERVICES-DATA PROCESSING</t>
  </si>
  <si>
    <t>CENTRALIZED SERVICES-DONATED FOODS</t>
  </si>
  <si>
    <t>CENTRALIZED SERVICES-ADMIN SUPPORT</t>
  </si>
  <si>
    <t>CENTRALIZED SERVICES-COP'S</t>
  </si>
  <si>
    <t>CENTRALIZED SERVICES-FOOD SERVICES</t>
  </si>
  <si>
    <t>CENTRALIZED SERVICES-HOMER FOLKS</t>
  </si>
  <si>
    <t>BUILDING ADMINISTRATION</t>
  </si>
  <si>
    <t>LEASE SPACE INITIATIVE</t>
  </si>
  <si>
    <t xml:space="preserve">  Personal Income Tax     </t>
  </si>
  <si>
    <t xml:space="preserve">  22022-College Savings Account</t>
  </si>
  <si>
    <t>EXHIBIT A</t>
  </si>
  <si>
    <t xml:space="preserve"> 23250-23449-CUNY Senior College Program</t>
  </si>
  <si>
    <t xml:space="preserve">  25950, 25952-25999-Unemployment Insurance Occupational Training </t>
  </si>
  <si>
    <t xml:space="preserve">  25300-25899, 25951-Federal Miscellaneous Operating Grants</t>
  </si>
  <si>
    <t xml:space="preserve">  24800-24849-NYS Cannabis Revenue</t>
  </si>
  <si>
    <t>all</t>
  </si>
  <si>
    <t xml:space="preserve">  Cannabis</t>
  </si>
  <si>
    <t xml:space="preserve">         Cannabis</t>
  </si>
  <si>
    <t xml:space="preserve">         Cannabis </t>
  </si>
  <si>
    <t xml:space="preserve">  23750-23799-Medical Cannabis Trust Fund</t>
  </si>
  <si>
    <t xml:space="preserve">  24950-24954-Interactive Fantasy Sports</t>
  </si>
  <si>
    <t xml:space="preserve">  24955-24959-Mobile Sports Wagering</t>
  </si>
  <si>
    <t xml:space="preserve">         Pass-Through Entity </t>
  </si>
  <si>
    <t xml:space="preserve">  Pass-Through Entity </t>
  </si>
  <si>
    <t xml:space="preserve">  Racing and Combative Sports </t>
  </si>
  <si>
    <t xml:space="preserve">         Racing and Combative Sports </t>
  </si>
  <si>
    <t xml:space="preserve">    Revenue Bond Tax Fund</t>
  </si>
  <si>
    <t xml:space="preserve">(**)  Eliminations between State and Federal Special Revenue Funds are not included.   </t>
  </si>
  <si>
    <t xml:space="preserve">       from dedicated revenue sources (including operating transfers from Federal funds) and Debt Service Funds. </t>
  </si>
  <si>
    <t>Nursing Home Transition &amp; Diversion</t>
  </si>
  <si>
    <t>Personal Care Workforce Recruitment and Retention</t>
  </si>
  <si>
    <t>Home Health Rate Increase</t>
  </si>
  <si>
    <t xml:space="preserve">  65050-65099-Retiree Health Benefit Trust</t>
  </si>
  <si>
    <t xml:space="preserve">    TOTAL TRUST FUNDS</t>
  </si>
  <si>
    <r>
      <t>TRUST</t>
    </r>
    <r>
      <rPr>
        <b/>
        <vertAlign val="superscript"/>
        <sz val="12"/>
        <rFont val="Arial"/>
        <family val="2"/>
      </rPr>
      <t>(*)</t>
    </r>
  </si>
  <si>
    <r>
      <rPr>
        <vertAlign val="superscript"/>
        <sz val="12"/>
        <rFont val="Arial"/>
        <family val="2"/>
      </rPr>
      <t>(*)</t>
    </r>
    <r>
      <rPr>
        <sz val="12"/>
        <rFont val="Arial"/>
        <family val="2"/>
      </rPr>
      <t xml:space="preserve"> Includes Common Retirement Administration and Retiree Health Benefit Trust.</t>
    </r>
  </si>
  <si>
    <t xml:space="preserve">Trust Funds - Statement of Cash Flow  </t>
  </si>
  <si>
    <t xml:space="preserve">    </t>
  </si>
  <si>
    <t xml:space="preserve">American Resuce Plan Act </t>
  </si>
  <si>
    <t>TRANSPORTATION AVIATION ACCOUNT</t>
  </si>
  <si>
    <t xml:space="preserve">   Administrative Recoveries</t>
  </si>
  <si>
    <t xml:space="preserve">            Lottery</t>
  </si>
  <si>
    <t xml:space="preserve">            Mobile Sports</t>
  </si>
  <si>
    <t>NURSE LOAN REPAYMENT</t>
  </si>
  <si>
    <t>NYS WORKFORCE INNOVATION CTR</t>
  </si>
  <si>
    <r>
      <t>Special Revenue Funds</t>
    </r>
    <r>
      <rPr>
        <b/>
        <sz val="9"/>
        <rFont val="Arial"/>
        <family val="2"/>
      </rPr>
      <t xml:space="preserve"> </t>
    </r>
    <r>
      <rPr>
        <sz val="9"/>
        <rFont val="Arial"/>
        <family val="2"/>
      </rPr>
      <t xml:space="preserve"> “Transfers To Other Funds” includes transfers to Mental Health Services</t>
    </r>
    <r>
      <rPr>
        <b/>
        <sz val="9"/>
        <rFont val="Arial"/>
        <family val="2"/>
      </rPr>
      <t xml:space="preserve"> </t>
    </r>
  </si>
  <si>
    <t>Dormitory Authority and State University Income Fund</t>
  </si>
  <si>
    <t>NEW YORK STATE CANNABIS REVENUE FUND</t>
  </si>
  <si>
    <t xml:space="preserve">        Lottery</t>
  </si>
  <si>
    <t xml:space="preserve">        Mobile Sports</t>
  </si>
  <si>
    <t xml:space="preserve">TAX </t>
  </si>
  <si>
    <r>
      <rPr>
        <vertAlign val="superscript"/>
        <sz val="10"/>
        <color theme="1"/>
        <rFont val="Arial"/>
        <family val="2"/>
      </rPr>
      <t xml:space="preserve">(**) </t>
    </r>
    <r>
      <rPr>
        <sz val="10"/>
        <color theme="1"/>
        <rFont val="Arial"/>
        <family val="2"/>
      </rPr>
      <t>Source: Statewide Financial System</t>
    </r>
  </si>
  <si>
    <t>Dedicated Infrastructure Investment Fund</t>
  </si>
  <si>
    <t>DEPT OF LAW OIL SPILL</t>
  </si>
  <si>
    <t>Healthcare Worker Bonuses</t>
  </si>
  <si>
    <t>Vital Access Provider Services</t>
  </si>
  <si>
    <t xml:space="preserve">  30720-30729-Clean Water, Clean Air, and Green Jobs Bond</t>
  </si>
  <si>
    <t xml:space="preserve">  Peer-to-Peer Car Sharing</t>
  </si>
  <si>
    <t xml:space="preserve">         Peer-to-Peer Car Sharing</t>
  </si>
  <si>
    <t xml:space="preserve">  Withholdings</t>
  </si>
  <si>
    <t>DC37 &amp; Teamster Local 858</t>
  </si>
  <si>
    <t>FISCAL YEAR 2023-2024</t>
  </si>
  <si>
    <t xml:space="preserve">FISCAL YEAR 2023-2024   </t>
  </si>
  <si>
    <t>2023</t>
  </si>
  <si>
    <t xml:space="preserve">      </t>
  </si>
  <si>
    <t>2023-2024</t>
  </si>
  <si>
    <t>GOVERNMENTAL FUNDS - STATE OPERATING (*)</t>
  </si>
  <si>
    <t xml:space="preserve">SUMMARY OF CASH RECEIPTS, DISBURSEMENTS AND </t>
  </si>
  <si>
    <t>VOTING MACHINE EXAMINATIONS ACCOUNT</t>
  </si>
  <si>
    <t>RESTITUTION ACCOUNT</t>
  </si>
  <si>
    <t>NEW YORK STATE CAMPAIGN FINANCE FUND ACCOUNT</t>
  </si>
  <si>
    <t>PHARMACY BENEFIT MANAGER REGULATORY FUND</t>
  </si>
  <si>
    <t>MOBILE SPORTS WAGERING FUND</t>
  </si>
  <si>
    <t>Temporary Loans are authorized pursuant to Subdivision 5 of Section 4 of the State Finance Law and Chapter 56, Part PP, Section 1, of the Laws of 2023-24.</t>
  </si>
  <si>
    <t xml:space="preserve">           Open Space Land Conservation and Recreation</t>
  </si>
  <si>
    <t xml:space="preserve">           Climate Change Mitigation </t>
  </si>
  <si>
    <t xml:space="preserve">           Water Quality Improvement and Resilient Infrastructure </t>
  </si>
  <si>
    <t xml:space="preserve">           NY Natural Resources </t>
  </si>
  <si>
    <t>Community Capital Assistance Program (CCAP)/RESTORE</t>
  </si>
  <si>
    <t xml:space="preserve">           Flood Restoration and Risk Reduction </t>
  </si>
  <si>
    <t xml:space="preserve">  Clean Water/Clean Air and Green Jobs:</t>
  </si>
  <si>
    <t xml:space="preserve">      Municipal Restructuring / Consolidation Competition</t>
  </si>
  <si>
    <t xml:space="preserve">(*) Includes amounts appropriated in SFY 2023-24, as well as prior year appropriations that were reappropriated. </t>
  </si>
  <si>
    <t xml:space="preserve">   Transfers from STRBTF           </t>
  </si>
  <si>
    <t xml:space="preserve">    Sales Tax in excess of STRBF Debt Service</t>
  </si>
  <si>
    <t>Banking Services Account</t>
  </si>
  <si>
    <t>INTEREST ASSESSMENT ACCOUNT</t>
  </si>
  <si>
    <t>APRIL 1, 2023</t>
  </si>
  <si>
    <t>COMMERCIAL GAMING REVENUE ACCOUNT</t>
  </si>
  <si>
    <t>Environmental Protection Fund</t>
  </si>
  <si>
    <t>Recruitment Incentive Account</t>
  </si>
  <si>
    <t>Mass Transportation Operating Assistance Fund</t>
  </si>
  <si>
    <t>State Fair Receipts</t>
  </si>
  <si>
    <t xml:space="preserve">(*)    Source: 2023-24 Enacted Financial Plan dated June 9, 2023. </t>
  </si>
  <si>
    <t xml:space="preserve">payments for patients residing in State-operated Health and Mental Hygiene facilities, SUNY Capital </t>
  </si>
  <si>
    <t>June 30, 2023</t>
  </si>
  <si>
    <t>Dedicated Highway Bridge Trust Fund</t>
  </si>
  <si>
    <t>Dedicated Mass Transportation (Non MTA)</t>
  </si>
  <si>
    <t>Dedicated Mass Transportation - Railroad Account</t>
  </si>
  <si>
    <t>Dedicated Mass Transportation - Transit Authority Account</t>
  </si>
  <si>
    <t>Hazardous Waste Oversight &amp; Assistance Account</t>
  </si>
  <si>
    <t>Also included in Special Revenue funds are transfers to the General Fund from the following:</t>
  </si>
  <si>
    <t>Federal Health and Human Services Fund</t>
  </si>
  <si>
    <t>July 31, 2023</t>
  </si>
  <si>
    <t xml:space="preserve">  Plan (**)</t>
  </si>
  <si>
    <t xml:space="preserve">                                     STATE OPERATING FUNDS (***)</t>
  </si>
  <si>
    <t>(****)</t>
  </si>
  <si>
    <r>
      <t xml:space="preserve">(***)  </t>
    </r>
    <r>
      <rPr>
        <u/>
        <sz val="12"/>
        <rFont val="Arial"/>
        <family val="2"/>
      </rPr>
      <t>State Operating Funds</t>
    </r>
    <r>
      <rPr>
        <sz val="12"/>
        <rFont val="Arial"/>
        <family val="2"/>
      </rPr>
      <t xml:space="preserve"> are comprised of the General Fund, State Special Revenue Funds supported</t>
    </r>
  </si>
  <si>
    <t>(****) Eliminations between Special Revenue - State and Federal Funds are not included.</t>
  </si>
  <si>
    <t xml:space="preserve">         by activities from dedicated revenue sources (including operating transfers from Federal Funds) and Debt Service Funds. </t>
  </si>
  <si>
    <t xml:space="preserve">(***)   Includes transfers to the Department of Health Income Fund and the State University Income Fund representing payments </t>
  </si>
  <si>
    <t xml:space="preserve">         for patients residing in State-Operated Health and State University facilities.</t>
  </si>
  <si>
    <t xml:space="preserve">  Transfers from Other Funds (***)</t>
  </si>
  <si>
    <t xml:space="preserve">  Transfers to Other Funds (***)</t>
  </si>
  <si>
    <t xml:space="preserve">(***)   Actual reported transfer amounts include eliminations between Special Revenue - State and Federal Funds. </t>
  </si>
  <si>
    <t>1st Quarter</t>
  </si>
  <si>
    <t>APRIL - JUNE</t>
  </si>
  <si>
    <t>Unemployment Insurance Administration</t>
  </si>
  <si>
    <t>Training and Education Program on OSHA</t>
  </si>
  <si>
    <t>Miscellaneous State Special Revenue Fund</t>
  </si>
  <si>
    <t>(**)   Source: 2023-24 First Quarter Update dated July 27, 2023, which made no changes to the Enacted Financial Plan.</t>
  </si>
  <si>
    <t>August 31, 2023</t>
  </si>
  <si>
    <t>Fingerprint Identification Technology Account</t>
  </si>
  <si>
    <t>HESC Insurance Premium Account</t>
  </si>
  <si>
    <t>Business and Licensing Services Account</t>
  </si>
  <si>
    <t>Workers' Compensation Board Account</t>
  </si>
  <si>
    <t>Public Service Account</t>
  </si>
  <si>
    <t>Patient Safety Center Account</t>
  </si>
  <si>
    <t xml:space="preserve">State Lottery </t>
  </si>
  <si>
    <t>Federal Employment and Training Grants</t>
  </si>
  <si>
    <t>Federal Operating Grants</t>
  </si>
  <si>
    <t>System and Technology Account</t>
  </si>
  <si>
    <t>September 30, 2023</t>
  </si>
  <si>
    <t>6 MOS. ENDED</t>
  </si>
  <si>
    <t>SEP. 2023</t>
  </si>
  <si>
    <t>SEP. 30, 2023</t>
  </si>
  <si>
    <t>SEP. 2022</t>
  </si>
  <si>
    <t>SEP. 30, 2022</t>
  </si>
  <si>
    <t>SEPTEMBER 2023</t>
  </si>
  <si>
    <t xml:space="preserve">Fund Balances (Deficits) at September 30, 2023 </t>
  </si>
  <si>
    <t xml:space="preserve">FOR SIX MONTHS ENDED SEPTEMBER 30, 2023    </t>
  </si>
  <si>
    <t>6 Months Ended September 30</t>
  </si>
  <si>
    <t>SEPTEMBER 1, 2023</t>
  </si>
  <si>
    <t>FOR THE MONTH OF SEPTEMBER 2023</t>
  </si>
  <si>
    <t>SEPTEMBER 30, 2023</t>
  </si>
  <si>
    <t>6 MONTHS ENDED</t>
  </si>
  <si>
    <t>6 MONTHS ENDED SEPTEMBER 30</t>
  </si>
  <si>
    <t xml:space="preserve">FOR THE SIX MONTHS ENDED SEPTEMBER 30, 2023    </t>
  </si>
  <si>
    <t>6 Months Ended</t>
  </si>
  <si>
    <t>September</t>
  </si>
  <si>
    <t>6 Months Ended September 30, 2023 (**)</t>
  </si>
  <si>
    <t xml:space="preserve">As of September 30, 2023, $10,019,893.56 (representing the remaining balance of the State's 95 percent share of the fair market value of the not-for-profit corporation plus interest) is on deposit in the sole custody account titled Public Asset Fund. In accordance with Section 4301(j)(4)(F) and (O) of the Insurance Law and at the direction of the Director of the Budget, these funds are available for transfer to HCRA Resources Fund (20800-20849). </t>
  </si>
  <si>
    <t>SEPTEMBER 2022</t>
  </si>
  <si>
    <t xml:space="preserve">the State University Income Fund ($275.9m). </t>
  </si>
  <si>
    <t xml:space="preserve">operated health, mental hygiene and State University facilities to Debt Service funds ($5.3m), and  </t>
  </si>
  <si>
    <t xml:space="preserve">the current fiscal quarter.  As of September 30, 2023 - pursuant to a certification of the Budget Director - </t>
  </si>
  <si>
    <t>payment obligations were met out of these reserves and future payment amounts were scheduled</t>
  </si>
  <si>
    <t>for transfer at the commencement of the succeeding month.</t>
  </si>
  <si>
    <t>Charter School Stimulus</t>
  </si>
  <si>
    <t xml:space="preserve">Unemployment Insurance, Interest and Penalty </t>
  </si>
  <si>
    <t xml:space="preserve">Fund and Department of Health Income Fund ($521.3m) representing the federal share of Medicaid </t>
  </si>
  <si>
    <t>Projects Fund ($12.9m) and All Other Capital Projects ($40.5m).</t>
  </si>
  <si>
    <t>Federal USDA/ Food and Nutrition</t>
  </si>
  <si>
    <t xml:space="preserve">of Health ($61.0m). </t>
  </si>
  <si>
    <t xml:space="preserve"> the General Debt Service Fund - Lease Purchase ($26.1m).</t>
  </si>
  <si>
    <r>
      <t>Capital Projects Funds</t>
    </r>
    <r>
      <rPr>
        <b/>
        <sz val="9"/>
        <rFont val="Arial"/>
        <family val="2"/>
      </rPr>
      <t xml:space="preserve"> </t>
    </r>
    <r>
      <rPr>
        <sz val="9"/>
        <rFont val="Arial"/>
        <family val="2"/>
      </rPr>
      <t xml:space="preserve">“Transfers To Other Funds” includes transfers to the General Fund ($29.1m) and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</si>
</sst>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4">
    <numFmt numFmtId="5" formatCode="&quot;$&quot;#,##0_);\(&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0.0"/>
    <numFmt numFmtId="166" formatCode="#,##0.0_);\(#,##0.0\)"/>
    <numFmt numFmtId="167" formatCode="_(&quot;$&quot;* #,##0.0_);_(&quot;$&quot;* \(#,##0.0\);_(&quot;$&quot;* &quot;-&quot;??_);_(@_)"/>
    <numFmt numFmtId="168" formatCode="[$$-409]#,##0.0"/>
    <numFmt numFmtId="169" formatCode="&quot;$&quot;#,##0.0_);\(&quot;$&quot;#,##0.0\)"/>
    <numFmt numFmtId="170" formatCode="_(* #,##0.0_);_(* \(#,##0.0\);_(* &quot;-&quot;?_);_(@_)"/>
    <numFmt numFmtId="171" formatCode="0_);\(0\)"/>
    <numFmt numFmtId="172" formatCode="#,##0.0%"/>
    <numFmt numFmtId="173" formatCode="#,##0.000"/>
    <numFmt numFmtId="174" formatCode="_(&quot;$&quot;* #,##0.0_);_(&quot;$&quot;* \(#,##0.0\);_(&quot;$&quot;* &quot;-&quot;?_);_(@_)"/>
    <numFmt numFmtId="175" formatCode="&quot;$&quot;#,##0.0"/>
    <numFmt numFmtId="176" formatCode="0.000"/>
    <numFmt numFmtId="177" formatCode="_(* #,##0.000_);_(* \(#,##0.000\);_(* &quot;-&quot;???_);_(@_)"/>
    <numFmt numFmtId="178" formatCode="#,##0.0000000000000_);\(#,##0.0000000000000\)"/>
    <numFmt numFmtId="179" formatCode="m/d/yy;@"/>
    <numFmt numFmtId="180" formatCode="_(&quot;$&quot;* #,##0.000_);_(&quot;$&quot;* \(#,##0.000\);_(&quot;$&quot;* &quot;-&quot;???_);_(@_)"/>
    <numFmt numFmtId="181" formatCode="#,##0.000_);\(#,##0.000\)"/>
    <numFmt numFmtId="182" formatCode="_(* #,##0.000_);_(* \(#,##0.000\);_(* &quot;-&quot;??_);_(@_)"/>
    <numFmt numFmtId="183" formatCode="&quot;$&quot;#,##0.000_);\(&quot;$&quot;#,##0.000\)"/>
    <numFmt numFmtId="184" formatCode="m/d/yy"/>
    <numFmt numFmtId="185" formatCode="0.000_);\(0.000\)"/>
    <numFmt numFmtId="186" formatCode="[$-409]mmmm\ d\,\ yyyy;@"/>
    <numFmt numFmtId="187" formatCode="&quot;$&quot;#,##0.00"/>
    <numFmt numFmtId="188" formatCode="&quot;$&quot;#,##0"/>
    <numFmt numFmtId="189" formatCode="0.000%"/>
    <numFmt numFmtId="190" formatCode="_(* #,##0_);_(* \(#,##0\);_(* &quot;-&quot;??_);_(@_)"/>
    <numFmt numFmtId="191" formatCode="&quot;$&quot;#,##0.0_);[Red]\(&quot;$&quot;#,##0.0\)"/>
    <numFmt numFmtId="192" formatCode="0.0"/>
    <numFmt numFmtId="193" formatCode="_(* #,##0.0_);_(* \(#,##0.0\);_(* &quot;-&quot;??_);_(@_)"/>
    <numFmt numFmtId="194" formatCode="0.0000%"/>
    <numFmt numFmtId="195" formatCode="#,##0.0000"/>
    <numFmt numFmtId="196" formatCode="#,##0.00000_);\(#,##0.00000\)"/>
    <numFmt numFmtId="197" formatCode="0.0_);\(0.0\)"/>
    <numFmt numFmtId="198" formatCode="_(&quot;$&quot;* #,##0_);_(&quot;$&quot;* \(#,##0\);_(&quot;$&quot;* &quot;-&quot;??_);_(@_)"/>
    <numFmt numFmtId="199" formatCode="#,#00.0%"/>
    <numFmt numFmtId="200" formatCode="_(* #,##0.000_);_(* \(#,##0.000\);_(* &quot;-&quot;?_);_(@_)"/>
  </numFmts>
  <fonts count="223">
    <font>
      <sz val="12"/>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name val="Arial"/>
      <family val="2"/>
    </font>
    <font>
      <b/>
      <sz val="16"/>
      <name val="Arial"/>
      <family val="2"/>
    </font>
    <font>
      <sz val="12"/>
      <name val="Arial"/>
      <family val="2"/>
    </font>
    <font>
      <sz val="8"/>
      <name val="Arial"/>
      <family val="2"/>
    </font>
    <font>
      <sz val="16"/>
      <name val="Arial"/>
      <family val="2"/>
    </font>
    <font>
      <sz val="10"/>
      <name val="Arial"/>
      <family val="2"/>
    </font>
    <font>
      <b/>
      <sz val="10"/>
      <name val="Arial"/>
      <family val="2"/>
    </font>
    <font>
      <b/>
      <sz val="12"/>
      <name val="Arial"/>
      <family val="2"/>
    </font>
    <font>
      <b/>
      <sz val="12"/>
      <name val="Helv"/>
    </font>
    <font>
      <sz val="12"/>
      <name val="Helv"/>
    </font>
    <font>
      <b/>
      <sz val="8"/>
      <name val="Arial"/>
      <family val="2"/>
    </font>
    <font>
      <sz val="12"/>
      <color theme="1"/>
      <name val="Arial"/>
      <family val="2"/>
    </font>
    <font>
      <sz val="9"/>
      <name val="Arial"/>
      <family val="2"/>
    </font>
    <font>
      <sz val="12"/>
      <name val="Helvetica-Narrow"/>
      <family val="2"/>
    </font>
    <font>
      <sz val="8"/>
      <name val="Helvetica-Narrow"/>
      <family val="2"/>
    </font>
    <font>
      <b/>
      <sz val="18"/>
      <name val="Arial"/>
      <family val="2"/>
    </font>
    <font>
      <sz val="18"/>
      <name val="Arial"/>
      <family val="2"/>
    </font>
    <font>
      <sz val="8"/>
      <color indexed="9"/>
      <name val="Arial"/>
      <family val="2"/>
    </font>
    <font>
      <b/>
      <sz val="16"/>
      <color indexed="9"/>
      <name val="Helv"/>
    </font>
    <font>
      <sz val="10"/>
      <name val="Times New Roman"/>
      <family val="1"/>
    </font>
    <font>
      <b/>
      <sz val="10"/>
      <color indexed="8"/>
      <name val="Arial"/>
      <family val="2"/>
    </font>
    <font>
      <b/>
      <sz val="12"/>
      <color indexed="8"/>
      <name val="Arial"/>
      <family val="2"/>
    </font>
    <font>
      <sz val="12"/>
      <color indexed="8"/>
      <name val="Arial"/>
      <family val="2"/>
    </font>
    <font>
      <sz val="8"/>
      <color indexed="8"/>
      <name val="Arial"/>
      <family val="2"/>
    </font>
    <font>
      <sz val="14"/>
      <name val="Arial"/>
      <family val="2"/>
    </font>
    <font>
      <u/>
      <sz val="14"/>
      <name val="Arial"/>
      <family val="2"/>
    </font>
    <font>
      <sz val="12"/>
      <name val="SWISS"/>
    </font>
    <font>
      <b/>
      <sz val="12"/>
      <name val="SWISS"/>
    </font>
    <font>
      <sz val="10"/>
      <name val="SWISS"/>
    </font>
    <font>
      <b/>
      <sz val="14"/>
      <name val="Arial"/>
      <family val="2"/>
    </font>
    <font>
      <b/>
      <sz val="13"/>
      <name val="Arial"/>
      <family val="2"/>
    </font>
    <font>
      <b/>
      <sz val="13"/>
      <color indexed="9"/>
      <name val="Arial"/>
      <family val="2"/>
    </font>
    <font>
      <b/>
      <sz val="20"/>
      <name val="Arial"/>
      <family val="2"/>
    </font>
    <font>
      <b/>
      <u/>
      <sz val="12"/>
      <name val="Arial"/>
      <family val="2"/>
    </font>
    <font>
      <sz val="12"/>
      <color indexed="9"/>
      <name val="SWISS"/>
    </font>
    <font>
      <sz val="13"/>
      <name val="Arial"/>
      <family val="2"/>
    </font>
    <font>
      <b/>
      <sz val="15"/>
      <name val="Times New Roman"/>
      <family val="1"/>
    </font>
    <font>
      <b/>
      <sz val="12"/>
      <color indexed="9"/>
      <name val="Arial"/>
      <family val="2"/>
    </font>
    <font>
      <b/>
      <sz val="10"/>
      <name val="SWISS"/>
    </font>
    <font>
      <sz val="14"/>
      <color indexed="8"/>
      <name val="Arial"/>
      <family val="2"/>
    </font>
    <font>
      <b/>
      <sz val="18"/>
      <color indexed="8"/>
      <name val="Arial"/>
      <family val="2"/>
    </font>
    <font>
      <sz val="14"/>
      <name val="SWISS"/>
    </font>
    <font>
      <b/>
      <sz val="14"/>
      <color indexed="8"/>
      <name val="Arial"/>
      <family val="2"/>
    </font>
    <font>
      <b/>
      <sz val="14"/>
      <name val="SWISS"/>
    </font>
    <font>
      <b/>
      <u/>
      <sz val="10"/>
      <name val="Arial"/>
      <family val="2"/>
    </font>
    <font>
      <sz val="11"/>
      <name val="Arial"/>
      <family val="2"/>
    </font>
    <font>
      <sz val="10"/>
      <color indexed="12"/>
      <name val="Arial"/>
      <family val="2"/>
    </font>
    <font>
      <b/>
      <sz val="11"/>
      <name val="Arial"/>
      <family val="2"/>
    </font>
    <font>
      <sz val="10"/>
      <name val="Arial"/>
      <family val="2"/>
    </font>
    <font>
      <sz val="10"/>
      <color indexed="9"/>
      <name val="Arial"/>
      <family val="2"/>
    </font>
    <font>
      <sz val="8"/>
      <name val="SWISS"/>
    </font>
    <font>
      <i/>
      <sz val="18"/>
      <name val="Arial"/>
      <family val="2"/>
    </font>
    <font>
      <i/>
      <sz val="14"/>
      <name val="SWISS"/>
    </font>
    <font>
      <i/>
      <sz val="14"/>
      <name val="Arial"/>
      <family val="2"/>
    </font>
    <font>
      <b/>
      <sz val="14"/>
      <color indexed="9"/>
      <name val="Arial"/>
      <family val="2"/>
    </font>
    <font>
      <i/>
      <sz val="12"/>
      <name val="Arial"/>
      <family val="2"/>
    </font>
    <font>
      <i/>
      <sz val="18"/>
      <name val="SWISS"/>
    </font>
    <font>
      <sz val="10"/>
      <name val="Arial MT"/>
    </font>
    <font>
      <sz val="12"/>
      <name val="Arial MT"/>
    </font>
    <font>
      <b/>
      <sz val="12"/>
      <name val="Arial MT"/>
    </font>
    <font>
      <sz val="12"/>
      <name val="Times New Roman"/>
      <family val="1"/>
    </font>
    <font>
      <sz val="12"/>
      <name val="Times New Roman"/>
      <family val="1"/>
    </font>
    <font>
      <sz val="10"/>
      <name val="SCRRMN"/>
    </font>
    <font>
      <sz val="12"/>
      <name val="Century Gothic"/>
      <family val="2"/>
    </font>
    <font>
      <b/>
      <sz val="12"/>
      <name val="Times New Roman"/>
      <family val="1"/>
    </font>
    <font>
      <b/>
      <u/>
      <sz val="14"/>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u/>
      <sz val="12"/>
      <name val="Arial"/>
      <family val="2"/>
    </font>
    <font>
      <b/>
      <sz val="13"/>
      <name val="SWISS"/>
    </font>
    <font>
      <b/>
      <sz val="16"/>
      <color indexed="10"/>
      <name val="Arial"/>
      <family val="2"/>
    </font>
    <font>
      <b/>
      <sz val="10"/>
      <color theme="1"/>
      <name val="Arial"/>
      <family val="2"/>
    </font>
    <font>
      <sz val="11"/>
      <color theme="1"/>
      <name val="Calibri"/>
      <family val="2"/>
    </font>
    <font>
      <sz val="11"/>
      <color indexed="8"/>
      <name val="Calibri"/>
      <family val="2"/>
    </font>
    <font>
      <b/>
      <sz val="9"/>
      <name val="Arial"/>
      <family val="2"/>
    </font>
    <font>
      <b/>
      <sz val="10"/>
      <color indexed="9"/>
      <name val="Arial"/>
      <family val="2"/>
    </font>
    <font>
      <sz val="12"/>
      <color theme="1"/>
      <name val="Calibri"/>
      <family val="2"/>
      <scheme val="minor"/>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sz val="10"/>
      <color indexed="10"/>
      <name val="Arial"/>
      <family val="2"/>
    </font>
    <font>
      <sz val="12"/>
      <color theme="4" tint="-0.249977111117893"/>
      <name val="Arial"/>
      <family val="2"/>
    </font>
    <font>
      <b/>
      <sz val="12"/>
      <color theme="4" tint="-0.249977111117893"/>
      <name val="Arial"/>
      <family val="2"/>
    </font>
    <font>
      <sz val="10"/>
      <color theme="4" tint="-0.249977111117893"/>
      <name val="SWISS"/>
    </font>
    <font>
      <sz val="10"/>
      <color theme="4" tint="-0.249977111117893"/>
      <name val="Arial"/>
      <family val="2"/>
    </font>
    <font>
      <b/>
      <u/>
      <sz val="12"/>
      <color theme="4" tint="-0.249977111117893"/>
      <name val="Arial"/>
      <family val="2"/>
    </font>
    <font>
      <sz val="12"/>
      <color theme="3" tint="0.39997558519241921"/>
      <name val="Arial"/>
      <family val="2"/>
    </font>
    <font>
      <sz val="11"/>
      <color theme="1"/>
      <name val="Arial"/>
      <family val="2"/>
    </font>
    <font>
      <sz val="12"/>
      <color indexed="9"/>
      <name val="Arial"/>
      <family val="2"/>
    </font>
    <font>
      <b/>
      <u/>
      <sz val="9"/>
      <name val="Arial"/>
      <family val="2"/>
    </font>
    <font>
      <sz val="7.5"/>
      <name val="Arial"/>
      <family val="2"/>
    </font>
    <font>
      <sz val="9"/>
      <name val="Times New Roman"/>
      <family val="1"/>
    </font>
    <font>
      <u/>
      <sz val="10"/>
      <name val="Arial"/>
      <family val="2"/>
    </font>
    <font>
      <sz val="10"/>
      <name val="Microsoft Sans Serif"/>
      <family val="2"/>
    </font>
    <font>
      <sz val="8"/>
      <color theme="4" tint="-0.249977111117893"/>
      <name val="Arial"/>
      <family val="2"/>
    </font>
    <font>
      <b/>
      <sz val="10"/>
      <color theme="4" tint="-0.249977111117893"/>
      <name val="Arial"/>
      <family val="2"/>
    </font>
    <font>
      <sz val="12"/>
      <color theme="4" tint="-0.249977111117893"/>
      <name val="Helv"/>
    </font>
    <font>
      <u/>
      <sz val="10"/>
      <color theme="1"/>
      <name val="Arial"/>
      <family val="2"/>
    </font>
    <font>
      <u/>
      <sz val="10"/>
      <color theme="10"/>
      <name val="Arial"/>
      <family val="2"/>
    </font>
    <font>
      <b/>
      <sz val="12"/>
      <color theme="1"/>
      <name val="Arial"/>
      <family val="2"/>
    </font>
    <font>
      <sz val="10"/>
      <color indexed="8"/>
      <name val="Arial"/>
      <family val="2"/>
    </font>
    <font>
      <sz val="10"/>
      <name val="MS Sans Serif"/>
      <family val="2"/>
    </font>
    <font>
      <sz val="11"/>
      <color rgb="FF000000"/>
      <name val="Calibri"/>
      <family val="2"/>
      <scheme val="minor"/>
    </font>
    <font>
      <sz val="12"/>
      <name val="Arial"/>
      <family val="2"/>
    </font>
    <font>
      <sz val="14"/>
      <name val="Arial MT"/>
    </font>
    <font>
      <sz val="12.5"/>
      <name val="Arial"/>
      <family val="2"/>
    </font>
    <font>
      <b/>
      <sz val="12.5"/>
      <name val="Arial"/>
      <family val="2"/>
    </font>
    <font>
      <sz val="12.5"/>
      <color indexed="8"/>
      <name val="Arial"/>
      <family val="2"/>
    </font>
    <font>
      <b/>
      <i/>
      <sz val="18"/>
      <name val="Arial"/>
      <family val="2"/>
    </font>
    <font>
      <b/>
      <i/>
      <sz val="14"/>
      <name val="SWISS"/>
    </font>
    <font>
      <b/>
      <sz val="8"/>
      <name val="SWISS"/>
    </font>
    <font>
      <b/>
      <sz val="12"/>
      <name val="Arial"/>
      <family val="2"/>
    </font>
    <font>
      <b/>
      <i/>
      <sz val="12"/>
      <name val="Arial"/>
      <family val="2"/>
    </font>
    <font>
      <b/>
      <sz val="13"/>
      <name val="Arrial"/>
    </font>
    <font>
      <i/>
      <sz val="16"/>
      <name val="Arial"/>
      <family val="2"/>
    </font>
    <font>
      <sz val="12"/>
      <name val="Arial"/>
      <family val="2"/>
    </font>
    <font>
      <sz val="12"/>
      <color rgb="FFFF0000"/>
      <name val="Arial"/>
      <family val="2"/>
    </font>
    <font>
      <b/>
      <sz val="12"/>
      <color rgb="FFFF0000"/>
      <name val="Arial"/>
      <family val="2"/>
    </font>
    <font>
      <sz val="10"/>
      <color theme="1"/>
      <name val="Arial"/>
      <family val="2"/>
    </font>
    <font>
      <b/>
      <sz val="14"/>
      <name val="Arial"/>
      <family val="2"/>
    </font>
    <font>
      <sz val="14"/>
      <name val="Arial"/>
      <family val="2"/>
    </font>
    <font>
      <b/>
      <sz val="16"/>
      <color indexed="8"/>
      <name val="Arial"/>
      <family val="2"/>
    </font>
    <font>
      <b/>
      <sz val="16"/>
      <name val="Arial"/>
      <family val="2"/>
    </font>
    <font>
      <u/>
      <sz val="10"/>
      <color rgb="FF0000FF"/>
      <name val="Arial"/>
      <family val="2"/>
    </font>
    <font>
      <b/>
      <u/>
      <sz val="10"/>
      <color rgb="FF0000FF"/>
      <name val="Arial"/>
      <family val="2"/>
    </font>
    <font>
      <sz val="10"/>
      <name val="Arial"/>
      <family val="2"/>
    </font>
    <font>
      <sz val="10"/>
      <name val="Arial Unicode MS"/>
      <family val="2"/>
    </font>
    <font>
      <b/>
      <sz val="10"/>
      <name val="Arial Unicode MS"/>
      <family val="2"/>
    </font>
    <font>
      <sz val="10"/>
      <name val="Arial Unicode MS"/>
      <family val="2"/>
    </font>
    <font>
      <sz val="10"/>
      <name val="Arial"/>
      <family val="2"/>
    </font>
    <font>
      <sz val="12"/>
      <name val="Arial"/>
      <family val="2"/>
    </font>
    <font>
      <sz val="10"/>
      <name val="Arial"/>
      <family val="2"/>
    </font>
    <font>
      <sz val="10"/>
      <name val="Arial"/>
      <family val="2"/>
    </font>
    <font>
      <sz val="10"/>
      <color theme="1"/>
      <name val="SCRRMN"/>
    </font>
    <font>
      <sz val="10"/>
      <name val="Arial"/>
      <family val="2"/>
    </font>
    <font>
      <sz val="12"/>
      <color theme="0"/>
      <name val="Arial"/>
      <family val="2"/>
    </font>
    <font>
      <sz val="12"/>
      <name val="Arial"/>
      <family val="2"/>
    </font>
    <font>
      <b/>
      <sz val="12"/>
      <name val="Arial"/>
      <family val="2"/>
    </font>
    <font>
      <sz val="11"/>
      <name val="Arial"/>
      <family val="2"/>
    </font>
    <font>
      <sz val="11"/>
      <name val="SWISS"/>
    </font>
    <font>
      <sz val="12"/>
      <name val="Arial"/>
      <family val="2"/>
    </font>
    <font>
      <sz val="10"/>
      <color rgb="FFFF0000"/>
      <name val="Wingdings"/>
      <charset val="2"/>
    </font>
    <font>
      <sz val="10"/>
      <name val="Arial"/>
      <family val="2"/>
    </font>
    <font>
      <b/>
      <sz val="14"/>
      <color theme="1"/>
      <name val="Arial"/>
      <family val="2"/>
    </font>
    <font>
      <b/>
      <sz val="16"/>
      <color theme="1"/>
      <name val="Calibri"/>
      <family val="2"/>
      <scheme val="minor"/>
    </font>
    <font>
      <b/>
      <sz val="16"/>
      <name val="Calibri"/>
      <family val="2"/>
      <scheme val="minor"/>
    </font>
    <font>
      <b/>
      <i/>
      <sz val="16"/>
      <name val="Arial"/>
      <family val="2"/>
    </font>
    <font>
      <b/>
      <sz val="12"/>
      <color indexed="32"/>
      <name val="Arial"/>
      <family val="2"/>
    </font>
    <font>
      <b/>
      <u/>
      <sz val="12"/>
      <color theme="1"/>
      <name val="Arial"/>
      <family val="2"/>
    </font>
    <font>
      <b/>
      <vertAlign val="superscript"/>
      <sz val="12"/>
      <name val="Arial"/>
      <family val="2"/>
    </font>
    <font>
      <b/>
      <sz val="12"/>
      <color theme="1"/>
      <name val="Calibri"/>
      <family val="2"/>
      <scheme val="minor"/>
    </font>
    <font>
      <u/>
      <sz val="12"/>
      <color theme="1"/>
      <name val="Arial"/>
      <family val="2"/>
    </font>
    <font>
      <b/>
      <vertAlign val="superscript"/>
      <sz val="12"/>
      <color theme="1"/>
      <name val="Arial"/>
      <family val="2"/>
    </font>
    <font>
      <b/>
      <vertAlign val="superscript"/>
      <sz val="14"/>
      <color theme="1"/>
      <name val="Arial"/>
      <family val="2"/>
    </font>
    <font>
      <vertAlign val="superscript"/>
      <sz val="10"/>
      <color theme="1"/>
      <name val="Arial"/>
      <family val="2"/>
    </font>
    <font>
      <sz val="14"/>
      <color theme="1"/>
      <name val="Arial"/>
      <family val="2"/>
    </font>
    <font>
      <sz val="10"/>
      <name val="Arial"/>
      <family val="2"/>
    </font>
    <font>
      <b/>
      <i/>
      <sz val="14"/>
      <name val="Arial"/>
      <family val="2"/>
    </font>
    <font>
      <b/>
      <sz val="24"/>
      <name val="Arial Narrow"/>
      <family val="2"/>
    </font>
    <font>
      <i/>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sz val="8"/>
      <color indexed="38"/>
      <name val="Arial"/>
      <family val="2"/>
    </font>
    <font>
      <i/>
      <sz val="11"/>
      <name val="Arial"/>
      <family val="2"/>
    </font>
    <font>
      <vertAlign val="superscript"/>
      <sz val="12"/>
      <name val="Arial"/>
      <family val="2"/>
    </font>
    <font>
      <sz val="18"/>
      <color rgb="FFFF0000"/>
      <name val="Arial"/>
      <family val="2"/>
    </font>
    <font>
      <sz val="10"/>
      <name val="Arial"/>
      <family val="2"/>
    </font>
    <font>
      <b/>
      <sz val="11"/>
      <name val="Calibri"/>
      <family val="2"/>
      <scheme val="minor"/>
    </font>
    <font>
      <b/>
      <sz val="16"/>
      <color rgb="FFFF0000"/>
      <name val="Calibri"/>
      <family val="2"/>
      <scheme val="minor"/>
    </font>
  </fonts>
  <fills count="5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theme="0"/>
        <bgColor indexed="64"/>
      </patternFill>
    </fill>
    <fill>
      <patternFill patternType="solid">
        <fgColor indexed="22"/>
        <bgColor indexed="64"/>
      </patternFill>
    </fill>
    <fill>
      <patternFill patternType="solid">
        <fgColor indexed="30"/>
      </patternFill>
    </fill>
    <fill>
      <patternFill patternType="solid">
        <fgColor indexed="29"/>
      </patternFill>
    </fill>
    <fill>
      <patternFill patternType="solid">
        <fgColor indexed="11"/>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5"/>
      </patternFill>
    </fill>
    <fill>
      <patternFill patternType="solid">
        <fgColor indexed="22"/>
      </patternFill>
    </fill>
    <fill>
      <patternFill patternType="solid">
        <fgColor indexed="55"/>
      </patternFill>
    </fill>
    <fill>
      <patternFill patternType="solid">
        <fgColor indexed="42"/>
      </patternFill>
    </fill>
    <fill>
      <patternFill patternType="solid">
        <fgColor indexed="47"/>
      </patternFill>
    </fill>
    <fill>
      <patternFill patternType="solid">
        <fgColor indexed="43"/>
      </patternFill>
    </fill>
    <fill>
      <patternFill patternType="solid">
        <fgColor indexed="31"/>
      </patternFill>
    </fill>
    <fill>
      <patternFill patternType="solid">
        <fgColor indexed="46"/>
      </patternFill>
    </fill>
    <fill>
      <patternFill patternType="solid">
        <fgColor indexed="27"/>
      </patternFill>
    </fill>
    <fill>
      <patternFill patternType="solid">
        <fgColor indexed="44"/>
      </patternFill>
    </fill>
    <fill>
      <patternFill patternType="solid">
        <fgColor indexed="51"/>
      </patternFill>
    </fill>
    <fill>
      <patternFill patternType="solid">
        <fgColor indexed="26"/>
      </patternFill>
    </fill>
    <fill>
      <patternFill patternType="solid">
        <fgColor theme="1"/>
        <bgColor indexed="64"/>
      </patternFill>
    </fill>
  </fills>
  <borders count="10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ck">
        <color indexed="64"/>
      </left>
      <right/>
      <top/>
      <bottom/>
      <diagonal/>
    </border>
    <border>
      <left/>
      <right/>
      <top style="thin">
        <color indexed="64"/>
      </top>
      <bottom style="thin">
        <color indexed="64"/>
      </bottom>
      <diagonal/>
    </border>
    <border>
      <left/>
      <right/>
      <top/>
      <bottom style="double">
        <color indexed="64"/>
      </bottom>
      <diagonal/>
    </border>
    <border>
      <left style="thin">
        <color indexed="64"/>
      </left>
      <right/>
      <top/>
      <bottom/>
      <diagonal/>
    </border>
    <border>
      <left/>
      <right/>
      <top style="thin">
        <color indexed="64"/>
      </top>
      <bottom/>
      <diagonal/>
    </border>
    <border>
      <left/>
      <right/>
      <top style="thin">
        <color indexed="8"/>
      </top>
      <bottom/>
      <diagonal/>
    </border>
    <border>
      <left style="thin">
        <color indexed="8"/>
      </left>
      <right/>
      <top/>
      <bottom/>
      <diagonal/>
    </border>
    <border>
      <left style="thin">
        <color indexed="8"/>
      </left>
      <right/>
      <top style="thin">
        <color indexed="8"/>
      </top>
      <bottom/>
      <diagonal/>
    </border>
    <border>
      <left style="thin">
        <color indexed="64"/>
      </left>
      <right/>
      <top style="thin">
        <color indexed="8"/>
      </top>
      <bottom/>
      <diagonal/>
    </border>
    <border>
      <left/>
      <right style="thin">
        <color indexed="8"/>
      </right>
      <top/>
      <bottom/>
      <diagonal/>
    </border>
    <border>
      <left style="thin">
        <color indexed="8"/>
      </left>
      <right/>
      <top/>
      <bottom style="thin">
        <color indexed="64"/>
      </bottom>
      <diagonal/>
    </border>
    <border>
      <left style="thin">
        <color indexed="8"/>
      </left>
      <right style="thin">
        <color indexed="8"/>
      </right>
      <top/>
      <bottom/>
      <diagonal/>
    </border>
    <border>
      <left style="thin">
        <color indexed="64"/>
      </left>
      <right/>
      <top style="thin">
        <color indexed="64"/>
      </top>
      <bottom style="thin">
        <color indexed="64"/>
      </bottom>
      <diagonal/>
    </border>
    <border>
      <left style="thin">
        <color auto="1"/>
      </left>
      <right/>
      <top/>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thin">
        <color indexed="64"/>
      </right>
      <top/>
      <bottom/>
      <diagonal/>
    </border>
    <border>
      <left/>
      <right style="thin">
        <color indexed="64"/>
      </right>
      <top style="thin">
        <color indexed="64"/>
      </top>
      <bottom style="thin">
        <color indexed="64"/>
      </bottom>
      <diagonal/>
    </border>
    <border>
      <left/>
      <right/>
      <top style="thin">
        <color indexed="8"/>
      </top>
      <bottom style="thin">
        <color indexed="8"/>
      </bottom>
      <diagonal/>
    </border>
    <border>
      <left/>
      <right style="thin">
        <color indexed="8"/>
      </right>
      <top style="thin">
        <color indexed="8"/>
      </top>
      <bottom style="double">
        <color indexed="8"/>
      </bottom>
      <diagonal/>
    </border>
    <border>
      <left/>
      <right/>
      <top style="thin">
        <color indexed="64"/>
      </top>
      <bottom style="double">
        <color indexed="64"/>
      </bottom>
      <diagonal/>
    </border>
    <border>
      <left/>
      <right/>
      <top style="double">
        <color indexed="8"/>
      </top>
      <bottom/>
      <diagonal/>
    </border>
    <border>
      <left/>
      <right style="thin">
        <color indexed="64"/>
      </right>
      <top style="thin">
        <color indexed="8"/>
      </top>
      <bottom/>
      <diagonal/>
    </border>
    <border>
      <left/>
      <right style="thin">
        <color indexed="64"/>
      </right>
      <top style="thin">
        <color indexed="64"/>
      </top>
      <bottom/>
      <diagonal/>
    </border>
    <border>
      <left/>
      <right style="thin">
        <color indexed="64"/>
      </right>
      <top style="thin">
        <color indexed="8"/>
      </top>
      <bottom style="double">
        <color indexed="8"/>
      </bottom>
      <diagonal/>
    </border>
    <border>
      <left/>
      <right/>
      <top style="thin">
        <color indexed="8"/>
      </top>
      <bottom style="thin">
        <color indexed="64"/>
      </bottom>
      <diagonal/>
    </border>
    <border>
      <left/>
      <right/>
      <top/>
      <bottom style="double">
        <color indexed="8"/>
      </bottom>
      <diagonal/>
    </border>
    <border>
      <left/>
      <right/>
      <top style="double">
        <color indexed="64"/>
      </top>
      <bottom/>
      <diagonal/>
    </border>
    <border>
      <left/>
      <right/>
      <top/>
      <bottom style="thin">
        <color indexed="8"/>
      </bottom>
      <diagonal/>
    </border>
    <border>
      <left/>
      <right style="medium">
        <color indexed="64"/>
      </right>
      <top/>
      <bottom/>
      <diagonal/>
    </border>
    <border>
      <left/>
      <right/>
      <top style="thin">
        <color auto="1"/>
      </top>
      <bottom style="thin">
        <color indexed="64"/>
      </bottom>
      <diagonal/>
    </border>
    <border>
      <left/>
      <right/>
      <top style="thin">
        <color auto="1"/>
      </top>
      <bottom/>
      <diagonal/>
    </border>
    <border>
      <left/>
      <right style="thick">
        <color indexed="64"/>
      </right>
      <top/>
      <bottom/>
      <diagonal/>
    </border>
    <border>
      <left/>
      <right/>
      <top style="thin">
        <color indexed="8"/>
      </top>
      <bottom style="double">
        <color indexed="8"/>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auto="1"/>
      </bottom>
      <diagonal/>
    </border>
    <border>
      <left style="double">
        <color indexed="8"/>
      </left>
      <right/>
      <top style="double">
        <color indexed="8"/>
      </top>
      <bottom/>
      <diagonal/>
    </border>
    <border>
      <left style="double">
        <color indexed="8"/>
      </left>
      <right/>
      <top/>
      <bottom/>
      <diagonal/>
    </border>
    <border>
      <left style="thin">
        <color indexed="22"/>
      </left>
      <right style="thin">
        <color indexed="22"/>
      </right>
      <top style="thin">
        <color indexed="22"/>
      </top>
      <bottom style="thin">
        <color indexed="22"/>
      </bottom>
      <diagonal/>
    </border>
    <border>
      <left/>
      <right/>
      <top style="thin">
        <color indexed="64"/>
      </top>
      <bottom style="thin">
        <color auto="1"/>
      </bottom>
      <diagonal/>
    </border>
    <border>
      <left/>
      <right style="thin">
        <color auto="1"/>
      </right>
      <top/>
      <bottom/>
      <diagonal/>
    </border>
    <border>
      <left style="thin">
        <color auto="1"/>
      </left>
      <right style="thin">
        <color indexed="64"/>
      </right>
      <top/>
      <bottom/>
      <diagonal/>
    </border>
    <border>
      <left/>
      <right style="thin">
        <color auto="1"/>
      </right>
      <top/>
      <bottom/>
      <diagonal/>
    </border>
    <border>
      <left/>
      <right style="thin">
        <color indexed="8"/>
      </right>
      <top/>
      <bottom/>
      <diagonal/>
    </border>
    <border>
      <left/>
      <right style="thin">
        <color indexed="64"/>
      </right>
      <top/>
      <bottom/>
      <diagonal/>
    </border>
    <border>
      <left style="thin">
        <color auto="1"/>
      </left>
      <right/>
      <top/>
      <bottom style="thin">
        <color indexed="64"/>
      </bottom>
      <diagonal/>
    </border>
    <border>
      <left/>
      <right style="thin">
        <color auto="1"/>
      </right>
      <top/>
      <bottom/>
      <diagonal/>
    </border>
    <border>
      <left/>
      <right/>
      <top style="thin">
        <color auto="1"/>
      </top>
      <bottom style="double">
        <color auto="1"/>
      </bottom>
      <diagonal/>
    </border>
    <border>
      <left/>
      <right/>
      <top/>
      <bottom style="double">
        <color auto="1"/>
      </bottom>
      <diagonal/>
    </border>
    <border>
      <left/>
      <right/>
      <top style="thin">
        <color indexed="8"/>
      </top>
      <bottom/>
      <diagonal/>
    </border>
    <border>
      <left/>
      <right style="thin">
        <color auto="1"/>
      </right>
      <top/>
      <bottom/>
      <diagonal/>
    </border>
    <border>
      <left/>
      <right/>
      <top style="thin">
        <color indexed="64"/>
      </top>
      <bottom/>
      <diagonal/>
    </border>
    <border>
      <left/>
      <right/>
      <top style="thin">
        <color indexed="8"/>
      </top>
      <bottom style="thin">
        <color indexed="8"/>
      </bottom>
      <diagonal/>
    </border>
    <border>
      <left/>
      <right/>
      <top style="thin">
        <color indexed="64"/>
      </top>
      <bottom style="thin">
        <color auto="1"/>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right style="thin">
        <color indexed="64"/>
      </right>
      <top/>
      <bottom/>
      <diagonal/>
    </border>
    <border>
      <left/>
      <right/>
      <top style="thin">
        <color indexed="8"/>
      </top>
      <bottom style="thin">
        <color indexed="64"/>
      </bottom>
      <diagonal/>
    </border>
    <border>
      <left/>
      <right/>
      <top style="thin">
        <color indexed="64"/>
      </top>
      <bottom style="thin">
        <color indexed="64"/>
      </bottom>
      <diagonal/>
    </border>
    <border>
      <left/>
      <right style="thin">
        <color auto="1"/>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8"/>
      </bottom>
      <diagonal/>
    </border>
    <border>
      <left/>
      <right/>
      <top style="thin">
        <color auto="1"/>
      </top>
      <bottom style="thin">
        <color auto="1"/>
      </bottom>
      <diagonal/>
    </border>
    <border>
      <left/>
      <right style="thin">
        <color indexed="8"/>
      </right>
      <top/>
      <bottom style="thin">
        <color indexed="64"/>
      </bottom>
      <diagonal/>
    </border>
    <border>
      <left/>
      <right style="thin">
        <color indexed="8"/>
      </right>
      <top/>
      <bottom style="double">
        <color indexed="64"/>
      </bottom>
      <diagonal/>
    </border>
    <border>
      <left/>
      <right/>
      <top style="thin">
        <color indexed="8"/>
      </top>
      <bottom/>
      <diagonal/>
    </border>
    <border>
      <left/>
      <right/>
      <top style="thin">
        <color indexed="64"/>
      </top>
      <bottom/>
      <diagonal/>
    </border>
    <border>
      <left/>
      <right/>
      <top style="thin">
        <color indexed="8"/>
      </top>
      <bottom style="thin">
        <color indexed="64"/>
      </bottom>
      <diagonal/>
    </border>
    <border>
      <left/>
      <right/>
      <top style="thin">
        <color indexed="8"/>
      </top>
      <bottom style="double">
        <color indexed="64"/>
      </bottom>
      <diagonal/>
    </border>
    <border>
      <left/>
      <right style="thin">
        <color auto="1"/>
      </right>
      <top/>
      <bottom/>
      <diagonal/>
    </border>
    <border>
      <left/>
      <right/>
      <top style="thin">
        <color indexed="64"/>
      </top>
      <bottom style="thin">
        <color auto="1"/>
      </bottom>
      <diagonal/>
    </border>
    <border>
      <left/>
      <right style="thin">
        <color indexed="64"/>
      </right>
      <top/>
      <bottom/>
      <diagonal/>
    </border>
    <border>
      <left style="thin">
        <color indexed="64"/>
      </left>
      <right/>
      <top style="thin">
        <color indexed="64"/>
      </top>
      <bottom style="thin">
        <color auto="1"/>
      </bottom>
      <diagonal/>
    </border>
    <border>
      <left style="thin">
        <color indexed="64"/>
      </left>
      <right/>
      <top style="thin">
        <color indexed="64"/>
      </top>
      <bottom/>
      <diagonal/>
    </border>
  </borders>
  <cellStyleXfs count="49833">
    <xf numFmtId="164" fontId="0" fillId="0" borderId="0"/>
    <xf numFmtId="43" fontId="42" fillId="0" borderId="0" applyFont="0" applyFill="0" applyBorder="0" applyAlignment="0" applyProtection="0"/>
    <xf numFmtId="0" fontId="40" fillId="0" borderId="0"/>
    <xf numFmtId="0" fontId="40" fillId="0" borderId="0"/>
    <xf numFmtId="0" fontId="88" fillId="0" borderId="0"/>
    <xf numFmtId="43" fontId="88" fillId="0" borderId="0" applyFont="0" applyFill="0" applyBorder="0" applyAlignment="0" applyProtection="0"/>
    <xf numFmtId="44" fontId="42" fillId="0" borderId="0" applyFont="0" applyFill="0" applyBorder="0" applyAlignment="0" applyProtection="0"/>
    <xf numFmtId="9" fontId="42" fillId="0" borderId="0" applyFont="0" applyFill="0" applyBorder="0" applyAlignment="0" applyProtection="0"/>
    <xf numFmtId="0" fontId="100" fillId="0" borderId="0"/>
    <xf numFmtId="43" fontId="101" fillId="0" borderId="0" applyFont="0" applyFill="0" applyBorder="0" applyAlignment="0" applyProtection="0"/>
    <xf numFmtId="0" fontId="40" fillId="0" borderId="0"/>
    <xf numFmtId="43" fontId="45" fillId="0" borderId="0" applyFont="0" applyFill="0" applyBorder="0" applyAlignment="0" applyProtection="0"/>
    <xf numFmtId="40" fontId="106" fillId="33" borderId="0">
      <alignment horizontal="right"/>
    </xf>
    <xf numFmtId="0" fontId="107" fillId="33" borderId="0">
      <alignment horizontal="right"/>
    </xf>
    <xf numFmtId="0" fontId="108" fillId="33" borderId="13"/>
    <xf numFmtId="0" fontId="108" fillId="0" borderId="0" applyBorder="0">
      <alignment horizontal="centerContinuous"/>
    </xf>
    <xf numFmtId="0" fontId="109" fillId="0" borderId="0" applyBorder="0">
      <alignment horizontal="centerContinuous"/>
    </xf>
    <xf numFmtId="175" fontId="40" fillId="0" borderId="0"/>
    <xf numFmtId="175" fontId="42" fillId="0" borderId="0"/>
    <xf numFmtId="0" fontId="42" fillId="0" borderId="0"/>
    <xf numFmtId="0" fontId="23" fillId="0" borderId="0"/>
    <xf numFmtId="43" fontId="23" fillId="0" borderId="0" applyFont="0" applyFill="0" applyBorder="0" applyAlignment="0" applyProtection="0"/>
    <xf numFmtId="0" fontId="23" fillId="8" borderId="8" applyNumberFormat="0" applyFont="0" applyAlignment="0" applyProtection="0"/>
    <xf numFmtId="0" fontId="114" fillId="0" borderId="0"/>
    <xf numFmtId="43" fontId="115" fillId="0" borderId="0" applyFont="0" applyFill="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44" fontId="23" fillId="0" borderId="0" applyFont="0" applyFill="0" applyBorder="0" applyAlignment="0" applyProtection="0"/>
    <xf numFmtId="0" fontId="40" fillId="0" borderId="0"/>
    <xf numFmtId="0" fontId="101" fillId="0" borderId="0"/>
    <xf numFmtId="43" fontId="101" fillId="0" borderId="0" applyFont="0" applyFill="0" applyBorder="0" applyAlignment="0" applyProtection="0"/>
    <xf numFmtId="0" fontId="39" fillId="12" borderId="0" applyNumberFormat="0" applyBorder="0" applyAlignment="0" applyProtection="0"/>
    <xf numFmtId="0" fontId="89" fillId="36" borderId="0" applyNumberFormat="0" applyBorder="0" applyAlignment="0" applyProtection="0"/>
    <xf numFmtId="0" fontId="89" fillId="36" borderId="0" applyNumberFormat="0" applyBorder="0" applyAlignment="0" applyProtection="0"/>
    <xf numFmtId="0" fontId="39" fillId="16" borderId="0" applyNumberFormat="0" applyBorder="0" applyAlignment="0" applyProtection="0"/>
    <xf numFmtId="0" fontId="89" fillId="37" borderId="0" applyNumberFormat="0" applyBorder="0" applyAlignment="0" applyProtection="0"/>
    <xf numFmtId="0" fontId="89" fillId="37" borderId="0" applyNumberFormat="0" applyBorder="0" applyAlignment="0" applyProtection="0"/>
    <xf numFmtId="0" fontId="39" fillId="20" borderId="0" applyNumberFormat="0" applyBorder="0" applyAlignment="0" applyProtection="0"/>
    <xf numFmtId="0" fontId="89" fillId="38" borderId="0" applyNumberFormat="0" applyBorder="0" applyAlignment="0" applyProtection="0"/>
    <xf numFmtId="0" fontId="89" fillId="38" borderId="0" applyNumberFormat="0" applyBorder="0" applyAlignment="0" applyProtection="0"/>
    <xf numFmtId="0" fontId="39" fillId="24"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0" fontId="39" fillId="28"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39" fillId="32"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xf numFmtId="0" fontId="39" fillId="9" borderId="0" applyNumberFormat="0" applyBorder="0" applyAlignment="0" applyProtection="0"/>
    <xf numFmtId="0" fontId="89" fillId="42" borderId="0" applyNumberFormat="0" applyBorder="0" applyAlignment="0" applyProtection="0"/>
    <xf numFmtId="0" fontId="89" fillId="42" borderId="0" applyNumberFormat="0" applyBorder="0" applyAlignment="0" applyProtection="0"/>
    <xf numFmtId="0" fontId="39" fillId="13"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0" fontId="39" fillId="17"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39" fillId="21"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0" fontId="39" fillId="25"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39" fillId="29" borderId="0" applyNumberFormat="0" applyBorder="0" applyAlignment="0" applyProtection="0"/>
    <xf numFmtId="0" fontId="89" fillId="45" borderId="0" applyNumberFormat="0" applyBorder="0" applyAlignment="0" applyProtection="0"/>
    <xf numFmtId="0" fontId="89" fillId="45" borderId="0" applyNumberFormat="0" applyBorder="0" applyAlignment="0" applyProtection="0"/>
    <xf numFmtId="0" fontId="29" fillId="3" borderId="0" applyNumberFormat="0" applyBorder="0" applyAlignment="0" applyProtection="0"/>
    <xf numFmtId="0" fontId="119" fillId="46" borderId="0" applyNumberFormat="0" applyBorder="0" applyAlignment="0" applyProtection="0"/>
    <xf numFmtId="0" fontId="119" fillId="46" borderId="0" applyNumberFormat="0" applyBorder="0" applyAlignment="0" applyProtection="0"/>
    <xf numFmtId="0" fontId="33" fillId="6" borderId="4" applyNumberFormat="0" applyAlignment="0" applyProtection="0"/>
    <xf numFmtId="0" fontId="120" fillId="47" borderId="58" applyNumberFormat="0" applyAlignment="0" applyProtection="0"/>
    <xf numFmtId="0" fontId="120" fillId="47" borderId="58" applyNumberFormat="0" applyAlignment="0" applyProtection="0"/>
    <xf numFmtId="0" fontId="35" fillId="7" borderId="7" applyNumberFormat="0" applyAlignment="0" applyProtection="0"/>
    <xf numFmtId="0" fontId="117" fillId="48" borderId="59" applyNumberFormat="0" applyAlignment="0" applyProtection="0"/>
    <xf numFmtId="0" fontId="117" fillId="48" borderId="59" applyNumberFormat="0" applyAlignment="0" applyProtection="0"/>
    <xf numFmtId="0" fontId="37"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28" fillId="2" borderId="0" applyNumberFormat="0" applyBorder="0" applyAlignment="0" applyProtection="0"/>
    <xf numFmtId="0" fontId="122" fillId="49" borderId="0" applyNumberFormat="0" applyBorder="0" applyAlignment="0" applyProtection="0"/>
    <xf numFmtId="0" fontId="122" fillId="49" borderId="0" applyNumberFormat="0" applyBorder="0" applyAlignment="0" applyProtection="0"/>
    <xf numFmtId="0" fontId="25" fillId="0" borderId="1" applyNumberFormat="0" applyFill="0" applyAlignment="0" applyProtection="0"/>
    <xf numFmtId="0" fontId="123" fillId="0" borderId="60" applyNumberFormat="0" applyFill="0" applyAlignment="0" applyProtection="0"/>
    <xf numFmtId="0" fontId="123" fillId="0" borderId="60" applyNumberFormat="0" applyFill="0" applyAlignment="0" applyProtection="0"/>
    <xf numFmtId="0" fontId="26" fillId="0" borderId="2" applyNumberFormat="0" applyFill="0" applyAlignment="0" applyProtection="0"/>
    <xf numFmtId="0" fontId="124" fillId="0" borderId="61" applyNumberFormat="0" applyFill="0" applyAlignment="0" applyProtection="0"/>
    <xf numFmtId="0" fontId="124" fillId="0" borderId="61" applyNumberFormat="0" applyFill="0" applyAlignment="0" applyProtection="0"/>
    <xf numFmtId="0" fontId="27" fillId="0" borderId="3" applyNumberFormat="0" applyFill="0" applyAlignment="0" applyProtection="0"/>
    <xf numFmtId="0" fontId="125" fillId="0" borderId="62" applyNumberFormat="0" applyFill="0" applyAlignment="0" applyProtection="0"/>
    <xf numFmtId="0" fontId="125" fillId="0" borderId="62" applyNumberFormat="0" applyFill="0" applyAlignment="0" applyProtection="0"/>
    <xf numFmtId="0" fontId="27"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31" fillId="5" borderId="4" applyNumberFormat="0" applyAlignment="0" applyProtection="0"/>
    <xf numFmtId="0" fontId="126" fillId="50" borderId="58" applyNumberFormat="0" applyAlignment="0" applyProtection="0"/>
    <xf numFmtId="0" fontId="126" fillId="50" borderId="58" applyNumberFormat="0" applyAlignment="0" applyProtection="0"/>
    <xf numFmtId="0" fontId="34" fillId="0" borderId="6" applyNumberFormat="0" applyFill="0" applyAlignment="0" applyProtection="0"/>
    <xf numFmtId="0" fontId="127" fillId="0" borderId="63" applyNumberFormat="0" applyFill="0" applyAlignment="0" applyProtection="0"/>
    <xf numFmtId="0" fontId="127" fillId="0" borderId="63" applyNumberFormat="0" applyFill="0" applyAlignment="0" applyProtection="0"/>
    <xf numFmtId="0" fontId="30" fillId="4" borderId="0" applyNumberFormat="0" applyBorder="0" applyAlignment="0" applyProtection="0"/>
    <xf numFmtId="0" fontId="128" fillId="51" borderId="0" applyNumberFormat="0" applyBorder="0" applyAlignment="0" applyProtection="0"/>
    <xf numFmtId="0" fontId="128" fillId="51" borderId="0" applyNumberFormat="0" applyBorder="0" applyAlignment="0" applyProtection="0"/>
    <xf numFmtId="0" fontId="23" fillId="0" borderId="0"/>
    <xf numFmtId="0" fontId="32" fillId="6" borderId="5" applyNumberFormat="0" applyAlignment="0" applyProtection="0"/>
    <xf numFmtId="0" fontId="129" fillId="47" borderId="64" applyNumberFormat="0" applyAlignment="0" applyProtection="0"/>
    <xf numFmtId="0" fontId="129" fillId="47" borderId="64" applyNumberFormat="0" applyAlignment="0" applyProtection="0"/>
    <xf numFmtId="0" fontId="24"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38" fillId="0" borderId="9" applyNumberFormat="0" applyFill="0" applyAlignment="0" applyProtection="0"/>
    <xf numFmtId="0" fontId="60" fillId="0" borderId="65" applyNumberFormat="0" applyFill="0" applyAlignment="0" applyProtection="0"/>
    <xf numFmtId="0" fontId="60" fillId="0" borderId="65" applyNumberFormat="0" applyFill="0" applyAlignment="0" applyProtection="0"/>
    <xf numFmtId="0" fontId="36"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22" fillId="0" borderId="0"/>
    <xf numFmtId="0" fontId="40" fillId="0" borderId="0"/>
    <xf numFmtId="0" fontId="42" fillId="0" borderId="0"/>
    <xf numFmtId="0" fontId="40" fillId="0" borderId="0"/>
    <xf numFmtId="0" fontId="21" fillId="0" borderId="0"/>
    <xf numFmtId="43" fontId="2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0" fontId="42" fillId="0" borderId="0"/>
    <xf numFmtId="0" fontId="42" fillId="0" borderId="0"/>
    <xf numFmtId="0" fontId="42" fillId="0" borderId="0"/>
    <xf numFmtId="0" fontId="42" fillId="0" borderId="0"/>
    <xf numFmtId="0" fontId="45" fillId="0" borderId="0"/>
    <xf numFmtId="0" fontId="20" fillId="0" borderId="0"/>
    <xf numFmtId="43" fontId="20" fillId="0" borderId="0" applyFont="0" applyFill="0" applyBorder="0" applyAlignment="0" applyProtection="0"/>
    <xf numFmtId="0" fontId="20" fillId="10" borderId="0" applyNumberFormat="0" applyBorder="0" applyAlignment="0" applyProtection="0"/>
    <xf numFmtId="0" fontId="20" fillId="14" borderId="0" applyNumberFormat="0" applyBorder="0" applyAlignment="0" applyProtection="0"/>
    <xf numFmtId="0" fontId="20" fillId="18" borderId="0" applyNumberFormat="0" applyBorder="0" applyAlignment="0" applyProtection="0"/>
    <xf numFmtId="0" fontId="20" fillId="22" borderId="0" applyNumberFormat="0" applyBorder="0" applyAlignment="0" applyProtection="0"/>
    <xf numFmtId="0" fontId="20" fillId="26" borderId="0" applyNumberFormat="0" applyBorder="0" applyAlignment="0" applyProtection="0"/>
    <xf numFmtId="0" fontId="20" fillId="30" borderId="0" applyNumberFormat="0" applyBorder="0" applyAlignment="0" applyProtection="0"/>
    <xf numFmtId="0" fontId="20" fillId="11"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20" fillId="23"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0" fillId="8" borderId="8" applyNumberFormat="0" applyFont="0" applyAlignment="0" applyProtection="0"/>
    <xf numFmtId="44" fontId="20" fillId="0" borderId="0" applyFont="0" applyFill="0" applyBorder="0" applyAlignment="0" applyProtection="0"/>
    <xf numFmtId="43" fontId="42" fillId="0" borderId="0" applyFont="0" applyFill="0" applyBorder="0" applyAlignment="0" applyProtection="0"/>
    <xf numFmtId="0" fontId="42" fillId="0" borderId="0"/>
    <xf numFmtId="0" fontId="101" fillId="0" borderId="0"/>
    <xf numFmtId="0" fontId="40" fillId="0" borderId="0"/>
    <xf numFmtId="0" fontId="149" fillId="0" borderId="0" applyNumberFormat="0" applyFill="0" applyBorder="0" applyAlignment="0" applyProtection="0">
      <alignment vertical="top"/>
      <protection locked="0"/>
    </xf>
    <xf numFmtId="0" fontId="151" fillId="52"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151" fillId="52"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151" fillId="46"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151" fillId="46"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151" fillId="49"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151" fillId="49"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151" fillId="53"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151" fillId="53"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151" fillId="54"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151" fillId="54"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151" fillId="5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151" fillId="5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151" fillId="55"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151" fillId="55"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151" fillId="37"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151" fillId="37"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151" fillId="38"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151" fillId="38"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151" fillId="5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151" fillId="5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151" fillId="55"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151" fillId="55"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151" fillId="56"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151" fillId="56"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20" fillId="0" borderId="0" applyFont="0" applyFill="0" applyBorder="0" applyAlignment="0" applyProtection="0"/>
    <xf numFmtId="43"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0" fontId="153" fillId="0" borderId="0"/>
    <xf numFmtId="0" fontId="20" fillId="0" borderId="0"/>
    <xf numFmtId="0" fontId="20" fillId="0" borderId="0"/>
    <xf numFmtId="0" fontId="20" fillId="0" borderId="0"/>
    <xf numFmtId="0" fontId="100" fillId="0" borderId="0"/>
    <xf numFmtId="0" fontId="152"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0" fillId="0" borderId="0"/>
    <xf numFmtId="0" fontId="152" fillId="0" borderId="0"/>
    <xf numFmtId="0" fontId="152" fillId="0" borderId="0"/>
    <xf numFmtId="0" fontId="20" fillId="0" borderId="0"/>
    <xf numFmtId="0" fontId="40" fillId="0" borderId="0"/>
    <xf numFmtId="0" fontId="151" fillId="57" borderId="69"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151" fillId="57" borderId="69"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40" fillId="0" borderId="0"/>
    <xf numFmtId="0" fontId="154" fillId="0" borderId="0"/>
    <xf numFmtId="9" fontId="40" fillId="0" borderId="0" applyFont="0" applyFill="0" applyBorder="0" applyAlignment="0" applyProtection="0"/>
    <xf numFmtId="43" fontId="40" fillId="0" borderId="0" applyFont="0" applyFill="0" applyBorder="0" applyAlignment="0" applyProtection="0"/>
    <xf numFmtId="0" fontId="45" fillId="0" borderId="0"/>
    <xf numFmtId="43" fontId="45" fillId="0" borderId="0" applyFont="0" applyFill="0" applyBorder="0" applyAlignment="0" applyProtection="0"/>
    <xf numFmtId="44" fontId="40" fillId="0" borderId="0" applyFont="0" applyFill="0" applyBorder="0" applyAlignment="0" applyProtection="0"/>
    <xf numFmtId="9" fontId="40" fillId="0" borderId="0" applyFont="0" applyFill="0" applyBorder="0" applyAlignment="0" applyProtection="0"/>
    <xf numFmtId="175" fontId="40" fillId="0" borderId="0"/>
    <xf numFmtId="0" fontId="19" fillId="0" borderId="0"/>
    <xf numFmtId="43" fontId="19" fillId="0" borderId="0" applyFont="0" applyFill="0" applyBorder="0" applyAlignment="0" applyProtection="0"/>
    <xf numFmtId="0" fontId="19" fillId="8" borderId="8" applyNumberFormat="0" applyFont="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44" fontId="19" fillId="0" borderId="0" applyFont="0" applyFill="0" applyBorder="0" applyAlignment="0" applyProtection="0"/>
    <xf numFmtId="0" fontId="100" fillId="0" borderId="0"/>
    <xf numFmtId="0" fontId="19" fillId="0" borderId="0"/>
    <xf numFmtId="0" fontId="19" fillId="0" borderId="0"/>
    <xf numFmtId="0" fontId="40" fillId="0" borderId="0"/>
    <xf numFmtId="0" fontId="19" fillId="0" borderId="0"/>
    <xf numFmtId="43" fontId="19"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0" fontId="40" fillId="0" borderId="0"/>
    <xf numFmtId="0" fontId="40" fillId="0" borderId="0"/>
    <xf numFmtId="0" fontId="40" fillId="0" borderId="0"/>
    <xf numFmtId="0" fontId="40" fillId="0" borderId="0"/>
    <xf numFmtId="0" fontId="19" fillId="0" borderId="0"/>
    <xf numFmtId="43" fontId="19" fillId="0" borderId="0" applyFont="0" applyFill="0" applyBorder="0" applyAlignment="0" applyProtection="0"/>
    <xf numFmtId="0" fontId="19" fillId="10" borderId="0" applyNumberFormat="0" applyBorder="0" applyAlignment="0" applyProtection="0"/>
    <xf numFmtId="0" fontId="19" fillId="14" borderId="0" applyNumberFormat="0" applyBorder="0" applyAlignment="0" applyProtection="0"/>
    <xf numFmtId="0" fontId="19" fillId="18" borderId="0" applyNumberFormat="0" applyBorder="0" applyAlignment="0" applyProtection="0"/>
    <xf numFmtId="0" fontId="19" fillId="22" borderId="0" applyNumberFormat="0" applyBorder="0" applyAlignment="0" applyProtection="0"/>
    <xf numFmtId="0" fontId="19" fillId="26" borderId="0" applyNumberFormat="0" applyBorder="0" applyAlignment="0" applyProtection="0"/>
    <xf numFmtId="0" fontId="19" fillId="30" borderId="0" applyNumberFormat="0" applyBorder="0" applyAlignment="0" applyProtection="0"/>
    <xf numFmtId="0" fontId="19" fillId="11" borderId="0" applyNumberFormat="0" applyBorder="0" applyAlignment="0" applyProtection="0"/>
    <xf numFmtId="0" fontId="19" fillId="15"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27" borderId="0" applyNumberFormat="0" applyBorder="0" applyAlignment="0" applyProtection="0"/>
    <xf numFmtId="0" fontId="19" fillId="31" borderId="0" applyNumberFormat="0" applyBorder="0" applyAlignment="0" applyProtection="0"/>
    <xf numFmtId="0" fontId="19" fillId="8" borderId="8" applyNumberFormat="0" applyFont="0" applyAlignment="0" applyProtection="0"/>
    <xf numFmtId="44" fontId="19" fillId="0" borderId="0" applyFont="0" applyFill="0" applyBorder="0" applyAlignment="0" applyProtection="0"/>
    <xf numFmtId="43" fontId="40" fillId="0" borderId="0" applyFont="0" applyFill="0" applyBorder="0" applyAlignment="0" applyProtection="0"/>
    <xf numFmtId="0" fontId="40" fillId="0" borderId="0"/>
    <xf numFmtId="0" fontId="100" fillId="0" borderId="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9" fontId="166" fillId="0" borderId="0" applyFont="0" applyFill="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00"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75" fontId="40" fillId="0" borderId="0"/>
    <xf numFmtId="0" fontId="115" fillId="0" borderId="0"/>
    <xf numFmtId="0" fontId="115" fillId="0" borderId="0"/>
    <xf numFmtId="0" fontId="115" fillId="0" borderId="0"/>
    <xf numFmtId="0" fontId="40" fillId="0" borderId="0"/>
    <xf numFmtId="0" fontId="115" fillId="0" borderId="0"/>
    <xf numFmtId="0" fontId="40" fillId="0" borderId="0"/>
    <xf numFmtId="0" fontId="40" fillId="0" borderId="0"/>
    <xf numFmtId="0" fontId="40" fillId="0" borderId="0"/>
    <xf numFmtId="0" fontId="40" fillId="0" borderId="0"/>
    <xf numFmtId="0" fontId="40" fillId="0" borderId="0"/>
    <xf numFmtId="0" fontId="100"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4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08" fillId="33" borderId="73"/>
    <xf numFmtId="0" fontId="45" fillId="0" borderId="0"/>
    <xf numFmtId="0" fontId="108" fillId="33" borderId="73"/>
    <xf numFmtId="175" fontId="40" fillId="0" borderId="0"/>
    <xf numFmtId="0" fontId="18" fillId="0" borderId="0"/>
    <xf numFmtId="43" fontId="18" fillId="0" borderId="0" applyFont="0" applyFill="0" applyBorder="0" applyAlignment="0" applyProtection="0"/>
    <xf numFmtId="0" fontId="18" fillId="8" borderId="8" applyNumberFormat="0" applyFont="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44" fontId="18" fillId="0" borderId="0" applyFont="0" applyFill="0" applyBorder="0" applyAlignment="0" applyProtection="0"/>
    <xf numFmtId="0" fontId="18" fillId="0" borderId="0"/>
    <xf numFmtId="0" fontId="18" fillId="0" borderId="0"/>
    <xf numFmtId="0" fontId="18" fillId="0" borderId="0"/>
    <xf numFmtId="43" fontId="18" fillId="0" borderId="0" applyFont="0" applyFill="0" applyBorder="0" applyAlignment="0" applyProtection="0"/>
    <xf numFmtId="0" fontId="18" fillId="0" borderId="0"/>
    <xf numFmtId="43" fontId="18" fillId="0" borderId="0" applyFont="0" applyFill="0" applyBorder="0" applyAlignment="0" applyProtection="0"/>
    <xf numFmtId="0" fontId="18" fillId="10" borderId="0" applyNumberFormat="0" applyBorder="0" applyAlignment="0" applyProtection="0"/>
    <xf numFmtId="0" fontId="18" fillId="14" borderId="0" applyNumberFormat="0" applyBorder="0" applyAlignment="0" applyProtection="0"/>
    <xf numFmtId="0" fontId="18" fillId="18" borderId="0" applyNumberFormat="0" applyBorder="0" applyAlignment="0" applyProtection="0"/>
    <xf numFmtId="0" fontId="18" fillId="22" borderId="0" applyNumberFormat="0" applyBorder="0" applyAlignment="0" applyProtection="0"/>
    <xf numFmtId="0" fontId="18" fillId="26" borderId="0" applyNumberFormat="0" applyBorder="0" applyAlignment="0" applyProtection="0"/>
    <xf numFmtId="0" fontId="18" fillId="30" borderId="0" applyNumberFormat="0" applyBorder="0" applyAlignment="0" applyProtection="0"/>
    <xf numFmtId="0" fontId="18" fillId="11" borderId="0" applyNumberFormat="0" applyBorder="0" applyAlignment="0" applyProtection="0"/>
    <xf numFmtId="0" fontId="18" fillId="15" borderId="0" applyNumberFormat="0" applyBorder="0" applyAlignment="0" applyProtection="0"/>
    <xf numFmtId="0" fontId="18" fillId="19" borderId="0" applyNumberFormat="0" applyBorder="0" applyAlignment="0" applyProtection="0"/>
    <xf numFmtId="0" fontId="18" fillId="23" borderId="0" applyNumberFormat="0" applyBorder="0" applyAlignment="0" applyProtection="0"/>
    <xf numFmtId="0" fontId="18" fillId="27" borderId="0" applyNumberFormat="0" applyBorder="0" applyAlignment="0" applyProtection="0"/>
    <xf numFmtId="0" fontId="18" fillId="31" borderId="0" applyNumberFormat="0" applyBorder="0" applyAlignment="0" applyProtection="0"/>
    <xf numFmtId="0" fontId="18" fillId="8" borderId="8" applyNumberFormat="0" applyFont="0" applyAlignment="0" applyProtection="0"/>
    <xf numFmtId="44" fontId="18" fillId="0" borderId="0" applyFont="0" applyFill="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43"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40" fillId="0" borderId="0"/>
    <xf numFmtId="0" fontId="18" fillId="0" borderId="0"/>
    <xf numFmtId="43" fontId="18" fillId="0" borderId="0" applyFont="0" applyFill="0" applyBorder="0" applyAlignment="0" applyProtection="0"/>
    <xf numFmtId="0" fontId="18" fillId="8" borderId="8" applyNumberFormat="0" applyFont="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44" fontId="18" fillId="0" borderId="0" applyFont="0" applyFill="0" applyBorder="0" applyAlignment="0" applyProtection="0"/>
    <xf numFmtId="0" fontId="18" fillId="0" borderId="0"/>
    <xf numFmtId="0" fontId="18" fillId="0" borderId="0"/>
    <xf numFmtId="0" fontId="18" fillId="0" borderId="0"/>
    <xf numFmtId="43" fontId="18" fillId="0" borderId="0" applyFont="0" applyFill="0" applyBorder="0" applyAlignment="0" applyProtection="0"/>
    <xf numFmtId="0" fontId="18" fillId="0" borderId="0"/>
    <xf numFmtId="43" fontId="18" fillId="0" borderId="0" applyFont="0" applyFill="0" applyBorder="0" applyAlignment="0" applyProtection="0"/>
    <xf numFmtId="0" fontId="18" fillId="10" borderId="0" applyNumberFormat="0" applyBorder="0" applyAlignment="0" applyProtection="0"/>
    <xf numFmtId="0" fontId="18" fillId="14" borderId="0" applyNumberFormat="0" applyBorder="0" applyAlignment="0" applyProtection="0"/>
    <xf numFmtId="0" fontId="18" fillId="18" borderId="0" applyNumberFormat="0" applyBorder="0" applyAlignment="0" applyProtection="0"/>
    <xf numFmtId="0" fontId="18" fillId="22" borderId="0" applyNumberFormat="0" applyBorder="0" applyAlignment="0" applyProtection="0"/>
    <xf numFmtId="0" fontId="18" fillId="26" borderId="0" applyNumberFormat="0" applyBorder="0" applyAlignment="0" applyProtection="0"/>
    <xf numFmtId="0" fontId="18" fillId="30" borderId="0" applyNumberFormat="0" applyBorder="0" applyAlignment="0" applyProtection="0"/>
    <xf numFmtId="0" fontId="18" fillId="11" borderId="0" applyNumberFormat="0" applyBorder="0" applyAlignment="0" applyProtection="0"/>
    <xf numFmtId="0" fontId="18" fillId="15" borderId="0" applyNumberFormat="0" applyBorder="0" applyAlignment="0" applyProtection="0"/>
    <xf numFmtId="0" fontId="18" fillId="19" borderId="0" applyNumberFormat="0" applyBorder="0" applyAlignment="0" applyProtection="0"/>
    <xf numFmtId="0" fontId="18" fillId="23" borderId="0" applyNumberFormat="0" applyBorder="0" applyAlignment="0" applyProtection="0"/>
    <xf numFmtId="0" fontId="18" fillId="27" borderId="0" applyNumberFormat="0" applyBorder="0" applyAlignment="0" applyProtection="0"/>
    <xf numFmtId="0" fontId="18" fillId="31" borderId="0" applyNumberFormat="0" applyBorder="0" applyAlignment="0" applyProtection="0"/>
    <xf numFmtId="0" fontId="18" fillId="8" borderId="8" applyNumberFormat="0" applyFont="0" applyAlignment="0" applyProtection="0"/>
    <xf numFmtId="44" fontId="18" fillId="0" borderId="0" applyFont="0" applyFill="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43"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164" fontId="40" fillId="0" borderId="0"/>
    <xf numFmtId="0" fontId="176" fillId="0" borderId="0"/>
    <xf numFmtId="0" fontId="108" fillId="33" borderId="81"/>
    <xf numFmtId="0" fontId="176" fillId="0" borderId="0"/>
    <xf numFmtId="0" fontId="16" fillId="0" borderId="0"/>
    <xf numFmtId="0" fontId="176" fillId="0" borderId="0"/>
    <xf numFmtId="0" fontId="176" fillId="0" borderId="0"/>
    <xf numFmtId="0" fontId="15" fillId="0" borderId="0"/>
    <xf numFmtId="0" fontId="177" fillId="0" borderId="0"/>
    <xf numFmtId="43" fontId="178" fillId="0" borderId="0" applyFont="0" applyFill="0" applyBorder="0" applyAlignment="0" applyProtection="0"/>
    <xf numFmtId="0" fontId="177" fillId="0" borderId="0"/>
    <xf numFmtId="43" fontId="177" fillId="0" borderId="0" applyFont="0" applyFill="0" applyBorder="0" applyAlignment="0" applyProtection="0"/>
    <xf numFmtId="0" fontId="177" fillId="0" borderId="0"/>
    <xf numFmtId="0" fontId="15" fillId="0" borderId="0"/>
    <xf numFmtId="0" fontId="177" fillId="0" borderId="0"/>
    <xf numFmtId="43" fontId="177" fillId="0" borderId="0" applyFont="0" applyFill="0" applyBorder="0" applyAlignment="0" applyProtection="0"/>
    <xf numFmtId="0" fontId="179" fillId="0" borderId="0"/>
    <xf numFmtId="0" fontId="177" fillId="0" borderId="0"/>
    <xf numFmtId="0" fontId="177" fillId="0" borderId="0"/>
    <xf numFmtId="0" fontId="177" fillId="0" borderId="0"/>
    <xf numFmtId="0" fontId="15" fillId="0" borderId="0"/>
    <xf numFmtId="0" fontId="177" fillId="0" borderId="0"/>
    <xf numFmtId="0" fontId="179" fillId="0" borderId="0"/>
    <xf numFmtId="0" fontId="176" fillId="0" borderId="0"/>
    <xf numFmtId="0" fontId="176" fillId="0" borderId="0"/>
    <xf numFmtId="0" fontId="14" fillId="0" borderId="0"/>
    <xf numFmtId="0" fontId="176" fillId="0" borderId="0"/>
    <xf numFmtId="0" fontId="176" fillId="0" borderId="0"/>
    <xf numFmtId="0" fontId="14" fillId="0" borderId="0"/>
    <xf numFmtId="0" fontId="14" fillId="0" borderId="0"/>
    <xf numFmtId="0" fontId="45" fillId="0" borderId="0"/>
    <xf numFmtId="0" fontId="13" fillId="0" borderId="0"/>
    <xf numFmtId="0" fontId="177" fillId="0" borderId="0"/>
    <xf numFmtId="0" fontId="177" fillId="0" borderId="0"/>
    <xf numFmtId="0" fontId="177" fillId="0" borderId="0"/>
    <xf numFmtId="0" fontId="180" fillId="0" borderId="0"/>
    <xf numFmtId="0" fontId="180" fillId="0" borderId="0"/>
    <xf numFmtId="0" fontId="12" fillId="0" borderId="0"/>
    <xf numFmtId="0" fontId="12" fillId="0" borderId="0"/>
    <xf numFmtId="43" fontId="45" fillId="0" borderId="0" applyFont="0" applyFill="0" applyBorder="0" applyAlignment="0" applyProtection="0"/>
    <xf numFmtId="0" fontId="12" fillId="0" borderId="0"/>
    <xf numFmtId="0" fontId="180" fillId="0" borderId="0"/>
    <xf numFmtId="0" fontId="180" fillId="0" borderId="0"/>
    <xf numFmtId="0" fontId="11" fillId="0" borderId="0"/>
    <xf numFmtId="0" fontId="11" fillId="0" borderId="0"/>
    <xf numFmtId="0" fontId="11" fillId="0" borderId="0"/>
    <xf numFmtId="0" fontId="180" fillId="0" borderId="0"/>
    <xf numFmtId="0" fontId="177" fillId="0" borderId="0"/>
    <xf numFmtId="0" fontId="10" fillId="0" borderId="0"/>
    <xf numFmtId="0" fontId="177" fillId="0" borderId="0"/>
    <xf numFmtId="0" fontId="177" fillId="0" borderId="0"/>
    <xf numFmtId="0" fontId="177" fillId="0" borderId="0"/>
    <xf numFmtId="0" fontId="10" fillId="0" borderId="0"/>
    <xf numFmtId="0" fontId="177" fillId="0" borderId="0"/>
    <xf numFmtId="0" fontId="177" fillId="0" borderId="0"/>
    <xf numFmtId="164" fontId="181" fillId="0" borderId="0"/>
    <xf numFmtId="43" fontId="40" fillId="0" borderId="0" applyFont="0" applyFill="0" applyBorder="0" applyAlignment="0" applyProtection="0"/>
    <xf numFmtId="0" fontId="40" fillId="0" borderId="0"/>
    <xf numFmtId="0" fontId="40" fillId="0" borderId="0"/>
    <xf numFmtId="0" fontId="45" fillId="0" borderId="0"/>
    <xf numFmtId="43" fontId="45" fillId="0" borderId="0" applyFont="0" applyFill="0" applyBorder="0" applyAlignment="0" applyProtection="0"/>
    <xf numFmtId="0" fontId="100" fillId="0" borderId="0"/>
    <xf numFmtId="175" fontId="40" fillId="0" borderId="0"/>
    <xf numFmtId="0" fontId="10" fillId="0" borderId="0"/>
    <xf numFmtId="43" fontId="10" fillId="0" borderId="0" applyFont="0" applyFill="0" applyBorder="0" applyAlignment="0" applyProtection="0"/>
    <xf numFmtId="0" fontId="10" fillId="8" borderId="8" applyNumberFormat="0" applyFont="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44" fontId="10" fillId="0" borderId="0" applyFont="0" applyFill="0" applyBorder="0" applyAlignment="0" applyProtection="0"/>
    <xf numFmtId="0" fontId="120" fillId="47" borderId="86" applyNumberFormat="0" applyAlignment="0" applyProtection="0"/>
    <xf numFmtId="0" fontId="120" fillId="47" borderId="86" applyNumberFormat="0" applyAlignment="0" applyProtection="0"/>
    <xf numFmtId="0" fontId="126" fillId="50" borderId="86" applyNumberFormat="0" applyAlignment="0" applyProtection="0"/>
    <xf numFmtId="0" fontId="126" fillId="50" borderId="86" applyNumberFormat="0" applyAlignment="0" applyProtection="0"/>
    <xf numFmtId="0" fontId="10" fillId="0" borderId="0"/>
    <xf numFmtId="0" fontId="177" fillId="0" borderId="0"/>
    <xf numFmtId="0" fontId="129" fillId="47" borderId="87" applyNumberFormat="0" applyAlignment="0" applyProtection="0"/>
    <xf numFmtId="0" fontId="129" fillId="47" borderId="87" applyNumberFormat="0" applyAlignment="0" applyProtection="0"/>
    <xf numFmtId="0" fontId="60" fillId="0" borderId="88" applyNumberFormat="0" applyFill="0" applyAlignment="0" applyProtection="0"/>
    <xf numFmtId="0" fontId="60" fillId="0" borderId="88" applyNumberFormat="0" applyFill="0" applyAlignment="0" applyProtection="0"/>
    <xf numFmtId="0" fontId="180" fillId="0" borderId="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10"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11"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8" borderId="8" applyNumberFormat="0" applyFont="0" applyAlignment="0" applyProtection="0"/>
    <xf numFmtId="44" fontId="10" fillId="0" borderId="0" applyFont="0" applyFill="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1" fillId="57" borderId="89"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51" fillId="57" borderId="89"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77" fillId="0" borderId="0"/>
    <xf numFmtId="0" fontId="10" fillId="0" borderId="0"/>
    <xf numFmtId="43" fontId="10" fillId="0" borderId="0" applyFont="0" applyFill="0" applyBorder="0" applyAlignment="0" applyProtection="0"/>
    <xf numFmtId="0" fontId="10" fillId="8" borderId="8" applyNumberFormat="0" applyFont="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44"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10"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11"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8" borderId="8" applyNumberFormat="0" applyFont="0" applyAlignment="0" applyProtection="0"/>
    <xf numFmtId="44" fontId="10" fillId="0" borderId="0" applyFont="0" applyFill="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9" fontId="40" fillId="0" borderId="0" applyFont="0" applyFill="0" applyBorder="0" applyAlignment="0" applyProtection="0"/>
    <xf numFmtId="0" fontId="10" fillId="0" borderId="0"/>
    <xf numFmtId="0" fontId="108" fillId="33" borderId="81"/>
    <xf numFmtId="0" fontId="10" fillId="0" borderId="0"/>
    <xf numFmtId="43" fontId="10" fillId="0" borderId="0" applyFont="0" applyFill="0" applyBorder="0" applyAlignment="0" applyProtection="0"/>
    <xf numFmtId="0" fontId="10" fillId="8" borderId="8" applyNumberFormat="0" applyFont="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44"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10"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11"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8" borderId="8" applyNumberFormat="0" applyFont="0" applyAlignment="0" applyProtection="0"/>
    <xf numFmtId="44" fontId="10" fillId="0" borderId="0" applyFont="0" applyFill="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0" borderId="0"/>
    <xf numFmtId="43" fontId="10" fillId="0" borderId="0" applyFont="0" applyFill="0" applyBorder="0" applyAlignment="0" applyProtection="0"/>
    <xf numFmtId="0" fontId="10" fillId="8" borderId="8" applyNumberFormat="0" applyFont="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44"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10"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11"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8" borderId="8" applyNumberFormat="0" applyFont="0" applyAlignment="0" applyProtection="0"/>
    <xf numFmtId="44" fontId="10" fillId="0" borderId="0" applyFont="0" applyFill="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43" fontId="40" fillId="0" borderId="0" applyFont="0" applyFill="0" applyBorder="0" applyAlignment="0" applyProtection="0"/>
    <xf numFmtId="0" fontId="45" fillId="0" borderId="0"/>
    <xf numFmtId="0" fontId="177" fillId="0" borderId="0"/>
    <xf numFmtId="0" fontId="45" fillId="0" borderId="0"/>
    <xf numFmtId="0" fontId="10" fillId="0" borderId="0"/>
    <xf numFmtId="0" fontId="45" fillId="0" borderId="0"/>
    <xf numFmtId="0" fontId="45" fillId="0" borderId="0"/>
    <xf numFmtId="0" fontId="10" fillId="0" borderId="0"/>
    <xf numFmtId="0" fontId="10" fillId="0" borderId="0"/>
    <xf numFmtId="0" fontId="177" fillId="0" borderId="0"/>
    <xf numFmtId="0" fontId="10" fillId="0" borderId="0"/>
    <xf numFmtId="0" fontId="177" fillId="0" borderId="0"/>
    <xf numFmtId="0" fontId="45" fillId="0" borderId="0"/>
    <xf numFmtId="0" fontId="45" fillId="0" borderId="0"/>
    <xf numFmtId="0" fontId="10" fillId="0" borderId="0"/>
    <xf numFmtId="0" fontId="45" fillId="0" borderId="0"/>
    <xf numFmtId="0" fontId="45" fillId="0" borderId="0"/>
    <xf numFmtId="0" fontId="10" fillId="0" borderId="0"/>
    <xf numFmtId="0" fontId="10" fillId="0" borderId="0"/>
    <xf numFmtId="0" fontId="10" fillId="0" borderId="0"/>
    <xf numFmtId="0" fontId="182" fillId="0" borderId="0"/>
    <xf numFmtId="0" fontId="182" fillId="0" borderId="0"/>
    <xf numFmtId="0" fontId="9" fillId="0" borderId="0"/>
    <xf numFmtId="0" fontId="9" fillId="0" borderId="0"/>
    <xf numFmtId="175" fontId="40" fillId="0" borderId="0"/>
    <xf numFmtId="0" fontId="9" fillId="0" borderId="0"/>
    <xf numFmtId="43" fontId="9" fillId="0" borderId="0" applyFont="0" applyFill="0" applyBorder="0" applyAlignment="0" applyProtection="0"/>
    <xf numFmtId="0" fontId="9" fillId="8" borderId="8" applyNumberFormat="0" applyFont="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44"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10" borderId="0" applyNumberFormat="0" applyBorder="0" applyAlignment="0" applyProtection="0"/>
    <xf numFmtId="0" fontId="9" fillId="14" borderId="0" applyNumberFormat="0" applyBorder="0" applyAlignment="0" applyProtection="0"/>
    <xf numFmtId="0" fontId="9" fillId="18" borderId="0" applyNumberFormat="0" applyBorder="0" applyAlignment="0" applyProtection="0"/>
    <xf numFmtId="0" fontId="9" fillId="22" borderId="0" applyNumberFormat="0" applyBorder="0" applyAlignment="0" applyProtection="0"/>
    <xf numFmtId="0" fontId="9" fillId="26" borderId="0" applyNumberFormat="0" applyBorder="0" applyAlignment="0" applyProtection="0"/>
    <xf numFmtId="0" fontId="9" fillId="30" borderId="0" applyNumberFormat="0" applyBorder="0" applyAlignment="0" applyProtection="0"/>
    <xf numFmtId="0" fontId="9" fillId="11"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8" borderId="8" applyNumberFormat="0" applyFont="0" applyAlignment="0" applyProtection="0"/>
    <xf numFmtId="44" fontId="9" fillId="0" borderId="0" applyFont="0" applyFill="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0" borderId="0"/>
    <xf numFmtId="0" fontId="9" fillId="0" borderId="0"/>
    <xf numFmtId="0" fontId="9" fillId="0" borderId="0"/>
    <xf numFmtId="0" fontId="9" fillId="0" borderId="0"/>
    <xf numFmtId="0" fontId="40" fillId="0" borderId="0"/>
    <xf numFmtId="0" fontId="183" fillId="0" borderId="0"/>
    <xf numFmtId="0" fontId="183" fillId="0" borderId="0"/>
    <xf numFmtId="0" fontId="8" fillId="0" borderId="0"/>
    <xf numFmtId="0" fontId="8" fillId="0" borderId="0"/>
    <xf numFmtId="0" fontId="183" fillId="0" borderId="0"/>
    <xf numFmtId="0" fontId="183" fillId="0" borderId="0"/>
    <xf numFmtId="0" fontId="183" fillId="0" borderId="0"/>
    <xf numFmtId="0" fontId="183" fillId="0" borderId="0"/>
    <xf numFmtId="0" fontId="183" fillId="0" borderId="0"/>
    <xf numFmtId="0" fontId="8" fillId="0" borderId="0"/>
    <xf numFmtId="0" fontId="185" fillId="0" borderId="0"/>
    <xf numFmtId="0" fontId="7" fillId="0" borderId="0"/>
    <xf numFmtId="0" fontId="7" fillId="0" borderId="0"/>
    <xf numFmtId="0" fontId="6" fillId="0" borderId="0"/>
    <xf numFmtId="43" fontId="6" fillId="0" borderId="0" applyFont="0" applyFill="0" applyBorder="0" applyAlignment="0" applyProtection="0"/>
    <xf numFmtId="0" fontId="6" fillId="8" borderId="8" applyNumberFormat="0" applyFont="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4"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8" borderId="8" applyNumberFormat="0" applyFont="0" applyAlignment="0" applyProtection="0"/>
    <xf numFmtId="44" fontId="6"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0" borderId="0"/>
    <xf numFmtId="43" fontId="6" fillId="0" borderId="0" applyFont="0" applyFill="0" applyBorder="0" applyAlignment="0" applyProtection="0"/>
    <xf numFmtId="0" fontId="6" fillId="8" borderId="8" applyNumberFormat="0" applyFont="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4"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8" borderId="8" applyNumberFormat="0" applyFont="0" applyAlignment="0" applyProtection="0"/>
    <xf numFmtId="44" fontId="6"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0" borderId="0"/>
    <xf numFmtId="43" fontId="6" fillId="0" borderId="0" applyFont="0" applyFill="0" applyBorder="0" applyAlignment="0" applyProtection="0"/>
    <xf numFmtId="0" fontId="6" fillId="8" borderId="8" applyNumberFormat="0" applyFont="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4"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8" borderId="8" applyNumberFormat="0" applyFont="0" applyAlignment="0" applyProtection="0"/>
    <xf numFmtId="44" fontId="6"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0" borderId="0"/>
    <xf numFmtId="43" fontId="6" fillId="0" borderId="0" applyFont="0" applyFill="0" applyBorder="0" applyAlignment="0" applyProtection="0"/>
    <xf numFmtId="0" fontId="6" fillId="8" borderId="8" applyNumberFormat="0" applyFont="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4"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8" borderId="8" applyNumberFormat="0" applyFont="0" applyAlignment="0" applyProtection="0"/>
    <xf numFmtId="44" fontId="6"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108" fillId="33" borderId="91"/>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5" fillId="0" borderId="0"/>
    <xf numFmtId="0" fontId="45" fillId="0" borderId="0"/>
    <xf numFmtId="0" fontId="6" fillId="0" borderId="0"/>
    <xf numFmtId="0" fontId="6" fillId="0" borderId="0"/>
    <xf numFmtId="0" fontId="6" fillId="0" borderId="0"/>
    <xf numFmtId="0" fontId="45" fillId="0" borderId="0"/>
    <xf numFmtId="0" fontId="45" fillId="0" borderId="0"/>
    <xf numFmtId="0" fontId="6" fillId="0" borderId="0"/>
    <xf numFmtId="0" fontId="6" fillId="0" borderId="0"/>
    <xf numFmtId="0" fontId="6" fillId="0" borderId="0"/>
    <xf numFmtId="0" fontId="45" fillId="0" borderId="0"/>
    <xf numFmtId="0" fontId="6" fillId="0" borderId="0"/>
    <xf numFmtId="0" fontId="6" fillId="0" borderId="0"/>
    <xf numFmtId="164" fontId="40" fillId="0" borderId="0"/>
    <xf numFmtId="0" fontId="6" fillId="0" borderId="0"/>
    <xf numFmtId="43" fontId="6" fillId="0" borderId="0" applyFont="0" applyFill="0" applyBorder="0" applyAlignment="0" applyProtection="0"/>
    <xf numFmtId="0" fontId="6" fillId="8" borderId="8" applyNumberFormat="0" applyFont="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4" fontId="6" fillId="0" borderId="0" applyFont="0" applyFill="0" applyBorder="0" applyAlignment="0" applyProtection="0"/>
    <xf numFmtId="0" fontId="6" fillId="0" borderId="0"/>
    <xf numFmtId="0" fontId="45"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8" borderId="8" applyNumberFormat="0" applyFont="0" applyAlignment="0" applyProtection="0"/>
    <xf numFmtId="44" fontId="6"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0" borderId="0"/>
    <xf numFmtId="43" fontId="6" fillId="0" borderId="0" applyFont="0" applyFill="0" applyBorder="0" applyAlignment="0" applyProtection="0"/>
    <xf numFmtId="0" fontId="6" fillId="8" borderId="8" applyNumberFormat="0" applyFont="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4"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8" borderId="8" applyNumberFormat="0" applyFont="0" applyAlignment="0" applyProtection="0"/>
    <xf numFmtId="44" fontId="6"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0" borderId="0"/>
    <xf numFmtId="0" fontId="108" fillId="33" borderId="91"/>
    <xf numFmtId="0" fontId="6" fillId="0" borderId="0"/>
    <xf numFmtId="43" fontId="6" fillId="0" borderId="0" applyFont="0" applyFill="0" applyBorder="0" applyAlignment="0" applyProtection="0"/>
    <xf numFmtId="0" fontId="6" fillId="8" borderId="8" applyNumberFormat="0" applyFont="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4"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8" borderId="8" applyNumberFormat="0" applyFont="0" applyAlignment="0" applyProtection="0"/>
    <xf numFmtId="44" fontId="6"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0" borderId="0"/>
    <xf numFmtId="43" fontId="6" fillId="0" borderId="0" applyFont="0" applyFill="0" applyBorder="0" applyAlignment="0" applyProtection="0"/>
    <xf numFmtId="0" fontId="6" fillId="8" borderId="8" applyNumberFormat="0" applyFont="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4"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8" borderId="8" applyNumberFormat="0" applyFont="0" applyAlignment="0" applyProtection="0"/>
    <xf numFmtId="44" fontId="6"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5" fillId="0" borderId="0"/>
    <xf numFmtId="0" fontId="45" fillId="0" borderId="0"/>
    <xf numFmtId="0" fontId="6" fillId="0" borderId="0"/>
    <xf numFmtId="0" fontId="6" fillId="0" borderId="0"/>
    <xf numFmtId="0" fontId="6" fillId="0" borderId="0"/>
    <xf numFmtId="43" fontId="6" fillId="0" borderId="0" applyFont="0" applyFill="0" applyBorder="0" applyAlignment="0" applyProtection="0"/>
    <xf numFmtId="0" fontId="6" fillId="8" borderId="8" applyNumberFormat="0" applyFont="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4"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8" borderId="8" applyNumberFormat="0" applyFont="0" applyAlignment="0" applyProtection="0"/>
    <xf numFmtId="44" fontId="6"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0" borderId="0"/>
    <xf numFmtId="0" fontId="6" fillId="0" borderId="0"/>
    <xf numFmtId="0" fontId="6" fillId="0" borderId="0"/>
    <xf numFmtId="0" fontId="6" fillId="0" borderId="0"/>
    <xf numFmtId="0" fontId="45" fillId="0" borderId="0"/>
    <xf numFmtId="0" fontId="45" fillId="0" borderId="0"/>
    <xf numFmtId="0" fontId="6" fillId="0" borderId="0"/>
    <xf numFmtId="0" fontId="6" fillId="0" borderId="0"/>
    <xf numFmtId="0" fontId="45" fillId="0" borderId="0"/>
    <xf numFmtId="0" fontId="45" fillId="0" borderId="0"/>
    <xf numFmtId="0" fontId="45" fillId="0" borderId="0"/>
    <xf numFmtId="0" fontId="45" fillId="0" borderId="0"/>
    <xf numFmtId="0" fontId="45" fillId="0" borderId="0"/>
    <xf numFmtId="0" fontId="6" fillId="0" borderId="0"/>
    <xf numFmtId="43" fontId="187" fillId="0" borderId="0" applyFont="0" applyFill="0" applyBorder="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0" fillId="0" borderId="0"/>
    <xf numFmtId="44" fontId="191" fillId="0" borderId="0" applyFont="0" applyFill="0" applyBorder="0" applyAlignment="0" applyProtection="0"/>
    <xf numFmtId="0" fontId="193" fillId="0" borderId="0"/>
    <xf numFmtId="0" fontId="46" fillId="0" borderId="95" applyNumberFormat="0" applyFont="0" applyBorder="0">
      <alignment horizontal="right"/>
    </xf>
    <xf numFmtId="0" fontId="197" fillId="0" borderId="0" applyFill="0"/>
    <xf numFmtId="0" fontId="45" fillId="0" borderId="0" applyNumberFormat="0" applyFont="0" applyBorder="0" applyAlignment="0"/>
    <xf numFmtId="0" fontId="198" fillId="0" borderId="0" applyFill="0">
      <alignment horizontal="left" indent="1"/>
    </xf>
    <xf numFmtId="44" fontId="193" fillId="0" borderId="0" applyFont="0" applyFill="0" applyBorder="0" applyAlignment="0" applyProtection="0"/>
    <xf numFmtId="43" fontId="193" fillId="0" borderId="0" applyFont="0" applyFill="0" applyBorder="0" applyAlignment="0" applyProtection="0"/>
    <xf numFmtId="4" fontId="116" fillId="0" borderId="10" applyFill="0"/>
    <xf numFmtId="0" fontId="47" fillId="0" borderId="0" applyFill="0"/>
    <xf numFmtId="0" fontId="45" fillId="0" borderId="0"/>
    <xf numFmtId="43" fontId="45" fillId="0" borderId="0" applyFont="0" applyFill="0" applyBorder="0" applyAlignment="0" applyProtection="0"/>
    <xf numFmtId="44" fontId="45" fillId="0" borderId="0" applyFont="0" applyFill="0" applyBorder="0" applyAlignment="0" applyProtection="0"/>
    <xf numFmtId="0" fontId="45" fillId="0" borderId="0"/>
    <xf numFmtId="0" fontId="100" fillId="0" borderId="0"/>
    <xf numFmtId="0" fontId="108" fillId="33" borderId="104"/>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108" fillId="33" borderId="104"/>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108" fillId="33" borderId="106"/>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108" fillId="33" borderId="106"/>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5" fillId="0" borderId="0"/>
    <xf numFmtId="0" fontId="3" fillId="0" borderId="0"/>
    <xf numFmtId="0" fontId="3" fillId="0" borderId="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108" fillId="33" borderId="106"/>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108" fillId="33" borderId="106"/>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5" fillId="0" borderId="0"/>
    <xf numFmtId="44" fontId="45" fillId="0" borderId="0" applyFont="0" applyFill="0" applyBorder="0" applyAlignment="0" applyProtection="0"/>
    <xf numFmtId="43" fontId="45"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07" fillId="0" borderId="0"/>
    <xf numFmtId="187" fontId="43" fillId="0" borderId="0" applyFill="0"/>
    <xf numFmtId="187" fontId="43" fillId="0" borderId="0">
      <alignment horizontal="center"/>
    </xf>
    <xf numFmtId="0" fontId="43" fillId="0" borderId="0" applyFill="0">
      <alignment horizontal="center"/>
    </xf>
    <xf numFmtId="187" fontId="69" fillId="0" borderId="42" applyFill="0"/>
    <xf numFmtId="0" fontId="45" fillId="0" borderId="0" applyFont="0" applyAlignment="0"/>
    <xf numFmtId="0" fontId="208" fillId="0" borderId="0" applyFill="0">
      <alignment vertical="top"/>
    </xf>
    <xf numFmtId="0" fontId="69" fillId="0" borderId="0" applyFill="0">
      <alignment horizontal="left" vertical="top"/>
    </xf>
    <xf numFmtId="187" fontId="47" fillId="0" borderId="101" applyFill="0"/>
    <xf numFmtId="0" fontId="45" fillId="0" borderId="0" applyNumberFormat="0" applyFont="0" applyAlignment="0"/>
    <xf numFmtId="0" fontId="208" fillId="0" borderId="0" applyFill="0">
      <alignment wrapText="1"/>
    </xf>
    <xf numFmtId="0" fontId="69" fillId="0" borderId="0" applyFill="0">
      <alignment horizontal="left" vertical="top" wrapText="1"/>
    </xf>
    <xf numFmtId="187" fontId="87" fillId="0" borderId="0" applyFill="0"/>
    <xf numFmtId="0" fontId="209" fillId="0" borderId="0" applyNumberFormat="0" applyFont="0" applyAlignment="0">
      <alignment horizontal="center"/>
    </xf>
    <xf numFmtId="0" fontId="163" fillId="0" borderId="0" applyFill="0">
      <alignment vertical="top" wrapText="1"/>
    </xf>
    <xf numFmtId="0" fontId="47" fillId="0" borderId="0" applyFill="0">
      <alignment horizontal="left" vertical="top" wrapText="1"/>
    </xf>
    <xf numFmtId="187" fontId="45" fillId="0" borderId="0" applyFill="0"/>
    <xf numFmtId="0" fontId="209" fillId="0" borderId="0" applyNumberFormat="0" applyFont="0" applyAlignment="0">
      <alignment horizontal="center"/>
    </xf>
    <xf numFmtId="0" fontId="95" fillId="0" borderId="0" applyFill="0">
      <alignment vertical="center" wrapText="1"/>
    </xf>
    <xf numFmtId="0" fontId="40" fillId="0" borderId="0">
      <alignment horizontal="left" vertical="center" wrapText="1"/>
    </xf>
    <xf numFmtId="187" fontId="52" fillId="0" borderId="0" applyFill="0"/>
    <xf numFmtId="0" fontId="209" fillId="0" borderId="0" applyNumberFormat="0" applyFont="0" applyAlignment="0">
      <alignment horizontal="center"/>
    </xf>
    <xf numFmtId="0" fontId="210" fillId="0" borderId="0" applyFill="0">
      <alignment horizontal="center" vertical="center" wrapText="1"/>
    </xf>
    <xf numFmtId="0" fontId="45" fillId="0" borderId="0" applyFill="0">
      <alignment horizontal="center" vertical="center" wrapText="1"/>
    </xf>
    <xf numFmtId="187" fontId="211" fillId="0" borderId="0" applyFill="0"/>
    <xf numFmtId="0" fontId="209" fillId="0" borderId="0" applyNumberFormat="0" applyFont="0" applyAlignment="0">
      <alignment horizontal="center"/>
    </xf>
    <xf numFmtId="0" fontId="212" fillId="0" borderId="0" applyFill="0">
      <alignment horizontal="center" vertical="center" wrapText="1"/>
    </xf>
    <xf numFmtId="0" fontId="213" fillId="0" borderId="0" applyFill="0">
      <alignment horizontal="center" vertical="center" wrapText="1"/>
    </xf>
    <xf numFmtId="187" fontId="214" fillId="0" borderId="0" applyFill="0"/>
    <xf numFmtId="0" fontId="209" fillId="0" borderId="0" applyNumberFormat="0" applyFont="0" applyAlignment="0">
      <alignment horizontal="center"/>
    </xf>
    <xf numFmtId="0" fontId="215" fillId="0" borderId="0">
      <alignment horizontal="center" wrapText="1"/>
    </xf>
    <xf numFmtId="0" fontId="211" fillId="0" borderId="0" applyFill="0">
      <alignment horizontal="center" wrapText="1"/>
    </xf>
    <xf numFmtId="4" fontId="43" fillId="35" borderId="0" applyFill="0"/>
    <xf numFmtId="0" fontId="216" fillId="0" borderId="0">
      <alignment horizontal="left" indent="7"/>
    </xf>
    <xf numFmtId="0" fontId="43" fillId="0" borderId="0" applyFill="0">
      <alignment horizontal="left" indent="7"/>
    </xf>
    <xf numFmtId="187" fontId="116" fillId="0" borderId="10" applyFill="0">
      <alignment horizontal="right"/>
    </xf>
    <xf numFmtId="0" fontId="163" fillId="0" borderId="0" applyFill="0">
      <alignment horizontal="left" indent="1"/>
    </xf>
    <xf numFmtId="4" fontId="52" fillId="0" borderId="0" applyFill="0"/>
    <xf numFmtId="0" fontId="45" fillId="0" borderId="0" applyNumberFormat="0" applyFont="0" applyFill="0" applyBorder="0" applyAlignment="0"/>
    <xf numFmtId="0" fontId="163" fillId="0" borderId="0" applyFill="0">
      <alignment horizontal="left" indent="2"/>
    </xf>
    <xf numFmtId="0" fontId="47" fillId="0" borderId="0" applyFill="0">
      <alignment horizontal="left" indent="2"/>
    </xf>
    <xf numFmtId="4" fontId="52" fillId="0" borderId="0" applyFill="0"/>
    <xf numFmtId="0" fontId="45" fillId="0" borderId="0" applyNumberFormat="0" applyFont="0" applyBorder="0" applyAlignment="0"/>
    <xf numFmtId="0" fontId="217" fillId="0" borderId="0">
      <alignment horizontal="left" indent="3"/>
    </xf>
    <xf numFmtId="0" fontId="85" fillId="0" borderId="0" applyFill="0">
      <alignment horizontal="left" indent="3"/>
    </xf>
    <xf numFmtId="4" fontId="52" fillId="0" borderId="0" applyFill="0"/>
    <xf numFmtId="0" fontId="45" fillId="0" borderId="0" applyNumberFormat="0" applyFont="0" applyBorder="0" applyAlignment="0"/>
    <xf numFmtId="0" fontId="210" fillId="0" borderId="0">
      <alignment horizontal="left" indent="4"/>
    </xf>
    <xf numFmtId="0" fontId="45" fillId="0" borderId="0" applyFill="0">
      <alignment horizontal="left" indent="4"/>
    </xf>
    <xf numFmtId="4" fontId="211" fillId="0" borderId="0" applyFill="0"/>
    <xf numFmtId="0" fontId="45" fillId="0" borderId="0" applyNumberFormat="0" applyFont="0" applyBorder="0" applyAlignment="0"/>
    <xf numFmtId="0" fontId="212" fillId="0" borderId="0">
      <alignment horizontal="left" indent="5"/>
    </xf>
    <xf numFmtId="0" fontId="213" fillId="0" borderId="0" applyFill="0">
      <alignment horizontal="left" indent="5"/>
    </xf>
    <xf numFmtId="4" fontId="214" fillId="0" borderId="0" applyFill="0"/>
    <xf numFmtId="0" fontId="45" fillId="0" borderId="0" applyNumberFormat="0" applyFont="0" applyFill="0" applyBorder="0" applyAlignment="0"/>
    <xf numFmtId="0" fontId="215" fillId="0" borderId="0" applyFill="0">
      <alignment horizontal="left" indent="6"/>
    </xf>
    <xf numFmtId="0" fontId="211" fillId="0" borderId="0" applyFill="0">
      <alignment horizontal="left" indent="6"/>
    </xf>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45" fillId="0" borderId="0" applyFill="0">
      <alignment horizontal="center" vertical="center" wrapText="1"/>
    </xf>
    <xf numFmtId="0" fontId="45" fillId="0" borderId="0" applyFill="0">
      <alignment horizontal="left" indent="4"/>
    </xf>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45" fillId="0" borderId="0" applyFill="0">
      <alignment horizontal="center" vertical="center" wrapText="1"/>
    </xf>
    <xf numFmtId="0" fontId="45" fillId="0" borderId="0" applyFill="0">
      <alignment horizontal="left" indent="4"/>
    </xf>
    <xf numFmtId="0" fontId="220"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220"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45" fillId="0" borderId="0"/>
  </cellStyleXfs>
  <cellXfs count="2365">
    <xf numFmtId="164" fontId="0" fillId="0" borderId="0" xfId="0"/>
    <xf numFmtId="166" fontId="45" fillId="0" borderId="0" xfId="0" applyNumberFormat="1" applyFont="1"/>
    <xf numFmtId="166" fontId="46" fillId="0" borderId="0" xfId="0" applyNumberFormat="1" applyFont="1"/>
    <xf numFmtId="166" fontId="47" fillId="0" borderId="10" xfId="0" applyNumberFormat="1" applyFont="1" applyBorder="1" applyAlignment="1">
      <alignment horizontal="centerContinuous"/>
    </xf>
    <xf numFmtId="166" fontId="47" fillId="0" borderId="0" xfId="0" quotePrefix="1" applyNumberFormat="1" applyFont="1" applyAlignment="1">
      <alignment horizontal="center"/>
    </xf>
    <xf numFmtId="166" fontId="47" fillId="0" borderId="0" xfId="0" applyNumberFormat="1" applyFont="1" applyAlignment="1">
      <alignment horizontal="center"/>
    </xf>
    <xf numFmtId="166" fontId="47" fillId="0" borderId="10" xfId="0" applyNumberFormat="1" applyFont="1" applyBorder="1" applyAlignment="1">
      <alignment horizontal="center"/>
    </xf>
    <xf numFmtId="166" fontId="42" fillId="0" borderId="0" xfId="0" applyNumberFormat="1" applyFont="1"/>
    <xf numFmtId="164" fontId="42" fillId="0" borderId="0" xfId="0" applyFont="1" applyProtection="1">
      <protection locked="0"/>
    </xf>
    <xf numFmtId="170" fontId="42" fillId="0" borderId="0" xfId="0" applyNumberFormat="1" applyFont="1"/>
    <xf numFmtId="170" fontId="42" fillId="0" borderId="0" xfId="0" applyNumberFormat="1" applyFont="1" applyAlignment="1">
      <alignment horizontal="center"/>
    </xf>
    <xf numFmtId="170" fontId="47" fillId="0" borderId="16" xfId="0" applyNumberFormat="1" applyFont="1" applyBorder="1" applyAlignment="1">
      <alignment horizontal="right"/>
    </xf>
    <xf numFmtId="170" fontId="47" fillId="0" borderId="16" xfId="0" applyNumberFormat="1" applyFont="1" applyBorder="1"/>
    <xf numFmtId="164" fontId="47" fillId="0" borderId="16" xfId="0" applyFont="1" applyBorder="1" applyProtection="1">
      <protection locked="0"/>
    </xf>
    <xf numFmtId="170" fontId="42" fillId="0" borderId="0" xfId="0" quotePrefix="1" applyNumberFormat="1" applyFont="1" applyAlignment="1">
      <alignment horizontal="center"/>
    </xf>
    <xf numFmtId="170" fontId="47" fillId="0" borderId="10" xfId="0" applyNumberFormat="1" applyFont="1" applyBorder="1"/>
    <xf numFmtId="170" fontId="47" fillId="0" borderId="0" xfId="0" applyNumberFormat="1" applyFont="1"/>
    <xf numFmtId="164" fontId="47" fillId="0" borderId="0" xfId="0" applyFont="1" applyProtection="1">
      <protection locked="0"/>
    </xf>
    <xf numFmtId="174" fontId="47" fillId="0" borderId="17" xfId="0" applyNumberFormat="1" applyFont="1" applyBorder="1"/>
    <xf numFmtId="0" fontId="47" fillId="0" borderId="0" xfId="2" applyFont="1"/>
    <xf numFmtId="165" fontId="42" fillId="0" borderId="0" xfId="2" applyNumberFormat="1" applyFont="1"/>
    <xf numFmtId="0" fontId="42" fillId="0" borderId="0" xfId="2" applyFont="1"/>
    <xf numFmtId="165" fontId="42" fillId="0" borderId="0" xfId="2" applyNumberFormat="1" applyFont="1" applyProtection="1">
      <protection locked="0"/>
    </xf>
    <xf numFmtId="0" fontId="47" fillId="0" borderId="0" xfId="2" quotePrefix="1" applyFont="1" applyAlignment="1">
      <alignment horizontal="left"/>
    </xf>
    <xf numFmtId="0" fontId="66" fillId="0" borderId="0" xfId="2" applyFont="1"/>
    <xf numFmtId="165" fontId="66" fillId="0" borderId="0" xfId="2" applyNumberFormat="1" applyFont="1" applyAlignment="1" applyProtection="1">
      <alignment horizontal="center"/>
      <protection locked="0"/>
    </xf>
    <xf numFmtId="165" fontId="66" fillId="0" borderId="0" xfId="2" applyNumberFormat="1" applyFont="1" applyProtection="1">
      <protection locked="0"/>
    </xf>
    <xf numFmtId="165" fontId="66" fillId="0" borderId="0" xfId="2" applyNumberFormat="1" applyFont="1"/>
    <xf numFmtId="0" fontId="42" fillId="0" borderId="20" xfId="2" applyFont="1" applyBorder="1"/>
    <xf numFmtId="165" fontId="42" fillId="0" borderId="20" xfId="2" applyNumberFormat="1" applyFont="1" applyBorder="1"/>
    <xf numFmtId="0" fontId="42" fillId="0" borderId="21" xfId="2" applyFont="1" applyBorder="1"/>
    <xf numFmtId="0" fontId="42" fillId="0" borderId="22" xfId="2" applyFont="1" applyBorder="1"/>
    <xf numFmtId="174" fontId="42" fillId="0" borderId="0" xfId="2" applyNumberFormat="1" applyFont="1"/>
    <xf numFmtId="169" fontId="42" fillId="0" borderId="0" xfId="2" applyNumberFormat="1" applyFont="1"/>
    <xf numFmtId="0" fontId="42" fillId="0" borderId="0" xfId="2" quotePrefix="1" applyFont="1" applyAlignment="1">
      <alignment horizontal="left"/>
    </xf>
    <xf numFmtId="170" fontId="66" fillId="0" borderId="0" xfId="2" applyNumberFormat="1" applyFont="1"/>
    <xf numFmtId="170" fontId="42" fillId="0" borderId="0" xfId="2" applyNumberFormat="1" applyFont="1"/>
    <xf numFmtId="170" fontId="42" fillId="0" borderId="21" xfId="2" applyNumberFormat="1" applyFont="1" applyBorder="1"/>
    <xf numFmtId="170" fontId="0" fillId="0" borderId="0" xfId="2" applyNumberFormat="1" applyFont="1"/>
    <xf numFmtId="166" fontId="42" fillId="0" borderId="0" xfId="2" applyNumberFormat="1" applyFont="1"/>
    <xf numFmtId="170" fontId="42" fillId="0" borderId="0" xfId="2" applyNumberFormat="1" applyFont="1" applyAlignment="1">
      <alignment horizontal="center"/>
    </xf>
    <xf numFmtId="170" fontId="47" fillId="0" borderId="16" xfId="2" applyNumberFormat="1" applyFont="1" applyBorder="1"/>
    <xf numFmtId="170" fontId="47" fillId="0" borderId="0" xfId="2" applyNumberFormat="1" applyFont="1"/>
    <xf numFmtId="170" fontId="47" fillId="0" borderId="26" xfId="2" applyNumberFormat="1" applyFont="1" applyBorder="1"/>
    <xf numFmtId="170" fontId="47" fillId="0" borderId="21" xfId="2" applyNumberFormat="1" applyFont="1" applyBorder="1"/>
    <xf numFmtId="165" fontId="67" fillId="0" borderId="0" xfId="2" applyNumberFormat="1" applyFont="1"/>
    <xf numFmtId="170" fontId="42" fillId="0" borderId="0" xfId="2" applyNumberFormat="1" applyFont="1" applyAlignment="1">
      <alignment horizontal="right"/>
    </xf>
    <xf numFmtId="170" fontId="47" fillId="0" borderId="29" xfId="2" applyNumberFormat="1" applyFont="1" applyBorder="1"/>
    <xf numFmtId="170" fontId="47" fillId="0" borderId="30" xfId="2" applyNumberFormat="1" applyFont="1" applyBorder="1"/>
    <xf numFmtId="170" fontId="47" fillId="0" borderId="10" xfId="2" quotePrefix="1" applyNumberFormat="1" applyFont="1" applyBorder="1" applyAlignment="1">
      <alignment horizontal="center"/>
    </xf>
    <xf numFmtId="170" fontId="47" fillId="0" borderId="10" xfId="2" applyNumberFormat="1" applyFont="1" applyBorder="1"/>
    <xf numFmtId="170" fontId="47" fillId="0" borderId="25" xfId="2" applyNumberFormat="1" applyFont="1" applyBorder="1"/>
    <xf numFmtId="170" fontId="42" fillId="0" borderId="13" xfId="2" applyNumberFormat="1" applyFont="1" applyBorder="1"/>
    <xf numFmtId="0" fontId="42" fillId="0" borderId="0" xfId="2" quotePrefix="1" applyFont="1"/>
    <xf numFmtId="170" fontId="47" fillId="0" borderId="0" xfId="2" quotePrefix="1" applyNumberFormat="1" applyFont="1" applyAlignment="1">
      <alignment horizontal="center"/>
    </xf>
    <xf numFmtId="170" fontId="47" fillId="0" borderId="0" xfId="2" applyNumberFormat="1" applyFont="1" applyAlignment="1">
      <alignment horizontal="center"/>
    </xf>
    <xf numFmtId="170" fontId="47" fillId="0" borderId="16" xfId="2" quotePrefix="1" applyNumberFormat="1" applyFont="1" applyBorder="1"/>
    <xf numFmtId="170" fontId="47" fillId="0" borderId="0" xfId="2" applyNumberFormat="1" applyFont="1" applyAlignment="1">
      <alignment horizontal="right"/>
    </xf>
    <xf numFmtId="170" fontId="47" fillId="0" borderId="32" xfId="2" quotePrefix="1" applyNumberFormat="1" applyFont="1" applyBorder="1" applyAlignment="1">
      <alignment horizontal="right"/>
    </xf>
    <xf numFmtId="170" fontId="47" fillId="0" borderId="27" xfId="2" quotePrefix="1" applyNumberFormat="1" applyFont="1" applyBorder="1"/>
    <xf numFmtId="0" fontId="42" fillId="0" borderId="0" xfId="2" quotePrefix="1" applyFont="1" applyAlignment="1">
      <alignment horizontal="right"/>
    </xf>
    <xf numFmtId="170" fontId="42" fillId="0" borderId="20" xfId="2" applyNumberFormat="1" applyFont="1" applyBorder="1"/>
    <xf numFmtId="170" fontId="47" fillId="0" borderId="0" xfId="2" applyNumberFormat="1" applyFont="1" applyAlignment="1">
      <alignment vertical="center"/>
    </xf>
    <xf numFmtId="170" fontId="47" fillId="0" borderId="14" xfId="2" applyNumberFormat="1" applyFont="1" applyBorder="1"/>
    <xf numFmtId="174" fontId="47" fillId="0" borderId="20" xfId="2" applyNumberFormat="1" applyFont="1" applyBorder="1"/>
    <xf numFmtId="174" fontId="47" fillId="0" borderId="0" xfId="2" applyNumberFormat="1" applyFont="1"/>
    <xf numFmtId="174" fontId="47" fillId="0" borderId="21" xfId="2" applyNumberFormat="1" applyFont="1" applyBorder="1"/>
    <xf numFmtId="174" fontId="47" fillId="0" borderId="22" xfId="2" applyNumberFormat="1" applyFont="1" applyBorder="1"/>
    <xf numFmtId="174" fontId="47" fillId="0" borderId="34" xfId="2" applyNumberFormat="1" applyFont="1" applyBorder="1"/>
    <xf numFmtId="174" fontId="47" fillId="0" borderId="35" xfId="2" applyNumberFormat="1" applyFont="1" applyBorder="1"/>
    <xf numFmtId="168" fontId="66" fillId="0" borderId="0" xfId="2" applyNumberFormat="1" applyFont="1" applyProtection="1">
      <protection locked="0"/>
    </xf>
    <xf numFmtId="0" fontId="0" fillId="0" borderId="0" xfId="2" applyFont="1"/>
    <xf numFmtId="166" fontId="68" fillId="0" borderId="0" xfId="2" applyNumberFormat="1" applyFont="1"/>
    <xf numFmtId="0" fontId="47" fillId="0" borderId="0" xfId="2" applyFont="1" applyAlignment="1">
      <alignment horizontal="centerContinuous"/>
    </xf>
    <xf numFmtId="170" fontId="47" fillId="0" borderId="16" xfId="2" applyNumberFormat="1" applyFont="1" applyBorder="1" applyAlignment="1">
      <alignment horizontal="right"/>
    </xf>
    <xf numFmtId="170" fontId="47" fillId="0" borderId="32" xfId="2" applyNumberFormat="1" applyFont="1" applyBorder="1" applyAlignment="1">
      <alignment horizontal="right"/>
    </xf>
    <xf numFmtId="170" fontId="47" fillId="0" borderId="27" xfId="2" applyNumberFormat="1" applyFont="1" applyBorder="1" applyAlignment="1">
      <alignment horizontal="right"/>
    </xf>
    <xf numFmtId="170" fontId="47" fillId="0" borderId="10" xfId="2" applyNumberFormat="1" applyFont="1" applyBorder="1" applyAlignment="1">
      <alignment horizontal="right"/>
    </xf>
    <xf numFmtId="170" fontId="47" fillId="0" borderId="12" xfId="2" applyNumberFormat="1" applyFont="1" applyBorder="1" applyAlignment="1">
      <alignment horizontal="right"/>
    </xf>
    <xf numFmtId="170" fontId="47" fillId="0" borderId="11" xfId="2" applyNumberFormat="1" applyFont="1" applyBorder="1" applyAlignment="1">
      <alignment horizontal="right"/>
    </xf>
    <xf numFmtId="170" fontId="47" fillId="0" borderId="16" xfId="2" applyNumberFormat="1" applyFont="1" applyBorder="1" applyAlignment="1">
      <alignment horizontal="center"/>
    </xf>
    <xf numFmtId="170" fontId="47" fillId="0" borderId="32" xfId="2" applyNumberFormat="1" applyFont="1" applyBorder="1" applyAlignment="1">
      <alignment horizontal="center"/>
    </xf>
    <xf numFmtId="170" fontId="47" fillId="0" borderId="27" xfId="2" applyNumberFormat="1" applyFont="1" applyBorder="1" applyAlignment="1">
      <alignment horizontal="center"/>
    </xf>
    <xf numFmtId="170" fontId="47" fillId="0" borderId="0" xfId="2" quotePrefix="1" applyNumberFormat="1" applyFont="1" applyAlignment="1">
      <alignment horizontal="right"/>
    </xf>
    <xf numFmtId="170" fontId="47" fillId="0" borderId="13" xfId="2" quotePrefix="1" applyNumberFormat="1" applyFont="1" applyBorder="1" applyAlignment="1">
      <alignment horizontal="right"/>
    </xf>
    <xf numFmtId="170" fontId="47" fillId="0" borderId="28" xfId="2" quotePrefix="1" applyNumberFormat="1" applyFont="1" applyBorder="1" applyAlignment="1">
      <alignment horizontal="right"/>
    </xf>
    <xf numFmtId="170" fontId="47" fillId="0" borderId="10" xfId="2" quotePrefix="1" applyNumberFormat="1" applyFont="1" applyBorder="1" applyAlignment="1">
      <alignment horizontal="right"/>
    </xf>
    <xf numFmtId="170" fontId="47" fillId="0" borderId="13" xfId="2" applyNumberFormat="1" applyFont="1" applyBorder="1" applyAlignment="1">
      <alignment horizontal="right"/>
    </xf>
    <xf numFmtId="170" fontId="47" fillId="0" borderId="28" xfId="2" applyNumberFormat="1" applyFont="1" applyBorder="1" applyAlignment="1">
      <alignment horizontal="right"/>
    </xf>
    <xf numFmtId="174" fontId="47" fillId="0" borderId="20" xfId="2" applyNumberFormat="1" applyFont="1" applyBorder="1" applyAlignment="1">
      <alignment horizontal="right"/>
    </xf>
    <xf numFmtId="174" fontId="47" fillId="0" borderId="0" xfId="2" applyNumberFormat="1" applyFont="1" applyAlignment="1">
      <alignment horizontal="center"/>
    </xf>
    <xf numFmtId="174" fontId="47" fillId="0" borderId="39" xfId="2" applyNumberFormat="1" applyFont="1" applyBorder="1" applyAlignment="1">
      <alignment horizontal="right"/>
    </xf>
    <xf numFmtId="0" fontId="69" fillId="33" borderId="0" xfId="2" applyFont="1" applyFill="1" applyAlignment="1">
      <alignment horizontal="left"/>
    </xf>
    <xf numFmtId="37" fontId="45" fillId="33" borderId="0" xfId="2" applyNumberFormat="1" applyFont="1" applyFill="1"/>
    <xf numFmtId="37" fontId="45" fillId="0" borderId="0" xfId="2" applyNumberFormat="1" applyFont="1"/>
    <xf numFmtId="37" fontId="70" fillId="0" borderId="0" xfId="2" applyNumberFormat="1" applyFont="1" applyAlignment="1">
      <alignment horizontal="center"/>
    </xf>
    <xf numFmtId="37" fontId="71" fillId="0" borderId="0" xfId="2" applyNumberFormat="1" applyFont="1" applyAlignment="1">
      <alignment horizontal="center"/>
    </xf>
    <xf numFmtId="37" fontId="72" fillId="0" borderId="0" xfId="2" applyNumberFormat="1" applyFont="1"/>
    <xf numFmtId="0" fontId="69" fillId="0" borderId="0" xfId="2" quotePrefix="1" applyFont="1" applyAlignment="1" applyProtection="1">
      <alignment horizontal="left"/>
      <protection locked="0"/>
    </xf>
    <xf numFmtId="0" fontId="64" fillId="0" borderId="0" xfId="2" applyFont="1"/>
    <xf numFmtId="0" fontId="43" fillId="0" borderId="0" xfId="2" applyFont="1"/>
    <xf numFmtId="37" fontId="47" fillId="0" borderId="0" xfId="2" applyNumberFormat="1" applyFont="1"/>
    <xf numFmtId="37" fontId="47" fillId="0" borderId="0" xfId="2" applyNumberFormat="1" applyFont="1" applyAlignment="1">
      <alignment horizontal="center"/>
    </xf>
    <xf numFmtId="37" fontId="47" fillId="0" borderId="0" xfId="2" quotePrefix="1" applyNumberFormat="1" applyFont="1" applyAlignment="1">
      <alignment horizontal="center"/>
    </xf>
    <xf numFmtId="3" fontId="45" fillId="0" borderId="0" xfId="2" applyNumberFormat="1" applyFont="1"/>
    <xf numFmtId="37" fontId="45" fillId="0" borderId="20" xfId="2" applyNumberFormat="1" applyFont="1" applyBorder="1"/>
    <xf numFmtId="37" fontId="42" fillId="0" borderId="0" xfId="2" applyNumberFormat="1" applyFont="1"/>
    <xf numFmtId="37" fontId="42" fillId="0" borderId="0" xfId="2" applyNumberFormat="1" applyFont="1" applyAlignment="1">
      <alignment horizontal="right"/>
    </xf>
    <xf numFmtId="5" fontId="42" fillId="0" borderId="0" xfId="2" applyNumberFormat="1" applyFont="1"/>
    <xf numFmtId="0" fontId="42" fillId="0" borderId="0" xfId="2" applyFont="1" applyAlignment="1">
      <alignment horizontal="left"/>
    </xf>
    <xf numFmtId="174" fontId="42" fillId="0" borderId="0" xfId="2" applyNumberFormat="1" applyFont="1" applyAlignment="1">
      <alignment horizontal="right"/>
    </xf>
    <xf numFmtId="37" fontId="42" fillId="0" borderId="0" xfId="2" quotePrefix="1" applyNumberFormat="1" applyFont="1" applyAlignment="1">
      <alignment horizontal="center"/>
    </xf>
    <xf numFmtId="166" fontId="47" fillId="0" borderId="0" xfId="2" applyNumberFormat="1" applyFont="1"/>
    <xf numFmtId="166" fontId="0" fillId="0" borderId="0" xfId="2" applyNumberFormat="1" applyFont="1"/>
    <xf numFmtId="166" fontId="42" fillId="0" borderId="20" xfId="2" applyNumberFormat="1" applyFont="1" applyBorder="1"/>
    <xf numFmtId="166" fontId="42" fillId="0" borderId="0" xfId="2" applyNumberFormat="1" applyFont="1" applyAlignment="1">
      <alignment horizontal="right"/>
    </xf>
    <xf numFmtId="170" fontId="42" fillId="0" borderId="0" xfId="2" quotePrefix="1" applyNumberFormat="1" applyFont="1" applyAlignment="1">
      <alignment horizontal="center"/>
    </xf>
    <xf numFmtId="166" fontId="42" fillId="0" borderId="0" xfId="2" quotePrefix="1" applyNumberFormat="1" applyFont="1" applyAlignment="1">
      <alignment horizontal="center"/>
    </xf>
    <xf numFmtId="0" fontId="47" fillId="0" borderId="0" xfId="2" applyFont="1" applyAlignment="1">
      <alignment horizontal="left"/>
    </xf>
    <xf numFmtId="37" fontId="47" fillId="0" borderId="0" xfId="2" applyNumberFormat="1" applyFont="1" applyAlignment="1">
      <alignment horizontal="right"/>
    </xf>
    <xf numFmtId="3" fontId="42" fillId="0" borderId="0" xfId="2" applyNumberFormat="1" applyFont="1"/>
    <xf numFmtId="3" fontId="47" fillId="0" borderId="0" xfId="2" applyNumberFormat="1" applyFont="1" applyAlignment="1">
      <alignment horizontal="right"/>
    </xf>
    <xf numFmtId="174" fontId="47" fillId="0" borderId="0" xfId="2" applyNumberFormat="1" applyFont="1" applyAlignment="1">
      <alignment horizontal="right"/>
    </xf>
    <xf numFmtId="169" fontId="47" fillId="0" borderId="0" xfId="2" applyNumberFormat="1" applyFont="1"/>
    <xf numFmtId="166" fontId="66" fillId="0" borderId="0" xfId="2" quotePrefix="1" applyNumberFormat="1" applyFont="1" applyAlignment="1">
      <alignment horizontal="left"/>
    </xf>
    <xf numFmtId="166" fontId="74" fillId="0" borderId="0" xfId="2" quotePrefix="1" applyNumberFormat="1" applyFont="1" applyAlignment="1">
      <alignment horizontal="left"/>
    </xf>
    <xf numFmtId="0" fontId="75" fillId="0" borderId="0" xfId="2" applyFont="1"/>
    <xf numFmtId="37" fontId="68" fillId="0" borderId="0" xfId="2" applyNumberFormat="1" applyFont="1"/>
    <xf numFmtId="0" fontId="76" fillId="0" borderId="0" xfId="2" applyFont="1"/>
    <xf numFmtId="0" fontId="69" fillId="0" borderId="0" xfId="2" applyFont="1" applyAlignment="1">
      <alignment horizontal="left"/>
    </xf>
    <xf numFmtId="37" fontId="69" fillId="0" borderId="0" xfId="2" applyNumberFormat="1" applyFont="1" applyAlignment="1">
      <alignment horizontal="right"/>
    </xf>
    <xf numFmtId="37" fontId="47" fillId="0" borderId="0" xfId="2" applyNumberFormat="1" applyFont="1" applyAlignment="1">
      <alignment horizontal="centerContinuous"/>
    </xf>
    <xf numFmtId="37" fontId="47" fillId="0" borderId="0" xfId="2" applyNumberFormat="1" applyFont="1" applyAlignment="1">
      <alignment horizontal="left"/>
    </xf>
    <xf numFmtId="0" fontId="47" fillId="0" borderId="0" xfId="2" applyFont="1" applyAlignment="1">
      <alignment horizontal="center"/>
    </xf>
    <xf numFmtId="0" fontId="77" fillId="0" borderId="0" xfId="2" applyFont="1" applyAlignment="1">
      <alignment horizontal="center"/>
    </xf>
    <xf numFmtId="37" fontId="73" fillId="0" borderId="0" xfId="2" quotePrefix="1" applyNumberFormat="1" applyFont="1" applyAlignment="1">
      <alignment horizontal="centerContinuous"/>
    </xf>
    <xf numFmtId="37" fontId="66" fillId="0" borderId="0" xfId="2" applyNumberFormat="1" applyFont="1"/>
    <xf numFmtId="0" fontId="52" fillId="0" borderId="0" xfId="2" applyFont="1"/>
    <xf numFmtId="165" fontId="68" fillId="0" borderId="0" xfId="2" applyNumberFormat="1" applyFont="1"/>
    <xf numFmtId="165" fontId="47" fillId="0" borderId="0" xfId="2" applyNumberFormat="1" applyFont="1"/>
    <xf numFmtId="165" fontId="42" fillId="0" borderId="0" xfId="2" applyNumberFormat="1" applyFont="1" applyAlignment="1">
      <alignment horizontal="center"/>
    </xf>
    <xf numFmtId="165" fontId="42" fillId="0" borderId="21" xfId="2" applyNumberFormat="1" applyFont="1" applyBorder="1"/>
    <xf numFmtId="166" fontId="66" fillId="0" borderId="0" xfId="2" applyNumberFormat="1" applyFont="1"/>
    <xf numFmtId="170" fontId="47" fillId="0" borderId="20" xfId="2" applyNumberFormat="1" applyFont="1" applyBorder="1"/>
    <xf numFmtId="170" fontId="47" fillId="0" borderId="13" xfId="2" applyNumberFormat="1" applyFont="1" applyBorder="1"/>
    <xf numFmtId="165" fontId="78" fillId="0" borderId="0" xfId="2" applyNumberFormat="1" applyFont="1"/>
    <xf numFmtId="174" fontId="47" fillId="0" borderId="13" xfId="2" applyNumberFormat="1" applyFont="1" applyBorder="1"/>
    <xf numFmtId="165" fontId="42" fillId="0" borderId="0" xfId="2" quotePrefix="1" applyNumberFormat="1" applyFont="1" applyAlignment="1">
      <alignment horizontal="left"/>
    </xf>
    <xf numFmtId="166" fontId="79" fillId="0" borderId="0" xfId="2" applyNumberFormat="1" applyFont="1"/>
    <xf numFmtId="166" fontId="80" fillId="0" borderId="0" xfId="2" applyNumberFormat="1" applyFont="1"/>
    <xf numFmtId="166" fontId="81" fillId="0" borderId="0" xfId="2" applyNumberFormat="1" applyFont="1"/>
    <xf numFmtId="166" fontId="80" fillId="0" borderId="0" xfId="2" quotePrefix="1" applyNumberFormat="1" applyFont="1" applyAlignment="1">
      <alignment horizontal="left"/>
    </xf>
    <xf numFmtId="166" fontId="62" fillId="0" borderId="0" xfId="2" applyNumberFormat="1" applyFont="1"/>
    <xf numFmtId="166" fontId="79" fillId="0" borderId="20" xfId="2" applyNumberFormat="1" applyFont="1" applyBorder="1"/>
    <xf numFmtId="166" fontId="82" fillId="0" borderId="0" xfId="2" quotePrefix="1" applyNumberFormat="1" applyFont="1" applyAlignment="1">
      <alignment horizontal="left"/>
    </xf>
    <xf numFmtId="174" fontId="82" fillId="0" borderId="0" xfId="2" applyNumberFormat="1" applyFont="1"/>
    <xf numFmtId="174" fontId="82" fillId="0" borderId="21" xfId="2" applyNumberFormat="1" applyFont="1" applyBorder="1"/>
    <xf numFmtId="166" fontId="82" fillId="0" borderId="0" xfId="2" applyNumberFormat="1" applyFont="1"/>
    <xf numFmtId="166" fontId="79" fillId="0" borderId="0" xfId="2" applyNumberFormat="1" applyFont="1" applyAlignment="1">
      <alignment horizontal="right"/>
    </xf>
    <xf numFmtId="166" fontId="79" fillId="0" borderId="21" xfId="2" applyNumberFormat="1" applyFont="1" applyBorder="1"/>
    <xf numFmtId="170" fontId="79" fillId="0" borderId="0" xfId="2" applyNumberFormat="1" applyFont="1"/>
    <xf numFmtId="170" fontId="79" fillId="0" borderId="21" xfId="2" applyNumberFormat="1" applyFont="1" applyBorder="1"/>
    <xf numFmtId="170" fontId="82" fillId="0" borderId="0" xfId="2" applyNumberFormat="1" applyFont="1"/>
    <xf numFmtId="170" fontId="82" fillId="0" borderId="21" xfId="2" applyNumberFormat="1" applyFont="1" applyBorder="1"/>
    <xf numFmtId="170" fontId="64" fillId="0" borderId="0" xfId="2" applyNumberFormat="1" applyFont="1"/>
    <xf numFmtId="170" fontId="64" fillId="0" borderId="0" xfId="2" quotePrefix="1" applyNumberFormat="1" applyFont="1" applyAlignment="1">
      <alignment horizontal="center"/>
    </xf>
    <xf numFmtId="170" fontId="79" fillId="0" borderId="0" xfId="2" applyNumberFormat="1" applyFont="1" applyAlignment="1">
      <alignment horizontal="right"/>
    </xf>
    <xf numFmtId="170" fontId="82" fillId="0" borderId="0" xfId="2" applyNumberFormat="1" applyFont="1" applyAlignment="1">
      <alignment horizontal="right"/>
    </xf>
    <xf numFmtId="166" fontId="64" fillId="0" borderId="0" xfId="2" quotePrefix="1" applyNumberFormat="1" applyFont="1" applyAlignment="1">
      <alignment horizontal="left"/>
    </xf>
    <xf numFmtId="165" fontId="64" fillId="0" borderId="0" xfId="2" applyNumberFormat="1" applyFont="1"/>
    <xf numFmtId="165" fontId="45" fillId="0" borderId="0" xfId="2" applyNumberFormat="1" applyFont="1"/>
    <xf numFmtId="165" fontId="69" fillId="0" borderId="0" xfId="2" applyNumberFormat="1" applyFont="1"/>
    <xf numFmtId="0" fontId="69" fillId="0" borderId="0" xfId="2" applyFont="1"/>
    <xf numFmtId="164" fontId="69" fillId="0" borderId="0" xfId="2" applyNumberFormat="1" applyFont="1" applyAlignment="1">
      <alignment horizontal="right"/>
    </xf>
    <xf numFmtId="174" fontId="67" fillId="0" borderId="0" xfId="2" applyNumberFormat="1" applyFont="1"/>
    <xf numFmtId="166" fontId="42" fillId="0" borderId="21" xfId="2" applyNumberFormat="1" applyFont="1" applyBorder="1"/>
    <xf numFmtId="166" fontId="47" fillId="0" borderId="13" xfId="2" applyNumberFormat="1" applyFont="1" applyBorder="1"/>
    <xf numFmtId="3" fontId="42" fillId="0" borderId="0" xfId="2" applyNumberFormat="1" applyFont="1" applyAlignment="1">
      <alignment vertical="center"/>
    </xf>
    <xf numFmtId="3" fontId="42" fillId="0" borderId="0" xfId="2" applyNumberFormat="1" applyFont="1" applyAlignment="1">
      <alignment horizontal="left" vertical="center"/>
    </xf>
    <xf numFmtId="170" fontId="47" fillId="0" borderId="45" xfId="2" applyNumberFormat="1" applyFont="1" applyBorder="1"/>
    <xf numFmtId="0" fontId="47" fillId="0" borderId="21" xfId="2" applyFont="1" applyBorder="1"/>
    <xf numFmtId="166" fontId="42" fillId="0" borderId="13" xfId="2" applyNumberFormat="1" applyFont="1" applyBorder="1"/>
    <xf numFmtId="174" fontId="47" fillId="0" borderId="17" xfId="2" applyNumberFormat="1" applyFont="1" applyBorder="1"/>
    <xf numFmtId="164" fontId="42" fillId="0" borderId="0" xfId="2" applyNumberFormat="1" applyFont="1"/>
    <xf numFmtId="0" fontId="45" fillId="0" borderId="0" xfId="2" applyFont="1"/>
    <xf numFmtId="0" fontId="78" fillId="0" borderId="0" xfId="2" applyFont="1"/>
    <xf numFmtId="168" fontId="42" fillId="0" borderId="0" xfId="2" applyNumberFormat="1" applyFont="1"/>
    <xf numFmtId="0" fontId="41" fillId="0" borderId="0" xfId="2" applyFont="1" applyAlignment="1">
      <alignment horizontal="right"/>
    </xf>
    <xf numFmtId="165" fontId="42" fillId="0" borderId="15" xfId="2" applyNumberFormat="1" applyFont="1" applyBorder="1"/>
    <xf numFmtId="174" fontId="47" fillId="0" borderId="47" xfId="2" applyNumberFormat="1" applyFont="1" applyBorder="1"/>
    <xf numFmtId="164" fontId="47" fillId="0" borderId="0" xfId="2" applyNumberFormat="1" applyFont="1"/>
    <xf numFmtId="165" fontId="42" fillId="0" borderId="47" xfId="2" applyNumberFormat="1" applyFont="1" applyBorder="1"/>
    <xf numFmtId="170" fontId="42" fillId="0" borderId="47" xfId="2" applyNumberFormat="1" applyFont="1" applyBorder="1"/>
    <xf numFmtId="170" fontId="42" fillId="0" borderId="0" xfId="2" quotePrefix="1" applyNumberFormat="1" applyFont="1" applyAlignment="1">
      <alignment horizontal="right"/>
    </xf>
    <xf numFmtId="170" fontId="42" fillId="0" borderId="0" xfId="2" quotePrefix="1" applyNumberFormat="1" applyFont="1"/>
    <xf numFmtId="170" fontId="42" fillId="0" borderId="47" xfId="2" applyNumberFormat="1" applyFont="1" applyBorder="1" applyAlignment="1">
      <alignment horizontal="center"/>
    </xf>
    <xf numFmtId="165" fontId="42" fillId="0" borderId="0" xfId="2" applyNumberFormat="1" applyFont="1" applyAlignment="1">
      <alignment horizontal="left"/>
    </xf>
    <xf numFmtId="170" fontId="42" fillId="0" borderId="10" xfId="2" applyNumberFormat="1" applyFont="1" applyBorder="1" applyAlignment="1">
      <alignment horizontal="right"/>
    </xf>
    <xf numFmtId="170" fontId="47" fillId="0" borderId="47" xfId="2" applyNumberFormat="1" applyFont="1" applyBorder="1"/>
    <xf numFmtId="166" fontId="47" fillId="0" borderId="0" xfId="2" applyNumberFormat="1" applyFont="1" applyAlignment="1">
      <alignment horizontal="right"/>
    </xf>
    <xf numFmtId="164" fontId="47" fillId="0" borderId="16" xfId="2" applyNumberFormat="1" applyFont="1" applyBorder="1"/>
    <xf numFmtId="164" fontId="47" fillId="0" borderId="17" xfId="2" applyNumberFormat="1" applyFont="1" applyBorder="1"/>
    <xf numFmtId="168" fontId="43" fillId="0" borderId="0" xfId="2" applyNumberFormat="1" applyFont="1"/>
    <xf numFmtId="0" fontId="41" fillId="0" borderId="0" xfId="2" applyFont="1" applyAlignment="1">
      <alignment horizontal="left"/>
    </xf>
    <xf numFmtId="165" fontId="42" fillId="0" borderId="18" xfId="2" applyNumberFormat="1" applyFont="1" applyBorder="1"/>
    <xf numFmtId="165" fontId="42" fillId="0" borderId="0" xfId="2" applyNumberFormat="1" applyFont="1" applyAlignment="1">
      <alignment horizontal="right"/>
    </xf>
    <xf numFmtId="166" fontId="42" fillId="0" borderId="47" xfId="2" applyNumberFormat="1" applyFont="1" applyBorder="1" applyAlignment="1">
      <alignment horizontal="center"/>
    </xf>
    <xf numFmtId="170" fontId="47" fillId="0" borderId="40" xfId="2" applyNumberFormat="1" applyFont="1" applyBorder="1"/>
    <xf numFmtId="168" fontId="45" fillId="0" borderId="0" xfId="2" applyNumberFormat="1" applyFont="1"/>
    <xf numFmtId="0" fontId="87" fillId="0" borderId="0" xfId="2" applyFont="1"/>
    <xf numFmtId="164" fontId="42" fillId="0" borderId="0" xfId="2" applyNumberFormat="1" applyFont="1" applyAlignment="1">
      <alignment horizontal="right"/>
    </xf>
    <xf numFmtId="164" fontId="47" fillId="0" borderId="10" xfId="2" applyNumberFormat="1" applyFont="1" applyBorder="1"/>
    <xf numFmtId="0" fontId="45" fillId="0" borderId="0" xfId="4" applyFont="1"/>
    <xf numFmtId="0" fontId="69" fillId="0" borderId="0" xfId="4" applyFont="1"/>
    <xf numFmtId="0" fontId="42" fillId="0" borderId="0" xfId="4" applyFont="1"/>
    <xf numFmtId="166" fontId="42" fillId="0" borderId="0" xfId="4" applyNumberFormat="1" applyFont="1"/>
    <xf numFmtId="0" fontId="42" fillId="0" borderId="0" xfId="4" applyFont="1" applyAlignment="1">
      <alignment horizontal="center"/>
    </xf>
    <xf numFmtId="174" fontId="47" fillId="0" borderId="0" xfId="4" applyNumberFormat="1" applyFont="1"/>
    <xf numFmtId="0" fontId="47" fillId="0" borderId="0" xfId="4" applyFont="1"/>
    <xf numFmtId="166" fontId="42" fillId="0" borderId="15" xfId="4" applyNumberFormat="1" applyFont="1" applyBorder="1"/>
    <xf numFmtId="170" fontId="42" fillId="0" borderId="0" xfId="4" applyNumberFormat="1" applyFont="1"/>
    <xf numFmtId="170" fontId="47" fillId="0" borderId="10" xfId="4" applyNumberFormat="1" applyFont="1" applyBorder="1"/>
    <xf numFmtId="170" fontId="47" fillId="0" borderId="10" xfId="5" applyNumberFormat="1" applyFont="1" applyFill="1" applyBorder="1"/>
    <xf numFmtId="165" fontId="90" fillId="0" borderId="0" xfId="2" applyNumberFormat="1" applyFont="1" applyAlignment="1">
      <alignment horizontal="left"/>
    </xf>
    <xf numFmtId="165" fontId="91" fillId="0" borderId="0" xfId="2" applyNumberFormat="1" applyFont="1"/>
    <xf numFmtId="165" fontId="92" fillId="0" borderId="0" xfId="2" applyNumberFormat="1" applyFont="1"/>
    <xf numFmtId="165" fontId="93" fillId="0" borderId="0" xfId="2" applyNumberFormat="1" applyFont="1" applyAlignment="1">
      <alignment horizontal="centerContinuous"/>
    </xf>
    <xf numFmtId="165" fontId="90" fillId="0" borderId="0" xfId="2" applyNumberFormat="1" applyFont="1"/>
    <xf numFmtId="0" fontId="83" fillId="0" borderId="0" xfId="2" applyFont="1"/>
    <xf numFmtId="165" fontId="90" fillId="0" borderId="0" xfId="2" applyNumberFormat="1" applyFont="1" applyAlignment="1">
      <alignment horizontal="centerContinuous"/>
    </xf>
    <xf numFmtId="0" fontId="94" fillId="0" borderId="0" xfId="2" applyFont="1" applyAlignment="1">
      <alignment horizontal="left"/>
    </xf>
    <xf numFmtId="165" fontId="95" fillId="0" borderId="0" xfId="2" applyNumberFormat="1" applyFont="1"/>
    <xf numFmtId="166" fontId="47" fillId="0" borderId="15" xfId="2" applyNumberFormat="1" applyFont="1" applyBorder="1"/>
    <xf numFmtId="174" fontId="47" fillId="0" borderId="0" xfId="2" quotePrefix="1" applyNumberFormat="1" applyFont="1"/>
    <xf numFmtId="174" fontId="47" fillId="0" borderId="15" xfId="2" applyNumberFormat="1" applyFont="1" applyBorder="1"/>
    <xf numFmtId="166" fontId="0" fillId="0" borderId="0" xfId="2" applyNumberFormat="1" applyFont="1" applyAlignment="1">
      <alignment horizontal="center"/>
    </xf>
    <xf numFmtId="164" fontId="0" fillId="0" borderId="0" xfId="2" applyNumberFormat="1" applyFont="1"/>
    <xf numFmtId="170" fontId="47" fillId="0" borderId="15" xfId="2" applyNumberFormat="1" applyFont="1" applyBorder="1" applyAlignment="1">
      <alignment horizontal="right"/>
    </xf>
    <xf numFmtId="170" fontId="47" fillId="0" borderId="15" xfId="2" applyNumberFormat="1" applyFont="1" applyBorder="1"/>
    <xf numFmtId="170" fontId="0" fillId="0" borderId="10" xfId="2" applyNumberFormat="1" applyFont="1" applyBorder="1"/>
    <xf numFmtId="172" fontId="0" fillId="0" borderId="0" xfId="2" applyNumberFormat="1" applyFont="1"/>
    <xf numFmtId="170" fontId="47" fillId="0" borderId="15" xfId="2" applyNumberFormat="1" applyFont="1" applyBorder="1" applyAlignment="1">
      <alignment horizontal="center"/>
    </xf>
    <xf numFmtId="170" fontId="42" fillId="0" borderId="0" xfId="2" applyNumberFormat="1" applyFont="1" applyAlignment="1">
      <alignment horizontal="right" vertical="center"/>
    </xf>
    <xf numFmtId="170" fontId="42" fillId="0" borderId="21" xfId="2" applyNumberFormat="1" applyFont="1" applyBorder="1" applyAlignment="1">
      <alignment horizontal="right" vertical="center"/>
    </xf>
    <xf numFmtId="170" fontId="47" fillId="0" borderId="10" xfId="1" applyNumberFormat="1" applyFont="1" applyBorder="1" applyAlignment="1"/>
    <xf numFmtId="172" fontId="47" fillId="0" borderId="10" xfId="2" applyNumberFormat="1" applyFont="1" applyBorder="1"/>
    <xf numFmtId="7" fontId="47" fillId="0" borderId="0" xfId="2" applyNumberFormat="1" applyFont="1"/>
    <xf numFmtId="169" fontId="42" fillId="0" borderId="21" xfId="2" applyNumberFormat="1" applyFont="1" applyBorder="1"/>
    <xf numFmtId="166" fontId="85" fillId="0" borderId="0" xfId="2" applyNumberFormat="1" applyFont="1" applyAlignment="1">
      <alignment horizontal="left"/>
    </xf>
    <xf numFmtId="0" fontId="85" fillId="0" borderId="0" xfId="2" applyFont="1"/>
    <xf numFmtId="166" fontId="85" fillId="0" borderId="0" xfId="2" quotePrefix="1" applyNumberFormat="1" applyFont="1" applyAlignment="1">
      <alignment horizontal="left"/>
    </xf>
    <xf numFmtId="166" fontId="42" fillId="0" borderId="0" xfId="2" quotePrefix="1" applyNumberFormat="1" applyFont="1" applyAlignment="1">
      <alignment horizontal="left"/>
    </xf>
    <xf numFmtId="174" fontId="82" fillId="0" borderId="0" xfId="2" applyNumberFormat="1" applyFont="1" applyAlignment="1">
      <alignment horizontal="right"/>
    </xf>
    <xf numFmtId="166" fontId="78" fillId="0" borderId="0" xfId="2" applyNumberFormat="1" applyFont="1"/>
    <xf numFmtId="170" fontId="62" fillId="0" borderId="0" xfId="2" applyNumberFormat="1" applyFont="1" applyAlignment="1">
      <alignment horizontal="right"/>
    </xf>
    <xf numFmtId="170" fontId="79" fillId="0" borderId="20" xfId="2" applyNumberFormat="1" applyFont="1" applyBorder="1"/>
    <xf numFmtId="170" fontId="79" fillId="0" borderId="20" xfId="2" applyNumberFormat="1" applyFont="1" applyBorder="1" applyAlignment="1">
      <alignment horizontal="right"/>
    </xf>
    <xf numFmtId="170" fontId="82" fillId="0" borderId="0" xfId="2" applyNumberFormat="1" applyFont="1" applyAlignment="1">
      <alignment horizontal="center"/>
    </xf>
    <xf numFmtId="170" fontId="68" fillId="0" borderId="0" xfId="2" applyNumberFormat="1" applyFont="1" applyAlignment="1">
      <alignment horizontal="right"/>
    </xf>
    <xf numFmtId="166" fontId="82" fillId="0" borderId="20" xfId="2" applyNumberFormat="1" applyFont="1" applyBorder="1"/>
    <xf numFmtId="166" fontId="82" fillId="0" borderId="20" xfId="2" applyNumberFormat="1" applyFont="1" applyBorder="1" applyAlignment="1">
      <alignment horizontal="right"/>
    </xf>
    <xf numFmtId="166" fontId="82" fillId="0" borderId="0" xfId="2" applyNumberFormat="1" applyFont="1" applyAlignment="1">
      <alignment horizontal="right"/>
    </xf>
    <xf numFmtId="166" fontId="78" fillId="0" borderId="0" xfId="2" applyNumberFormat="1" applyFont="1" applyAlignment="1">
      <alignment horizontal="right"/>
    </xf>
    <xf numFmtId="166" fontId="82" fillId="0" borderId="21" xfId="2" applyNumberFormat="1" applyFont="1" applyBorder="1"/>
    <xf numFmtId="166" fontId="81" fillId="0" borderId="36" xfId="2" applyNumberFormat="1" applyFont="1" applyBorder="1"/>
    <xf numFmtId="165" fontId="81" fillId="0" borderId="0" xfId="2" applyNumberFormat="1" applyFont="1"/>
    <xf numFmtId="165" fontId="96" fillId="0" borderId="0" xfId="2" applyNumberFormat="1" applyFont="1"/>
    <xf numFmtId="165" fontId="64" fillId="0" borderId="20" xfId="2" applyNumberFormat="1" applyFont="1" applyBorder="1"/>
    <xf numFmtId="174" fontId="69" fillId="0" borderId="0" xfId="2" applyNumberFormat="1" applyFont="1"/>
    <xf numFmtId="170" fontId="64" fillId="0" borderId="20" xfId="2" applyNumberFormat="1" applyFont="1" applyBorder="1"/>
    <xf numFmtId="170" fontId="69" fillId="0" borderId="0" xfId="2" applyNumberFormat="1" applyFont="1"/>
    <xf numFmtId="170" fontId="69" fillId="0" borderId="0" xfId="2" applyNumberFormat="1" applyFont="1" applyAlignment="1">
      <alignment horizontal="right"/>
    </xf>
    <xf numFmtId="0" fontId="64" fillId="0" borderId="20" xfId="2" applyFont="1" applyBorder="1"/>
    <xf numFmtId="174" fontId="69" fillId="0" borderId="17" xfId="2" applyNumberFormat="1" applyFont="1" applyBorder="1"/>
    <xf numFmtId="0" fontId="64" fillId="0" borderId="36" xfId="2" applyFont="1" applyBorder="1"/>
    <xf numFmtId="165" fontId="64" fillId="0" borderId="0" xfId="2" quotePrefix="1" applyNumberFormat="1" applyFont="1"/>
    <xf numFmtId="0" fontId="97" fillId="0" borderId="0" xfId="2" applyFont="1"/>
    <xf numFmtId="0" fontId="69" fillId="0" borderId="0" xfId="2" applyFont="1" applyAlignment="1">
      <alignment horizontal="right"/>
    </xf>
    <xf numFmtId="0" fontId="98" fillId="0" borderId="0" xfId="2" applyFont="1"/>
    <xf numFmtId="0" fontId="99" fillId="0" borderId="0" xfId="2" applyFont="1"/>
    <xf numFmtId="0" fontId="98" fillId="0" borderId="0" xfId="2" applyFont="1" applyAlignment="1">
      <alignment horizontal="left"/>
    </xf>
    <xf numFmtId="0" fontId="0" fillId="0" borderId="0" xfId="17" applyNumberFormat="1" applyFont="1"/>
    <xf numFmtId="0" fontId="47" fillId="0" borderId="0" xfId="17" applyNumberFormat="1" applyFont="1" applyAlignment="1" applyProtection="1">
      <alignment horizontal="center"/>
      <protection locked="0"/>
    </xf>
    <xf numFmtId="0" fontId="47" fillId="0" borderId="0" xfId="17" applyNumberFormat="1" applyFont="1" applyAlignment="1">
      <alignment horizontal="center"/>
    </xf>
    <xf numFmtId="49" fontId="47" fillId="0" borderId="0" xfId="17" applyNumberFormat="1" applyFont="1" applyAlignment="1">
      <alignment horizontal="center"/>
    </xf>
    <xf numFmtId="0" fontId="73" fillId="0" borderId="0" xfId="17" applyNumberFormat="1" applyFont="1"/>
    <xf numFmtId="174" fontId="47" fillId="0" borderId="0" xfId="17" applyNumberFormat="1" applyFont="1"/>
    <xf numFmtId="190" fontId="111" fillId="0" borderId="0" xfId="11" applyNumberFormat="1" applyFont="1" applyAlignment="1">
      <alignment horizontal="right"/>
    </xf>
    <xf numFmtId="190" fontId="68" fillId="0" borderId="0" xfId="11" applyNumberFormat="1" applyFont="1" applyAlignment="1"/>
    <xf numFmtId="43" fontId="78" fillId="0" borderId="0" xfId="11" applyFont="1" applyAlignment="1"/>
    <xf numFmtId="190" fontId="45" fillId="0" borderId="0" xfId="11" applyNumberFormat="1" applyFont="1" applyAlignment="1"/>
    <xf numFmtId="0" fontId="41" fillId="0" borderId="0" xfId="739" quotePrefix="1" applyFont="1" applyAlignment="1">
      <alignment horizontal="left"/>
    </xf>
    <xf numFmtId="0" fontId="47" fillId="0" borderId="0" xfId="739" applyFont="1"/>
    <xf numFmtId="0" fontId="98" fillId="0" borderId="0" xfId="739" applyFont="1"/>
    <xf numFmtId="0" fontId="97" fillId="0" borderId="0" xfId="739" applyFont="1"/>
    <xf numFmtId="37" fontId="97" fillId="0" borderId="0" xfId="739" applyNumberFormat="1" applyFont="1"/>
    <xf numFmtId="0" fontId="99" fillId="0" borderId="0" xfId="739" applyFont="1"/>
    <xf numFmtId="37" fontId="98" fillId="0" borderId="42" xfId="739" quotePrefix="1" applyNumberFormat="1" applyFont="1" applyBorder="1" applyAlignment="1">
      <alignment horizontal="center"/>
    </xf>
    <xf numFmtId="37" fontId="134" fillId="0" borderId="0" xfId="2" applyNumberFormat="1" applyFont="1"/>
    <xf numFmtId="37" fontId="135" fillId="0" borderId="0" xfId="2" applyNumberFormat="1" applyFont="1"/>
    <xf numFmtId="0" fontId="133" fillId="0" borderId="0" xfId="2" applyFont="1" applyAlignment="1">
      <alignment horizontal="center"/>
    </xf>
    <xf numFmtId="37" fontId="133" fillId="0" borderId="0" xfId="2" applyNumberFormat="1" applyFont="1"/>
    <xf numFmtId="37" fontId="132" fillId="0" borderId="0" xfId="2" applyNumberFormat="1" applyFont="1"/>
    <xf numFmtId="166" fontId="67" fillId="0" borderId="0" xfId="2" applyNumberFormat="1" applyFont="1"/>
    <xf numFmtId="177" fontId="47" fillId="0" borderId="0" xfId="740" quotePrefix="1" applyNumberFormat="1" applyFont="1" applyAlignment="1">
      <alignment horizontal="left"/>
    </xf>
    <xf numFmtId="177" fontId="47" fillId="0" borderId="16" xfId="740" applyNumberFormat="1" applyFont="1" applyBorder="1" applyAlignment="1">
      <alignment horizontal="right"/>
    </xf>
    <xf numFmtId="177" fontId="47" fillId="0" borderId="0" xfId="740" applyNumberFormat="1" applyFont="1" applyAlignment="1">
      <alignment horizontal="center"/>
    </xf>
    <xf numFmtId="177" fontId="73" fillId="0" borderId="0" xfId="740" applyNumberFormat="1" applyFont="1"/>
    <xf numFmtId="177" fontId="102" fillId="0" borderId="0" xfId="740" applyNumberFormat="1" applyFont="1"/>
    <xf numFmtId="165" fontId="102" fillId="0" borderId="0" xfId="740" applyNumberFormat="1" applyFont="1"/>
    <xf numFmtId="177" fontId="47" fillId="0" borderId="0" xfId="740" applyNumberFormat="1" applyFont="1"/>
    <xf numFmtId="177" fontId="47" fillId="0" borderId="16" xfId="740" applyNumberFormat="1" applyFont="1" applyBorder="1"/>
    <xf numFmtId="177" fontId="47" fillId="0" borderId="0" xfId="740" applyNumberFormat="1" applyFont="1" applyAlignment="1">
      <alignment horizontal="right"/>
    </xf>
    <xf numFmtId="180" fontId="47" fillId="0" borderId="17" xfId="740" applyNumberFormat="1" applyFont="1" applyBorder="1"/>
    <xf numFmtId="181" fontId="47" fillId="0" borderId="0" xfId="740" applyNumberFormat="1" applyFont="1" applyAlignment="1">
      <alignment horizontal="right"/>
    </xf>
    <xf numFmtId="183" fontId="47" fillId="0" borderId="0" xfId="740" applyNumberFormat="1" applyFont="1"/>
    <xf numFmtId="0" fontId="64" fillId="0" borderId="0" xfId="836" applyFont="1"/>
    <xf numFmtId="0" fontId="64" fillId="0" borderId="0" xfId="836" applyFont="1" applyAlignment="1">
      <alignment horizontal="right"/>
    </xf>
    <xf numFmtId="177" fontId="64" fillId="0" borderId="0" xfId="836" applyNumberFormat="1" applyFont="1"/>
    <xf numFmtId="173" fontId="68" fillId="0" borderId="0" xfId="836" applyNumberFormat="1" applyFont="1"/>
    <xf numFmtId="0" fontId="69" fillId="0" borderId="0" xfId="836" applyFont="1"/>
    <xf numFmtId="0" fontId="47" fillId="0" borderId="0" xfId="836" applyFont="1"/>
    <xf numFmtId="173" fontId="42" fillId="0" borderId="0" xfId="836" applyNumberFormat="1"/>
    <xf numFmtId="0" fontId="69" fillId="0" borderId="0" xfId="836" applyFont="1" applyAlignment="1">
      <alignment horizontal="right"/>
    </xf>
    <xf numFmtId="173" fontId="64" fillId="0" borderId="0" xfId="836" applyNumberFormat="1" applyFont="1"/>
    <xf numFmtId="0" fontId="47" fillId="0" borderId="0" xfId="836" applyFont="1" applyAlignment="1">
      <alignment horizontal="right"/>
    </xf>
    <xf numFmtId="0" fontId="69" fillId="0" borderId="0" xfId="836" quotePrefix="1" applyFont="1" applyAlignment="1">
      <alignment horizontal="left"/>
    </xf>
    <xf numFmtId="0" fontId="105" fillId="0" borderId="0" xfId="836" applyFont="1"/>
    <xf numFmtId="181" fontId="42" fillId="0" borderId="0" xfId="836" applyNumberFormat="1"/>
    <xf numFmtId="181" fontId="47" fillId="0" borderId="0" xfId="836" applyNumberFormat="1" applyFont="1"/>
    <xf numFmtId="173" fontId="47" fillId="0" borderId="0" xfId="836" applyNumberFormat="1" applyFont="1"/>
    <xf numFmtId="173" fontId="69" fillId="0" borderId="0" xfId="836" applyNumberFormat="1" applyFont="1"/>
    <xf numFmtId="181" fontId="42" fillId="0" borderId="0" xfId="836" quotePrefix="1" applyNumberFormat="1" applyAlignment="1">
      <alignment horizontal="left"/>
    </xf>
    <xf numFmtId="173" fontId="69" fillId="0" borderId="0" xfId="836" applyNumberFormat="1" applyFont="1" applyAlignment="1">
      <alignment horizontal="centerContinuous"/>
    </xf>
    <xf numFmtId="173" fontId="69" fillId="0" borderId="0" xfId="836" applyNumberFormat="1" applyFont="1" applyAlignment="1">
      <alignment horizontal="center"/>
    </xf>
    <xf numFmtId="0" fontId="105" fillId="0" borderId="0" xfId="836" applyFont="1" applyAlignment="1">
      <alignment horizontal="center"/>
    </xf>
    <xf numFmtId="0" fontId="69" fillId="0" borderId="0" xfId="836" applyFont="1" applyAlignment="1">
      <alignment horizontal="center"/>
    </xf>
    <xf numFmtId="173" fontId="64" fillId="0" borderId="0" xfId="836" applyNumberFormat="1" applyFont="1" applyAlignment="1">
      <alignment horizontal="right"/>
    </xf>
    <xf numFmtId="176" fontId="64" fillId="0" borderId="0" xfId="836" applyNumberFormat="1" applyFont="1"/>
    <xf numFmtId="173" fontId="64" fillId="0" borderId="0" xfId="836" applyNumberFormat="1" applyFont="1" applyProtection="1">
      <protection locked="0"/>
    </xf>
    <xf numFmtId="176" fontId="64" fillId="0" borderId="0" xfId="836" applyNumberFormat="1" applyFont="1" applyProtection="1">
      <protection locked="0"/>
    </xf>
    <xf numFmtId="173" fontId="64" fillId="0" borderId="0" xfId="836" applyNumberFormat="1" applyFont="1" applyAlignment="1">
      <alignment horizontal="center"/>
    </xf>
    <xf numFmtId="176" fontId="64" fillId="0" borderId="0" xfId="836" applyNumberFormat="1" applyFont="1" applyAlignment="1" applyProtection="1">
      <alignment horizontal="right"/>
      <protection locked="0"/>
    </xf>
    <xf numFmtId="176" fontId="64" fillId="0" borderId="0" xfId="836" applyNumberFormat="1" applyFont="1" applyAlignment="1">
      <alignment horizontal="center"/>
    </xf>
    <xf numFmtId="0" fontId="65" fillId="0" borderId="0" xfId="836" applyFont="1"/>
    <xf numFmtId="165" fontId="45" fillId="0" borderId="0" xfId="840" applyNumberFormat="1"/>
    <xf numFmtId="165" fontId="111" fillId="0" borderId="0" xfId="840" applyNumberFormat="1" applyFont="1" applyAlignment="1">
      <alignment horizontal="right"/>
    </xf>
    <xf numFmtId="39" fontId="45" fillId="0" borderId="0" xfId="840" applyNumberFormat="1"/>
    <xf numFmtId="40" fontId="45" fillId="0" borderId="0" xfId="840" applyNumberFormat="1"/>
    <xf numFmtId="165" fontId="68" fillId="0" borderId="0" xfId="840" applyNumberFormat="1" applyFont="1"/>
    <xf numFmtId="5" fontId="47" fillId="0" borderId="0" xfId="840" applyNumberFormat="1" applyFont="1"/>
    <xf numFmtId="40" fontId="47" fillId="0" borderId="0" xfId="840" applyNumberFormat="1" applyFont="1"/>
    <xf numFmtId="165" fontId="78" fillId="0" borderId="0" xfId="840" applyNumberFormat="1" applyFont="1" applyAlignment="1">
      <alignment horizontal="right"/>
    </xf>
    <xf numFmtId="0" fontId="70" fillId="0" borderId="0" xfId="840" quotePrefix="1" applyFont="1" applyAlignment="1">
      <alignment horizontal="left"/>
    </xf>
    <xf numFmtId="0" fontId="69" fillId="0" borderId="0" xfId="840" applyFont="1"/>
    <xf numFmtId="40" fontId="112" fillId="0" borderId="0" xfId="840" applyNumberFormat="1" applyFont="1" applyAlignment="1">
      <alignment horizontal="center"/>
    </xf>
    <xf numFmtId="40" fontId="47" fillId="0" borderId="0" xfId="840" quotePrefix="1" applyNumberFormat="1" applyFont="1" applyAlignment="1">
      <alignment horizontal="left"/>
    </xf>
    <xf numFmtId="40" fontId="47" fillId="0" borderId="0" xfId="840" applyNumberFormat="1" applyFont="1" applyAlignment="1">
      <alignment horizontal="left"/>
    </xf>
    <xf numFmtId="39" fontId="47" fillId="0" borderId="0" xfId="840" quotePrefix="1" applyNumberFormat="1" applyFont="1" applyAlignment="1">
      <alignment horizontal="center"/>
    </xf>
    <xf numFmtId="40" fontId="47" fillId="0" borderId="0" xfId="840" applyNumberFormat="1" applyFont="1" applyAlignment="1">
      <alignment horizontal="center"/>
    </xf>
    <xf numFmtId="39" fontId="47" fillId="0" borderId="0" xfId="840" applyNumberFormat="1" applyFont="1" applyAlignment="1">
      <alignment horizontal="center"/>
    </xf>
    <xf numFmtId="37" fontId="47" fillId="0" borderId="0" xfId="840" applyNumberFormat="1" applyFont="1"/>
    <xf numFmtId="186" fontId="47" fillId="0" borderId="0" xfId="840" quotePrefix="1" applyNumberFormat="1" applyFont="1" applyAlignment="1">
      <alignment horizontal="center"/>
    </xf>
    <xf numFmtId="42" fontId="47" fillId="0" borderId="0" xfId="840" applyNumberFormat="1" applyFont="1"/>
    <xf numFmtId="165" fontId="78" fillId="0" borderId="0" xfId="840" applyNumberFormat="1" applyFont="1"/>
    <xf numFmtId="0" fontId="47" fillId="0" borderId="0" xfId="840" applyFont="1"/>
    <xf numFmtId="41" fontId="47" fillId="0" borderId="0" xfId="840" applyNumberFormat="1" applyFont="1"/>
    <xf numFmtId="41" fontId="47" fillId="0" borderId="16" xfId="840" applyNumberFormat="1" applyFont="1" applyBorder="1"/>
    <xf numFmtId="0" fontId="47" fillId="0" borderId="0" xfId="840" applyFont="1" applyAlignment="1">
      <alignment horizontal="left"/>
    </xf>
    <xf numFmtId="0" fontId="45" fillId="0" borderId="0" xfId="840" applyAlignment="1">
      <alignment horizontal="left"/>
    </xf>
    <xf numFmtId="166" fontId="61" fillId="0" borderId="0" xfId="2" applyNumberFormat="1" applyFont="1"/>
    <xf numFmtId="166" fontId="61" fillId="0" borderId="0" xfId="2" quotePrefix="1" applyNumberFormat="1" applyFont="1" applyAlignment="1">
      <alignment horizontal="left"/>
    </xf>
    <xf numFmtId="166" fontId="62" fillId="0" borderId="0" xfId="2" applyNumberFormat="1" applyFont="1" applyAlignment="1">
      <alignment horizontal="center"/>
    </xf>
    <xf numFmtId="166" fontId="62" fillId="0" borderId="20" xfId="2" applyNumberFormat="1" applyFont="1" applyBorder="1"/>
    <xf numFmtId="174" fontId="61" fillId="0" borderId="0" xfId="2" applyNumberFormat="1" applyFont="1"/>
    <xf numFmtId="174" fontId="61" fillId="0" borderId="18" xfId="2" applyNumberFormat="1" applyFont="1" applyBorder="1"/>
    <xf numFmtId="166" fontId="62" fillId="0" borderId="0" xfId="2" applyNumberFormat="1" applyFont="1" applyAlignment="1">
      <alignment horizontal="right"/>
    </xf>
    <xf numFmtId="166" fontId="62" fillId="0" borderId="18" xfId="2" applyNumberFormat="1" applyFont="1" applyBorder="1"/>
    <xf numFmtId="170" fontId="62" fillId="0" borderId="0" xfId="2" applyNumberFormat="1" applyFont="1"/>
    <xf numFmtId="170" fontId="62" fillId="0" borderId="18" xfId="2" applyNumberFormat="1" applyFont="1" applyBorder="1"/>
    <xf numFmtId="170" fontId="62" fillId="0" borderId="66" xfId="2" applyNumberFormat="1" applyFont="1" applyBorder="1"/>
    <xf numFmtId="170" fontId="61" fillId="0" borderId="10" xfId="2" applyNumberFormat="1" applyFont="1" applyBorder="1" applyAlignment="1">
      <alignment horizontal="right"/>
    </xf>
    <xf numFmtId="170" fontId="61" fillId="0" borderId="0" xfId="2" applyNumberFormat="1" applyFont="1"/>
    <xf numFmtId="170" fontId="61" fillId="0" borderId="18" xfId="2" applyNumberFormat="1" applyFont="1" applyBorder="1"/>
    <xf numFmtId="166" fontId="62" fillId="0" borderId="0" xfId="2" quotePrefix="1" applyNumberFormat="1" applyFont="1" applyAlignment="1">
      <alignment horizontal="left"/>
    </xf>
    <xf numFmtId="170" fontId="61" fillId="0" borderId="16" xfId="2" applyNumberFormat="1" applyFont="1" applyBorder="1"/>
    <xf numFmtId="170" fontId="139" fillId="0" borderId="0" xfId="2" applyNumberFormat="1" applyFont="1"/>
    <xf numFmtId="170" fontId="66" fillId="0" borderId="18" xfId="2" applyNumberFormat="1" applyFont="1" applyBorder="1"/>
    <xf numFmtId="170" fontId="67" fillId="0" borderId="0" xfId="2" applyNumberFormat="1" applyFont="1"/>
    <xf numFmtId="170" fontId="67" fillId="0" borderId="18" xfId="2" applyNumberFormat="1" applyFont="1" applyBorder="1"/>
    <xf numFmtId="170" fontId="61" fillId="0" borderId="0" xfId="2" applyNumberFormat="1" applyFont="1" applyAlignment="1">
      <alignment horizontal="right"/>
    </xf>
    <xf numFmtId="166" fontId="66" fillId="0" borderId="18" xfId="2" applyNumberFormat="1" applyFont="1" applyBorder="1"/>
    <xf numFmtId="166" fontId="47" fillId="0" borderId="0" xfId="2" applyNumberFormat="1" applyFont="1" applyAlignment="1">
      <alignment horizontal="left"/>
    </xf>
    <xf numFmtId="174" fontId="61" fillId="0" borderId="17" xfId="2" applyNumberFormat="1" applyFont="1" applyBorder="1"/>
    <xf numFmtId="174" fontId="67" fillId="0" borderId="0" xfId="2" applyNumberFormat="1" applyFont="1" applyAlignment="1">
      <alignment horizontal="right"/>
    </xf>
    <xf numFmtId="174" fontId="67" fillId="0" borderId="18" xfId="2" applyNumberFormat="1" applyFont="1" applyBorder="1"/>
    <xf numFmtId="166" fontId="49" fillId="0" borderId="0" xfId="2" applyNumberFormat="1" applyFont="1"/>
    <xf numFmtId="43" fontId="45" fillId="0" borderId="0" xfId="5" applyFont="1" applyFill="1" applyBorder="1" applyAlignment="1">
      <alignment horizontal="right"/>
    </xf>
    <xf numFmtId="0" fontId="84" fillId="0" borderId="0" xfId="8" applyFont="1"/>
    <xf numFmtId="0" fontId="140" fillId="0" borderId="0" xfId="8" applyFont="1"/>
    <xf numFmtId="0" fontId="116" fillId="0" borderId="0" xfId="8" applyFont="1"/>
    <xf numFmtId="0" fontId="52" fillId="0" borderId="0" xfId="8" applyFont="1"/>
    <xf numFmtId="0" fontId="52" fillId="0" borderId="0" xfId="8" applyFont="1" applyAlignment="1">
      <alignment horizontal="left"/>
    </xf>
    <xf numFmtId="0" fontId="52" fillId="0" borderId="0" xfId="8" applyFont="1" applyAlignment="1">
      <alignment horizontal="right" indent="15"/>
    </xf>
    <xf numFmtId="0" fontId="116" fillId="0" borderId="0" xfId="8" applyFont="1" applyAlignment="1">
      <alignment horizontal="right"/>
    </xf>
    <xf numFmtId="0" fontId="45" fillId="0" borderId="0" xfId="8" applyFont="1" applyAlignment="1">
      <alignment horizontal="center"/>
    </xf>
    <xf numFmtId="0" fontId="52" fillId="0" borderId="0" xfId="8" applyFont="1" applyAlignment="1">
      <alignment horizontal="center"/>
    </xf>
    <xf numFmtId="0" fontId="52" fillId="0" borderId="0" xfId="8" applyFont="1" applyAlignment="1">
      <alignment horizontal="right"/>
    </xf>
    <xf numFmtId="0" fontId="116" fillId="0" borderId="0" xfId="8" quotePrefix="1" applyFont="1" applyAlignment="1">
      <alignment horizontal="right"/>
    </xf>
    <xf numFmtId="165" fontId="52" fillId="0" borderId="0" xfId="8" applyNumberFormat="1" applyFont="1" applyAlignment="1">
      <alignment horizontal="right"/>
    </xf>
    <xf numFmtId="0" fontId="142" fillId="0" borderId="0" xfId="8" applyFont="1"/>
    <xf numFmtId="0" fontId="116" fillId="0" borderId="0" xfId="8" applyFont="1" applyAlignment="1">
      <alignment horizontal="center"/>
    </xf>
    <xf numFmtId="188" fontId="52" fillId="0" borderId="0" xfId="8" quotePrefix="1" applyNumberFormat="1" applyFont="1"/>
    <xf numFmtId="3" fontId="52" fillId="0" borderId="0" xfId="8" quotePrefix="1" applyNumberFormat="1" applyFont="1"/>
    <xf numFmtId="3" fontId="52" fillId="0" borderId="0" xfId="8" quotePrefix="1" applyNumberFormat="1" applyFont="1" applyAlignment="1">
      <alignment horizontal="center"/>
    </xf>
    <xf numFmtId="188" fontId="52" fillId="0" borderId="0" xfId="8" applyNumberFormat="1" applyFont="1"/>
    <xf numFmtId="3" fontId="52" fillId="0" borderId="0" xfId="8" applyNumberFormat="1" applyFont="1"/>
    <xf numFmtId="0" fontId="140" fillId="0" borderId="0" xfId="8" applyFont="1" applyAlignment="1">
      <alignment horizontal="center"/>
    </xf>
    <xf numFmtId="191" fontId="52" fillId="0" borderId="0" xfId="8" applyNumberFormat="1" applyFont="1"/>
    <xf numFmtId="175" fontId="52" fillId="0" borderId="0" xfId="8" quotePrefix="1" applyNumberFormat="1" applyFont="1" applyAlignment="1">
      <alignment horizontal="right"/>
    </xf>
    <xf numFmtId="192" fontId="52" fillId="0" borderId="0" xfId="8" applyNumberFormat="1" applyFont="1"/>
    <xf numFmtId="175" fontId="52" fillId="0" borderId="0" xfId="8" quotePrefix="1" applyNumberFormat="1" applyFont="1"/>
    <xf numFmtId="0" fontId="46" fillId="0" borderId="0" xfId="860" applyFont="1" applyAlignment="1">
      <alignment horizontal="centerContinuous"/>
    </xf>
    <xf numFmtId="37" fontId="46" fillId="0" borderId="0" xfId="860" applyNumberFormat="1" applyFont="1" applyAlignment="1">
      <alignment horizontal="centerContinuous"/>
    </xf>
    <xf numFmtId="0" fontId="46" fillId="0" borderId="0" xfId="860" applyFont="1"/>
    <xf numFmtId="0" fontId="45" fillId="0" borderId="0" xfId="860" applyFont="1" applyAlignment="1">
      <alignment horizontal="centerContinuous"/>
    </xf>
    <xf numFmtId="37" fontId="69" fillId="0" borderId="0" xfId="860" applyNumberFormat="1" applyFont="1" applyAlignment="1">
      <alignment horizontal="centerContinuous"/>
    </xf>
    <xf numFmtId="0" fontId="45" fillId="0" borderId="0" xfId="860" applyFont="1"/>
    <xf numFmtId="0" fontId="46" fillId="0" borderId="67" xfId="860" applyFont="1" applyBorder="1" applyAlignment="1">
      <alignment horizontal="centerContinuous"/>
    </xf>
    <xf numFmtId="0" fontId="45" fillId="0" borderId="36" xfId="860" applyFont="1" applyBorder="1" applyAlignment="1">
      <alignment horizontal="centerContinuous"/>
    </xf>
    <xf numFmtId="37" fontId="69" fillId="0" borderId="68" xfId="860" applyNumberFormat="1" applyFont="1" applyBorder="1"/>
    <xf numFmtId="0" fontId="46" fillId="0" borderId="36" xfId="860" applyFont="1" applyBorder="1"/>
    <xf numFmtId="0" fontId="45" fillId="0" borderId="36" xfId="860" applyFont="1" applyBorder="1"/>
    <xf numFmtId="37" fontId="69" fillId="0" borderId="0" xfId="860" applyNumberFormat="1" applyFont="1"/>
    <xf numFmtId="37" fontId="45" fillId="0" borderId="0" xfId="860" applyNumberFormat="1" applyFont="1"/>
    <xf numFmtId="37" fontId="43" fillId="0" borderId="0" xfId="860" applyNumberFormat="1" applyFont="1"/>
    <xf numFmtId="0" fontId="45" fillId="0" borderId="66" xfId="860" applyFont="1" applyBorder="1"/>
    <xf numFmtId="0" fontId="143" fillId="0" borderId="0" xfId="860" applyFont="1"/>
    <xf numFmtId="37" fontId="45" fillId="0" borderId="0" xfId="860" applyNumberFormat="1" applyFont="1" applyAlignment="1">
      <alignment horizontal="left"/>
    </xf>
    <xf numFmtId="0" fontId="45" fillId="0" borderId="16" xfId="860" applyFont="1" applyBorder="1"/>
    <xf numFmtId="0" fontId="143" fillId="0" borderId="16" xfId="860" applyFont="1" applyBorder="1"/>
    <xf numFmtId="0" fontId="113" fillId="0" borderId="0" xfId="860" applyFont="1"/>
    <xf numFmtId="0" fontId="45" fillId="0" borderId="20" xfId="860" applyFont="1" applyBorder="1"/>
    <xf numFmtId="0" fontId="45" fillId="0" borderId="40" xfId="860" applyFont="1" applyBorder="1"/>
    <xf numFmtId="165" fontId="45" fillId="0" borderId="0" xfId="860" applyNumberFormat="1" applyFont="1" applyAlignment="1">
      <alignment horizontal="left"/>
    </xf>
    <xf numFmtId="0" fontId="144" fillId="0" borderId="0" xfId="860" applyFont="1" applyAlignment="1">
      <alignment vertical="top" wrapText="1"/>
    </xf>
    <xf numFmtId="0" fontId="45" fillId="0" borderId="16" xfId="860" applyFont="1" applyBorder="1" applyAlignment="1">
      <alignment horizontal="left"/>
    </xf>
    <xf numFmtId="0" fontId="86" fillId="0" borderId="0" xfId="860" applyFont="1"/>
    <xf numFmtId="0" fontId="45" fillId="0" borderId="0" xfId="860" applyFont="1" applyAlignment="1">
      <alignment horizontal="left"/>
    </xf>
    <xf numFmtId="170" fontId="40" fillId="0" borderId="0" xfId="0" applyNumberFormat="1" applyFont="1"/>
    <xf numFmtId="166" fontId="40" fillId="0" borderId="0" xfId="0" applyNumberFormat="1" applyFont="1" applyProtection="1">
      <protection locked="0"/>
    </xf>
    <xf numFmtId="166" fontId="40" fillId="0" borderId="0" xfId="0" applyNumberFormat="1" applyFont="1"/>
    <xf numFmtId="170" fontId="40" fillId="0" borderId="0" xfId="0" quotePrefix="1" applyNumberFormat="1" applyFont="1" applyAlignment="1">
      <alignment horizontal="center"/>
    </xf>
    <xf numFmtId="170" fontId="40" fillId="0" borderId="0" xfId="0" applyNumberFormat="1" applyFont="1" applyAlignment="1">
      <alignment horizontal="center"/>
    </xf>
    <xf numFmtId="37" fontId="40" fillId="0" borderId="0" xfId="2" applyNumberFormat="1"/>
    <xf numFmtId="49" fontId="40" fillId="0" borderId="0" xfId="17" applyNumberFormat="1" applyAlignment="1">
      <alignment horizontal="center"/>
    </xf>
    <xf numFmtId="0" fontId="69" fillId="0" borderId="0" xfId="0" applyNumberFormat="1" applyFont="1"/>
    <xf numFmtId="0" fontId="45" fillId="0" borderId="0" xfId="0" applyNumberFormat="1" applyFont="1"/>
    <xf numFmtId="0" fontId="45" fillId="0" borderId="0" xfId="0" applyNumberFormat="1" applyFont="1" applyAlignment="1">
      <alignment horizontal="right"/>
    </xf>
    <xf numFmtId="0" fontId="46" fillId="0" borderId="0" xfId="0" applyNumberFormat="1" applyFont="1"/>
    <xf numFmtId="39" fontId="45" fillId="0" borderId="0" xfId="0" applyNumberFormat="1" applyFont="1"/>
    <xf numFmtId="39" fontId="45" fillId="0" borderId="0" xfId="0" applyNumberFormat="1" applyFont="1" applyAlignment="1">
      <alignment horizontal="center"/>
    </xf>
    <xf numFmtId="39" fontId="45" fillId="0" borderId="0" xfId="0" applyNumberFormat="1" applyFont="1" applyAlignment="1">
      <alignment horizontal="right"/>
    </xf>
    <xf numFmtId="39" fontId="46" fillId="0" borderId="0" xfId="0" applyNumberFormat="1" applyFont="1"/>
    <xf numFmtId="187" fontId="45" fillId="0" borderId="0" xfId="0" applyNumberFormat="1" applyFont="1"/>
    <xf numFmtId="0" fontId="45" fillId="0" borderId="0" xfId="0" applyNumberFormat="1" applyFont="1" applyAlignment="1">
      <alignment horizontal="left" vertical="top"/>
    </xf>
    <xf numFmtId="177" fontId="40" fillId="0" borderId="0" xfId="740" applyNumberFormat="1" applyFont="1" applyAlignment="1">
      <alignment horizontal="center"/>
    </xf>
    <xf numFmtId="170" fontId="40" fillId="0" borderId="0" xfId="2" applyNumberFormat="1"/>
    <xf numFmtId="165" fontId="40" fillId="0" borderId="0" xfId="0" applyNumberFormat="1" applyFont="1" applyProtection="1">
      <protection locked="0"/>
    </xf>
    <xf numFmtId="164" fontId="40" fillId="0" borderId="0" xfId="0" applyFont="1"/>
    <xf numFmtId="164" fontId="40" fillId="0" borderId="0" xfId="0" applyFont="1" applyAlignment="1">
      <alignment horizontal="center"/>
    </xf>
    <xf numFmtId="164" fontId="98" fillId="0" borderId="0" xfId="0" applyFont="1"/>
    <xf numFmtId="166" fontId="40" fillId="0" borderId="0" xfId="2" applyNumberFormat="1"/>
    <xf numFmtId="0" fontId="40" fillId="0" borderId="0" xfId="17" applyNumberFormat="1" applyAlignment="1">
      <alignment horizontal="left"/>
    </xf>
    <xf numFmtId="164" fontId="69" fillId="0" borderId="0" xfId="0" applyFont="1"/>
    <xf numFmtId="0" fontId="148" fillId="0" borderId="0" xfId="860" applyFont="1"/>
    <xf numFmtId="37" fontId="45" fillId="34" borderId="0" xfId="860" applyNumberFormat="1" applyFont="1" applyFill="1" applyAlignment="1">
      <alignment horizontal="left"/>
    </xf>
    <xf numFmtId="0" fontId="46" fillId="34" borderId="0" xfId="860" applyFont="1" applyFill="1"/>
    <xf numFmtId="174" fontId="42" fillId="0" borderId="0" xfId="0" applyNumberFormat="1" applyFont="1"/>
    <xf numFmtId="174" fontId="40" fillId="0" borderId="0" xfId="2" applyNumberFormat="1"/>
    <xf numFmtId="170" fontId="40" fillId="0" borderId="0" xfId="2" quotePrefix="1" applyNumberFormat="1" applyAlignment="1">
      <alignment horizontal="center"/>
    </xf>
    <xf numFmtId="174" fontId="40" fillId="0" borderId="0" xfId="2" applyNumberFormat="1" applyAlignment="1">
      <alignment horizontal="right"/>
    </xf>
    <xf numFmtId="174" fontId="40" fillId="0" borderId="0" xfId="2" quotePrefix="1" applyNumberFormat="1" applyAlignment="1">
      <alignment horizontal="center"/>
    </xf>
    <xf numFmtId="187" fontId="100" fillId="0" borderId="0" xfId="8" applyNumberFormat="1"/>
    <xf numFmtId="0" fontId="40" fillId="0" borderId="0" xfId="17" quotePrefix="1" applyNumberFormat="1" applyAlignment="1">
      <alignment horizontal="left"/>
    </xf>
    <xf numFmtId="164" fontId="64" fillId="0" borderId="0" xfId="0" applyFont="1"/>
    <xf numFmtId="164" fontId="47" fillId="0" borderId="0" xfId="0" applyFont="1"/>
    <xf numFmtId="0" fontId="141" fillId="0" borderId="0" xfId="8" applyFont="1" applyAlignment="1">
      <alignment horizontal="left"/>
    </xf>
    <xf numFmtId="164" fontId="40" fillId="0" borderId="0" xfId="2" applyNumberFormat="1"/>
    <xf numFmtId="165" fontId="40" fillId="0" borderId="0" xfId="0" applyNumberFormat="1" applyFont="1"/>
    <xf numFmtId="165" fontId="47" fillId="0" borderId="0" xfId="0" applyNumberFormat="1" applyFont="1"/>
    <xf numFmtId="170" fontId="47" fillId="0" borderId="20" xfId="0" applyNumberFormat="1" applyFont="1" applyBorder="1"/>
    <xf numFmtId="165" fontId="40" fillId="0" borderId="0" xfId="0" quotePrefix="1" applyNumberFormat="1" applyFont="1" applyAlignment="1">
      <alignment horizontal="center"/>
    </xf>
    <xf numFmtId="170" fontId="40" fillId="0" borderId="0" xfId="2" applyNumberFormat="1" applyAlignment="1">
      <alignment horizontal="right"/>
    </xf>
    <xf numFmtId="177" fontId="103" fillId="0" borderId="0" xfId="740" applyNumberFormat="1" applyFont="1"/>
    <xf numFmtId="170" fontId="40" fillId="0" borderId="0" xfId="2" quotePrefix="1" applyNumberFormat="1" applyAlignment="1">
      <alignment horizontal="right"/>
    </xf>
    <xf numFmtId="170" fontId="40" fillId="0" borderId="0" xfId="2" quotePrefix="1" applyNumberFormat="1"/>
    <xf numFmtId="170" fontId="40" fillId="0" borderId="20" xfId="2" applyNumberFormat="1" applyBorder="1"/>
    <xf numFmtId="174" fontId="132" fillId="0" borderId="0" xfId="2" applyNumberFormat="1" applyFont="1"/>
    <xf numFmtId="0" fontId="40" fillId="0" borderId="0" xfId="2"/>
    <xf numFmtId="0" fontId="69" fillId="0" borderId="20" xfId="836" applyFont="1" applyBorder="1"/>
    <xf numFmtId="181" fontId="64" fillId="0" borderId="0" xfId="836" applyNumberFormat="1" applyFont="1"/>
    <xf numFmtId="181" fontId="64" fillId="0" borderId="20" xfId="836" applyNumberFormat="1" applyFont="1" applyBorder="1"/>
    <xf numFmtId="181" fontId="64" fillId="0" borderId="20" xfId="836" applyNumberFormat="1" applyFont="1" applyBorder="1" applyAlignment="1">
      <alignment horizontal="right"/>
    </xf>
    <xf numFmtId="181" fontId="81" fillId="0" borderId="20" xfId="836" applyNumberFormat="1" applyFont="1" applyBorder="1"/>
    <xf numFmtId="177" fontId="69" fillId="0" borderId="0" xfId="836" applyNumberFormat="1" applyFont="1" applyAlignment="1">
      <alignment horizontal="right"/>
    </xf>
    <xf numFmtId="177" fontId="69" fillId="0" borderId="0" xfId="836" applyNumberFormat="1" applyFont="1"/>
    <xf numFmtId="177" fontId="64" fillId="0" borderId="20" xfId="836" applyNumberFormat="1" applyFont="1" applyBorder="1"/>
    <xf numFmtId="173" fontId="64" fillId="0" borderId="0" xfId="836" quotePrefix="1" applyNumberFormat="1" applyFont="1" applyAlignment="1">
      <alignment horizontal="left"/>
    </xf>
    <xf numFmtId="177" fontId="64" fillId="0" borderId="0" xfId="836" applyNumberFormat="1" applyFont="1" applyProtection="1">
      <protection locked="0"/>
    </xf>
    <xf numFmtId="177" fontId="64" fillId="0" borderId="0" xfId="836" applyNumberFormat="1" applyFont="1" applyAlignment="1">
      <alignment horizontal="center"/>
    </xf>
    <xf numFmtId="177" fontId="69" fillId="0" borderId="10" xfId="836" applyNumberFormat="1" applyFont="1" applyBorder="1"/>
    <xf numFmtId="177" fontId="69" fillId="0" borderId="33" xfId="836" applyNumberFormat="1" applyFont="1" applyBorder="1" applyAlignment="1">
      <alignment horizontal="right"/>
    </xf>
    <xf numFmtId="180" fontId="64" fillId="0" borderId="0" xfId="836" applyNumberFormat="1" applyFont="1"/>
    <xf numFmtId="180" fontId="69" fillId="0" borderId="17" xfId="836" applyNumberFormat="1" applyFont="1" applyBorder="1"/>
    <xf numFmtId="180" fontId="69" fillId="0" borderId="0" xfId="836" applyNumberFormat="1" applyFont="1" applyAlignment="1">
      <alignment horizontal="right"/>
    </xf>
    <xf numFmtId="180" fontId="69" fillId="0" borderId="0" xfId="836" applyNumberFormat="1" applyFont="1"/>
    <xf numFmtId="181" fontId="64" fillId="0" borderId="36" xfId="836" applyNumberFormat="1" applyFont="1" applyBorder="1"/>
    <xf numFmtId="0" fontId="155" fillId="0" borderId="0" xfId="836" quotePrefix="1" applyFont="1" applyAlignment="1">
      <alignment horizontal="left"/>
    </xf>
    <xf numFmtId="173" fontId="81" fillId="0" borderId="0" xfId="836" applyNumberFormat="1" applyFont="1"/>
    <xf numFmtId="0" fontId="40" fillId="0" borderId="0" xfId="17" applyNumberFormat="1" applyAlignment="1">
      <alignment readingOrder="1"/>
    </xf>
    <xf numFmtId="0" fontId="40" fillId="0" borderId="0" xfId="17" applyNumberFormat="1"/>
    <xf numFmtId="0" fontId="40" fillId="0" borderId="0" xfId="17" applyNumberFormat="1" applyAlignment="1" applyProtection="1">
      <alignment readingOrder="1"/>
      <protection locked="0"/>
    </xf>
    <xf numFmtId="0" fontId="40" fillId="0" borderId="0" xfId="17" applyNumberFormat="1" applyProtection="1">
      <protection locked="0"/>
    </xf>
    <xf numFmtId="0" fontId="47" fillId="0" borderId="0" xfId="17" applyNumberFormat="1" applyFont="1" applyProtection="1">
      <protection locked="0"/>
    </xf>
    <xf numFmtId="39" fontId="45" fillId="0" borderId="0" xfId="0" applyNumberFormat="1" applyFont="1" applyAlignment="1">
      <alignment horizontal="right" vertical="top"/>
    </xf>
    <xf numFmtId="39" fontId="45" fillId="0" borderId="0" xfId="0" applyNumberFormat="1" applyFont="1" applyAlignment="1">
      <alignment horizontal="center" vertical="top"/>
    </xf>
    <xf numFmtId="0" fontId="45" fillId="0" borderId="0" xfId="0" quotePrefix="1" applyNumberFormat="1" applyFont="1"/>
    <xf numFmtId="0" fontId="45" fillId="0" borderId="0" xfId="0" applyNumberFormat="1" applyFont="1" applyAlignment="1">
      <alignment horizontal="center" vertical="top"/>
    </xf>
    <xf numFmtId="177" fontId="40" fillId="0" borderId="0" xfId="740" applyNumberFormat="1" applyFont="1" applyAlignment="1">
      <alignment horizontal="right"/>
    </xf>
    <xf numFmtId="177" fontId="40" fillId="0" borderId="0" xfId="740" applyNumberFormat="1" applyFont="1"/>
    <xf numFmtId="177" fontId="40" fillId="0" borderId="0" xfId="740" quotePrefix="1" applyNumberFormat="1" applyFont="1" applyAlignment="1">
      <alignment horizontal="left"/>
    </xf>
    <xf numFmtId="177" fontId="100" fillId="0" borderId="0" xfId="740" applyNumberFormat="1" applyFont="1"/>
    <xf numFmtId="0" fontId="100" fillId="0" borderId="0" xfId="740" applyFont="1"/>
    <xf numFmtId="181" fontId="40" fillId="0" borderId="0" xfId="740" applyNumberFormat="1" applyFont="1"/>
    <xf numFmtId="0" fontId="40" fillId="0" borderId="0" xfId="740" quotePrefix="1" applyFont="1" applyAlignment="1">
      <alignment horizontal="left"/>
    </xf>
    <xf numFmtId="182" fontId="40" fillId="0" borderId="0" xfId="741" applyNumberFormat="1" applyFont="1" applyFill="1" applyBorder="1" applyAlignment="1"/>
    <xf numFmtId="0" fontId="47" fillId="0" borderId="0" xfId="2" quotePrefix="1" applyFont="1" applyAlignment="1">
      <alignment horizontal="center"/>
    </xf>
    <xf numFmtId="17" fontId="47" fillId="0" borderId="0" xfId="2" quotePrefix="1" applyNumberFormat="1" applyFont="1" applyAlignment="1">
      <alignment horizontal="center"/>
    </xf>
    <xf numFmtId="15" fontId="47" fillId="0" borderId="0" xfId="2" quotePrefix="1" applyNumberFormat="1" applyFont="1" applyAlignment="1">
      <alignment horizontal="center"/>
    </xf>
    <xf numFmtId="17" fontId="47" fillId="0" borderId="0" xfId="2" applyNumberFormat="1" applyFont="1" applyAlignment="1">
      <alignment horizontal="center"/>
    </xf>
    <xf numFmtId="15" fontId="47" fillId="0" borderId="0" xfId="2" applyNumberFormat="1" applyFont="1" applyAlignment="1">
      <alignment horizontal="center"/>
    </xf>
    <xf numFmtId="166" fontId="61" fillId="0" borderId="0" xfId="2" applyNumberFormat="1" applyFont="1" applyAlignment="1">
      <alignment horizontal="center"/>
    </xf>
    <xf numFmtId="165" fontId="47" fillId="0" borderId="0" xfId="2" quotePrefix="1" applyNumberFormat="1" applyFont="1" applyAlignment="1">
      <alignment horizontal="center"/>
    </xf>
    <xf numFmtId="166" fontId="47" fillId="0" borderId="0" xfId="2" applyNumberFormat="1" applyFont="1" applyAlignment="1">
      <alignment horizontal="center"/>
    </xf>
    <xf numFmtId="165" fontId="47" fillId="0" borderId="0" xfId="2" applyNumberFormat="1" applyFont="1" applyAlignment="1">
      <alignment horizontal="center"/>
    </xf>
    <xf numFmtId="166" fontId="47" fillId="0" borderId="10" xfId="2" applyNumberFormat="1" applyFont="1" applyBorder="1" applyAlignment="1">
      <alignment horizontal="center"/>
    </xf>
    <xf numFmtId="166" fontId="47" fillId="0" borderId="10" xfId="2" quotePrefix="1" applyNumberFormat="1" applyFont="1" applyBorder="1" applyAlignment="1">
      <alignment horizontal="center"/>
    </xf>
    <xf numFmtId="165" fontId="46" fillId="0" borderId="0" xfId="2" applyNumberFormat="1" applyFont="1"/>
    <xf numFmtId="165" fontId="47" fillId="0" borderId="10" xfId="2" applyNumberFormat="1" applyFont="1" applyBorder="1" applyAlignment="1">
      <alignment horizontal="center"/>
    </xf>
    <xf numFmtId="165" fontId="159" fillId="0" borderId="0" xfId="2" applyNumberFormat="1" applyFont="1"/>
    <xf numFmtId="165" fontId="160" fillId="0" borderId="0" xfId="2" applyNumberFormat="1" applyFont="1"/>
    <xf numFmtId="165" fontId="161" fillId="0" borderId="0" xfId="2" applyNumberFormat="1" applyFont="1" applyAlignment="1">
      <alignment horizontal="centerContinuous"/>
    </xf>
    <xf numFmtId="165" fontId="163" fillId="0" borderId="0" xfId="2" applyNumberFormat="1" applyFont="1"/>
    <xf numFmtId="0" fontId="47" fillId="0" borderId="10" xfId="2" applyFont="1" applyBorder="1" applyAlignment="1">
      <alignment horizontal="center"/>
    </xf>
    <xf numFmtId="0" fontId="162" fillId="0" borderId="0" xfId="2" applyFont="1"/>
    <xf numFmtId="166" fontId="83" fillId="0" borderId="0" xfId="2" applyNumberFormat="1" applyFont="1"/>
    <xf numFmtId="166" fontId="82" fillId="0" borderId="0" xfId="2" applyNumberFormat="1" applyFont="1" applyAlignment="1">
      <alignment horizontal="center"/>
    </xf>
    <xf numFmtId="164" fontId="47" fillId="0" borderId="0" xfId="0" applyFont="1" applyAlignment="1">
      <alignment horizontal="center"/>
    </xf>
    <xf numFmtId="0" fontId="69" fillId="0" borderId="0" xfId="0" applyNumberFormat="1" applyFont="1" applyAlignment="1">
      <alignment horizontal="center"/>
    </xf>
    <xf numFmtId="164" fontId="69" fillId="0" borderId="0" xfId="0" applyFont="1" applyAlignment="1">
      <alignment horizontal="center"/>
    </xf>
    <xf numFmtId="0" fontId="69" fillId="0" borderId="0" xfId="2" quotePrefix="1" applyFont="1" applyAlignment="1">
      <alignment horizontal="center"/>
    </xf>
    <xf numFmtId="0" fontId="69" fillId="0" borderId="0" xfId="2" applyFont="1" applyAlignment="1">
      <alignment horizontal="center"/>
    </xf>
    <xf numFmtId="0" fontId="46" fillId="0" borderId="0" xfId="860" applyFont="1" applyAlignment="1">
      <alignment horizontal="right"/>
    </xf>
    <xf numFmtId="177" fontId="45" fillId="0" borderId="0" xfId="740" applyNumberFormat="1" applyFont="1"/>
    <xf numFmtId="0" fontId="40" fillId="0" borderId="0" xfId="0" applyNumberFormat="1" applyFont="1"/>
    <xf numFmtId="39" fontId="46" fillId="0" borderId="0" xfId="0" applyNumberFormat="1" applyFont="1" applyAlignment="1">
      <alignment horizontal="center" vertical="top"/>
    </xf>
    <xf numFmtId="164" fontId="45" fillId="0" borderId="0" xfId="2" applyNumberFormat="1" applyFont="1"/>
    <xf numFmtId="164" fontId="41" fillId="0" borderId="0" xfId="2" applyNumberFormat="1" applyFont="1" applyAlignment="1">
      <alignment horizontal="right"/>
    </xf>
    <xf numFmtId="164" fontId="43" fillId="0" borderId="0" xfId="2" applyNumberFormat="1" applyFont="1"/>
    <xf numFmtId="164" fontId="47" fillId="0" borderId="0" xfId="2" applyNumberFormat="1" applyFont="1" applyAlignment="1">
      <alignment horizontal="center"/>
    </xf>
    <xf numFmtId="164" fontId="47" fillId="0" borderId="10" xfId="2" applyNumberFormat="1" applyFont="1" applyBorder="1" applyAlignment="1">
      <alignment horizontal="center"/>
    </xf>
    <xf numFmtId="180" fontId="40" fillId="0" borderId="0" xfId="740" applyNumberFormat="1" applyFont="1" applyAlignment="1">
      <alignment horizontal="center"/>
    </xf>
    <xf numFmtId="43" fontId="40" fillId="0" borderId="0" xfId="0" applyNumberFormat="1" applyFont="1"/>
    <xf numFmtId="42" fontId="40" fillId="0" borderId="0" xfId="0" applyNumberFormat="1" applyFont="1"/>
    <xf numFmtId="42" fontId="40" fillId="0" borderId="0" xfId="0" applyNumberFormat="1" applyFont="1" applyProtection="1">
      <protection locked="0"/>
    </xf>
    <xf numFmtId="41" fontId="40" fillId="0" borderId="0" xfId="0" quotePrefix="1" applyNumberFormat="1" applyFont="1" applyAlignment="1">
      <alignment horizontal="right"/>
    </xf>
    <xf numFmtId="41" fontId="40" fillId="0" borderId="0" xfId="0" applyNumberFormat="1" applyFont="1"/>
    <xf numFmtId="41" fontId="40" fillId="0" borderId="0" xfId="0" applyNumberFormat="1" applyFont="1" applyProtection="1">
      <protection locked="0"/>
    </xf>
    <xf numFmtId="41" fontId="40" fillId="0" borderId="0" xfId="0" quotePrefix="1" applyNumberFormat="1" applyFont="1" applyAlignment="1">
      <alignment horizontal="center"/>
    </xf>
    <xf numFmtId="41" fontId="40" fillId="0" borderId="0" xfId="0" quotePrefix="1" applyNumberFormat="1" applyFont="1"/>
    <xf numFmtId="174" fontId="47" fillId="0" borderId="48" xfId="2" applyNumberFormat="1" applyFont="1" applyBorder="1" applyAlignment="1">
      <alignment horizontal="right"/>
    </xf>
    <xf numFmtId="174" fontId="47" fillId="0" borderId="72" xfId="2" applyNumberFormat="1" applyFont="1" applyBorder="1"/>
    <xf numFmtId="0" fontId="69" fillId="0" borderId="0" xfId="836" quotePrefix="1" applyFont="1"/>
    <xf numFmtId="43" fontId="45" fillId="0" borderId="0" xfId="0" applyNumberFormat="1" applyFont="1"/>
    <xf numFmtId="190" fontId="164" fillId="0" borderId="0" xfId="11" applyNumberFormat="1" applyFont="1" applyAlignment="1">
      <alignment horizontal="right"/>
    </xf>
    <xf numFmtId="4" fontId="47" fillId="0" borderId="0" xfId="1028" applyNumberFormat="1" applyFont="1" applyAlignment="1">
      <alignment horizontal="left"/>
    </xf>
    <xf numFmtId="164" fontId="100" fillId="0" borderId="0" xfId="1028" applyNumberFormat="1" applyFont="1"/>
    <xf numFmtId="4" fontId="104" fillId="0" borderId="0" xfId="0" applyNumberFormat="1" applyFont="1" applyAlignment="1">
      <alignment horizontal="left"/>
    </xf>
    <xf numFmtId="37" fontId="104" fillId="0" borderId="0" xfId="0" applyNumberFormat="1" applyFont="1" applyAlignment="1">
      <alignment horizontal="right"/>
    </xf>
    <xf numFmtId="164" fontId="100" fillId="0" borderId="0" xfId="0" applyFont="1"/>
    <xf numFmtId="165" fontId="70" fillId="0" borderId="0" xfId="840" applyNumberFormat="1" applyFont="1" applyAlignment="1">
      <alignment horizontal="left"/>
    </xf>
    <xf numFmtId="0" fontId="70" fillId="0" borderId="0" xfId="840" applyFont="1" applyAlignment="1">
      <alignment horizontal="left"/>
    </xf>
    <xf numFmtId="0" fontId="40" fillId="0" borderId="0" xfId="840" applyFont="1" applyAlignment="1">
      <alignment horizontal="left"/>
    </xf>
    <xf numFmtId="0" fontId="40" fillId="0" borderId="0" xfId="2" applyAlignment="1">
      <alignment horizontal="left"/>
    </xf>
    <xf numFmtId="0" fontId="69" fillId="0" borderId="0" xfId="2" applyFont="1" applyAlignment="1" applyProtection="1">
      <alignment horizontal="left"/>
      <protection locked="0"/>
    </xf>
    <xf numFmtId="37" fontId="69" fillId="0" borderId="0" xfId="2" applyNumberFormat="1" applyFont="1" applyAlignment="1">
      <alignment horizontal="center"/>
    </xf>
    <xf numFmtId="37" fontId="69" fillId="0" borderId="0" xfId="2" quotePrefix="1" applyNumberFormat="1" applyFont="1" applyAlignment="1">
      <alignment horizontal="center"/>
    </xf>
    <xf numFmtId="165" fontId="40" fillId="0" borderId="0" xfId="2" applyNumberFormat="1" applyProtection="1">
      <protection locked="0"/>
    </xf>
    <xf numFmtId="165" fontId="40" fillId="0" borderId="0" xfId="17" applyNumberFormat="1" applyProtection="1">
      <protection locked="0"/>
    </xf>
    <xf numFmtId="0" fontId="47" fillId="0" borderId="0" xfId="17" applyNumberFormat="1" applyFont="1"/>
    <xf numFmtId="170" fontId="47" fillId="0" borderId="66" xfId="2" applyNumberFormat="1" applyFont="1" applyBorder="1"/>
    <xf numFmtId="0" fontId="55" fillId="0" borderId="0" xfId="2" applyFont="1" applyAlignment="1">
      <alignment horizontal="right"/>
    </xf>
    <xf numFmtId="0" fontId="69" fillId="0" borderId="0" xfId="2" quotePrefix="1" applyFont="1" applyAlignment="1" applyProtection="1">
      <alignment horizontal="right"/>
      <protection locked="0"/>
    </xf>
    <xf numFmtId="0" fontId="155" fillId="0" borderId="0" xfId="2" applyFont="1"/>
    <xf numFmtId="0" fontId="69" fillId="0" borderId="10" xfId="2" applyFont="1" applyBorder="1" applyAlignment="1">
      <alignment horizontal="center"/>
    </xf>
    <xf numFmtId="0" fontId="69" fillId="0" borderId="10" xfId="2" quotePrefix="1" applyFont="1" applyBorder="1" applyAlignment="1">
      <alignment horizontal="center"/>
    </xf>
    <xf numFmtId="174" fontId="69" fillId="0" borderId="24" xfId="2" applyNumberFormat="1" applyFont="1" applyBorder="1" applyProtection="1">
      <protection locked="0"/>
    </xf>
    <xf numFmtId="174" fontId="69" fillId="0" borderId="21" xfId="2" applyNumberFormat="1" applyFont="1" applyBorder="1" applyProtection="1">
      <protection locked="0"/>
    </xf>
    <xf numFmtId="174" fontId="64" fillId="0" borderId="0" xfId="2" applyNumberFormat="1" applyFont="1"/>
    <xf numFmtId="174" fontId="64" fillId="0" borderId="0" xfId="2" applyNumberFormat="1" applyFont="1" applyProtection="1">
      <protection locked="0"/>
    </xf>
    <xf numFmtId="0" fontId="64" fillId="0" borderId="24" xfId="2" applyFont="1" applyBorder="1" applyProtection="1">
      <protection locked="0"/>
    </xf>
    <xf numFmtId="0" fontId="64" fillId="0" borderId="21" xfId="2" applyFont="1" applyBorder="1" applyProtection="1">
      <protection locked="0"/>
    </xf>
    <xf numFmtId="0" fontId="64" fillId="0" borderId="0" xfId="2" applyFont="1" applyProtection="1">
      <protection locked="0"/>
    </xf>
    <xf numFmtId="0" fontId="64" fillId="0" borderId="0" xfId="2" quotePrefix="1" applyFont="1" applyAlignment="1">
      <alignment horizontal="left"/>
    </xf>
    <xf numFmtId="170" fontId="64" fillId="0" borderId="0" xfId="2" applyNumberFormat="1" applyFont="1" applyProtection="1">
      <protection locked="0"/>
    </xf>
    <xf numFmtId="170" fontId="64" fillId="0" borderId="24" xfId="2" applyNumberFormat="1" applyFont="1" applyBorder="1" applyProtection="1">
      <protection locked="0"/>
    </xf>
    <xf numFmtId="170" fontId="64" fillId="0" borderId="21" xfId="2" applyNumberFormat="1" applyFont="1" applyBorder="1" applyProtection="1">
      <protection locked="0"/>
    </xf>
    <xf numFmtId="170" fontId="69" fillId="0" borderId="20" xfId="2" applyNumberFormat="1" applyFont="1" applyBorder="1" applyAlignment="1">
      <alignment horizontal="right"/>
    </xf>
    <xf numFmtId="170" fontId="69" fillId="0" borderId="0" xfId="2" applyNumberFormat="1" applyFont="1" applyProtection="1">
      <protection locked="0"/>
    </xf>
    <xf numFmtId="170" fontId="69" fillId="0" borderId="24" xfId="2" applyNumberFormat="1" applyFont="1" applyBorder="1" applyProtection="1">
      <protection locked="0"/>
    </xf>
    <xf numFmtId="170" fontId="69" fillId="0" borderId="21" xfId="2" applyNumberFormat="1" applyFont="1" applyBorder="1" applyProtection="1">
      <protection locked="0"/>
    </xf>
    <xf numFmtId="170" fontId="64" fillId="0" borderId="20" xfId="2" applyNumberFormat="1" applyFont="1" applyBorder="1" applyProtection="1">
      <protection locked="0"/>
    </xf>
    <xf numFmtId="170" fontId="64" fillId="0" borderId="0" xfId="2" quotePrefix="1" applyNumberFormat="1" applyFont="1" applyAlignment="1">
      <alignment horizontal="right"/>
    </xf>
    <xf numFmtId="170" fontId="69" fillId="0" borderId="0" xfId="2" quotePrefix="1" applyNumberFormat="1" applyFont="1" applyAlignment="1">
      <alignment horizontal="right"/>
    </xf>
    <xf numFmtId="170" fontId="69" fillId="0" borderId="10" xfId="2" quotePrefix="1" applyNumberFormat="1" applyFont="1" applyBorder="1"/>
    <xf numFmtId="170" fontId="69" fillId="0" borderId="10" xfId="2" quotePrefix="1" applyNumberFormat="1" applyFont="1" applyBorder="1" applyAlignment="1">
      <alignment horizontal="right"/>
    </xf>
    <xf numFmtId="170" fontId="69" fillId="0" borderId="20" xfId="2" applyNumberFormat="1" applyFont="1" applyBorder="1" applyAlignment="1">
      <alignment horizontal="center"/>
    </xf>
    <xf numFmtId="170" fontId="69" fillId="0" borderId="0" xfId="2" applyNumberFormat="1" applyFont="1" applyAlignment="1" applyProtection="1">
      <alignment horizontal="right"/>
      <protection locked="0"/>
    </xf>
    <xf numFmtId="174" fontId="69" fillId="0" borderId="20" xfId="2" applyNumberFormat="1" applyFont="1" applyBorder="1"/>
    <xf numFmtId="174" fontId="69" fillId="0" borderId="0" xfId="2" applyNumberFormat="1" applyFont="1" applyProtection="1">
      <protection locked="0"/>
    </xf>
    <xf numFmtId="166" fontId="64" fillId="0" borderId="36" xfId="2" applyNumberFormat="1" applyFont="1" applyBorder="1"/>
    <xf numFmtId="166" fontId="64" fillId="0" borderId="0" xfId="2" applyNumberFormat="1" applyFont="1"/>
    <xf numFmtId="170" fontId="69" fillId="0" borderId="0" xfId="2" quotePrefix="1" applyNumberFormat="1" applyFont="1" applyAlignment="1">
      <alignment horizontal="center"/>
    </xf>
    <xf numFmtId="170" fontId="69" fillId="0" borderId="0" xfId="2" applyNumberFormat="1" applyFont="1" applyAlignment="1">
      <alignment horizontal="center"/>
    </xf>
    <xf numFmtId="170" fontId="69" fillId="0" borderId="0" xfId="2" applyNumberFormat="1" applyFont="1" applyAlignment="1" applyProtection="1">
      <alignment horizontal="center"/>
      <protection locked="0"/>
    </xf>
    <xf numFmtId="170" fontId="69" fillId="0" borderId="20" xfId="2" quotePrefix="1" applyNumberFormat="1" applyFont="1" applyBorder="1" applyAlignment="1">
      <alignment horizontal="center"/>
    </xf>
    <xf numFmtId="43" fontId="46" fillId="0" borderId="0" xfId="0" applyNumberFormat="1" applyFont="1"/>
    <xf numFmtId="0" fontId="105" fillId="0" borderId="0" xfId="17" applyNumberFormat="1" applyFont="1"/>
    <xf numFmtId="0" fontId="110" fillId="0" borderId="0" xfId="17" applyNumberFormat="1" applyFont="1" applyProtection="1">
      <protection locked="0"/>
    </xf>
    <xf numFmtId="0" fontId="110" fillId="0" borderId="0" xfId="17" applyNumberFormat="1" applyFont="1"/>
    <xf numFmtId="0" fontId="110" fillId="0" borderId="0" xfId="17" applyNumberFormat="1" applyFont="1" applyAlignment="1">
      <alignment horizontal="center"/>
    </xf>
    <xf numFmtId="0" fontId="46" fillId="0" borderId="0" xfId="8" applyFont="1" applyAlignment="1">
      <alignment horizontal="right"/>
    </xf>
    <xf numFmtId="170" fontId="47" fillId="0" borderId="40" xfId="0" applyNumberFormat="1" applyFont="1" applyBorder="1"/>
    <xf numFmtId="165" fontId="40" fillId="0" borderId="0" xfId="2" applyNumberFormat="1"/>
    <xf numFmtId="165" fontId="40" fillId="0" borderId="0" xfId="2" applyNumberFormat="1" applyAlignment="1">
      <alignment horizontal="centerContinuous"/>
    </xf>
    <xf numFmtId="0" fontId="78" fillId="0" borderId="0" xfId="2" applyFont="1" applyAlignment="1">
      <alignment horizontal="left"/>
    </xf>
    <xf numFmtId="170" fontId="40" fillId="0" borderId="0" xfId="2" applyNumberFormat="1" applyAlignment="1">
      <alignment horizontal="center"/>
    </xf>
    <xf numFmtId="170" fontId="42" fillId="0" borderId="66" xfId="2" applyNumberFormat="1" applyFont="1" applyBorder="1"/>
    <xf numFmtId="177" fontId="69" fillId="0" borderId="66" xfId="836" applyNumberFormat="1" applyFont="1" applyBorder="1" applyAlignment="1">
      <alignment horizontal="right"/>
    </xf>
    <xf numFmtId="170" fontId="82" fillId="0" borderId="66" xfId="2" applyNumberFormat="1" applyFont="1" applyBorder="1" applyAlignment="1">
      <alignment horizontal="right"/>
    </xf>
    <xf numFmtId="164" fontId="47" fillId="0" borderId="66" xfId="2" applyNumberFormat="1" applyFont="1" applyBorder="1"/>
    <xf numFmtId="174" fontId="82" fillId="0" borderId="17" xfId="2" applyNumberFormat="1" applyFont="1" applyBorder="1"/>
    <xf numFmtId="180" fontId="0" fillId="0" borderId="0" xfId="17" applyNumberFormat="1" applyFont="1"/>
    <xf numFmtId="164" fontId="42" fillId="0" borderId="66" xfId="0" applyFont="1" applyBorder="1" applyProtection="1">
      <protection locked="0"/>
    </xf>
    <xf numFmtId="166" fontId="47" fillId="0" borderId="10" xfId="0" quotePrefix="1" applyNumberFormat="1" applyFont="1" applyBorder="1" applyAlignment="1">
      <alignment horizontal="center"/>
    </xf>
    <xf numFmtId="17" fontId="47" fillId="0" borderId="66" xfId="2" quotePrefix="1" applyNumberFormat="1" applyFont="1" applyBorder="1" applyAlignment="1">
      <alignment horizontal="center"/>
    </xf>
    <xf numFmtId="179" fontId="69" fillId="0" borderId="0" xfId="836" quotePrefix="1" applyNumberFormat="1" applyFont="1" applyAlignment="1">
      <alignment horizontal="center"/>
    </xf>
    <xf numFmtId="0" fontId="167" fillId="0" borderId="0" xfId="2" applyFont="1"/>
    <xf numFmtId="0" fontId="82" fillId="0" borderId="0" xfId="2" quotePrefix="1" applyFont="1" applyAlignment="1">
      <alignment horizontal="center"/>
    </xf>
    <xf numFmtId="0" fontId="47" fillId="0" borderId="0" xfId="840" quotePrefix="1" applyFont="1" applyAlignment="1">
      <alignment horizontal="center"/>
    </xf>
    <xf numFmtId="164" fontId="40" fillId="0" borderId="0" xfId="0" applyFont="1" applyProtection="1">
      <protection locked="0"/>
    </xf>
    <xf numFmtId="0" fontId="169" fillId="0" borderId="0" xfId="0" applyNumberFormat="1" applyFont="1"/>
    <xf numFmtId="41" fontId="169" fillId="0" borderId="0" xfId="0" applyNumberFormat="1" applyFont="1"/>
    <xf numFmtId="0" fontId="45" fillId="0" borderId="0" xfId="0" applyNumberFormat="1" applyFont="1" applyAlignment="1">
      <alignment horizontal="left" vertical="top" wrapText="1"/>
    </xf>
    <xf numFmtId="0" fontId="47" fillId="0" borderId="0" xfId="2" applyFont="1" applyAlignment="1">
      <alignment horizontal="right"/>
    </xf>
    <xf numFmtId="165" fontId="40" fillId="34" borderId="0" xfId="5458" applyNumberFormat="1" applyFill="1" applyProtection="1">
      <protection locked="0"/>
    </xf>
    <xf numFmtId="37" fontId="40" fillId="0" borderId="0" xfId="2" applyNumberFormat="1" applyAlignment="1">
      <alignment horizontal="right"/>
    </xf>
    <xf numFmtId="169" fontId="40" fillId="0" borderId="0" xfId="2" applyNumberFormat="1"/>
    <xf numFmtId="37" fontId="40" fillId="0" borderId="0" xfId="2" quotePrefix="1" applyNumberFormat="1" applyAlignment="1">
      <alignment horizontal="center"/>
    </xf>
    <xf numFmtId="170" fontId="40" fillId="0" borderId="66" xfId="2" applyNumberFormat="1" applyBorder="1" applyAlignment="1">
      <alignment horizontal="right"/>
    </xf>
    <xf numFmtId="170" fontId="40" fillId="0" borderId="66" xfId="2" applyNumberFormat="1" applyBorder="1"/>
    <xf numFmtId="166" fontId="40" fillId="0" borderId="0" xfId="2" applyNumberFormat="1" applyAlignment="1">
      <alignment horizontal="right"/>
    </xf>
    <xf numFmtId="3" fontId="40" fillId="0" borderId="0" xfId="2" applyNumberFormat="1"/>
    <xf numFmtId="0" fontId="40" fillId="0" borderId="0" xfId="5458" applyNumberFormat="1" applyAlignment="1">
      <alignment horizontal="left"/>
    </xf>
    <xf numFmtId="165" fontId="40" fillId="0" borderId="0" xfId="5458" applyNumberFormat="1" applyProtection="1">
      <protection locked="0"/>
    </xf>
    <xf numFmtId="37" fontId="47" fillId="0" borderId="73" xfId="2" applyNumberFormat="1" applyFont="1" applyBorder="1" applyAlignment="1">
      <alignment horizontal="center"/>
    </xf>
    <xf numFmtId="37" fontId="45" fillId="0" borderId="73" xfId="2" applyNumberFormat="1" applyFont="1" applyBorder="1"/>
    <xf numFmtId="37" fontId="40" fillId="0" borderId="73" xfId="2" applyNumberFormat="1" applyBorder="1"/>
    <xf numFmtId="174" fontId="40" fillId="0" borderId="0" xfId="2" quotePrefix="1" applyNumberFormat="1" applyAlignment="1">
      <alignment horizontal="right"/>
    </xf>
    <xf numFmtId="170" fontId="40" fillId="0" borderId="0" xfId="1773" applyNumberFormat="1" applyFont="1" applyAlignment="1"/>
    <xf numFmtId="37" fontId="40" fillId="0" borderId="0" xfId="2" applyNumberFormat="1" applyAlignment="1">
      <alignment horizontal="center"/>
    </xf>
    <xf numFmtId="174" fontId="40" fillId="0" borderId="73" xfId="2" applyNumberFormat="1" applyBorder="1"/>
    <xf numFmtId="174" fontId="40" fillId="0" borderId="0" xfId="2" quotePrefix="1" applyNumberFormat="1"/>
    <xf numFmtId="166" fontId="62" fillId="0" borderId="28" xfId="2" applyNumberFormat="1" applyFont="1" applyBorder="1"/>
    <xf numFmtId="170" fontId="62" fillId="0" borderId="28" xfId="2" applyNumberFormat="1" applyFont="1" applyBorder="1"/>
    <xf numFmtId="37" fontId="136" fillId="0" borderId="0" xfId="2" applyNumberFormat="1" applyFont="1" applyAlignment="1">
      <alignment horizontal="centerContinuous"/>
    </xf>
    <xf numFmtId="170" fontId="40" fillId="0" borderId="0" xfId="1773" applyNumberFormat="1" applyFont="1" applyBorder="1" applyAlignment="1"/>
    <xf numFmtId="170" fontId="40" fillId="0" borderId="0" xfId="1773" quotePrefix="1" applyNumberFormat="1" applyFont="1" applyBorder="1" applyAlignment="1">
      <alignment horizontal="right"/>
    </xf>
    <xf numFmtId="170" fontId="42" fillId="0" borderId="75" xfId="2" applyNumberFormat="1" applyFont="1" applyBorder="1" applyAlignment="1">
      <alignment horizontal="center"/>
    </xf>
    <xf numFmtId="37" fontId="47" fillId="0" borderId="75" xfId="2" applyNumberFormat="1" applyFont="1" applyBorder="1" applyAlignment="1">
      <alignment horizontal="center"/>
    </xf>
    <xf numFmtId="170" fontId="47" fillId="0" borderId="0" xfId="2" quotePrefix="1" applyNumberFormat="1" applyFont="1"/>
    <xf numFmtId="0" fontId="42" fillId="0" borderId="15" xfId="2" applyFont="1" applyBorder="1"/>
    <xf numFmtId="0" fontId="47" fillId="0" borderId="15" xfId="2" applyFont="1" applyBorder="1" applyAlignment="1">
      <alignment horizontal="center"/>
    </xf>
    <xf numFmtId="0" fontId="47" fillId="0" borderId="15" xfId="2" quotePrefix="1" applyFont="1" applyBorder="1" applyAlignment="1">
      <alignment horizontal="center"/>
    </xf>
    <xf numFmtId="170" fontId="47" fillId="0" borderId="15" xfId="2" quotePrefix="1" applyNumberFormat="1" applyFont="1" applyBorder="1"/>
    <xf numFmtId="170" fontId="47" fillId="0" borderId="15" xfId="2" applyNumberFormat="1" applyFont="1" applyBorder="1" applyAlignment="1">
      <alignment vertical="center"/>
    </xf>
    <xf numFmtId="0" fontId="47" fillId="0" borderId="15" xfId="2" applyFont="1" applyBorder="1"/>
    <xf numFmtId="0" fontId="40" fillId="0" borderId="0" xfId="2" applyAlignment="1">
      <alignment horizontal="centerContinuous"/>
    </xf>
    <xf numFmtId="165" fontId="40" fillId="0" borderId="0" xfId="2" applyNumberFormat="1" applyAlignment="1" applyProtection="1">
      <alignment horizontal="center"/>
      <protection locked="0"/>
    </xf>
    <xf numFmtId="0" fontId="40" fillId="0" borderId="20" xfId="2" applyBorder="1"/>
    <xf numFmtId="165" fontId="40" fillId="0" borderId="20" xfId="2" applyNumberFormat="1" applyBorder="1"/>
    <xf numFmtId="165" fontId="40" fillId="0" borderId="15" xfId="2" applyNumberFormat="1" applyBorder="1" applyProtection="1">
      <protection locked="0"/>
    </xf>
    <xf numFmtId="165" fontId="40" fillId="0" borderId="37" xfId="2" applyNumberFormat="1" applyBorder="1"/>
    <xf numFmtId="0" fontId="40" fillId="0" borderId="23" xfId="2" applyBorder="1"/>
    <xf numFmtId="0" fontId="40" fillId="0" borderId="37" xfId="2" applyBorder="1"/>
    <xf numFmtId="0" fontId="40" fillId="0" borderId="15" xfId="2" applyBorder="1"/>
    <xf numFmtId="0" fontId="40" fillId="0" borderId="13" xfId="2" applyBorder="1"/>
    <xf numFmtId="0" fontId="40" fillId="0" borderId="28" xfId="2" applyBorder="1"/>
    <xf numFmtId="174" fontId="40" fillId="0" borderId="10" xfId="2" applyNumberFormat="1" applyBorder="1"/>
    <xf numFmtId="174" fontId="40" fillId="0" borderId="13" xfId="2" applyNumberFormat="1" applyBorder="1" applyAlignment="1">
      <alignment horizontal="right"/>
    </xf>
    <xf numFmtId="174" fontId="40" fillId="0" borderId="28" xfId="2" applyNumberFormat="1" applyBorder="1" applyAlignment="1">
      <alignment horizontal="right"/>
    </xf>
    <xf numFmtId="169" fontId="40" fillId="0" borderId="15" xfId="2" applyNumberFormat="1" applyBorder="1"/>
    <xf numFmtId="168" fontId="40" fillId="0" borderId="0" xfId="2" applyNumberFormat="1" applyProtection="1">
      <protection locked="0"/>
    </xf>
    <xf numFmtId="168" fontId="40" fillId="0" borderId="0" xfId="2" applyNumberFormat="1"/>
    <xf numFmtId="166" fontId="40" fillId="0" borderId="15" xfId="2" applyNumberFormat="1" applyBorder="1"/>
    <xf numFmtId="170" fontId="40" fillId="0" borderId="38" xfId="2" applyNumberFormat="1" applyBorder="1"/>
    <xf numFmtId="170" fontId="40" fillId="0" borderId="28" xfId="2" applyNumberFormat="1" applyBorder="1"/>
    <xf numFmtId="170" fontId="40" fillId="0" borderId="13" xfId="2" applyNumberFormat="1" applyBorder="1"/>
    <xf numFmtId="170" fontId="40" fillId="0" borderId="13" xfId="2" quotePrefix="1" applyNumberFormat="1" applyBorder="1" applyAlignment="1">
      <alignment horizontal="right"/>
    </xf>
    <xf numFmtId="170" fontId="40" fillId="0" borderId="28" xfId="2" applyNumberFormat="1" applyBorder="1" applyAlignment="1">
      <alignment horizontal="right"/>
    </xf>
    <xf numFmtId="170" fontId="40" fillId="0" borderId="13" xfId="2" applyNumberFormat="1" applyBorder="1" applyAlignment="1">
      <alignment horizontal="right"/>
    </xf>
    <xf numFmtId="170" fontId="40" fillId="0" borderId="12" xfId="2" quotePrefix="1" applyNumberFormat="1" applyBorder="1"/>
    <xf numFmtId="170" fontId="40" fillId="0" borderId="71" xfId="2" applyNumberFormat="1" applyBorder="1" applyAlignment="1">
      <alignment horizontal="right"/>
    </xf>
    <xf numFmtId="170" fontId="40" fillId="0" borderId="13" xfId="2" quotePrefix="1" applyNumberFormat="1" applyBorder="1" applyAlignment="1">
      <alignment horizontal="center"/>
    </xf>
    <xf numFmtId="170" fontId="40" fillId="0" borderId="28" xfId="2" quotePrefix="1" applyNumberFormat="1" applyBorder="1" applyAlignment="1">
      <alignment horizontal="right"/>
    </xf>
    <xf numFmtId="0" fontId="40" fillId="0" borderId="15" xfId="2" quotePrefix="1" applyBorder="1"/>
    <xf numFmtId="170" fontId="40" fillId="0" borderId="10" xfId="2" quotePrefix="1" applyNumberFormat="1" applyBorder="1" applyAlignment="1">
      <alignment horizontal="center"/>
    </xf>
    <xf numFmtId="170" fontId="40" fillId="0" borderId="71" xfId="2" quotePrefix="1" applyNumberFormat="1" applyBorder="1" applyAlignment="1">
      <alignment horizontal="right"/>
    </xf>
    <xf numFmtId="0" fontId="40" fillId="0" borderId="15" xfId="2" quotePrefix="1" applyBorder="1" applyAlignment="1">
      <alignment horizontal="center"/>
    </xf>
    <xf numFmtId="0" fontId="40" fillId="0" borderId="15" xfId="2" quotePrefix="1" applyBorder="1" applyAlignment="1">
      <alignment horizontal="right"/>
    </xf>
    <xf numFmtId="170" fontId="40" fillId="0" borderId="37" xfId="2" applyNumberFormat="1" applyBorder="1"/>
    <xf numFmtId="165" fontId="47" fillId="0" borderId="0" xfId="2" applyNumberFormat="1" applyFont="1" applyProtection="1">
      <protection locked="0"/>
    </xf>
    <xf numFmtId="169" fontId="40" fillId="0" borderId="36" xfId="2" applyNumberFormat="1" applyBorder="1"/>
    <xf numFmtId="170" fontId="40" fillId="0" borderId="0" xfId="2" applyNumberFormat="1" applyProtection="1">
      <protection locked="0"/>
    </xf>
    <xf numFmtId="170" fontId="47" fillId="0" borderId="16" xfId="2" applyNumberFormat="1" applyFont="1" applyBorder="1" applyProtection="1">
      <protection locked="0"/>
    </xf>
    <xf numFmtId="164" fontId="47" fillId="0" borderId="16" xfId="2" applyNumberFormat="1" applyFont="1" applyBorder="1" applyProtection="1">
      <protection locked="0"/>
    </xf>
    <xf numFmtId="0" fontId="40" fillId="0" borderId="0" xfId="2" quotePrefix="1" applyAlignment="1">
      <alignment horizontal="left"/>
    </xf>
    <xf numFmtId="0" fontId="42" fillId="0" borderId="75" xfId="4" applyFont="1" applyBorder="1"/>
    <xf numFmtId="166" fontId="42" fillId="0" borderId="75" xfId="4" applyNumberFormat="1" applyFont="1" applyBorder="1"/>
    <xf numFmtId="170" fontId="47" fillId="0" borderId="16" xfId="5" applyNumberFormat="1" applyFont="1" applyFill="1" applyBorder="1"/>
    <xf numFmtId="170" fontId="47" fillId="0" borderId="0" xfId="4" applyNumberFormat="1" applyFont="1"/>
    <xf numFmtId="170" fontId="47" fillId="0" borderId="0" xfId="5" applyNumberFormat="1" applyFont="1" applyFill="1" applyBorder="1"/>
    <xf numFmtId="0" fontId="47" fillId="0" borderId="66" xfId="2" applyFont="1" applyBorder="1" applyAlignment="1">
      <alignment horizontal="center"/>
    </xf>
    <xf numFmtId="165" fontId="42" fillId="0" borderId="28" xfId="2" applyNumberFormat="1" applyFont="1" applyBorder="1"/>
    <xf numFmtId="165" fontId="47" fillId="0" borderId="66" xfId="2" applyNumberFormat="1" applyFont="1" applyBorder="1" applyAlignment="1">
      <alignment horizontal="center"/>
    </xf>
    <xf numFmtId="166" fontId="42" fillId="0" borderId="75" xfId="2" applyNumberFormat="1" applyFont="1" applyBorder="1"/>
    <xf numFmtId="164" fontId="47" fillId="0" borderId="45" xfId="2" applyNumberFormat="1" applyFont="1" applyBorder="1"/>
    <xf numFmtId="0" fontId="50" fillId="0" borderId="0" xfId="2" applyFont="1"/>
    <xf numFmtId="170" fontId="87" fillId="0" borderId="0" xfId="2" applyNumberFormat="1" applyFont="1"/>
    <xf numFmtId="170" fontId="42" fillId="0" borderId="18" xfId="2" applyNumberFormat="1" applyFont="1" applyBorder="1"/>
    <xf numFmtId="170" fontId="47" fillId="0" borderId="45" xfId="2" applyNumberFormat="1" applyFont="1" applyBorder="1" applyAlignment="1">
      <alignment horizontal="right"/>
    </xf>
    <xf numFmtId="165" fontId="40" fillId="0" borderId="0" xfId="0" applyNumberFormat="1" applyFont="1" applyAlignment="1">
      <alignment horizontal="left"/>
    </xf>
    <xf numFmtId="165" fontId="0" fillId="0" borderId="0" xfId="2" applyNumberFormat="1" applyFont="1"/>
    <xf numFmtId="164" fontId="47" fillId="0" borderId="45" xfId="2" applyNumberFormat="1" applyFont="1" applyBorder="1" applyProtection="1">
      <protection locked="0"/>
    </xf>
    <xf numFmtId="170" fontId="42" fillId="0" borderId="75" xfId="2" applyNumberFormat="1" applyFont="1" applyBorder="1"/>
    <xf numFmtId="170" fontId="45" fillId="0" borderId="0" xfId="2" applyNumberFormat="1" applyFont="1"/>
    <xf numFmtId="170" fontId="42" fillId="0" borderId="0" xfId="1" applyNumberFormat="1" applyFont="1" applyFill="1" applyAlignment="1">
      <alignment horizontal="center"/>
    </xf>
    <xf numFmtId="170" fontId="40" fillId="0" borderId="0" xfId="1" applyNumberFormat="1" applyFont="1" applyFill="1" applyAlignment="1">
      <alignment horizontal="center"/>
    </xf>
    <xf numFmtId="170" fontId="42" fillId="0" borderId="66" xfId="1" applyNumberFormat="1" applyFont="1" applyFill="1" applyBorder="1" applyAlignment="1">
      <alignment horizontal="center"/>
    </xf>
    <xf numFmtId="170" fontId="0" fillId="0" borderId="19" xfId="2" applyNumberFormat="1" applyFont="1" applyBorder="1" applyAlignment="1">
      <alignment horizontal="center"/>
    </xf>
    <xf numFmtId="170" fontId="47" fillId="0" borderId="16" xfId="4" applyNumberFormat="1" applyFont="1" applyBorder="1"/>
    <xf numFmtId="174" fontId="40" fillId="0" borderId="0" xfId="2" applyNumberFormat="1" applyProtection="1">
      <protection locked="0"/>
    </xf>
    <xf numFmtId="0" fontId="170" fillId="0" borderId="0" xfId="2" applyFont="1"/>
    <xf numFmtId="166" fontId="171" fillId="0" borderId="15" xfId="2" applyNumberFormat="1" applyFont="1" applyBorder="1" applyProtection="1">
      <protection locked="0"/>
    </xf>
    <xf numFmtId="0" fontId="171" fillId="0" borderId="15" xfId="2" applyFont="1" applyBorder="1"/>
    <xf numFmtId="166" fontId="171" fillId="0" borderId="15" xfId="2" applyNumberFormat="1" applyFont="1" applyBorder="1" applyAlignment="1" applyProtection="1">
      <alignment horizontal="center"/>
      <protection locked="0"/>
    </xf>
    <xf numFmtId="166" fontId="171" fillId="0" borderId="15" xfId="2" quotePrefix="1" applyNumberFormat="1" applyFont="1" applyBorder="1" applyAlignment="1" applyProtection="1">
      <alignment horizontal="right"/>
      <protection locked="0"/>
    </xf>
    <xf numFmtId="166" fontId="171" fillId="0" borderId="15" xfId="2" applyNumberFormat="1" applyFont="1" applyBorder="1"/>
    <xf numFmtId="166" fontId="170" fillId="0" borderId="15" xfId="2" applyNumberFormat="1" applyFont="1" applyBorder="1"/>
    <xf numFmtId="169" fontId="171" fillId="0" borderId="15" xfId="2" applyNumberFormat="1" applyFont="1" applyBorder="1"/>
    <xf numFmtId="0" fontId="171" fillId="0" borderId="0" xfId="2" applyFont="1"/>
    <xf numFmtId="165" fontId="171" fillId="0" borderId="0" xfId="2" applyNumberFormat="1" applyFont="1"/>
    <xf numFmtId="166" fontId="171" fillId="0" borderId="0" xfId="2" applyNumberFormat="1" applyFont="1"/>
    <xf numFmtId="165" fontId="170" fillId="0" borderId="0" xfId="2" applyNumberFormat="1" applyFont="1" applyAlignment="1">
      <alignment horizontal="center"/>
    </xf>
    <xf numFmtId="165" fontId="170" fillId="0" borderId="0" xfId="2" quotePrefix="1" applyNumberFormat="1" applyFont="1" applyAlignment="1">
      <alignment horizontal="center"/>
    </xf>
    <xf numFmtId="165" fontId="170" fillId="0" borderId="10" xfId="2" applyNumberFormat="1" applyFont="1" applyBorder="1" applyAlignment="1">
      <alignment horizontal="center"/>
    </xf>
    <xf numFmtId="174" fontId="170" fillId="0" borderId="0" xfId="2" applyNumberFormat="1" applyFont="1"/>
    <xf numFmtId="170" fontId="171" fillId="0" borderId="0" xfId="2" applyNumberFormat="1" applyFont="1"/>
    <xf numFmtId="166" fontId="170" fillId="0" borderId="0" xfId="2" applyNumberFormat="1" applyFont="1"/>
    <xf numFmtId="164" fontId="170" fillId="0" borderId="66" xfId="1940" applyNumberFormat="1" applyFont="1" applyBorder="1" applyAlignment="1"/>
    <xf numFmtId="164" fontId="171" fillId="0" borderId="0" xfId="1940" applyNumberFormat="1" applyFont="1" applyBorder="1" applyAlignment="1"/>
    <xf numFmtId="0" fontId="171" fillId="0" borderId="0" xfId="2" applyFont="1" applyAlignment="1">
      <alignment horizontal="center"/>
    </xf>
    <xf numFmtId="164" fontId="171" fillId="0" borderId="0" xfId="1940" applyNumberFormat="1" applyFont="1" applyAlignment="1"/>
    <xf numFmtId="169" fontId="171" fillId="0" borderId="0" xfId="2" applyNumberFormat="1" applyFont="1"/>
    <xf numFmtId="0" fontId="170" fillId="0" borderId="0" xfId="2" applyFont="1" applyAlignment="1">
      <alignment horizontal="center"/>
    </xf>
    <xf numFmtId="164" fontId="170" fillId="0" borderId="17" xfId="1940" applyNumberFormat="1" applyFont="1" applyBorder="1" applyAlignment="1"/>
    <xf numFmtId="0" fontId="171" fillId="0" borderId="15" xfId="2" applyFont="1" applyBorder="1" applyProtection="1">
      <protection locked="0"/>
    </xf>
    <xf numFmtId="0" fontId="170" fillId="0" borderId="0" xfId="2" applyFont="1" applyAlignment="1">
      <alignment horizontal="right"/>
    </xf>
    <xf numFmtId="0" fontId="170" fillId="0" borderId="0" xfId="2" quotePrefix="1" applyFont="1" applyAlignment="1">
      <alignment horizontal="left"/>
    </xf>
    <xf numFmtId="170" fontId="171" fillId="0" borderId="0" xfId="2" quotePrefix="1" applyNumberFormat="1" applyFont="1" applyAlignment="1">
      <alignment horizontal="right"/>
    </xf>
    <xf numFmtId="170" fontId="170" fillId="0" borderId="0" xfId="2" quotePrefix="1" applyNumberFormat="1" applyFont="1" applyAlignment="1">
      <alignment horizontal="right"/>
    </xf>
    <xf numFmtId="170" fontId="171" fillId="0" borderId="0" xfId="2" quotePrefix="1" applyNumberFormat="1" applyFont="1" applyAlignment="1">
      <alignment horizontal="center"/>
    </xf>
    <xf numFmtId="170" fontId="170" fillId="0" borderId="0" xfId="2" quotePrefix="1" applyNumberFormat="1" applyFont="1" applyAlignment="1">
      <alignment horizontal="center"/>
    </xf>
    <xf numFmtId="170" fontId="170" fillId="0" borderId="0" xfId="2" applyNumberFormat="1" applyFont="1" applyAlignment="1">
      <alignment horizontal="right"/>
    </xf>
    <xf numFmtId="170" fontId="170" fillId="0" borderId="70" xfId="2" applyNumberFormat="1" applyFont="1" applyBorder="1"/>
    <xf numFmtId="166" fontId="170" fillId="0" borderId="0" xfId="2" applyNumberFormat="1" applyFont="1" applyAlignment="1">
      <alignment horizontal="right"/>
    </xf>
    <xf numFmtId="164" fontId="170" fillId="0" borderId="70" xfId="1940" applyNumberFormat="1" applyFont="1" applyBorder="1" applyAlignment="1"/>
    <xf numFmtId="174" fontId="170" fillId="0" borderId="35" xfId="2" applyNumberFormat="1" applyFont="1" applyBorder="1"/>
    <xf numFmtId="164" fontId="170" fillId="0" borderId="35" xfId="1940" applyNumberFormat="1" applyFont="1" applyBorder="1" applyAlignment="1"/>
    <xf numFmtId="166" fontId="172" fillId="0" borderId="0" xfId="2" applyNumberFormat="1" applyFont="1" applyAlignment="1">
      <alignment horizontal="center"/>
    </xf>
    <xf numFmtId="0" fontId="173" fillId="0" borderId="0" xfId="2" applyFont="1" applyAlignment="1">
      <alignment horizontal="right"/>
    </xf>
    <xf numFmtId="0" fontId="42" fillId="33" borderId="10" xfId="2" applyFont="1" applyFill="1" applyBorder="1" applyAlignment="1">
      <alignment horizontal="center"/>
    </xf>
    <xf numFmtId="0" fontId="0" fillId="0" borderId="10" xfId="2" applyFont="1" applyBorder="1"/>
    <xf numFmtId="174" fontId="0" fillId="0" borderId="0" xfId="2" applyNumberFormat="1" applyFont="1"/>
    <xf numFmtId="37" fontId="47" fillId="0" borderId="10" xfId="2" applyNumberFormat="1" applyFont="1" applyBorder="1" applyAlignment="1">
      <alignment horizontal="centerContinuous"/>
    </xf>
    <xf numFmtId="37" fontId="40" fillId="0" borderId="10" xfId="2" applyNumberFormat="1" applyBorder="1"/>
    <xf numFmtId="0" fontId="40" fillId="33" borderId="10" xfId="2" applyFill="1" applyBorder="1" applyAlignment="1">
      <alignment horizontal="center"/>
    </xf>
    <xf numFmtId="37" fontId="132" fillId="0" borderId="10" xfId="2" applyNumberFormat="1" applyFont="1" applyBorder="1"/>
    <xf numFmtId="37" fontId="47" fillId="0" borderId="10" xfId="2" applyNumberFormat="1" applyFont="1" applyBorder="1" applyAlignment="1">
      <alignment horizontal="center"/>
    </xf>
    <xf numFmtId="37" fontId="47" fillId="0" borderId="10" xfId="2" applyNumberFormat="1" applyFont="1" applyBorder="1"/>
    <xf numFmtId="37" fontId="47" fillId="0" borderId="10" xfId="2" applyNumberFormat="1" applyFont="1" applyBorder="1" applyAlignment="1" applyProtection="1">
      <alignment horizontal="centerContinuous"/>
      <protection locked="0"/>
    </xf>
    <xf numFmtId="0" fontId="40" fillId="0" borderId="10" xfId="2" applyBorder="1" applyAlignment="1">
      <alignment horizontal="center"/>
    </xf>
    <xf numFmtId="37" fontId="47" fillId="0" borderId="66" xfId="2" applyNumberFormat="1" applyFont="1" applyBorder="1"/>
    <xf numFmtId="37" fontId="47" fillId="0" borderId="66" xfId="2" applyNumberFormat="1" applyFont="1" applyBorder="1" applyAlignment="1">
      <alignment horizontal="centerContinuous"/>
    </xf>
    <xf numFmtId="166" fontId="40" fillId="0" borderId="0" xfId="2" applyNumberFormat="1" applyAlignment="1">
      <alignment horizontal="left"/>
    </xf>
    <xf numFmtId="0" fontId="47" fillId="0" borderId="0" xfId="17" applyNumberFormat="1" applyFont="1" applyAlignment="1" applyProtection="1">
      <alignment horizontal="right"/>
      <protection locked="0"/>
    </xf>
    <xf numFmtId="37" fontId="47" fillId="0" borderId="28" xfId="2" applyNumberFormat="1" applyFont="1" applyBorder="1" applyAlignment="1">
      <alignment horizontal="center"/>
    </xf>
    <xf numFmtId="37" fontId="45" fillId="0" borderId="28" xfId="2" applyNumberFormat="1" applyFont="1" applyBorder="1"/>
    <xf numFmtId="37" fontId="40" fillId="0" borderId="28" xfId="2" applyNumberFormat="1" applyBorder="1"/>
    <xf numFmtId="37" fontId="40" fillId="0" borderId="28" xfId="2" applyNumberFormat="1" applyBorder="1" applyAlignment="1">
      <alignment horizontal="center"/>
    </xf>
    <xf numFmtId="37" fontId="47" fillId="0" borderId="28" xfId="2" applyNumberFormat="1" applyFont="1" applyBorder="1"/>
    <xf numFmtId="37" fontId="47" fillId="0" borderId="76" xfId="2" applyNumberFormat="1" applyFont="1" applyBorder="1" applyAlignment="1">
      <alignment horizontal="center"/>
    </xf>
    <xf numFmtId="37" fontId="47" fillId="0" borderId="66" xfId="2" applyNumberFormat="1" applyFont="1" applyBorder="1" applyAlignment="1">
      <alignment horizontal="center"/>
    </xf>
    <xf numFmtId="174" fontId="40" fillId="0" borderId="21" xfId="2" applyNumberFormat="1" applyBorder="1"/>
    <xf numFmtId="43" fontId="40" fillId="0" borderId="0" xfId="1767" applyNumberFormat="1" applyFont="1" applyAlignment="1">
      <alignment horizontal="right"/>
    </xf>
    <xf numFmtId="43" fontId="47" fillId="0" borderId="0" xfId="1767" applyNumberFormat="1" applyFont="1" applyAlignment="1">
      <alignment horizontal="right"/>
    </xf>
    <xf numFmtId="43" fontId="47" fillId="0" borderId="35" xfId="1767" applyNumberFormat="1" applyFont="1" applyBorder="1" applyAlignment="1">
      <alignment horizontal="right"/>
    </xf>
    <xf numFmtId="43" fontId="40" fillId="0" borderId="0" xfId="1767" applyNumberFormat="1" applyFont="1"/>
    <xf numFmtId="0" fontId="100" fillId="0" borderId="0" xfId="1767"/>
    <xf numFmtId="164" fontId="40" fillId="0" borderId="0" xfId="1767" applyNumberFormat="1" applyFont="1"/>
    <xf numFmtId="164" fontId="100" fillId="0" borderId="0" xfId="1767" applyNumberFormat="1"/>
    <xf numFmtId="0" fontId="40" fillId="0" borderId="0" xfId="739"/>
    <xf numFmtId="37" fontId="40" fillId="0" borderId="0" xfId="739" applyNumberFormat="1"/>
    <xf numFmtId="164" fontId="41" fillId="0" borderId="0" xfId="0" applyFont="1" applyAlignment="1">
      <alignment horizontal="right"/>
    </xf>
    <xf numFmtId="0" fontId="40" fillId="0" borderId="0" xfId="739" applyAlignment="1">
      <alignment horizontal="centerContinuous"/>
    </xf>
    <xf numFmtId="166" fontId="40" fillId="0" borderId="0" xfId="739" applyNumberFormat="1" applyProtection="1">
      <protection locked="0"/>
    </xf>
    <xf numFmtId="0" fontId="40" fillId="0" borderId="0" xfId="739" applyAlignment="1">
      <alignment horizontal="left"/>
    </xf>
    <xf numFmtId="0" fontId="40" fillId="0" borderId="0" xfId="1776"/>
    <xf numFmtId="39" fontId="40" fillId="0" borderId="0" xfId="1776" applyNumberFormat="1"/>
    <xf numFmtId="165" fontId="64" fillId="0" borderId="0" xfId="1776" applyNumberFormat="1" applyFont="1" applyAlignment="1">
      <alignment horizontal="left"/>
    </xf>
    <xf numFmtId="39" fontId="64" fillId="0" borderId="0" xfId="1776" applyNumberFormat="1" applyFont="1"/>
    <xf numFmtId="0" fontId="64" fillId="0" borderId="0" xfId="1776" applyFont="1"/>
    <xf numFmtId="0" fontId="40" fillId="0" borderId="0" xfId="1776" applyAlignment="1">
      <alignment horizontal="left"/>
    </xf>
    <xf numFmtId="39" fontId="40" fillId="0" borderId="0" xfId="1776" applyNumberFormat="1" applyAlignment="1">
      <alignment horizontal="center"/>
    </xf>
    <xf numFmtId="165" fontId="47" fillId="0" borderId="0" xfId="1776" applyNumberFormat="1" applyFont="1"/>
    <xf numFmtId="39" fontId="47" fillId="0" borderId="0" xfId="1776" applyNumberFormat="1" applyFont="1"/>
    <xf numFmtId="0" fontId="47" fillId="0" borderId="0" xfId="1776" applyFont="1"/>
    <xf numFmtId="39" fontId="47" fillId="0" borderId="0" xfId="1776" applyNumberFormat="1" applyFont="1" applyAlignment="1">
      <alignment horizontal="center"/>
    </xf>
    <xf numFmtId="44" fontId="47" fillId="0" borderId="0" xfId="1776" applyNumberFormat="1" applyFont="1"/>
    <xf numFmtId="8" fontId="47" fillId="0" borderId="0" xfId="1776" applyNumberFormat="1" applyFont="1"/>
    <xf numFmtId="40" fontId="47" fillId="0" borderId="0" xfId="1776" applyNumberFormat="1" applyFont="1"/>
    <xf numFmtId="43" fontId="40" fillId="0" borderId="0" xfId="1776" applyNumberFormat="1"/>
    <xf numFmtId="0" fontId="47" fillId="0" borderId="0" xfId="1776" applyFont="1" applyAlignment="1">
      <alignment horizontal="left"/>
    </xf>
    <xf numFmtId="0" fontId="40" fillId="0" borderId="0" xfId="1776" quotePrefix="1" applyAlignment="1">
      <alignment horizontal="left"/>
    </xf>
    <xf numFmtId="43" fontId="47" fillId="0" borderId="0" xfId="1776" applyNumberFormat="1" applyFont="1" applyAlignment="1">
      <alignment horizontal="right"/>
    </xf>
    <xf numFmtId="43" fontId="40" fillId="0" borderId="0" xfId="1776" applyNumberFormat="1" applyAlignment="1">
      <alignment horizontal="right"/>
    </xf>
    <xf numFmtId="39" fontId="40" fillId="0" borderId="46" xfId="1776" applyNumberFormat="1" applyBorder="1"/>
    <xf numFmtId="39" fontId="47" fillId="0" borderId="0" xfId="1776" quotePrefix="1" applyNumberFormat="1" applyFont="1" applyAlignment="1">
      <alignment horizontal="left"/>
    </xf>
    <xf numFmtId="4" fontId="47" fillId="0" borderId="0" xfId="1776" applyNumberFormat="1" applyFont="1"/>
    <xf numFmtId="0" fontId="85" fillId="0" borderId="0" xfId="1776" applyFont="1"/>
    <xf numFmtId="165" fontId="40" fillId="0" borderId="0" xfId="1776" applyNumberFormat="1" applyProtection="1">
      <protection locked="0"/>
    </xf>
    <xf numFmtId="0" fontId="55" fillId="0" borderId="0" xfId="1776" applyFont="1" applyAlignment="1">
      <alignment horizontal="left"/>
    </xf>
    <xf numFmtId="165" fontId="91" fillId="0" borderId="0" xfId="1776" applyNumberFormat="1" applyFont="1"/>
    <xf numFmtId="39" fontId="91" fillId="0" borderId="0" xfId="1776" applyNumberFormat="1" applyFont="1"/>
    <xf numFmtId="44" fontId="47" fillId="0" borderId="21" xfId="1776" applyNumberFormat="1" applyFont="1" applyBorder="1"/>
    <xf numFmtId="39" fontId="40" fillId="0" borderId="21" xfId="1776" applyNumberFormat="1" applyBorder="1"/>
    <xf numFmtId="43" fontId="40" fillId="0" borderId="21" xfId="1776" applyNumberFormat="1" applyBorder="1"/>
    <xf numFmtId="43" fontId="40" fillId="0" borderId="18" xfId="1776" applyNumberFormat="1" applyBorder="1"/>
    <xf numFmtId="43" fontId="47" fillId="0" borderId="21" xfId="1776" applyNumberFormat="1" applyFont="1" applyBorder="1"/>
    <xf numFmtId="43" fontId="47" fillId="0" borderId="0" xfId="1776" applyNumberFormat="1" applyFont="1"/>
    <xf numFmtId="43" fontId="95" fillId="0" borderId="0" xfId="1776" applyNumberFormat="1" applyFont="1"/>
    <xf numFmtId="43" fontId="47" fillId="0" borderId="18" xfId="1776" applyNumberFormat="1" applyFont="1" applyBorder="1"/>
    <xf numFmtId="39" fontId="40" fillId="0" borderId="18" xfId="1776" applyNumberFormat="1" applyBorder="1"/>
    <xf numFmtId="44" fontId="47" fillId="0" borderId="18" xfId="1776" applyNumberFormat="1" applyFont="1" applyBorder="1"/>
    <xf numFmtId="39" fontId="40" fillId="0" borderId="36" xfId="1776" applyNumberFormat="1" applyBorder="1"/>
    <xf numFmtId="165" fontId="43" fillId="0" borderId="0" xfId="840" applyNumberFormat="1" applyFont="1" applyProtection="1">
      <protection locked="0"/>
    </xf>
    <xf numFmtId="40" fontId="40" fillId="0" borderId="0" xfId="840" applyNumberFormat="1" applyFont="1" applyAlignment="1">
      <alignment horizontal="center"/>
    </xf>
    <xf numFmtId="190" fontId="40" fillId="0" borderId="0" xfId="11" applyNumberFormat="1" applyFont="1" applyAlignment="1">
      <alignment horizontal="center"/>
    </xf>
    <xf numFmtId="40" fontId="40" fillId="0" borderId="0" xfId="840" quotePrefix="1" applyNumberFormat="1" applyFont="1" applyAlignment="1">
      <alignment horizontal="center"/>
    </xf>
    <xf numFmtId="165" fontId="40" fillId="0" borderId="0" xfId="840" applyNumberFormat="1" applyFont="1"/>
    <xf numFmtId="39" fontId="40" fillId="0" borderId="0" xfId="840" applyNumberFormat="1" applyFont="1"/>
    <xf numFmtId="40" fontId="40" fillId="0" borderId="0" xfId="840" applyNumberFormat="1" applyFont="1"/>
    <xf numFmtId="42" fontId="40" fillId="0" borderId="0" xfId="840" applyNumberFormat="1" applyFont="1"/>
    <xf numFmtId="0" fontId="40" fillId="0" borderId="0" xfId="840" applyFont="1"/>
    <xf numFmtId="37" fontId="40" fillId="0" borderId="0" xfId="840" applyNumberFormat="1" applyFont="1"/>
    <xf numFmtId="190" fontId="40" fillId="0" borderId="0" xfId="11" applyNumberFormat="1" applyFont="1" applyAlignment="1"/>
    <xf numFmtId="41" fontId="40" fillId="0" borderId="0" xfId="840" applyNumberFormat="1" applyFont="1"/>
    <xf numFmtId="41" fontId="40" fillId="0" borderId="0" xfId="11" applyNumberFormat="1" applyFont="1" applyFill="1" applyAlignment="1"/>
    <xf numFmtId="41" fontId="40" fillId="0" borderId="0" xfId="840" quotePrefix="1" applyNumberFormat="1" applyFont="1" applyAlignment="1">
      <alignment horizontal="center"/>
    </xf>
    <xf numFmtId="41" fontId="40" fillId="0" borderId="0" xfId="840" applyNumberFormat="1" applyFont="1" applyAlignment="1">
      <alignment horizontal="right"/>
    </xf>
    <xf numFmtId="41" fontId="40" fillId="0" borderId="0" xfId="840" quotePrefix="1" applyNumberFormat="1" applyFont="1" applyAlignment="1">
      <alignment horizontal="right"/>
    </xf>
    <xf numFmtId="41" fontId="47" fillId="0" borderId="66" xfId="840" applyNumberFormat="1" applyFont="1" applyBorder="1"/>
    <xf numFmtId="190" fontId="40" fillId="0" borderId="0" xfId="11" applyNumberFormat="1" applyFont="1" applyBorder="1" applyAlignment="1"/>
    <xf numFmtId="174" fontId="40" fillId="0" borderId="0" xfId="17" applyNumberFormat="1"/>
    <xf numFmtId="170" fontId="40" fillId="0" borderId="0" xfId="17" applyNumberFormat="1"/>
    <xf numFmtId="174" fontId="40" fillId="0" borderId="0" xfId="1049" applyNumberFormat="1" applyAlignment="1">
      <alignment horizontal="center"/>
    </xf>
    <xf numFmtId="170" fontId="40" fillId="0" borderId="0" xfId="17" applyNumberFormat="1" applyProtection="1">
      <protection locked="0"/>
    </xf>
    <xf numFmtId="170" fontId="40" fillId="0" borderId="0" xfId="17" applyNumberFormat="1" applyAlignment="1">
      <alignment horizontal="right"/>
    </xf>
    <xf numFmtId="187" fontId="40" fillId="0" borderId="0" xfId="17" applyNumberFormat="1"/>
    <xf numFmtId="0" fontId="0" fillId="0" borderId="0" xfId="2" applyFont="1" applyAlignment="1">
      <alignment horizontal="right"/>
    </xf>
    <xf numFmtId="165" fontId="66" fillId="0" borderId="0" xfId="2" applyNumberFormat="1" applyFont="1" applyAlignment="1">
      <alignment horizontal="center"/>
    </xf>
    <xf numFmtId="194" fontId="40" fillId="0" borderId="0" xfId="2" applyNumberFormat="1" applyProtection="1">
      <protection locked="0"/>
    </xf>
    <xf numFmtId="39" fontId="69" fillId="0" borderId="0" xfId="1776" applyNumberFormat="1" applyFont="1" applyAlignment="1">
      <alignment horizontal="right" vertical="top"/>
    </xf>
    <xf numFmtId="0" fontId="69" fillId="0" borderId="0" xfId="1776" applyFont="1" applyAlignment="1">
      <alignment horizontal="left"/>
    </xf>
    <xf numFmtId="0" fontId="47" fillId="0" borderId="0" xfId="1776" applyFont="1" applyAlignment="1">
      <alignment horizontal="left" vertical="top"/>
    </xf>
    <xf numFmtId="0" fontId="69" fillId="0" borderId="0" xfId="1776" applyFont="1" applyAlignment="1">
      <alignment horizontal="center"/>
    </xf>
    <xf numFmtId="39" fontId="43" fillId="0" borderId="0" xfId="1776" applyNumberFormat="1" applyFont="1" applyAlignment="1">
      <alignment horizontal="centerContinuous"/>
    </xf>
    <xf numFmtId="0" fontId="64" fillId="0" borderId="0" xfId="1776" applyFont="1" applyAlignment="1">
      <alignment horizontal="left"/>
    </xf>
    <xf numFmtId="0" fontId="40" fillId="0" borderId="0" xfId="1776" applyAlignment="1">
      <alignment horizontal="center"/>
    </xf>
    <xf numFmtId="170" fontId="52" fillId="0" borderId="0" xfId="2" applyNumberFormat="1" applyFont="1"/>
    <xf numFmtId="174" fontId="40" fillId="0" borderId="0" xfId="0" applyNumberFormat="1" applyFont="1"/>
    <xf numFmtId="170" fontId="40" fillId="0" borderId="0" xfId="0" quotePrefix="1" applyNumberFormat="1" applyFont="1" applyAlignment="1">
      <alignment horizontal="right"/>
    </xf>
    <xf numFmtId="170" fontId="40" fillId="0" borderId="20" xfId="0" quotePrefix="1" applyNumberFormat="1" applyFont="1" applyBorder="1" applyAlignment="1">
      <alignment horizontal="center"/>
    </xf>
    <xf numFmtId="172" fontId="42" fillId="0" borderId="0" xfId="0" applyNumberFormat="1" applyFont="1" applyProtection="1">
      <protection locked="0"/>
    </xf>
    <xf numFmtId="172" fontId="170" fillId="0" borderId="0" xfId="1940" applyNumberFormat="1" applyFont="1" applyAlignment="1"/>
    <xf numFmtId="10" fontId="45" fillId="0" borderId="0" xfId="2" applyNumberFormat="1" applyFont="1"/>
    <xf numFmtId="0" fontId="174" fillId="0" borderId="0" xfId="861" applyNumberFormat="1" applyFont="1" applyAlignment="1" applyProtection="1"/>
    <xf numFmtId="0" fontId="174" fillId="0" borderId="0" xfId="860" applyFont="1"/>
    <xf numFmtId="0" fontId="175" fillId="0" borderId="0" xfId="860" applyFont="1"/>
    <xf numFmtId="0" fontId="174" fillId="0" borderId="0" xfId="861" quotePrefix="1" applyNumberFormat="1" applyFont="1" applyBorder="1" applyAlignment="1" applyProtection="1">
      <alignment horizontal="left"/>
    </xf>
    <xf numFmtId="0" fontId="174" fillId="0" borderId="0" xfId="861" applyNumberFormat="1" applyFont="1" applyBorder="1" applyAlignment="1" applyProtection="1"/>
    <xf numFmtId="0" fontId="149" fillId="0" borderId="0" xfId="861" applyNumberFormat="1" applyAlignment="1" applyProtection="1"/>
    <xf numFmtId="170" fontId="40" fillId="0" borderId="47" xfId="2" applyNumberFormat="1" applyBorder="1"/>
    <xf numFmtId="0" fontId="42" fillId="0" borderId="77" xfId="4" applyFont="1" applyBorder="1"/>
    <xf numFmtId="174" fontId="167" fillId="0" borderId="0" xfId="2" applyNumberFormat="1" applyFont="1"/>
    <xf numFmtId="174" fontId="168" fillId="0" borderId="15" xfId="2" applyNumberFormat="1" applyFont="1" applyBorder="1"/>
    <xf numFmtId="164" fontId="40" fillId="0" borderId="0" xfId="1940" applyNumberFormat="1" applyFont="1" applyAlignment="1"/>
    <xf numFmtId="164" fontId="47" fillId="0" borderId="66" xfId="1940" applyNumberFormat="1" applyFont="1" applyBorder="1" applyAlignment="1"/>
    <xf numFmtId="174" fontId="40" fillId="0" borderId="24" xfId="2" applyNumberFormat="1" applyBorder="1"/>
    <xf numFmtId="174" fontId="40" fillId="0" borderId="15" xfId="2" applyNumberFormat="1" applyBorder="1"/>
    <xf numFmtId="170" fontId="40" fillId="0" borderId="14" xfId="2" applyNumberFormat="1" applyBorder="1"/>
    <xf numFmtId="170" fontId="40" fillId="0" borderId="21" xfId="2" applyNumberFormat="1" applyBorder="1"/>
    <xf numFmtId="170" fontId="40" fillId="0" borderId="18" xfId="2" applyNumberFormat="1" applyBorder="1"/>
    <xf numFmtId="170" fontId="40" fillId="0" borderId="15" xfId="2" applyNumberFormat="1" applyBorder="1"/>
    <xf numFmtId="43" fontId="40" fillId="0" borderId="0" xfId="2" applyNumberFormat="1"/>
    <xf numFmtId="170" fontId="40" fillId="0" borderId="25" xfId="2" applyNumberFormat="1" applyBorder="1"/>
    <xf numFmtId="170" fontId="40" fillId="0" borderId="12" xfId="2" quotePrefix="1" applyNumberFormat="1" applyBorder="1" applyAlignment="1">
      <alignment horizontal="center"/>
    </xf>
    <xf numFmtId="170" fontId="40" fillId="0" borderId="15" xfId="2" quotePrefix="1" applyNumberFormat="1" applyBorder="1" applyAlignment="1">
      <alignment horizontal="right"/>
    </xf>
    <xf numFmtId="170" fontId="40" fillId="0" borderId="15" xfId="2" quotePrefix="1" applyNumberFormat="1" applyBorder="1"/>
    <xf numFmtId="0" fontId="40" fillId="0" borderId="0" xfId="2" quotePrefix="1" applyAlignment="1">
      <alignment horizontal="right"/>
    </xf>
    <xf numFmtId="170" fontId="40" fillId="0" borderId="19" xfId="2" applyNumberFormat="1" applyBorder="1"/>
    <xf numFmtId="170" fontId="40" fillId="0" borderId="19" xfId="2" applyNumberFormat="1" applyBorder="1" applyAlignment="1">
      <alignment horizontal="right"/>
    </xf>
    <xf numFmtId="165" fontId="40" fillId="0" borderId="0" xfId="2" applyNumberFormat="1" applyAlignment="1">
      <alignment horizontal="right"/>
    </xf>
    <xf numFmtId="170" fontId="69" fillId="0" borderId="66" xfId="2" applyNumberFormat="1" applyFont="1" applyBorder="1"/>
    <xf numFmtId="39" fontId="40" fillId="0" borderId="0" xfId="2" applyNumberFormat="1"/>
    <xf numFmtId="0" fontId="47" fillId="0" borderId="10" xfId="2" applyFont="1" applyBorder="1" applyAlignment="1" applyProtection="1">
      <alignment horizontal="center"/>
      <protection locked="0"/>
    </xf>
    <xf numFmtId="170" fontId="40" fillId="0" borderId="0" xfId="0" applyNumberFormat="1" applyFont="1" applyAlignment="1">
      <alignment horizontal="right"/>
    </xf>
    <xf numFmtId="164" fontId="42" fillId="0" borderId="0" xfId="0" applyFont="1"/>
    <xf numFmtId="164" fontId="42" fillId="0" borderId="66" xfId="0" applyFont="1" applyBorder="1"/>
    <xf numFmtId="172" fontId="47" fillId="0" borderId="10" xfId="0" applyNumberFormat="1" applyFont="1" applyBorder="1"/>
    <xf numFmtId="165" fontId="42" fillId="0" borderId="0" xfId="0" applyNumberFormat="1" applyFont="1"/>
    <xf numFmtId="173" fontId="42" fillId="0" borderId="0" xfId="0" applyNumberFormat="1" applyFont="1"/>
    <xf numFmtId="0" fontId="47" fillId="0" borderId="0" xfId="2" applyFont="1" applyAlignment="1" applyProtection="1">
      <alignment horizontal="center"/>
      <protection locked="0"/>
    </xf>
    <xf numFmtId="164" fontId="40" fillId="0" borderId="66" xfId="0" applyFont="1" applyBorder="1"/>
    <xf numFmtId="164" fontId="47" fillId="0" borderId="16" xfId="0" applyFont="1" applyBorder="1"/>
    <xf numFmtId="164" fontId="40" fillId="0" borderId="19" xfId="2" applyNumberFormat="1" applyBorder="1"/>
    <xf numFmtId="164" fontId="47" fillId="0" borderId="16" xfId="2" applyNumberFormat="1" applyFont="1" applyBorder="1" applyAlignment="1">
      <alignment horizontal="right"/>
    </xf>
    <xf numFmtId="164" fontId="40" fillId="0" borderId="66" xfId="2" applyNumberFormat="1" applyBorder="1" applyAlignment="1">
      <alignment horizontal="right"/>
    </xf>
    <xf numFmtId="164" fontId="40" fillId="0" borderId="0" xfId="2" applyNumberFormat="1" applyAlignment="1">
      <alignment horizontal="right"/>
    </xf>
    <xf numFmtId="164" fontId="47" fillId="0" borderId="66" xfId="2" applyNumberFormat="1" applyFont="1" applyBorder="1" applyAlignment="1">
      <alignment horizontal="right"/>
    </xf>
    <xf numFmtId="164" fontId="47" fillId="0" borderId="45" xfId="0" applyFont="1" applyBorder="1"/>
    <xf numFmtId="164" fontId="47" fillId="0" borderId="66" xfId="0" applyFont="1" applyBorder="1"/>
    <xf numFmtId="164" fontId="42" fillId="0" borderId="0" xfId="4" applyNumberFormat="1" applyFont="1"/>
    <xf numFmtId="172" fontId="42" fillId="0" borderId="0" xfId="0" applyNumberFormat="1" applyFont="1"/>
    <xf numFmtId="172" fontId="47" fillId="0" borderId="66" xfId="0" applyNumberFormat="1" applyFont="1" applyBorder="1"/>
    <xf numFmtId="44" fontId="47" fillId="0" borderId="35" xfId="1767" applyNumberFormat="1" applyFont="1" applyBorder="1" applyAlignment="1">
      <alignment horizontal="right"/>
    </xf>
    <xf numFmtId="0" fontId="69" fillId="0" borderId="0" xfId="2" quotePrefix="1" applyFont="1" applyAlignment="1">
      <alignment horizontal="left"/>
    </xf>
    <xf numFmtId="41" fontId="40" fillId="0" borderId="0" xfId="739" applyNumberFormat="1"/>
    <xf numFmtId="172" fontId="47" fillId="0" borderId="35" xfId="2" applyNumberFormat="1" applyFont="1" applyBorder="1"/>
    <xf numFmtId="172" fontId="170" fillId="0" borderId="35" xfId="1940" applyNumberFormat="1" applyFont="1" applyBorder="1" applyAlignment="1"/>
    <xf numFmtId="172" fontId="40" fillId="0" borderId="0" xfId="0" applyNumberFormat="1" applyFont="1"/>
    <xf numFmtId="170" fontId="42" fillId="0" borderId="81" xfId="2" applyNumberFormat="1" applyFont="1" applyBorder="1" applyAlignment="1">
      <alignment horizontal="center"/>
    </xf>
    <xf numFmtId="43" fontId="40" fillId="0" borderId="0" xfId="0" applyNumberFormat="1" applyFont="1" applyAlignment="1">
      <alignment horizontal="right"/>
    </xf>
    <xf numFmtId="172" fontId="47" fillId="0" borderId="0" xfId="0" applyNumberFormat="1" applyFont="1"/>
    <xf numFmtId="0" fontId="141" fillId="0" borderId="0" xfId="8" applyFont="1"/>
    <xf numFmtId="0" fontId="40" fillId="0" borderId="0" xfId="8" applyFont="1"/>
    <xf numFmtId="3" fontId="52" fillId="0" borderId="0" xfId="8" quotePrefix="1" applyNumberFormat="1" applyFont="1" applyAlignment="1">
      <alignment horizontal="right"/>
    </xf>
    <xf numFmtId="41" fontId="45" fillId="0" borderId="0" xfId="1773" applyNumberFormat="1" applyFont="1" applyFill="1"/>
    <xf numFmtId="177" fontId="184" fillId="0" borderId="0" xfId="740" applyNumberFormat="1" applyFont="1"/>
    <xf numFmtId="172" fontId="47" fillId="0" borderId="0" xfId="1940" applyNumberFormat="1" applyFont="1" applyBorder="1" applyAlignment="1" applyProtection="1"/>
    <xf numFmtId="165" fontId="47" fillId="0" borderId="80" xfId="0" applyNumberFormat="1" applyFont="1" applyBorder="1" applyAlignment="1">
      <alignment horizontal="center"/>
    </xf>
    <xf numFmtId="0" fontId="47" fillId="0" borderId="80" xfId="0" applyNumberFormat="1" applyFont="1" applyBorder="1" applyAlignment="1">
      <alignment horizontal="center"/>
    </xf>
    <xf numFmtId="165" fontId="47" fillId="0" borderId="0" xfId="0" applyNumberFormat="1" applyFont="1" applyAlignment="1">
      <alignment horizontal="center"/>
    </xf>
    <xf numFmtId="0" fontId="47" fillId="0" borderId="66" xfId="0" quotePrefix="1" applyNumberFormat="1" applyFont="1" applyBorder="1" applyAlignment="1">
      <alignment horizontal="center"/>
    </xf>
    <xf numFmtId="0" fontId="47" fillId="0" borderId="0" xfId="0" applyNumberFormat="1" applyFont="1" applyAlignment="1">
      <alignment horizontal="center"/>
    </xf>
    <xf numFmtId="0" fontId="47" fillId="0" borderId="0" xfId="0" quotePrefix="1" applyNumberFormat="1" applyFont="1" applyAlignment="1">
      <alignment horizontal="center"/>
    </xf>
    <xf numFmtId="164" fontId="66" fillId="0" borderId="0" xfId="0" applyFont="1"/>
    <xf numFmtId="164" fontId="67" fillId="0" borderId="84" xfId="0" applyFont="1" applyBorder="1"/>
    <xf numFmtId="164" fontId="67" fillId="0" borderId="82" xfId="0" applyFont="1" applyBorder="1"/>
    <xf numFmtId="164" fontId="67" fillId="0" borderId="17" xfId="0" applyFont="1" applyBorder="1"/>
    <xf numFmtId="172" fontId="40" fillId="0" borderId="0" xfId="1940" applyNumberFormat="1" applyFont="1" applyBorder="1" applyAlignment="1" applyProtection="1"/>
    <xf numFmtId="0" fontId="185" fillId="0" borderId="0" xfId="9967"/>
    <xf numFmtId="0" fontId="45" fillId="0" borderId="0" xfId="9967" applyFont="1"/>
    <xf numFmtId="0" fontId="45" fillId="0" borderId="0" xfId="9967" applyFont="1" applyAlignment="1">
      <alignment horizontal="center"/>
    </xf>
    <xf numFmtId="0" fontId="46" fillId="0" borderId="66" xfId="9967" applyFont="1" applyBorder="1" applyAlignment="1">
      <alignment horizontal="center"/>
    </xf>
    <xf numFmtId="0" fontId="45" fillId="0" borderId="90" xfId="9967" applyFont="1" applyBorder="1"/>
    <xf numFmtId="0" fontId="46" fillId="0" borderId="66" xfId="9967" applyFont="1" applyBorder="1" applyAlignment="1">
      <alignment horizontal="centerContinuous"/>
    </xf>
    <xf numFmtId="0" fontId="46" fillId="0" borderId="0" xfId="9967" applyFont="1" applyAlignment="1">
      <alignment horizontal="center"/>
    </xf>
    <xf numFmtId="43" fontId="46" fillId="0" borderId="0" xfId="9967" applyNumberFormat="1" applyFont="1" applyAlignment="1">
      <alignment horizontal="center"/>
    </xf>
    <xf numFmtId="0" fontId="45" fillId="0" borderId="72" xfId="9967" applyFont="1" applyBorder="1"/>
    <xf numFmtId="0" fontId="46" fillId="0" borderId="0" xfId="9967" quotePrefix="1" applyFont="1" applyAlignment="1">
      <alignment horizontal="center"/>
    </xf>
    <xf numFmtId="0" fontId="41" fillId="0" borderId="0" xfId="2" quotePrefix="1" applyFont="1" applyAlignment="1">
      <alignment horizontal="left"/>
    </xf>
    <xf numFmtId="0" fontId="40" fillId="0" borderId="0" xfId="5517" applyFont="1"/>
    <xf numFmtId="170" fontId="40" fillId="0" borderId="0" xfId="5517" applyNumberFormat="1" applyFont="1"/>
    <xf numFmtId="186" fontId="46" fillId="0" borderId="68" xfId="860" quotePrefix="1" applyNumberFormat="1" applyFont="1" applyBorder="1" applyAlignment="1">
      <alignment horizontal="centerContinuous"/>
    </xf>
    <xf numFmtId="170" fontId="47" fillId="0" borderId="92" xfId="2" applyNumberFormat="1" applyFont="1" applyBorder="1"/>
    <xf numFmtId="37" fontId="186" fillId="0" borderId="0" xfId="2" applyNumberFormat="1" applyFont="1"/>
    <xf numFmtId="174" fontId="186" fillId="0" borderId="0" xfId="2" applyNumberFormat="1" applyFont="1"/>
    <xf numFmtId="0" fontId="46" fillId="0" borderId="0" xfId="0" quotePrefix="1" applyNumberFormat="1" applyFont="1" applyAlignment="1">
      <alignment horizontal="left"/>
    </xf>
    <xf numFmtId="0" fontId="61" fillId="0" borderId="0" xfId="2" quotePrefix="1" applyFont="1" applyAlignment="1">
      <alignment horizontal="center"/>
    </xf>
    <xf numFmtId="44" fontId="45" fillId="0" borderId="0" xfId="0" applyNumberFormat="1" applyFont="1"/>
    <xf numFmtId="4" fontId="45" fillId="0" borderId="0" xfId="0" applyNumberFormat="1" applyFont="1" applyAlignment="1">
      <alignment horizontal="right"/>
    </xf>
    <xf numFmtId="43" fontId="45" fillId="0" borderId="0" xfId="0" applyNumberFormat="1" applyFont="1" applyAlignment="1">
      <alignment horizontal="right"/>
    </xf>
    <xf numFmtId="43" fontId="45" fillId="0" borderId="0" xfId="0" quotePrefix="1" applyNumberFormat="1" applyFont="1" applyAlignment="1">
      <alignment horizontal="right"/>
    </xf>
    <xf numFmtId="0" fontId="45" fillId="0" borderId="0" xfId="0" applyNumberFormat="1" applyFont="1" applyAlignment="1">
      <alignment horizontal="center"/>
    </xf>
    <xf numFmtId="177" fontId="69" fillId="0" borderId="16" xfId="836" applyNumberFormat="1" applyFont="1" applyBorder="1" applyAlignment="1">
      <alignment horizontal="right"/>
    </xf>
    <xf numFmtId="0" fontId="100" fillId="0" borderId="0" xfId="8"/>
    <xf numFmtId="172" fontId="0" fillId="0" borderId="0" xfId="0" applyNumberFormat="1"/>
    <xf numFmtId="40" fontId="68" fillId="0" borderId="0" xfId="25861" applyNumberFormat="1" applyFont="1"/>
    <xf numFmtId="39" fontId="68" fillId="0" borderId="0" xfId="25861" applyNumberFormat="1" applyFont="1"/>
    <xf numFmtId="165" fontId="85" fillId="0" borderId="0" xfId="840" applyNumberFormat="1" applyFont="1"/>
    <xf numFmtId="0" fontId="85" fillId="0" borderId="0" xfId="840" applyFont="1" applyAlignment="1">
      <alignment horizontal="left"/>
    </xf>
    <xf numFmtId="42" fontId="47" fillId="0" borderId="79" xfId="840" applyNumberFormat="1" applyFont="1" applyBorder="1"/>
    <xf numFmtId="41" fontId="40" fillId="0" borderId="82" xfId="840" quotePrefix="1" applyNumberFormat="1" applyFont="1" applyBorder="1" applyAlignment="1">
      <alignment horizontal="center"/>
    </xf>
    <xf numFmtId="170" fontId="64" fillId="0" borderId="0" xfId="2" quotePrefix="1" applyNumberFormat="1" applyFont="1"/>
    <xf numFmtId="43" fontId="47" fillId="0" borderId="85" xfId="1767" applyNumberFormat="1" applyFont="1" applyBorder="1" applyAlignment="1">
      <alignment horizontal="right"/>
    </xf>
    <xf numFmtId="44" fontId="47" fillId="0" borderId="85" xfId="1767" applyNumberFormat="1" applyFont="1" applyBorder="1" applyAlignment="1">
      <alignment horizontal="right"/>
    </xf>
    <xf numFmtId="164" fontId="169" fillId="0" borderId="0" xfId="0" applyFont="1"/>
    <xf numFmtId="43" fontId="47" fillId="0" borderId="85" xfId="17924" applyFont="1" applyFill="1" applyBorder="1" applyAlignment="1" applyProtection="1">
      <alignment horizontal="right"/>
    </xf>
    <xf numFmtId="172" fontId="69" fillId="0" borderId="0" xfId="0" applyNumberFormat="1" applyFont="1"/>
    <xf numFmtId="172" fontId="69" fillId="0" borderId="66" xfId="0" applyNumberFormat="1" applyFont="1" applyBorder="1"/>
    <xf numFmtId="165" fontId="189" fillId="0" borderId="0" xfId="840" applyNumberFormat="1" applyFont="1"/>
    <xf numFmtId="0" fontId="69" fillId="0" borderId="0" xfId="17029" quotePrefix="1" applyFont="1" applyAlignment="1">
      <alignment horizontal="left"/>
    </xf>
    <xf numFmtId="0" fontId="46" fillId="0" borderId="66" xfId="0" applyNumberFormat="1" applyFont="1" applyBorder="1" applyAlignment="1">
      <alignment horizontal="center"/>
    </xf>
    <xf numFmtId="49" fontId="46" fillId="0" borderId="66" xfId="9967" applyNumberFormat="1" applyFont="1" applyBorder="1" applyAlignment="1">
      <alignment horizontal="center"/>
    </xf>
    <xf numFmtId="0" fontId="45" fillId="0" borderId="72" xfId="0" applyNumberFormat="1" applyFont="1" applyBorder="1"/>
    <xf numFmtId="0" fontId="46" fillId="0" borderId="0" xfId="0" applyNumberFormat="1" applyFont="1" applyAlignment="1">
      <alignment horizontal="right"/>
    </xf>
    <xf numFmtId="7" fontId="46" fillId="0" borderId="0" xfId="0" applyNumberFormat="1" applyFont="1"/>
    <xf numFmtId="0" fontId="46" fillId="0" borderId="0" xfId="0" quotePrefix="1" applyNumberFormat="1" applyFont="1"/>
    <xf numFmtId="0" fontId="46" fillId="0" borderId="0" xfId="0" applyNumberFormat="1" applyFont="1" applyAlignment="1">
      <alignment horizontal="right" vertical="top"/>
    </xf>
    <xf numFmtId="187" fontId="45" fillId="0" borderId="0" xfId="0" applyNumberFormat="1" applyFont="1" applyAlignment="1">
      <alignment horizontal="center" vertical="top"/>
    </xf>
    <xf numFmtId="187" fontId="45" fillId="0" borderId="0" xfId="0" applyNumberFormat="1" applyFont="1" applyAlignment="1">
      <alignment horizontal="right" vertical="top"/>
    </xf>
    <xf numFmtId="0" fontId="45" fillId="0" borderId="0" xfId="5508" applyFont="1"/>
    <xf numFmtId="0" fontId="47" fillId="0" borderId="0" xfId="5508" applyFont="1"/>
    <xf numFmtId="0" fontId="46" fillId="0" borderId="0" xfId="5508" applyFont="1"/>
    <xf numFmtId="0" fontId="45" fillId="0" borderId="0" xfId="5508" applyFont="1" applyAlignment="1">
      <alignment horizontal="center"/>
    </xf>
    <xf numFmtId="37" fontId="45" fillId="0" borderId="0" xfId="5508" applyNumberFormat="1" applyFont="1"/>
    <xf numFmtId="0" fontId="40" fillId="0" borderId="0" xfId="5508" applyFont="1"/>
    <xf numFmtId="172" fontId="47" fillId="0" borderId="66" xfId="1940" applyNumberFormat="1" applyFont="1" applyBorder="1" applyAlignment="1" applyProtection="1"/>
    <xf numFmtId="191" fontId="52" fillId="0" borderId="0" xfId="8" quotePrefix="1" applyNumberFormat="1" applyFont="1" applyAlignment="1">
      <alignment horizontal="right"/>
    </xf>
    <xf numFmtId="166" fontId="52" fillId="0" borderId="0" xfId="8" quotePrefix="1" applyNumberFormat="1" applyFont="1" applyAlignment="1">
      <alignment horizontal="right"/>
    </xf>
    <xf numFmtId="166" fontId="52" fillId="0" borderId="0" xfId="8" applyNumberFormat="1" applyFont="1" applyAlignment="1">
      <alignment horizontal="right" vertical="top"/>
    </xf>
    <xf numFmtId="0" fontId="167" fillId="0" borderId="0" xfId="8" applyFont="1"/>
    <xf numFmtId="165" fontId="52" fillId="0" borderId="0" xfId="8" quotePrefix="1" applyNumberFormat="1" applyFont="1" applyAlignment="1">
      <alignment horizontal="right"/>
    </xf>
    <xf numFmtId="0" fontId="52" fillId="0" borderId="0" xfId="8" quotePrefix="1" applyFont="1"/>
    <xf numFmtId="0" fontId="140" fillId="0" borderId="0" xfId="8" applyFont="1" applyAlignment="1">
      <alignment horizontal="left"/>
    </xf>
    <xf numFmtId="0" fontId="149" fillId="0" borderId="0" xfId="861" applyNumberFormat="1" applyBorder="1" applyAlignment="1" applyProtection="1"/>
    <xf numFmtId="0" fontId="47" fillId="0" borderId="0" xfId="1776" applyFont="1" applyAlignment="1">
      <alignment horizontal="center"/>
    </xf>
    <xf numFmtId="0" fontId="40" fillId="0" borderId="66" xfId="2" applyBorder="1" applyAlignment="1">
      <alignment horizontal="center"/>
    </xf>
    <xf numFmtId="37" fontId="47" fillId="0" borderId="66" xfId="2" quotePrefix="1" applyNumberFormat="1" applyFont="1" applyBorder="1" applyAlignment="1">
      <alignment horizontal="center"/>
    </xf>
    <xf numFmtId="41" fontId="45" fillId="0" borderId="0" xfId="0" applyNumberFormat="1" applyFont="1"/>
    <xf numFmtId="167" fontId="40" fillId="0" borderId="0" xfId="2" quotePrefix="1" applyNumberFormat="1" applyAlignment="1">
      <alignment horizontal="center"/>
    </xf>
    <xf numFmtId="193" fontId="40" fillId="0" borderId="0" xfId="2" quotePrefix="1" applyNumberFormat="1" applyAlignment="1">
      <alignment horizontal="center"/>
    </xf>
    <xf numFmtId="169" fontId="52" fillId="0" borderId="0" xfId="8" quotePrefix="1" applyNumberFormat="1" applyFont="1" applyAlignment="1">
      <alignment horizontal="right"/>
    </xf>
    <xf numFmtId="174" fontId="69" fillId="0" borderId="20" xfId="2" quotePrefix="1" applyNumberFormat="1" applyFont="1" applyBorder="1" applyAlignment="1">
      <alignment horizontal="right"/>
    </xf>
    <xf numFmtId="174" fontId="170" fillId="0" borderId="0" xfId="2" quotePrefix="1" applyNumberFormat="1" applyFont="1" applyAlignment="1">
      <alignment horizontal="right"/>
    </xf>
    <xf numFmtId="169" fontId="170" fillId="0" borderId="15" xfId="2" applyNumberFormat="1" applyFont="1" applyBorder="1" applyAlignment="1" applyProtection="1">
      <alignment horizontal="right"/>
      <protection locked="0"/>
    </xf>
    <xf numFmtId="164" fontId="170" fillId="0" borderId="0" xfId="1940" applyNumberFormat="1" applyFont="1" applyFill="1" applyAlignment="1"/>
    <xf numFmtId="170" fontId="64" fillId="0" borderId="10" xfId="2" quotePrefix="1" applyNumberFormat="1" applyFont="1" applyBorder="1" applyAlignment="1">
      <alignment horizontal="right"/>
    </xf>
    <xf numFmtId="164" fontId="171" fillId="0" borderId="0" xfId="1940" applyNumberFormat="1" applyFont="1" applyFill="1" applyAlignment="1"/>
    <xf numFmtId="170" fontId="171" fillId="0" borderId="0" xfId="2" quotePrefix="1" applyNumberFormat="1" applyFont="1"/>
    <xf numFmtId="174" fontId="69" fillId="0" borderId="20" xfId="2" quotePrefix="1" applyNumberFormat="1" applyFont="1" applyBorder="1"/>
    <xf numFmtId="174" fontId="69" fillId="0" borderId="0" xfId="2" applyNumberFormat="1" applyFont="1" applyAlignment="1">
      <alignment horizontal="right"/>
    </xf>
    <xf numFmtId="180" fontId="40" fillId="0" borderId="0" xfId="1767" applyNumberFormat="1" applyFont="1" applyAlignment="1">
      <alignment horizontal="left"/>
    </xf>
    <xf numFmtId="177" fontId="40" fillId="0" borderId="0" xfId="1767" applyNumberFormat="1" applyFont="1" applyAlignment="1">
      <alignment horizontal="right"/>
    </xf>
    <xf numFmtId="177" fontId="40" fillId="0" borderId="0" xfId="1767" applyNumberFormat="1" applyFont="1" applyAlignment="1">
      <alignment horizontal="left"/>
    </xf>
    <xf numFmtId="180" fontId="64" fillId="0" borderId="0" xfId="1767" applyNumberFormat="1" applyFont="1" applyAlignment="1">
      <alignment horizontal="left"/>
    </xf>
    <xf numFmtId="177" fontId="64" fillId="0" borderId="0" xfId="1767" applyNumberFormat="1" applyFont="1" applyAlignment="1">
      <alignment horizontal="right"/>
    </xf>
    <xf numFmtId="177" fontId="64" fillId="0" borderId="0" xfId="740" applyNumberFormat="1" applyFont="1" applyAlignment="1">
      <alignment horizontal="right"/>
    </xf>
    <xf numFmtId="180" fontId="64" fillId="0" borderId="0" xfId="740" applyNumberFormat="1" applyFont="1" applyAlignment="1">
      <alignment horizontal="center"/>
    </xf>
    <xf numFmtId="177" fontId="64" fillId="0" borderId="0" xfId="1767" applyNumberFormat="1" applyFont="1" applyAlignment="1">
      <alignment horizontal="left"/>
    </xf>
    <xf numFmtId="177" fontId="64" fillId="0" borderId="0" xfId="740" applyNumberFormat="1" applyFont="1" applyAlignment="1">
      <alignment horizontal="center"/>
    </xf>
    <xf numFmtId="177" fontId="64" fillId="0" borderId="66" xfId="1767" applyNumberFormat="1" applyFont="1" applyBorder="1" applyAlignment="1">
      <alignment horizontal="left"/>
    </xf>
    <xf numFmtId="177" fontId="64" fillId="0" borderId="66" xfId="740" applyNumberFormat="1" applyFont="1" applyBorder="1" applyAlignment="1">
      <alignment horizontal="center"/>
    </xf>
    <xf numFmtId="170" fontId="64" fillId="0" borderId="21" xfId="2" applyNumberFormat="1" applyFont="1" applyBorder="1"/>
    <xf numFmtId="170" fontId="171" fillId="0" borderId="66" xfId="2" applyNumberFormat="1" applyFont="1" applyBorder="1"/>
    <xf numFmtId="164" fontId="171" fillId="0" borderId="66" xfId="1940" applyNumberFormat="1" applyFont="1" applyFill="1" applyBorder="1" applyAlignment="1"/>
    <xf numFmtId="170" fontId="79" fillId="0" borderId="0" xfId="2" quotePrefix="1" applyNumberFormat="1" applyFont="1" applyAlignment="1">
      <alignment horizontal="right"/>
    </xf>
    <xf numFmtId="170" fontId="79" fillId="0" borderId="82" xfId="2" applyNumberFormat="1" applyFont="1" applyBorder="1" applyAlignment="1">
      <alignment horizontal="right"/>
    </xf>
    <xf numFmtId="170" fontId="81" fillId="0" borderId="0" xfId="2" applyNumberFormat="1" applyFont="1" applyAlignment="1">
      <alignment horizontal="right"/>
    </xf>
    <xf numFmtId="174" fontId="171" fillId="0" borderId="0" xfId="2" applyNumberFormat="1" applyFont="1"/>
    <xf numFmtId="170" fontId="40" fillId="0" borderId="10" xfId="2" quotePrefix="1" applyNumberFormat="1" applyBorder="1" applyAlignment="1">
      <alignment horizontal="right"/>
    </xf>
    <xf numFmtId="177" fontId="102" fillId="0" borderId="0" xfId="1767" applyNumberFormat="1" applyFont="1"/>
    <xf numFmtId="177" fontId="40" fillId="0" borderId="0" xfId="1767" applyNumberFormat="1" applyFont="1" applyAlignment="1">
      <alignment horizontal="center"/>
    </xf>
    <xf numFmtId="177" fontId="40" fillId="0" borderId="0" xfId="1767" applyNumberFormat="1" applyFont="1"/>
    <xf numFmtId="177" fontId="40" fillId="0" borderId="0" xfId="1767" quotePrefix="1" applyNumberFormat="1" applyFont="1" applyAlignment="1">
      <alignment horizontal="center"/>
    </xf>
    <xf numFmtId="164" fontId="40" fillId="0" borderId="0" xfId="7" applyNumberFormat="1" applyFont="1" applyFill="1" applyAlignment="1">
      <alignment horizontal="right"/>
    </xf>
    <xf numFmtId="164" fontId="0" fillId="0" borderId="66" xfId="2" applyNumberFormat="1" applyFont="1" applyBorder="1"/>
    <xf numFmtId="41" fontId="47" fillId="0" borderId="93" xfId="840" applyNumberFormat="1" applyFont="1" applyBorder="1"/>
    <xf numFmtId="39" fontId="68" fillId="0" borderId="0" xfId="19" applyNumberFormat="1" applyFont="1"/>
    <xf numFmtId="190" fontId="111" fillId="0" borderId="0" xfId="11" applyNumberFormat="1" applyFont="1" applyFill="1" applyAlignment="1">
      <alignment horizontal="right"/>
    </xf>
    <xf numFmtId="190" fontId="164" fillId="0" borderId="0" xfId="11" applyNumberFormat="1" applyFont="1" applyFill="1" applyAlignment="1">
      <alignment horizontal="right"/>
    </xf>
    <xf numFmtId="190" fontId="40" fillId="0" borderId="0" xfId="11" applyNumberFormat="1" applyFont="1" applyFill="1" applyAlignment="1">
      <alignment horizontal="center"/>
    </xf>
    <xf numFmtId="39" fontId="40" fillId="0" borderId="20" xfId="840" applyNumberFormat="1" applyFont="1" applyBorder="1"/>
    <xf numFmtId="190" fontId="40" fillId="0" borderId="20" xfId="11" applyNumberFormat="1" applyFont="1" applyFill="1" applyBorder="1" applyAlignment="1"/>
    <xf numFmtId="190" fontId="40" fillId="0" borderId="0" xfId="11" applyNumberFormat="1" applyFont="1" applyFill="1" applyAlignment="1"/>
    <xf numFmtId="43" fontId="78" fillId="0" borderId="0" xfId="11" applyFont="1" applyFill="1" applyAlignment="1"/>
    <xf numFmtId="43" fontId="68" fillId="0" borderId="0" xfId="11" applyFont="1" applyFill="1" applyAlignment="1"/>
    <xf numFmtId="41" fontId="68" fillId="0" borderId="0" xfId="840" applyNumberFormat="1" applyFont="1"/>
    <xf numFmtId="41" fontId="47" fillId="0" borderId="93" xfId="840" quotePrefix="1" applyNumberFormat="1" applyFont="1" applyBorder="1"/>
    <xf numFmtId="41" fontId="47" fillId="0" borderId="16" xfId="840" quotePrefix="1" applyNumberFormat="1" applyFont="1" applyBorder="1"/>
    <xf numFmtId="41" fontId="40" fillId="0" borderId="19" xfId="11" applyNumberFormat="1" applyFont="1" applyFill="1" applyBorder="1" applyAlignment="1"/>
    <xf numFmtId="190" fontId="40" fillId="0" borderId="0" xfId="11" applyNumberFormat="1" applyFont="1" applyFill="1" applyBorder="1" applyAlignment="1"/>
    <xf numFmtId="0" fontId="64" fillId="0" borderId="0" xfId="840" quotePrefix="1" applyFont="1" applyAlignment="1">
      <alignment horizontal="left"/>
    </xf>
    <xf numFmtId="190" fontId="45" fillId="0" borderId="0" xfId="11" applyNumberFormat="1" applyFont="1" applyFill="1" applyAlignment="1"/>
    <xf numFmtId="40" fontId="68" fillId="0" borderId="0" xfId="19" applyNumberFormat="1" applyFont="1"/>
    <xf numFmtId="190" fontId="68" fillId="0" borderId="0" xfId="11" applyNumberFormat="1" applyFont="1" applyFill="1" applyAlignment="1"/>
    <xf numFmtId="170" fontId="40" fillId="0" borderId="0" xfId="0" quotePrefix="1" applyNumberFormat="1" applyFont="1"/>
    <xf numFmtId="174" fontId="40" fillId="0" borderId="0" xfId="5517" applyNumberFormat="1" applyFont="1"/>
    <xf numFmtId="174" fontId="40" fillId="0" borderId="0" xfId="0" quotePrefix="1" applyNumberFormat="1" applyFont="1" applyAlignment="1">
      <alignment horizontal="left"/>
    </xf>
    <xf numFmtId="170" fontId="47" fillId="0" borderId="83" xfId="0" applyNumberFormat="1" applyFont="1" applyBorder="1"/>
    <xf numFmtId="170" fontId="40" fillId="0" borderId="80" xfId="0" quotePrefix="1" applyNumberFormat="1" applyFont="1" applyBorder="1" applyAlignment="1">
      <alignment horizontal="center"/>
    </xf>
    <xf numFmtId="170" fontId="47" fillId="0" borderId="80" xfId="0" applyNumberFormat="1" applyFont="1" applyBorder="1"/>
    <xf numFmtId="170" fontId="40" fillId="0" borderId="80" xfId="0" applyNumberFormat="1" applyFont="1" applyBorder="1"/>
    <xf numFmtId="167" fontId="42" fillId="0" borderId="0" xfId="0" applyNumberFormat="1" applyFont="1"/>
    <xf numFmtId="9" fontId="45" fillId="0" borderId="0" xfId="2" applyNumberFormat="1" applyFont="1"/>
    <xf numFmtId="166" fontId="42" fillId="0" borderId="47" xfId="2" applyNumberFormat="1" applyFont="1" applyBorder="1"/>
    <xf numFmtId="3" fontId="42" fillId="0" borderId="0" xfId="2" applyNumberFormat="1" applyFont="1" applyAlignment="1">
      <alignment horizontal="left"/>
    </xf>
    <xf numFmtId="164" fontId="40" fillId="0" borderId="0" xfId="2" applyNumberFormat="1" applyProtection="1">
      <protection locked="0"/>
    </xf>
    <xf numFmtId="172" fontId="40" fillId="0" borderId="0" xfId="2" applyNumberFormat="1" applyProtection="1">
      <protection locked="0"/>
    </xf>
    <xf numFmtId="174" fontId="40" fillId="0" borderId="47" xfId="2" applyNumberFormat="1" applyBorder="1" applyAlignment="1">
      <alignment horizontal="center"/>
    </xf>
    <xf numFmtId="164" fontId="47" fillId="0" borderId="0" xfId="2" applyNumberFormat="1" applyFont="1" applyProtection="1">
      <protection locked="0"/>
    </xf>
    <xf numFmtId="172" fontId="40" fillId="0" borderId="0" xfId="2" applyNumberFormat="1"/>
    <xf numFmtId="174" fontId="40" fillId="0" borderId="0" xfId="0" quotePrefix="1" applyNumberFormat="1" applyFont="1"/>
    <xf numFmtId="164" fontId="40" fillId="0" borderId="0" xfId="0" quotePrefix="1" applyFont="1"/>
    <xf numFmtId="164" fontId="66" fillId="0" borderId="66" xfId="0" applyFont="1" applyBorder="1"/>
    <xf numFmtId="170" fontId="47" fillId="0" borderId="84" xfId="0" applyNumberFormat="1" applyFont="1" applyBorder="1"/>
    <xf numFmtId="170" fontId="47" fillId="0" borderId="70" xfId="2" applyNumberFormat="1" applyFont="1" applyBorder="1"/>
    <xf numFmtId="170" fontId="0" fillId="0" borderId="0" xfId="0" applyNumberFormat="1" applyAlignment="1" applyProtection="1">
      <alignment horizontal="right"/>
      <protection locked="0"/>
    </xf>
    <xf numFmtId="166" fontId="40" fillId="0" borderId="20" xfId="2" applyNumberFormat="1" applyBorder="1"/>
    <xf numFmtId="170" fontId="47" fillId="0" borderId="66" xfId="5517" applyNumberFormat="1" applyFont="1" applyBorder="1"/>
    <xf numFmtId="170" fontId="47" fillId="0" borderId="45" xfId="1046" applyNumberFormat="1" applyFont="1" applyFill="1" applyBorder="1"/>
    <xf numFmtId="170" fontId="47" fillId="0" borderId="0" xfId="1046" applyNumberFormat="1" applyFont="1" applyFill="1" applyBorder="1"/>
    <xf numFmtId="170" fontId="64" fillId="0" borderId="0" xfId="2" applyNumberFormat="1" applyFont="1" applyAlignment="1">
      <alignment horizontal="right"/>
    </xf>
    <xf numFmtId="170" fontId="167" fillId="0" borderId="0" xfId="2" applyNumberFormat="1" applyFont="1"/>
    <xf numFmtId="170" fontId="168" fillId="0" borderId="15" xfId="2" applyNumberFormat="1" applyFont="1" applyBorder="1"/>
    <xf numFmtId="174" fontId="47" fillId="0" borderId="79" xfId="2" applyNumberFormat="1" applyFont="1" applyBorder="1"/>
    <xf numFmtId="167" fontId="47" fillId="0" borderId="0" xfId="2" applyNumberFormat="1" applyFont="1"/>
    <xf numFmtId="164" fontId="47" fillId="0" borderId="79" xfId="2" applyNumberFormat="1" applyFont="1" applyBorder="1"/>
    <xf numFmtId="195" fontId="45" fillId="0" borderId="0" xfId="2" applyNumberFormat="1" applyFont="1"/>
    <xf numFmtId="172" fontId="47" fillId="0" borderId="66" xfId="2" applyNumberFormat="1" applyFont="1" applyBorder="1"/>
    <xf numFmtId="170" fontId="42" fillId="0" borderId="94" xfId="2" applyNumberFormat="1" applyFont="1" applyBorder="1"/>
    <xf numFmtId="165" fontId="42" fillId="0" borderId="94" xfId="2" applyNumberFormat="1" applyFont="1" applyBorder="1"/>
    <xf numFmtId="39" fontId="40" fillId="0" borderId="100" xfId="840" applyNumberFormat="1" applyFont="1" applyBorder="1"/>
    <xf numFmtId="41" fontId="40" fillId="0" borderId="0" xfId="840" quotePrefix="1" applyNumberFormat="1" applyFont="1"/>
    <xf numFmtId="41" fontId="40" fillId="0" borderId="101" xfId="840" quotePrefix="1" applyNumberFormat="1" applyFont="1" applyBorder="1" applyAlignment="1">
      <alignment horizontal="center"/>
    </xf>
    <xf numFmtId="41" fontId="40" fillId="0" borderId="101" xfId="840" quotePrefix="1" applyNumberFormat="1" applyFont="1" applyBorder="1" applyAlignment="1">
      <alignment horizontal="right"/>
    </xf>
    <xf numFmtId="170" fontId="40" fillId="0" borderId="100" xfId="2" applyNumberFormat="1" applyBorder="1"/>
    <xf numFmtId="170" fontId="47" fillId="0" borderId="102" xfId="2" applyNumberFormat="1" applyFont="1" applyBorder="1"/>
    <xf numFmtId="170" fontId="47" fillId="0" borderId="100" xfId="2" applyNumberFormat="1" applyFont="1" applyBorder="1"/>
    <xf numFmtId="172" fontId="42" fillId="0" borderId="0" xfId="1940" applyNumberFormat="1" applyFont="1" applyBorder="1" applyAlignment="1" applyProtection="1"/>
    <xf numFmtId="193" fontId="47" fillId="0" borderId="0" xfId="2" quotePrefix="1" applyNumberFormat="1" applyFont="1" applyAlignment="1">
      <alignment horizontal="center"/>
    </xf>
    <xf numFmtId="197" fontId="40" fillId="0" borderId="0" xfId="739" applyNumberFormat="1" applyProtection="1">
      <protection locked="0"/>
    </xf>
    <xf numFmtId="197" fontId="40" fillId="0" borderId="0" xfId="739" applyNumberFormat="1"/>
    <xf numFmtId="197" fontId="98" fillId="0" borderId="0" xfId="739" applyNumberFormat="1" applyFont="1"/>
    <xf numFmtId="42" fontId="99" fillId="0" borderId="79" xfId="739" applyNumberFormat="1" applyFont="1" applyBorder="1"/>
    <xf numFmtId="39" fontId="40" fillId="0" borderId="100" xfId="1776" applyNumberFormat="1" applyBorder="1"/>
    <xf numFmtId="43" fontId="47" fillId="0" borderId="96" xfId="1776" applyNumberFormat="1" applyFont="1" applyBorder="1"/>
    <xf numFmtId="43" fontId="40" fillId="0" borderId="100" xfId="1776" applyNumberFormat="1" applyBorder="1"/>
    <xf numFmtId="43" fontId="47" fillId="0" borderId="100" xfId="1776" applyNumberFormat="1" applyFont="1" applyBorder="1"/>
    <xf numFmtId="43" fontId="47" fillId="0" borderId="93" xfId="1776" applyNumberFormat="1" applyFont="1" applyBorder="1"/>
    <xf numFmtId="44" fontId="47" fillId="0" borderId="79" xfId="1776" applyNumberFormat="1" applyFont="1" applyBorder="1" applyAlignment="1">
      <alignment horizontal="right"/>
    </xf>
    <xf numFmtId="0" fontId="47" fillId="0" borderId="100" xfId="17" applyNumberFormat="1" applyFont="1" applyBorder="1"/>
    <xf numFmtId="174" fontId="47" fillId="0" borderId="85" xfId="17" applyNumberFormat="1" applyFont="1" applyBorder="1"/>
    <xf numFmtId="181" fontId="45" fillId="0" borderId="0" xfId="1776" applyNumberFormat="1" applyFont="1"/>
    <xf numFmtId="181" fontId="69" fillId="0" borderId="0" xfId="1776" applyNumberFormat="1" applyFont="1"/>
    <xf numFmtId="181" fontId="64" fillId="0" borderId="0" xfId="1776" applyNumberFormat="1" applyFont="1"/>
    <xf numFmtId="181" fontId="69" fillId="0" borderId="0" xfId="1776" quotePrefix="1" applyNumberFormat="1" applyFont="1" applyAlignment="1">
      <alignment horizontal="left"/>
    </xf>
    <xf numFmtId="181" fontId="69" fillId="0" borderId="0" xfId="1776" applyNumberFormat="1" applyFont="1" applyAlignment="1">
      <alignment horizontal="center"/>
    </xf>
    <xf numFmtId="181" fontId="105" fillId="0" borderId="0" xfId="1776" applyNumberFormat="1" applyFont="1" applyAlignment="1">
      <alignment horizontal="center"/>
    </xf>
    <xf numFmtId="181" fontId="69" fillId="0" borderId="0" xfId="1776" quotePrefix="1" applyNumberFormat="1" applyFont="1" applyAlignment="1">
      <alignment horizontal="center"/>
    </xf>
    <xf numFmtId="181" fontId="69" fillId="0" borderId="100" xfId="1776" applyNumberFormat="1" applyFont="1" applyBorder="1" applyAlignment="1">
      <alignment horizontal="center"/>
    </xf>
    <xf numFmtId="181" fontId="69" fillId="0" borderId="100" xfId="1776" quotePrefix="1" applyNumberFormat="1" applyFont="1" applyBorder="1" applyAlignment="1">
      <alignment horizontal="fill"/>
    </xf>
    <xf numFmtId="181" fontId="105" fillId="0" borderId="0" xfId="1776" applyNumberFormat="1" applyFont="1"/>
    <xf numFmtId="180" fontId="64" fillId="0" borderId="0" xfId="1776" applyNumberFormat="1" applyFont="1" applyAlignment="1">
      <alignment horizontal="right"/>
    </xf>
    <xf numFmtId="181" fontId="64" fillId="0" borderId="0" xfId="1776" quotePrefix="1" applyNumberFormat="1" applyFont="1" applyAlignment="1">
      <alignment horizontal="left"/>
    </xf>
    <xf numFmtId="177" fontId="64" fillId="0" borderId="0" xfId="1776" applyNumberFormat="1" applyFont="1"/>
    <xf numFmtId="177" fontId="64" fillId="0" borderId="0" xfId="1776" applyNumberFormat="1" applyFont="1" applyAlignment="1">
      <alignment horizontal="right"/>
    </xf>
    <xf numFmtId="181" fontId="69" fillId="0" borderId="0" xfId="1776" applyNumberFormat="1" applyFont="1" applyAlignment="1">
      <alignment horizontal="left"/>
    </xf>
    <xf numFmtId="180" fontId="69" fillId="0" borderId="103" xfId="1776" applyNumberFormat="1" applyFont="1" applyBorder="1" applyAlignment="1">
      <alignment horizontal="right"/>
    </xf>
    <xf numFmtId="181" fontId="46" fillId="0" borderId="0" xfId="1776" applyNumberFormat="1" applyFont="1"/>
    <xf numFmtId="181" fontId="45" fillId="0" borderId="0" xfId="1776" applyNumberFormat="1" applyFont="1" applyAlignment="1">
      <alignment horizontal="left" vertical="top" wrapText="1"/>
    </xf>
    <xf numFmtId="181" fontId="45" fillId="0" borderId="0" xfId="1776" quotePrefix="1" applyNumberFormat="1" applyFont="1" applyAlignment="1">
      <alignment horizontal="left" wrapText="1"/>
    </xf>
    <xf numFmtId="181" fontId="45" fillId="0" borderId="0" xfId="1776" applyNumberFormat="1" applyFont="1" applyAlignment="1">
      <alignment horizontal="right"/>
    </xf>
    <xf numFmtId="39" fontId="45" fillId="0" borderId="0" xfId="1776" applyNumberFormat="1" applyFont="1"/>
    <xf numFmtId="181" fontId="45" fillId="0" borderId="0" xfId="1776" quotePrefix="1" applyNumberFormat="1" applyFont="1" applyAlignment="1">
      <alignment horizontal="left"/>
    </xf>
    <xf numFmtId="39" fontId="45" fillId="0" borderId="0" xfId="1776" quotePrefix="1" applyNumberFormat="1" applyFont="1" applyAlignment="1">
      <alignment horizontal="center"/>
    </xf>
    <xf numFmtId="39" fontId="45" fillId="0" borderId="0" xfId="1776" quotePrefix="1" applyNumberFormat="1" applyFont="1" applyAlignment="1">
      <alignment horizontal="right"/>
    </xf>
    <xf numFmtId="181" fontId="46" fillId="0" borderId="0" xfId="1776" quotePrefix="1" applyNumberFormat="1" applyFont="1" applyAlignment="1">
      <alignment horizontal="left"/>
    </xf>
    <xf numFmtId="181" fontId="45" fillId="0" borderId="0" xfId="1776" applyNumberFormat="1" applyFont="1" applyAlignment="1">
      <alignment horizontal="left"/>
    </xf>
    <xf numFmtId="39" fontId="46" fillId="0" borderId="0" xfId="1776" quotePrefix="1" applyNumberFormat="1" applyFont="1" applyAlignment="1">
      <alignment horizontal="center"/>
    </xf>
    <xf numFmtId="39" fontId="46" fillId="0" borderId="0" xfId="1776" applyNumberFormat="1" applyFont="1"/>
    <xf numFmtId="172" fontId="171" fillId="0" borderId="0" xfId="1940" applyNumberFormat="1" applyFont="1" applyFill="1" applyAlignment="1"/>
    <xf numFmtId="172" fontId="170" fillId="0" borderId="70" xfId="1940" applyNumberFormat="1" applyFont="1" applyBorder="1" applyAlignment="1"/>
    <xf numFmtId="170" fontId="40" fillId="0" borderId="15" xfId="2" applyNumberFormat="1" applyBorder="1" applyAlignment="1">
      <alignment horizontal="right"/>
    </xf>
    <xf numFmtId="170" fontId="42" fillId="0" borderId="0" xfId="1" applyNumberFormat="1" applyFont="1" applyFill="1" applyBorder="1" applyAlignment="1">
      <alignment horizontal="center"/>
    </xf>
    <xf numFmtId="40" fontId="47" fillId="0" borderId="0" xfId="840" quotePrefix="1" applyNumberFormat="1" applyFont="1" applyAlignment="1">
      <alignment horizontal="center"/>
    </xf>
    <xf numFmtId="0" fontId="47" fillId="0" borderId="0" xfId="17" applyNumberFormat="1" applyFont="1" applyAlignment="1">
      <alignment horizontal="left"/>
    </xf>
    <xf numFmtId="0" fontId="40" fillId="0" borderId="0" xfId="17" applyNumberFormat="1" applyAlignment="1" applyProtection="1">
      <alignment horizontal="left"/>
      <protection locked="0"/>
    </xf>
    <xf numFmtId="0" fontId="47" fillId="0" borderId="0" xfId="17" applyNumberFormat="1" applyFont="1" applyAlignment="1" applyProtection="1">
      <alignment horizontal="left"/>
      <protection locked="0"/>
    </xf>
    <xf numFmtId="190" fontId="169" fillId="0" borderId="0" xfId="1773" applyNumberFormat="1" applyFont="1" applyFill="1"/>
    <xf numFmtId="190" fontId="45" fillId="0" borderId="0" xfId="1773" applyNumberFormat="1" applyFont="1" applyFill="1"/>
    <xf numFmtId="0" fontId="40" fillId="0" borderId="66" xfId="17" applyNumberFormat="1" applyBorder="1" applyAlignment="1">
      <alignment horizontal="center"/>
    </xf>
    <xf numFmtId="170" fontId="47" fillId="0" borderId="0" xfId="1" applyNumberFormat="1" applyFont="1" applyBorder="1" applyAlignment="1"/>
    <xf numFmtId="0" fontId="69" fillId="0" borderId="0" xfId="1776" quotePrefix="1" applyFont="1" applyAlignment="1">
      <alignment horizontal="left"/>
    </xf>
    <xf numFmtId="0" fontId="69" fillId="0" borderId="0" xfId="1776" quotePrefix="1" applyFont="1" applyAlignment="1">
      <alignment horizontal="center"/>
    </xf>
    <xf numFmtId="0" fontId="47" fillId="0" borderId="0" xfId="1776" quotePrefix="1" applyFont="1" applyAlignment="1">
      <alignment horizontal="center"/>
    </xf>
    <xf numFmtId="43" fontId="40" fillId="0" borderId="66" xfId="1776" applyNumberFormat="1" applyBorder="1" applyAlignment="1">
      <alignment horizontal="right"/>
    </xf>
    <xf numFmtId="43" fontId="47" fillId="0" borderId="66" xfId="1776" applyNumberFormat="1" applyFont="1" applyBorder="1"/>
    <xf numFmtId="43" fontId="40" fillId="0" borderId="66" xfId="1776" applyNumberFormat="1" applyBorder="1"/>
    <xf numFmtId="39" fontId="47" fillId="0" borderId="66" xfId="1776" applyNumberFormat="1" applyFont="1" applyBorder="1" applyAlignment="1">
      <alignment horizontal="center"/>
    </xf>
    <xf numFmtId="43" fontId="47" fillId="0" borderId="66" xfId="1776" applyNumberFormat="1" applyFont="1" applyBorder="1" applyAlignment="1">
      <alignment horizontal="right"/>
    </xf>
    <xf numFmtId="170" fontId="40" fillId="0" borderId="0" xfId="1773" applyNumberFormat="1" applyFont="1" applyFill="1" applyAlignment="1"/>
    <xf numFmtId="170" fontId="69" fillId="0" borderId="96" xfId="2" quotePrefix="1" applyNumberFormat="1" applyFont="1" applyBorder="1" applyAlignment="1">
      <alignment horizontal="center"/>
    </xf>
    <xf numFmtId="166" fontId="42" fillId="0" borderId="28" xfId="2" applyNumberFormat="1" applyFont="1" applyBorder="1"/>
    <xf numFmtId="166" fontId="42" fillId="0" borderId="77" xfId="4" applyNumberFormat="1" applyFont="1" applyBorder="1"/>
    <xf numFmtId="170" fontId="47" fillId="0" borderId="46" xfId="2" applyNumberFormat="1" applyFont="1" applyBorder="1"/>
    <xf numFmtId="170" fontId="47" fillId="0" borderId="10" xfId="5" applyNumberFormat="1" applyFont="1" applyFill="1" applyBorder="1" applyProtection="1"/>
    <xf numFmtId="170" fontId="40" fillId="0" borderId="0" xfId="1046" applyNumberFormat="1" applyFont="1" applyFill="1" applyProtection="1"/>
    <xf numFmtId="170" fontId="42" fillId="0" borderId="75" xfId="4" applyNumberFormat="1" applyFont="1" applyBorder="1"/>
    <xf numFmtId="170" fontId="42" fillId="0" borderId="81" xfId="4" applyNumberFormat="1" applyFont="1" applyBorder="1"/>
    <xf numFmtId="166" fontId="40" fillId="0" borderId="21" xfId="2" applyNumberFormat="1" applyBorder="1"/>
    <xf numFmtId="166" fontId="47" fillId="0" borderId="21" xfId="2" applyNumberFormat="1" applyFont="1" applyBorder="1"/>
    <xf numFmtId="170" fontId="47" fillId="0" borderId="18" xfId="2" applyNumberFormat="1" applyFont="1" applyBorder="1"/>
    <xf numFmtId="170" fontId="66" fillId="0" borderId="0" xfId="2" applyNumberFormat="1" applyFont="1" applyAlignment="1">
      <alignment horizontal="right"/>
    </xf>
    <xf numFmtId="174" fontId="40" fillId="0" borderId="18" xfId="2" applyNumberFormat="1" applyBorder="1"/>
    <xf numFmtId="174" fontId="47" fillId="0" borderId="18" xfId="2" applyNumberFormat="1" applyFont="1" applyBorder="1"/>
    <xf numFmtId="170" fontId="42" fillId="0" borderId="28" xfId="2" applyNumberFormat="1" applyFont="1" applyBorder="1"/>
    <xf numFmtId="170" fontId="47" fillId="0" borderId="16" xfId="5" applyNumberFormat="1" applyFont="1" applyFill="1" applyBorder="1" applyProtection="1"/>
    <xf numFmtId="170" fontId="47" fillId="0" borderId="0" xfId="5" applyNumberFormat="1" applyFont="1" applyFill="1" applyBorder="1" applyProtection="1"/>
    <xf numFmtId="0" fontId="42" fillId="0" borderId="18" xfId="2" applyFont="1" applyBorder="1"/>
    <xf numFmtId="0" fontId="47" fillId="0" borderId="18" xfId="2" applyFont="1" applyBorder="1"/>
    <xf numFmtId="173" fontId="40" fillId="0" borderId="0" xfId="740" quotePrefix="1" applyNumberFormat="1" applyFont="1" applyAlignment="1">
      <alignment horizontal="left"/>
    </xf>
    <xf numFmtId="170" fontId="47" fillId="0" borderId="105" xfId="2" applyNumberFormat="1" applyFont="1" applyBorder="1"/>
    <xf numFmtId="174" fontId="47" fillId="0" borderId="85" xfId="2" applyNumberFormat="1" applyFont="1" applyBorder="1"/>
    <xf numFmtId="0" fontId="156" fillId="0" borderId="0" xfId="5458" applyNumberFormat="1" applyFont="1"/>
    <xf numFmtId="0" fontId="69" fillId="0" borderId="0" xfId="5458" applyNumberFormat="1" applyFont="1"/>
    <xf numFmtId="0" fontId="157" fillId="0" borderId="0" xfId="5458" applyNumberFormat="1" applyFont="1"/>
    <xf numFmtId="0" fontId="69" fillId="0" borderId="0" xfId="5458" applyNumberFormat="1" applyFont="1" applyAlignment="1">
      <alignment horizontal="right" vertical="top"/>
    </xf>
    <xf numFmtId="0" fontId="157" fillId="0" borderId="0" xfId="5458" applyNumberFormat="1" applyFont="1" applyAlignment="1">
      <alignment horizontal="right"/>
    </xf>
    <xf numFmtId="0" fontId="69" fillId="0" borderId="0" xfId="5458" applyNumberFormat="1" applyFont="1" applyAlignment="1">
      <alignment horizontal="left" vertical="top"/>
    </xf>
    <xf numFmtId="0" fontId="157" fillId="0" borderId="0" xfId="5458" applyNumberFormat="1" applyFont="1" applyAlignment="1">
      <alignment horizontal="left" vertical="top"/>
    </xf>
    <xf numFmtId="0" fontId="157" fillId="0" borderId="0" xfId="5458" applyNumberFormat="1" applyFont="1" applyAlignment="1">
      <alignment horizontal="left"/>
    </xf>
    <xf numFmtId="0" fontId="156" fillId="0" borderId="0" xfId="5458" quotePrefix="1" applyNumberFormat="1" applyFont="1"/>
    <xf numFmtId="0" fontId="157" fillId="0" borderId="0" xfId="5458" applyNumberFormat="1" applyFont="1" applyAlignment="1">
      <alignment horizontal="center" vertical="top"/>
    </xf>
    <xf numFmtId="0" fontId="157" fillId="0" borderId="0" xfId="5458" applyNumberFormat="1" applyFont="1" applyAlignment="1">
      <alignment horizontal="center"/>
    </xf>
    <xf numFmtId="0" fontId="157" fillId="0" borderId="0" xfId="5458" quotePrefix="1" applyNumberFormat="1" applyFont="1" applyAlignment="1">
      <alignment horizontal="center"/>
    </xf>
    <xf numFmtId="0" fontId="157" fillId="0" borderId="66" xfId="5458" applyNumberFormat="1" applyFont="1" applyBorder="1" applyAlignment="1">
      <alignment horizontal="centerContinuous"/>
    </xf>
    <xf numFmtId="0" fontId="157" fillId="0" borderId="0" xfId="5458" applyNumberFormat="1" applyFont="1" applyAlignment="1">
      <alignment horizontal="centerContinuous"/>
    </xf>
    <xf numFmtId="0" fontId="157" fillId="0" borderId="66" xfId="5458" applyNumberFormat="1" applyFont="1" applyBorder="1"/>
    <xf numFmtId="0" fontId="157" fillId="0" borderId="66" xfId="5458" quotePrefix="1" applyNumberFormat="1" applyFont="1" applyBorder="1" applyAlignment="1">
      <alignment horizontal="center"/>
    </xf>
    <xf numFmtId="49" fontId="157" fillId="0" borderId="66" xfId="5458" applyNumberFormat="1" applyFont="1" applyBorder="1" applyAlignment="1">
      <alignment horizontal="center"/>
    </xf>
    <xf numFmtId="49" fontId="157" fillId="0" borderId="66" xfId="5458" quotePrefix="1" applyNumberFormat="1" applyFont="1" applyBorder="1" applyAlignment="1">
      <alignment horizontal="center"/>
    </xf>
    <xf numFmtId="0" fontId="157" fillId="0" borderId="105" xfId="5458" applyNumberFormat="1" applyFont="1" applyBorder="1" applyAlignment="1">
      <alignment horizontal="center"/>
    </xf>
    <xf numFmtId="0" fontId="157" fillId="0" borderId="66" xfId="5458" applyNumberFormat="1" applyFont="1" applyBorder="1" applyAlignment="1">
      <alignment horizontal="center"/>
    </xf>
    <xf numFmtId="39" fontId="156" fillId="0" borderId="0" xfId="5458" quotePrefix="1" applyNumberFormat="1" applyFont="1"/>
    <xf numFmtId="39" fontId="158" fillId="0" borderId="0" xfId="5458" quotePrefix="1" applyNumberFormat="1" applyFont="1"/>
    <xf numFmtId="39" fontId="156" fillId="0" borderId="0" xfId="5458" applyNumberFormat="1" applyFont="1"/>
    <xf numFmtId="0" fontId="158" fillId="0" borderId="0" xfId="5458" applyNumberFormat="1" applyFont="1"/>
    <xf numFmtId="42" fontId="158" fillId="0" borderId="0" xfId="5458" applyNumberFormat="1" applyFont="1" applyAlignment="1">
      <alignment horizontal="right"/>
    </xf>
    <xf numFmtId="42" fontId="158" fillId="0" borderId="0" xfId="5458" applyNumberFormat="1" applyFont="1" applyAlignment="1">
      <alignment horizontal="right" vertical="top"/>
    </xf>
    <xf numFmtId="41" fontId="158" fillId="0" borderId="0" xfId="5458" applyNumberFormat="1" applyFont="1" applyAlignment="1">
      <alignment horizontal="center"/>
    </xf>
    <xf numFmtId="41" fontId="158" fillId="0" borderId="0" xfId="5458" applyNumberFormat="1" applyFont="1" applyAlignment="1">
      <alignment horizontal="right"/>
    </xf>
    <xf numFmtId="0" fontId="158" fillId="0" borderId="0" xfId="5458" applyNumberFormat="1" applyFont="1" applyAlignment="1">
      <alignment horizontal="right"/>
    </xf>
    <xf numFmtId="41" fontId="156" fillId="0" borderId="0" xfId="5458" applyNumberFormat="1" applyFont="1" applyAlignment="1">
      <alignment horizontal="right"/>
    </xf>
    <xf numFmtId="0" fontId="156" fillId="0" borderId="0" xfId="5458" quotePrefix="1" applyNumberFormat="1" applyFont="1" applyAlignment="1">
      <alignment horizontal="left" vertical="top"/>
    </xf>
    <xf numFmtId="0" fontId="156" fillId="0" borderId="0" xfId="5458" applyNumberFormat="1" applyFont="1" applyAlignment="1">
      <alignment horizontal="left" vertical="top"/>
    </xf>
    <xf numFmtId="190" fontId="40" fillId="0" borderId="0" xfId="5458" applyNumberFormat="1"/>
    <xf numFmtId="0" fontId="40" fillId="0" borderId="0" xfId="5458" applyNumberFormat="1"/>
    <xf numFmtId="0" fontId="157" fillId="0" borderId="0" xfId="5458" quotePrefix="1" applyNumberFormat="1" applyFont="1" applyAlignment="1">
      <alignment horizontal="left" vertical="top"/>
    </xf>
    <xf numFmtId="42" fontId="157" fillId="0" borderId="85" xfId="5458" applyNumberFormat="1" applyFont="1" applyBorder="1" applyAlignment="1">
      <alignment horizontal="right" vertical="top"/>
    </xf>
    <xf numFmtId="42" fontId="157" fillId="0" borderId="0" xfId="5458" applyNumberFormat="1" applyFont="1" applyAlignment="1">
      <alignment horizontal="right" vertical="top"/>
    </xf>
    <xf numFmtId="37" fontId="156" fillId="0" borderId="0" xfId="5458" applyNumberFormat="1" applyFont="1"/>
    <xf numFmtId="170" fontId="69" fillId="0" borderId="83" xfId="2" quotePrefix="1" applyNumberFormat="1" applyFont="1" applyBorder="1" applyAlignment="1">
      <alignment horizontal="right"/>
    </xf>
    <xf numFmtId="0" fontId="52" fillId="0" borderId="0" xfId="8" applyFont="1" applyAlignment="1">
      <alignment horizontal="left" vertical="top"/>
    </xf>
    <xf numFmtId="165" fontId="190" fillId="0" borderId="0" xfId="2" applyNumberFormat="1" applyFont="1"/>
    <xf numFmtId="170" fontId="69" fillId="0" borderId="33" xfId="2" quotePrefix="1" applyNumberFormat="1" applyFont="1" applyBorder="1" applyAlignment="1">
      <alignment horizontal="right"/>
    </xf>
    <xf numFmtId="170" fontId="69" fillId="0" borderId="33" xfId="2" quotePrefix="1" applyNumberFormat="1" applyFont="1" applyBorder="1" applyAlignment="1">
      <alignment horizontal="center"/>
    </xf>
    <xf numFmtId="172" fontId="170" fillId="0" borderId="66" xfId="1940" applyNumberFormat="1" applyFont="1" applyBorder="1" applyAlignment="1"/>
    <xf numFmtId="172" fontId="170" fillId="0" borderId="66" xfId="2" applyNumberFormat="1" applyFont="1" applyBorder="1"/>
    <xf numFmtId="172" fontId="47" fillId="0" borderId="66" xfId="1940" applyNumberFormat="1" applyFont="1" applyBorder="1" applyAlignment="1"/>
    <xf numFmtId="172" fontId="47" fillId="0" borderId="0" xfId="1940" applyNumberFormat="1" applyFont="1" applyBorder="1" applyAlignment="1"/>
    <xf numFmtId="43" fontId="47" fillId="0" borderId="0" xfId="0" applyNumberFormat="1" applyFont="1" applyAlignment="1">
      <alignment horizontal="right"/>
    </xf>
    <xf numFmtId="177" fontId="40" fillId="0" borderId="0" xfId="740" applyNumberFormat="1" applyFont="1" applyAlignment="1">
      <alignment horizontal="left"/>
    </xf>
    <xf numFmtId="177" fontId="45" fillId="0" borderId="0" xfId="1767" applyNumberFormat="1" applyFont="1" applyAlignment="1">
      <alignment horizontal="center"/>
    </xf>
    <xf numFmtId="177" fontId="47" fillId="0" borderId="0" xfId="1767" applyNumberFormat="1" applyFont="1"/>
    <xf numFmtId="177" fontId="40" fillId="0" borderId="0" xfId="740" quotePrefix="1" applyNumberFormat="1" applyFont="1" applyAlignment="1">
      <alignment horizontal="center"/>
    </xf>
    <xf numFmtId="170" fontId="69" fillId="0" borderId="83" xfId="2" quotePrefix="1" applyNumberFormat="1" applyFont="1" applyBorder="1" applyAlignment="1">
      <alignment horizontal="center"/>
    </xf>
    <xf numFmtId="0" fontId="40" fillId="0" borderId="0" xfId="0" applyNumberFormat="1" applyFont="1" applyAlignment="1">
      <alignment horizontal="left"/>
    </xf>
    <xf numFmtId="170" fontId="62" fillId="0" borderId="0" xfId="2" quotePrefix="1" applyNumberFormat="1" applyFont="1"/>
    <xf numFmtId="0" fontId="47" fillId="0" borderId="28" xfId="2" applyFont="1" applyBorder="1"/>
    <xf numFmtId="0" fontId="40" fillId="0" borderId="0" xfId="17" applyNumberFormat="1" applyAlignment="1">
      <alignment horizontal="center"/>
    </xf>
    <xf numFmtId="165" fontId="87" fillId="0" borderId="0" xfId="2" applyNumberFormat="1" applyFont="1"/>
    <xf numFmtId="174" fontId="69" fillId="0" borderId="0" xfId="2" quotePrefix="1" applyNumberFormat="1" applyFont="1"/>
    <xf numFmtId="5" fontId="40" fillId="0" borderId="0" xfId="2" applyNumberFormat="1"/>
    <xf numFmtId="170" fontId="42" fillId="0" borderId="46" xfId="2" applyNumberFormat="1" applyFont="1" applyBorder="1"/>
    <xf numFmtId="170" fontId="69" fillId="0" borderId="33" xfId="2" applyNumberFormat="1" applyFont="1" applyBorder="1" applyAlignment="1">
      <alignment horizontal="right"/>
    </xf>
    <xf numFmtId="44" fontId="45" fillId="0" borderId="0" xfId="0" applyNumberFormat="1" applyFont="1" applyAlignment="1">
      <alignment horizontal="right" vertical="top"/>
    </xf>
    <xf numFmtId="44" fontId="46" fillId="0" borderId="0" xfId="0" applyNumberFormat="1" applyFont="1" applyAlignment="1">
      <alignment horizontal="right"/>
    </xf>
    <xf numFmtId="164" fontId="69" fillId="0" borderId="66" xfId="0" applyFont="1" applyBorder="1" applyAlignment="1">
      <alignment horizontal="center"/>
    </xf>
    <xf numFmtId="41" fontId="47" fillId="0" borderId="105" xfId="739" applyNumberFormat="1" applyFont="1" applyBorder="1"/>
    <xf numFmtId="43" fontId="40" fillId="0" borderId="0" xfId="17924" applyFont="1" applyFill="1" applyAlignment="1" applyProtection="1">
      <alignment horizontal="right"/>
    </xf>
    <xf numFmtId="166" fontId="42" fillId="0" borderId="104" xfId="4" applyNumberFormat="1" applyFont="1" applyBorder="1"/>
    <xf numFmtId="170" fontId="62" fillId="0" borderId="0" xfId="2" applyNumberFormat="1" applyFont="1" applyAlignment="1">
      <alignment horizontal="center"/>
    </xf>
    <xf numFmtId="170" fontId="64" fillId="0" borderId="43" xfId="2" quotePrefix="1" applyNumberFormat="1" applyFont="1" applyBorder="1" applyAlignment="1">
      <alignment horizontal="right"/>
    </xf>
    <xf numFmtId="4" fontId="47" fillId="0" borderId="0" xfId="1028" quotePrefix="1" applyNumberFormat="1" applyFont="1" applyAlignment="1">
      <alignment horizontal="left"/>
    </xf>
    <xf numFmtId="181" fontId="47" fillId="0" borderId="0" xfId="1776" quotePrefix="1" applyNumberFormat="1" applyFont="1" applyAlignment="1">
      <alignment horizontal="left"/>
    </xf>
    <xf numFmtId="42" fontId="40" fillId="0" borderId="0" xfId="0" quotePrefix="1" applyNumberFormat="1" applyFont="1"/>
    <xf numFmtId="164" fontId="155" fillId="0" borderId="0" xfId="0" applyFont="1"/>
    <xf numFmtId="191" fontId="52" fillId="0" borderId="0" xfId="8" applyNumberFormat="1" applyFont="1" applyAlignment="1">
      <alignment horizontal="right" vertical="top"/>
    </xf>
    <xf numFmtId="165" fontId="47" fillId="0" borderId="0" xfId="2" applyNumberFormat="1" applyFont="1" applyAlignment="1">
      <alignment horizontal="right"/>
    </xf>
    <xf numFmtId="164" fontId="47" fillId="0" borderId="10" xfId="2" applyNumberFormat="1" applyFont="1" applyBorder="1" applyAlignment="1">
      <alignment horizontal="right"/>
    </xf>
    <xf numFmtId="164" fontId="40" fillId="0" borderId="19" xfId="2" applyNumberFormat="1" applyBorder="1" applyAlignment="1">
      <alignment horizontal="right"/>
    </xf>
    <xf numFmtId="172" fontId="47" fillId="0" borderId="79" xfId="2" applyNumberFormat="1" applyFont="1" applyBorder="1"/>
    <xf numFmtId="170" fontId="42" fillId="0" borderId="94" xfId="2" applyNumberFormat="1" applyFont="1" applyBorder="1" applyAlignment="1">
      <alignment horizontal="center"/>
    </xf>
    <xf numFmtId="170" fontId="42" fillId="0" borderId="91" xfId="2" applyNumberFormat="1" applyFont="1" applyBorder="1" applyAlignment="1">
      <alignment horizontal="center"/>
    </xf>
    <xf numFmtId="170" fontId="69" fillId="0" borderId="21" xfId="2" applyNumberFormat="1" applyFont="1" applyBorder="1"/>
    <xf numFmtId="177" fontId="47" fillId="0" borderId="43" xfId="740" applyNumberFormat="1" applyFont="1" applyBorder="1" applyAlignment="1">
      <alignment horizontal="center"/>
    </xf>
    <xf numFmtId="177" fontId="47" fillId="0" borderId="10" xfId="740" applyNumberFormat="1" applyFont="1" applyBorder="1" applyAlignment="1">
      <alignment horizontal="center"/>
    </xf>
    <xf numFmtId="177" fontId="47" fillId="0" borderId="0" xfId="740" quotePrefix="1" applyNumberFormat="1" applyFont="1" applyAlignment="1">
      <alignment horizontal="center"/>
    </xf>
    <xf numFmtId="177" fontId="47" fillId="0" borderId="10" xfId="740" applyNumberFormat="1" applyFont="1" applyBorder="1"/>
    <xf numFmtId="0" fontId="81" fillId="0" borderId="0" xfId="836" applyFont="1"/>
    <xf numFmtId="0" fontId="56" fillId="0" borderId="0" xfId="836" applyFont="1"/>
    <xf numFmtId="0" fontId="64" fillId="0" borderId="20" xfId="836" applyFont="1" applyBorder="1"/>
    <xf numFmtId="185" fontId="64" fillId="0" borderId="20" xfId="836" applyNumberFormat="1" applyFont="1" applyBorder="1"/>
    <xf numFmtId="185" fontId="64" fillId="0" borderId="0" xfId="836" applyNumberFormat="1" applyFont="1"/>
    <xf numFmtId="180" fontId="69" fillId="0" borderId="17" xfId="836" applyNumberFormat="1" applyFont="1" applyBorder="1" applyAlignment="1">
      <alignment horizontal="right"/>
    </xf>
    <xf numFmtId="185" fontId="64" fillId="0" borderId="36" xfId="836" applyNumberFormat="1" applyFont="1" applyBorder="1"/>
    <xf numFmtId="39" fontId="81" fillId="0" borderId="0" xfId="836" applyNumberFormat="1" applyFont="1"/>
    <xf numFmtId="165" fontId="81" fillId="0" borderId="0" xfId="836" applyNumberFormat="1" applyFont="1"/>
    <xf numFmtId="0" fontId="67" fillId="0" borderId="66" xfId="2" applyFont="1" applyBorder="1" applyAlignment="1">
      <alignment horizontal="centerContinuous"/>
    </xf>
    <xf numFmtId="165" fontId="66" fillId="0" borderId="66" xfId="2" applyNumberFormat="1" applyFont="1" applyBorder="1" applyAlignment="1" applyProtection="1">
      <alignment horizontal="centerContinuous"/>
      <protection locked="0"/>
    </xf>
    <xf numFmtId="44" fontId="47" fillId="0" borderId="79" xfId="1776" applyNumberFormat="1" applyFont="1" applyBorder="1"/>
    <xf numFmtId="43" fontId="47" fillId="0" borderId="10" xfId="1776" applyNumberFormat="1" applyFont="1" applyBorder="1"/>
    <xf numFmtId="165" fontId="43" fillId="0" borderId="0" xfId="0" applyNumberFormat="1" applyFont="1"/>
    <xf numFmtId="165" fontId="145" fillId="0" borderId="0" xfId="0" applyNumberFormat="1" applyFont="1"/>
    <xf numFmtId="165" fontId="54" fillId="0" borderId="0" xfId="0" applyNumberFormat="1" applyFont="1"/>
    <xf numFmtId="39" fontId="41" fillId="0" borderId="0" xfId="0" applyNumberFormat="1" applyFont="1" applyAlignment="1">
      <alignment horizontal="left"/>
    </xf>
    <xf numFmtId="164" fontId="42" fillId="0" borderId="0" xfId="0" applyFont="1" applyAlignment="1">
      <alignment horizontal="left"/>
    </xf>
    <xf numFmtId="166" fontId="41" fillId="0" borderId="0" xfId="0" applyNumberFormat="1" applyFont="1" applyAlignment="1">
      <alignment horizontal="right"/>
    </xf>
    <xf numFmtId="166" fontId="146" fillId="0" borderId="0" xfId="0" applyNumberFormat="1" applyFont="1"/>
    <xf numFmtId="166" fontId="47" fillId="0" borderId="0" xfId="0" applyNumberFormat="1" applyFont="1" applyAlignment="1">
      <alignment horizontal="right"/>
    </xf>
    <xf numFmtId="166" fontId="47" fillId="0" borderId="0" xfId="0" quotePrefix="1" applyNumberFormat="1" applyFont="1" applyAlignment="1">
      <alignment horizontal="right"/>
    </xf>
    <xf numFmtId="166" fontId="47" fillId="0" borderId="0" xfId="0" applyNumberFormat="1" applyFont="1"/>
    <xf numFmtId="166" fontId="40" fillId="0" borderId="0" xfId="0" applyNumberFormat="1" applyFont="1" applyAlignment="1">
      <alignment horizontal="center"/>
    </xf>
    <xf numFmtId="168" fontId="43" fillId="0" borderId="0" xfId="0" applyNumberFormat="1" applyFont="1"/>
    <xf numFmtId="183" fontId="42" fillId="0" borderId="0" xfId="0" applyNumberFormat="1" applyFont="1"/>
    <xf numFmtId="37" fontId="42" fillId="0" borderId="0" xfId="0" applyNumberFormat="1" applyFont="1" applyAlignment="1">
      <alignment horizontal="left"/>
    </xf>
    <xf numFmtId="165" fontId="42" fillId="0" borderId="0" xfId="0" quotePrefix="1" applyNumberFormat="1" applyFont="1" applyAlignment="1">
      <alignment horizontal="left"/>
    </xf>
    <xf numFmtId="165" fontId="50" fillId="0" borderId="0" xfId="0" applyNumberFormat="1" applyFont="1"/>
    <xf numFmtId="37" fontId="40" fillId="0" borderId="0" xfId="0" quotePrefix="1" applyNumberFormat="1" applyFont="1" applyAlignment="1">
      <alignment horizontal="left"/>
    </xf>
    <xf numFmtId="166" fontId="42" fillId="0" borderId="0" xfId="0" quotePrefix="1" applyNumberFormat="1" applyFont="1" applyAlignment="1">
      <alignment horizontal="center"/>
    </xf>
    <xf numFmtId="3" fontId="42" fillId="0" borderId="0" xfId="0" applyNumberFormat="1" applyFont="1"/>
    <xf numFmtId="166" fontId="42" fillId="0" borderId="0" xfId="0" quotePrefix="1" applyNumberFormat="1" applyFont="1" applyAlignment="1">
      <alignment horizontal="left"/>
    </xf>
    <xf numFmtId="166" fontId="42" fillId="0" borderId="0" xfId="0" quotePrefix="1" applyNumberFormat="1" applyFont="1"/>
    <xf numFmtId="37" fontId="42" fillId="0" borderId="0" xfId="0" quotePrefix="1" applyNumberFormat="1" applyFont="1" applyAlignment="1">
      <alignment horizontal="left"/>
    </xf>
    <xf numFmtId="166" fontId="42" fillId="0" borderId="0" xfId="0" applyNumberFormat="1" applyFont="1" applyAlignment="1">
      <alignment horizontal="center"/>
    </xf>
    <xf numFmtId="170" fontId="42" fillId="0" borderId="13" xfId="0" applyNumberFormat="1" applyFont="1" applyBorder="1"/>
    <xf numFmtId="170" fontId="42" fillId="0" borderId="14" xfId="0" applyNumberFormat="1" applyFont="1" applyBorder="1"/>
    <xf numFmtId="170" fontId="47" fillId="0" borderId="16" xfId="0" quotePrefix="1" applyNumberFormat="1" applyFont="1" applyBorder="1" applyAlignment="1">
      <alignment horizontal="right"/>
    </xf>
    <xf numFmtId="170" fontId="47" fillId="0" borderId="13" xfId="0" applyNumberFormat="1" applyFont="1" applyBorder="1"/>
    <xf numFmtId="170" fontId="47" fillId="0" borderId="14" xfId="0" applyNumberFormat="1" applyFont="1" applyBorder="1"/>
    <xf numFmtId="164" fontId="47" fillId="0" borderId="10" xfId="0" applyFont="1" applyBorder="1"/>
    <xf numFmtId="166" fontId="47" fillId="0" borderId="0" xfId="0" applyNumberFormat="1" applyFont="1" applyAlignment="1">
      <alignment horizontal="left"/>
    </xf>
    <xf numFmtId="174" fontId="47" fillId="0" borderId="0" xfId="0" applyNumberFormat="1" applyFont="1"/>
    <xf numFmtId="174" fontId="47" fillId="0" borderId="13" xfId="0" applyNumberFormat="1" applyFont="1" applyBorder="1"/>
    <xf numFmtId="174" fontId="47" fillId="0" borderId="14" xfId="0" applyNumberFormat="1" applyFont="1" applyBorder="1"/>
    <xf numFmtId="164" fontId="47" fillId="0" borderId="17" xfId="0" applyFont="1" applyBorder="1"/>
    <xf numFmtId="169" fontId="47" fillId="0" borderId="0" xfId="0" applyNumberFormat="1" applyFont="1"/>
    <xf numFmtId="166" fontId="50" fillId="0" borderId="0" xfId="0" applyNumberFormat="1" applyFont="1"/>
    <xf numFmtId="166" fontId="43" fillId="0" borderId="0" xfId="0" applyNumberFormat="1" applyFont="1"/>
    <xf numFmtId="166" fontId="145" fillId="0" borderId="0" xfId="0" applyNumberFormat="1" applyFont="1"/>
    <xf numFmtId="165" fontId="53" fillId="0" borderId="0" xfId="0" applyNumberFormat="1" applyFont="1"/>
    <xf numFmtId="166" fontId="48" fillId="0" borderId="0" xfId="0" applyNumberFormat="1" applyFont="1" applyAlignment="1">
      <alignment horizontal="left"/>
    </xf>
    <xf numFmtId="165" fontId="48" fillId="0" borderId="0" xfId="0" applyNumberFormat="1" applyFont="1"/>
    <xf numFmtId="165" fontId="147" fillId="0" borderId="0" xfId="0" applyNumberFormat="1" applyFont="1"/>
    <xf numFmtId="165" fontId="49" fillId="0" borderId="0" xfId="0" applyNumberFormat="1" applyFont="1"/>
    <xf numFmtId="165" fontId="132" fillId="0" borderId="0" xfId="0" applyNumberFormat="1" applyFont="1"/>
    <xf numFmtId="166" fontId="41" fillId="0" borderId="0" xfId="0" applyNumberFormat="1" applyFont="1" applyAlignment="1">
      <alignment horizontal="left"/>
    </xf>
    <xf numFmtId="164" fontId="44" fillId="0" borderId="0" xfId="0" applyFont="1" applyAlignment="1">
      <alignment horizontal="left"/>
    </xf>
    <xf numFmtId="165" fontId="57" fillId="0" borderId="0" xfId="0" applyNumberFormat="1" applyFont="1"/>
    <xf numFmtId="166" fontId="58" fillId="0" borderId="0" xfId="0" applyNumberFormat="1" applyFont="1" applyAlignment="1">
      <alignment horizontal="right"/>
    </xf>
    <xf numFmtId="166" fontId="60" fillId="0" borderId="0" xfId="0" applyNumberFormat="1" applyFont="1"/>
    <xf numFmtId="166" fontId="59" fillId="0" borderId="0" xfId="0" applyNumberFormat="1" applyFont="1"/>
    <xf numFmtId="166" fontId="150" fillId="0" borderId="10" xfId="0" applyNumberFormat="1" applyFont="1" applyBorder="1" applyAlignment="1">
      <alignment horizontal="centerContinuous"/>
    </xf>
    <xf numFmtId="166" fontId="47" fillId="0" borderId="66" xfId="0" applyNumberFormat="1" applyFont="1" applyBorder="1" applyAlignment="1">
      <alignment horizontal="center"/>
    </xf>
    <xf numFmtId="166" fontId="59" fillId="0" borderId="66" xfId="0" applyNumberFormat="1" applyFont="1" applyBorder="1"/>
    <xf numFmtId="165" fontId="43" fillId="0" borderId="66" xfId="0" applyNumberFormat="1" applyFont="1" applyBorder="1"/>
    <xf numFmtId="166" fontId="61" fillId="0" borderId="0" xfId="0" applyNumberFormat="1" applyFont="1" applyAlignment="1">
      <alignment horizontal="center"/>
    </xf>
    <xf numFmtId="166" fontId="48" fillId="0" borderId="0" xfId="0" applyNumberFormat="1" applyFont="1" applyAlignment="1">
      <alignment horizontal="center"/>
    </xf>
    <xf numFmtId="166" fontId="40" fillId="0" borderId="0" xfId="0" quotePrefix="1" applyNumberFormat="1" applyFont="1" applyAlignment="1">
      <alignment horizontal="left"/>
    </xf>
    <xf numFmtId="166" fontId="62" fillId="0" borderId="0" xfId="0" applyNumberFormat="1" applyFont="1"/>
    <xf numFmtId="166" fontId="42" fillId="0" borderId="18" xfId="0" applyNumberFormat="1" applyFont="1" applyBorder="1"/>
    <xf numFmtId="166" fontId="42" fillId="0" borderId="14" xfId="0" applyNumberFormat="1" applyFont="1" applyBorder="1"/>
    <xf numFmtId="166" fontId="49" fillId="0" borderId="15" xfId="0" applyNumberFormat="1" applyFont="1" applyBorder="1"/>
    <xf numFmtId="174" fontId="62" fillId="0" borderId="0" xfId="0" applyNumberFormat="1" applyFont="1"/>
    <xf numFmtId="174" fontId="42" fillId="0" borderId="14" xfId="0" applyNumberFormat="1" applyFont="1" applyBorder="1"/>
    <xf numFmtId="169" fontId="42" fillId="0" borderId="0" xfId="0" applyNumberFormat="1" applyFont="1"/>
    <xf numFmtId="169" fontId="49" fillId="0" borderId="15" xfId="0" applyNumberFormat="1" applyFont="1" applyBorder="1"/>
    <xf numFmtId="170" fontId="62" fillId="0" borderId="0" xfId="0" applyNumberFormat="1" applyFont="1"/>
    <xf numFmtId="170" fontId="62" fillId="0" borderId="0" xfId="0" applyNumberFormat="1" applyFont="1" applyAlignment="1">
      <alignment horizontal="center"/>
    </xf>
    <xf numFmtId="170" fontId="42" fillId="0" borderId="14" xfId="0" applyNumberFormat="1" applyFont="1" applyBorder="1" applyAlignment="1">
      <alignment horizontal="center"/>
    </xf>
    <xf numFmtId="170" fontId="61" fillId="0" borderId="0" xfId="0" applyNumberFormat="1" applyFont="1"/>
    <xf numFmtId="166" fontId="48" fillId="0" borderId="15" xfId="0" applyNumberFormat="1" applyFont="1" applyBorder="1"/>
    <xf numFmtId="170" fontId="42" fillId="0" borderId="0" xfId="0" quotePrefix="1" applyNumberFormat="1" applyFont="1" applyAlignment="1">
      <alignment horizontal="right"/>
    </xf>
    <xf numFmtId="3" fontId="40" fillId="0" borderId="0" xfId="0" applyNumberFormat="1" applyFont="1" applyAlignment="1">
      <alignment horizontal="left"/>
    </xf>
    <xf numFmtId="170" fontId="61" fillId="0" borderId="0" xfId="0" applyNumberFormat="1" applyFont="1" applyAlignment="1">
      <alignment horizontal="center"/>
    </xf>
    <xf numFmtId="170" fontId="47" fillId="0" borderId="14" xfId="0" applyNumberFormat="1" applyFont="1" applyBorder="1" applyAlignment="1">
      <alignment horizontal="center"/>
    </xf>
    <xf numFmtId="170" fontId="47" fillId="0" borderId="0" xfId="0" applyNumberFormat="1" applyFont="1" applyAlignment="1">
      <alignment horizontal="center"/>
    </xf>
    <xf numFmtId="170" fontId="42" fillId="0" borderId="18" xfId="0" applyNumberFormat="1" applyFont="1" applyBorder="1"/>
    <xf numFmtId="164" fontId="42" fillId="0" borderId="10" xfId="0" applyFont="1" applyBorder="1"/>
    <xf numFmtId="170" fontId="61" fillId="0" borderId="18" xfId="0" applyNumberFormat="1" applyFont="1" applyBorder="1"/>
    <xf numFmtId="170" fontId="61" fillId="0" borderId="14" xfId="0" applyNumberFormat="1" applyFont="1" applyBorder="1"/>
    <xf numFmtId="166" fontId="47" fillId="0" borderId="0" xfId="0" quotePrefix="1" applyNumberFormat="1" applyFont="1" applyAlignment="1">
      <alignment horizontal="left"/>
    </xf>
    <xf numFmtId="174" fontId="61" fillId="0" borderId="0" xfId="0" applyNumberFormat="1" applyFont="1"/>
    <xf numFmtId="174" fontId="61" fillId="0" borderId="17" xfId="0" applyNumberFormat="1" applyFont="1" applyBorder="1"/>
    <xf numFmtId="174" fontId="61" fillId="0" borderId="28" xfId="0" applyNumberFormat="1" applyFont="1" applyBorder="1"/>
    <xf numFmtId="174" fontId="61" fillId="0" borderId="14" xfId="0" applyNumberFormat="1" applyFont="1" applyBorder="1"/>
    <xf numFmtId="169" fontId="48" fillId="0" borderId="15" xfId="0" applyNumberFormat="1" applyFont="1" applyBorder="1"/>
    <xf numFmtId="166" fontId="63" fillId="0" borderId="0" xfId="0" applyNumberFormat="1" applyFont="1"/>
    <xf numFmtId="166" fontId="40" fillId="0" borderId="0" xfId="0" applyNumberFormat="1" applyFont="1" applyAlignment="1">
      <alignment horizontal="left"/>
    </xf>
    <xf numFmtId="170" fontId="68" fillId="0" borderId="0" xfId="2" applyNumberFormat="1" applyFont="1"/>
    <xf numFmtId="164" fontId="68" fillId="0" borderId="0" xfId="2" applyNumberFormat="1" applyFont="1"/>
    <xf numFmtId="165" fontId="69" fillId="0" borderId="0" xfId="2" applyNumberFormat="1" applyFont="1" applyAlignment="1">
      <alignment horizontal="right"/>
    </xf>
    <xf numFmtId="3" fontId="47" fillId="0" borderId="0" xfId="2" applyNumberFormat="1" applyFont="1" applyAlignment="1">
      <alignment horizontal="center"/>
    </xf>
    <xf numFmtId="1" fontId="47" fillId="0" borderId="0" xfId="2" quotePrefix="1" applyNumberFormat="1" applyFont="1" applyAlignment="1">
      <alignment horizontal="center"/>
    </xf>
    <xf numFmtId="3" fontId="42" fillId="0" borderId="20" xfId="2" applyNumberFormat="1" applyFont="1" applyBorder="1"/>
    <xf numFmtId="165" fontId="68" fillId="0" borderId="15" xfId="2" applyNumberFormat="1" applyFont="1" applyBorder="1"/>
    <xf numFmtId="169" fontId="47" fillId="0" borderId="21" xfId="2" applyNumberFormat="1" applyFont="1" applyBorder="1"/>
    <xf numFmtId="169" fontId="78" fillId="0" borderId="15" xfId="2" applyNumberFormat="1" applyFont="1" applyBorder="1"/>
    <xf numFmtId="169" fontId="46" fillId="0" borderId="0" xfId="2" applyNumberFormat="1" applyFont="1"/>
    <xf numFmtId="170" fontId="47" fillId="0" borderId="93" xfId="2" applyNumberFormat="1" applyFont="1" applyBorder="1"/>
    <xf numFmtId="170" fontId="68" fillId="0" borderId="15" xfId="2" applyNumberFormat="1" applyFont="1" applyBorder="1"/>
    <xf numFmtId="170" fontId="78" fillId="0" borderId="15" xfId="2" applyNumberFormat="1" applyFont="1" applyBorder="1"/>
    <xf numFmtId="170" fontId="47" fillId="0" borderId="66" xfId="1046" applyNumberFormat="1" applyFont="1" applyFill="1" applyBorder="1" applyProtection="1"/>
    <xf numFmtId="170" fontId="85" fillId="0" borderId="0" xfId="2" applyNumberFormat="1" applyFont="1"/>
    <xf numFmtId="170" fontId="40" fillId="0" borderId="15" xfId="0" quotePrefix="1" applyNumberFormat="1" applyFont="1" applyBorder="1" applyAlignment="1">
      <alignment horizontal="right"/>
    </xf>
    <xf numFmtId="172" fontId="40" fillId="0" borderId="10" xfId="2" applyNumberFormat="1" applyBorder="1"/>
    <xf numFmtId="170" fontId="40" fillId="0" borderId="10" xfId="2" applyNumberFormat="1" applyBorder="1"/>
    <xf numFmtId="170" fontId="49" fillId="0" borderId="0" xfId="2" applyNumberFormat="1" applyFont="1" applyAlignment="1">
      <alignment horizontal="right"/>
    </xf>
    <xf numFmtId="170" fontId="68" fillId="0" borderId="15" xfId="2" applyNumberFormat="1" applyFont="1" applyBorder="1" applyAlignment="1">
      <alignment horizontal="center"/>
    </xf>
    <xf numFmtId="164" fontId="47" fillId="0" borderId="45" xfId="2" quotePrefix="1" applyNumberFormat="1" applyFont="1" applyBorder="1"/>
    <xf numFmtId="164" fontId="47" fillId="0" borderId="10" xfId="2" quotePrefix="1" applyNumberFormat="1" applyFont="1" applyBorder="1" applyAlignment="1">
      <alignment horizontal="right"/>
    </xf>
    <xf numFmtId="170" fontId="46" fillId="0" borderId="0" xfId="2" applyNumberFormat="1" applyFont="1"/>
    <xf numFmtId="164" fontId="40" fillId="0" borderId="20" xfId="2" applyNumberFormat="1" applyBorder="1"/>
    <xf numFmtId="169" fontId="47" fillId="0" borderId="18" xfId="2" applyNumberFormat="1" applyFont="1" applyBorder="1"/>
    <xf numFmtId="165" fontId="50" fillId="0" borderId="0" xfId="2" applyNumberFormat="1" applyFont="1"/>
    <xf numFmtId="165" fontId="43" fillId="0" borderId="0" xfId="2" applyNumberFormat="1" applyFont="1"/>
    <xf numFmtId="166" fontId="49" fillId="0" borderId="0" xfId="2" quotePrefix="1" applyNumberFormat="1" applyFont="1" applyAlignment="1">
      <alignment horizontal="left"/>
    </xf>
    <xf numFmtId="168" fontId="47" fillId="0" borderId="0" xfId="2" applyNumberFormat="1" applyFont="1"/>
    <xf numFmtId="193" fontId="40" fillId="0" borderId="0" xfId="2" applyNumberFormat="1"/>
    <xf numFmtId="170" fontId="42" fillId="0" borderId="98" xfId="2" applyNumberFormat="1" applyFont="1" applyBorder="1"/>
    <xf numFmtId="170" fontId="47" fillId="0" borderId="98" xfId="2" applyNumberFormat="1" applyFont="1" applyBorder="1"/>
    <xf numFmtId="166" fontId="42" fillId="0" borderId="0" xfId="2" quotePrefix="1" applyNumberFormat="1" applyFont="1" applyAlignment="1">
      <alignment horizontal="right"/>
    </xf>
    <xf numFmtId="195" fontId="42" fillId="0" borderId="0" xfId="2" applyNumberFormat="1" applyFont="1"/>
    <xf numFmtId="170" fontId="42" fillId="0" borderId="0" xfId="5" applyNumberFormat="1" applyFont="1" applyFill="1" applyProtection="1"/>
    <xf numFmtId="174" fontId="47" fillId="0" borderId="99" xfId="2" applyNumberFormat="1" applyFont="1" applyBorder="1"/>
    <xf numFmtId="168" fontId="42" fillId="0" borderId="36" xfId="2" applyNumberFormat="1" applyFont="1" applyBorder="1"/>
    <xf numFmtId="169" fontId="42" fillId="0" borderId="0" xfId="2" quotePrefix="1" applyNumberFormat="1" applyFont="1" applyAlignment="1">
      <alignment horizontal="right"/>
    </xf>
    <xf numFmtId="170" fontId="40" fillId="0" borderId="0" xfId="1" applyNumberFormat="1" applyFont="1" applyFill="1" applyAlignment="1" applyProtection="1">
      <alignment horizontal="right"/>
    </xf>
    <xf numFmtId="170" fontId="40" fillId="0" borderId="15" xfId="1" applyNumberFormat="1" applyFont="1" applyFill="1" applyBorder="1" applyAlignment="1" applyProtection="1">
      <alignment horizontal="right"/>
    </xf>
    <xf numFmtId="170" fontId="47" fillId="0" borderId="45" xfId="1046" applyNumberFormat="1" applyFont="1" applyFill="1" applyBorder="1" applyProtection="1"/>
    <xf numFmtId="43" fontId="0" fillId="0" borderId="0" xfId="2" applyNumberFormat="1" applyFont="1"/>
    <xf numFmtId="170" fontId="47" fillId="0" borderId="43" xfId="2" applyNumberFormat="1" applyFont="1" applyBorder="1"/>
    <xf numFmtId="170" fontId="47" fillId="0" borderId="66" xfId="6" applyNumberFormat="1" applyFont="1" applyFill="1" applyBorder="1" applyAlignment="1" applyProtection="1"/>
    <xf numFmtId="170" fontId="47" fillId="0" borderId="0" xfId="6" applyNumberFormat="1" applyFont="1" applyFill="1" applyAlignment="1" applyProtection="1"/>
    <xf numFmtId="170" fontId="47" fillId="0" borderId="21" xfId="6" applyNumberFormat="1" applyFont="1" applyFill="1" applyBorder="1" applyAlignment="1" applyProtection="1"/>
    <xf numFmtId="0" fontId="0" fillId="0" borderId="28" xfId="2" applyFont="1" applyBorder="1"/>
    <xf numFmtId="0" fontId="0" fillId="0" borderId="15" xfId="2" applyFont="1" applyBorder="1"/>
    <xf numFmtId="166" fontId="45" fillId="0" borderId="0" xfId="4" applyNumberFormat="1" applyFont="1"/>
    <xf numFmtId="43" fontId="45" fillId="0" borderId="0" xfId="5" applyFont="1" applyFill="1" applyBorder="1" applyAlignment="1" applyProtection="1">
      <alignment horizontal="right"/>
    </xf>
    <xf numFmtId="0" fontId="69" fillId="0" borderId="0" xfId="4" quotePrefix="1" applyFont="1" applyAlignment="1">
      <alignment horizontal="left"/>
    </xf>
    <xf numFmtId="0" fontId="69" fillId="0" borderId="0" xfId="4" applyFont="1" applyAlignment="1">
      <alignment horizontal="right"/>
    </xf>
    <xf numFmtId="0" fontId="88" fillId="0" borderId="0" xfId="4"/>
    <xf numFmtId="43" fontId="46" fillId="0" borderId="0" xfId="5" applyFont="1" applyFill="1" applyBorder="1" applyAlignment="1" applyProtection="1">
      <alignment horizontal="right"/>
    </xf>
    <xf numFmtId="0" fontId="47" fillId="0" borderId="0" xfId="4" applyFont="1" applyAlignment="1">
      <alignment horizontal="center"/>
    </xf>
    <xf numFmtId="166" fontId="47" fillId="0" borderId="0" xfId="4" applyNumberFormat="1" applyFont="1"/>
    <xf numFmtId="166" fontId="47" fillId="0" borderId="0" xfId="4" applyNumberFormat="1" applyFont="1" applyAlignment="1">
      <alignment horizontal="center"/>
    </xf>
    <xf numFmtId="165" fontId="47" fillId="0" borderId="0" xfId="4" applyNumberFormat="1" applyFont="1"/>
    <xf numFmtId="165" fontId="47" fillId="0" borderId="0" xfId="4" applyNumberFormat="1" applyFont="1" applyAlignment="1">
      <alignment horizontal="center"/>
    </xf>
    <xf numFmtId="0" fontId="47" fillId="0" borderId="10" xfId="4" applyFont="1" applyBorder="1" applyAlignment="1">
      <alignment horizontal="center"/>
    </xf>
    <xf numFmtId="166" fontId="47" fillId="0" borderId="10" xfId="4" applyNumberFormat="1" applyFont="1" applyBorder="1" applyAlignment="1">
      <alignment horizontal="center"/>
    </xf>
    <xf numFmtId="0" fontId="47" fillId="0" borderId="10" xfId="4" quotePrefix="1" applyFont="1" applyBorder="1" applyAlignment="1">
      <alignment horizontal="center"/>
    </xf>
    <xf numFmtId="166" fontId="42" fillId="0" borderId="0" xfId="4" applyNumberFormat="1" applyFont="1" applyAlignment="1">
      <alignment horizontal="center"/>
    </xf>
    <xf numFmtId="0" fontId="42" fillId="0" borderId="0" xfId="4" quotePrefix="1" applyFont="1" applyAlignment="1">
      <alignment horizontal="center"/>
    </xf>
    <xf numFmtId="169" fontId="42" fillId="0" borderId="0" xfId="4" applyNumberFormat="1" applyFont="1" applyAlignment="1">
      <alignment horizontal="center"/>
    </xf>
    <xf numFmtId="0" fontId="42" fillId="0" borderId="15" xfId="4" applyFont="1" applyBorder="1" applyAlignment="1">
      <alignment horizontal="center"/>
    </xf>
    <xf numFmtId="0" fontId="47" fillId="0" borderId="0" xfId="4" applyFont="1" applyAlignment="1">
      <alignment horizontal="left"/>
    </xf>
    <xf numFmtId="174" fontId="47" fillId="0" borderId="0" xfId="4" quotePrefix="1" applyNumberFormat="1" applyFont="1" applyAlignment="1">
      <alignment horizontal="right"/>
    </xf>
    <xf numFmtId="174" fontId="47" fillId="0" borderId="13" xfId="4" applyNumberFormat="1" applyFont="1" applyBorder="1"/>
    <xf numFmtId="174" fontId="47" fillId="0" borderId="0" xfId="4" applyNumberFormat="1" applyFont="1" applyAlignment="1">
      <alignment horizontal="center"/>
    </xf>
    <xf numFmtId="174" fontId="47" fillId="0" borderId="15" xfId="4" applyNumberFormat="1" applyFont="1" applyBorder="1"/>
    <xf numFmtId="164" fontId="47" fillId="0" borderId="0" xfId="4" applyNumberFormat="1" applyFont="1"/>
    <xf numFmtId="0" fontId="42" fillId="0" borderId="13" xfId="4" applyFont="1" applyBorder="1"/>
    <xf numFmtId="166" fontId="42" fillId="0" borderId="13" xfId="4" applyNumberFormat="1" applyFont="1" applyBorder="1"/>
    <xf numFmtId="170" fontId="47" fillId="0" borderId="45" xfId="4" applyNumberFormat="1" applyFont="1" applyBorder="1"/>
    <xf numFmtId="170" fontId="42" fillId="0" borderId="0" xfId="4" applyNumberFormat="1" applyFont="1" applyAlignment="1">
      <alignment horizontal="center"/>
    </xf>
    <xf numFmtId="170" fontId="42" fillId="0" borderId="15" xfId="4" applyNumberFormat="1" applyFont="1" applyBorder="1"/>
    <xf numFmtId="0" fontId="42" fillId="0" borderId="104" xfId="4" applyFont="1" applyBorder="1"/>
    <xf numFmtId="170" fontId="47" fillId="0" borderId="0" xfId="5517" applyNumberFormat="1" applyFont="1"/>
    <xf numFmtId="170" fontId="47" fillId="0" borderId="13" xfId="4" applyNumberFormat="1" applyFont="1" applyBorder="1"/>
    <xf numFmtId="170" fontId="47" fillId="0" borderId="0" xfId="4" applyNumberFormat="1" applyFont="1" applyAlignment="1">
      <alignment horizontal="center"/>
    </xf>
    <xf numFmtId="170" fontId="47" fillId="0" borderId="15" xfId="4" applyNumberFormat="1" applyFont="1" applyBorder="1"/>
    <xf numFmtId="172" fontId="47" fillId="0" borderId="16" xfId="0" applyNumberFormat="1" applyFont="1" applyBorder="1"/>
    <xf numFmtId="0" fontId="46" fillId="0" borderId="0" xfId="4" applyFont="1"/>
    <xf numFmtId="170" fontId="47" fillId="0" borderId="75" xfId="4" applyNumberFormat="1" applyFont="1" applyBorder="1"/>
    <xf numFmtId="0" fontId="40" fillId="0" borderId="0" xfId="4" applyFont="1"/>
    <xf numFmtId="170" fontId="42" fillId="0" borderId="13" xfId="4" applyNumberFormat="1" applyFont="1" applyBorder="1"/>
    <xf numFmtId="170" fontId="40" fillId="0" borderId="66" xfId="5517" quotePrefix="1" applyNumberFormat="1" applyFont="1" applyBorder="1" applyAlignment="1">
      <alignment horizontal="center"/>
    </xf>
    <xf numFmtId="170" fontId="42" fillId="0" borderId="10" xfId="4" quotePrefix="1" applyNumberFormat="1" applyFont="1" applyBorder="1"/>
    <xf numFmtId="170" fontId="40" fillId="0" borderId="46" xfId="5517" applyNumberFormat="1" applyFont="1" applyBorder="1"/>
    <xf numFmtId="170" fontId="42" fillId="0" borderId="46" xfId="4" applyNumberFormat="1" applyFont="1" applyBorder="1"/>
    <xf numFmtId="170" fontId="47" fillId="0" borderId="0" xfId="5517" applyNumberFormat="1" applyFont="1" applyAlignment="1">
      <alignment horizontal="right"/>
    </xf>
    <xf numFmtId="170" fontId="47" fillId="0" borderId="0" xfId="4" applyNumberFormat="1" applyFont="1" applyAlignment="1">
      <alignment horizontal="right"/>
    </xf>
    <xf numFmtId="39" fontId="46" fillId="0" borderId="0" xfId="4" applyNumberFormat="1" applyFont="1"/>
    <xf numFmtId="0" fontId="47" fillId="0" borderId="0" xfId="4" quotePrefix="1" applyFont="1" applyAlignment="1">
      <alignment horizontal="left"/>
    </xf>
    <xf numFmtId="0" fontId="42" fillId="0" borderId="0" xfId="4" quotePrefix="1" applyFont="1" applyAlignment="1">
      <alignment horizontal="left"/>
    </xf>
    <xf numFmtId="170" fontId="40" fillId="0" borderId="0" xfId="5517" quotePrefix="1" applyNumberFormat="1" applyFont="1" applyAlignment="1">
      <alignment horizontal="right"/>
    </xf>
    <xf numFmtId="0" fontId="40" fillId="0" borderId="0" xfId="4" quotePrefix="1" applyFont="1" applyAlignment="1">
      <alignment horizontal="left"/>
    </xf>
    <xf numFmtId="0" fontId="40" fillId="0" borderId="0" xfId="4" applyFont="1" applyAlignment="1">
      <alignment horizontal="left"/>
    </xf>
    <xf numFmtId="170" fontId="40" fillId="0" borderId="66" xfId="5517" applyNumberFormat="1" applyFont="1" applyBorder="1"/>
    <xf numFmtId="170" fontId="42" fillId="0" borderId="10" xfId="4" applyNumberFormat="1" applyFont="1" applyBorder="1"/>
    <xf numFmtId="39" fontId="60" fillId="0" borderId="0" xfId="4" applyNumberFormat="1" applyFont="1"/>
    <xf numFmtId="170" fontId="40" fillId="0" borderId="0" xfId="5517" applyNumberFormat="1" applyFont="1" applyAlignment="1">
      <alignment horizontal="right"/>
    </xf>
    <xf numFmtId="170" fontId="42" fillId="0" borderId="0" xfId="4" applyNumberFormat="1" applyFont="1" applyAlignment="1">
      <alignment horizontal="right"/>
    </xf>
    <xf numFmtId="170" fontId="40" fillId="0" borderId="66" xfId="1046" applyNumberFormat="1" applyFont="1" applyFill="1" applyBorder="1" applyProtection="1"/>
    <xf numFmtId="170" fontId="42" fillId="0" borderId="46" xfId="4" applyNumberFormat="1" applyFont="1" applyBorder="1" applyAlignment="1">
      <alignment horizontal="center"/>
    </xf>
    <xf numFmtId="166" fontId="42" fillId="0" borderId="19" xfId="4" applyNumberFormat="1" applyFont="1" applyBorder="1"/>
    <xf numFmtId="166" fontId="42" fillId="0" borderId="19" xfId="4" applyNumberFormat="1" applyFont="1" applyBorder="1" applyAlignment="1">
      <alignment horizontal="right"/>
    </xf>
    <xf numFmtId="174" fontId="47" fillId="0" borderId="17" xfId="4" applyNumberFormat="1" applyFont="1" applyBorder="1"/>
    <xf numFmtId="174" fontId="47" fillId="0" borderId="17" xfId="4" applyNumberFormat="1" applyFont="1" applyBorder="1" applyAlignment="1">
      <alignment horizontal="center"/>
    </xf>
    <xf numFmtId="7" fontId="46" fillId="0" borderId="0" xfId="4" applyNumberFormat="1" applyFont="1"/>
    <xf numFmtId="169" fontId="45" fillId="0" borderId="0" xfId="4" applyNumberFormat="1" applyFont="1"/>
    <xf numFmtId="169" fontId="45" fillId="0" borderId="0" xfId="4" quotePrefix="1" applyNumberFormat="1" applyFont="1" applyAlignment="1">
      <alignment horizontal="right"/>
    </xf>
    <xf numFmtId="0" fontId="45" fillId="0" borderId="0" xfId="4" applyFont="1" applyAlignment="1">
      <alignment horizontal="center"/>
    </xf>
    <xf numFmtId="164" fontId="45" fillId="0" borderId="0" xfId="4" applyNumberFormat="1" applyFont="1"/>
    <xf numFmtId="39" fontId="45" fillId="0" borderId="0" xfId="4" applyNumberFormat="1" applyFont="1"/>
    <xf numFmtId="174" fontId="45" fillId="0" borderId="0" xfId="4" applyNumberFormat="1" applyFont="1"/>
    <xf numFmtId="43" fontId="45" fillId="0" borderId="0" xfId="5" applyFont="1" applyFill="1" applyProtection="1"/>
    <xf numFmtId="0" fontId="45" fillId="0" borderId="0" xfId="4" quotePrefix="1" applyFont="1" applyAlignment="1">
      <alignment horizontal="left"/>
    </xf>
    <xf numFmtId="170" fontId="45" fillId="0" borderId="0" xfId="4" quotePrefix="1" applyNumberFormat="1" applyFont="1" applyAlignment="1">
      <alignment horizontal="left"/>
    </xf>
    <xf numFmtId="43" fontId="45" fillId="0" borderId="0" xfId="4" applyNumberFormat="1" applyFont="1"/>
    <xf numFmtId="49" fontId="89" fillId="0" borderId="0" xfId="4" applyNumberFormat="1" applyFont="1" applyAlignment="1">
      <alignment horizontal="left"/>
    </xf>
    <xf numFmtId="0" fontId="89" fillId="0" borderId="0" xfId="4" applyFont="1" applyAlignment="1">
      <alignment horizontal="left"/>
    </xf>
    <xf numFmtId="165" fontId="40" fillId="0" borderId="0" xfId="5458" applyNumberFormat="1"/>
    <xf numFmtId="166" fontId="61" fillId="0" borderId="10" xfId="2" applyNumberFormat="1" applyFont="1" applyBorder="1" applyAlignment="1">
      <alignment horizontal="center"/>
    </xf>
    <xf numFmtId="174" fontId="61" fillId="0" borderId="28" xfId="2" applyNumberFormat="1" applyFont="1" applyBorder="1"/>
    <xf numFmtId="3" fontId="40" fillId="0" borderId="0" xfId="2" applyNumberFormat="1" applyAlignment="1">
      <alignment vertical="center"/>
    </xf>
    <xf numFmtId="3" fontId="40" fillId="0" borderId="0" xfId="2" applyNumberFormat="1" applyAlignment="1">
      <alignment horizontal="left" vertical="center"/>
    </xf>
    <xf numFmtId="170" fontId="61" fillId="0" borderId="66" xfId="2" applyNumberFormat="1" applyFont="1" applyBorder="1" applyAlignment="1">
      <alignment horizontal="right"/>
    </xf>
    <xf numFmtId="170" fontId="62" fillId="0" borderId="75" xfId="2" applyNumberFormat="1" applyFont="1" applyBorder="1"/>
    <xf numFmtId="170" fontId="62" fillId="0" borderId="66" xfId="2" applyNumberFormat="1" applyFont="1" applyBorder="1" applyAlignment="1">
      <alignment horizontal="center"/>
    </xf>
    <xf numFmtId="0" fontId="68" fillId="0" borderId="0" xfId="1776" applyFont="1"/>
    <xf numFmtId="165" fontId="45" fillId="0" borderId="0" xfId="0" applyNumberFormat="1" applyFont="1" applyAlignment="1">
      <alignment horizontal="left"/>
    </xf>
    <xf numFmtId="165" fontId="45" fillId="0" borderId="0" xfId="0" applyNumberFormat="1" applyFont="1" applyAlignment="1">
      <alignment horizontal="centerContinuous"/>
    </xf>
    <xf numFmtId="0" fontId="68" fillId="0" borderId="0" xfId="0" applyNumberFormat="1" applyFont="1"/>
    <xf numFmtId="165" fontId="69" fillId="0" borderId="0" xfId="0" quotePrefix="1" applyNumberFormat="1" applyFont="1" applyAlignment="1">
      <alignment horizontal="left"/>
    </xf>
    <xf numFmtId="165" fontId="40" fillId="0" borderId="0" xfId="0" applyNumberFormat="1" applyFont="1" applyAlignment="1">
      <alignment horizontal="centerContinuous"/>
    </xf>
    <xf numFmtId="165" fontId="47" fillId="0" borderId="0" xfId="0" applyNumberFormat="1" applyFont="1" applyAlignment="1">
      <alignment horizontal="centerContinuous"/>
    </xf>
    <xf numFmtId="165" fontId="66" fillId="0" borderId="0" xfId="0" applyNumberFormat="1" applyFont="1"/>
    <xf numFmtId="165" fontId="68" fillId="0" borderId="0" xfId="0" applyNumberFormat="1" applyFont="1"/>
    <xf numFmtId="165" fontId="69" fillId="0" borderId="0" xfId="0" applyNumberFormat="1" applyFont="1" applyAlignment="1">
      <alignment horizontal="left"/>
    </xf>
    <xf numFmtId="165" fontId="69" fillId="0" borderId="0" xfId="0" quotePrefix="1" applyNumberFormat="1" applyFont="1" applyAlignment="1">
      <alignment horizontal="right"/>
    </xf>
    <xf numFmtId="165" fontId="66" fillId="0" borderId="0" xfId="0" applyNumberFormat="1" applyFont="1" applyAlignment="1">
      <alignment horizontal="centerContinuous"/>
    </xf>
    <xf numFmtId="165" fontId="47" fillId="0" borderId="0" xfId="0" quotePrefix="1" applyNumberFormat="1" applyFont="1" applyAlignment="1">
      <alignment horizontal="centerContinuous"/>
    </xf>
    <xf numFmtId="165" fontId="40" fillId="0" borderId="66" xfId="0" applyNumberFormat="1" applyFont="1" applyBorder="1" applyAlignment="1">
      <alignment horizontal="centerContinuous"/>
    </xf>
    <xf numFmtId="165" fontId="47" fillId="0" borderId="80" xfId="0" quotePrefix="1" applyNumberFormat="1" applyFont="1" applyBorder="1" applyAlignment="1">
      <alignment horizontal="center"/>
    </xf>
    <xf numFmtId="165" fontId="66" fillId="0" borderId="0" xfId="0" quotePrefix="1" applyNumberFormat="1" applyFont="1" applyAlignment="1">
      <alignment horizontal="center"/>
    </xf>
    <xf numFmtId="165" fontId="40" fillId="0" borderId="21" xfId="0" applyNumberFormat="1" applyFont="1" applyBorder="1"/>
    <xf numFmtId="165" fontId="40" fillId="0" borderId="14" xfId="0" applyNumberFormat="1" applyFont="1" applyBorder="1"/>
    <xf numFmtId="0" fontId="47" fillId="0" borderId="0" xfId="0" applyNumberFormat="1" applyFont="1"/>
    <xf numFmtId="174" fontId="40" fillId="0" borderId="21" xfId="0" applyNumberFormat="1" applyFont="1" applyBorder="1"/>
    <xf numFmtId="174" fontId="40" fillId="0" borderId="18" xfId="0" applyNumberFormat="1" applyFont="1" applyBorder="1"/>
    <xf numFmtId="174" fontId="40" fillId="0" borderId="14" xfId="0" applyNumberFormat="1" applyFont="1" applyBorder="1"/>
    <xf numFmtId="0" fontId="40" fillId="0" borderId="0" xfId="0" quotePrefix="1" applyNumberFormat="1" applyFont="1" applyAlignment="1">
      <alignment horizontal="left"/>
    </xf>
    <xf numFmtId="0" fontId="40" fillId="0" borderId="0" xfId="0" quotePrefix="1" applyNumberFormat="1" applyFont="1" applyAlignment="1">
      <alignment horizontal="center"/>
    </xf>
    <xf numFmtId="170" fontId="40" fillId="0" borderId="21" xfId="0" applyNumberFormat="1" applyFont="1" applyBorder="1"/>
    <xf numFmtId="170" fontId="40" fillId="0" borderId="0" xfId="0" quotePrefix="1" applyNumberFormat="1" applyFont="1" applyAlignment="1">
      <alignment horizontal="left"/>
    </xf>
    <xf numFmtId="170" fontId="40" fillId="0" borderId="14" xfId="0" applyNumberFormat="1" applyFont="1" applyBorder="1"/>
    <xf numFmtId="166" fontId="40" fillId="0" borderId="0" xfId="0" quotePrefix="1" applyNumberFormat="1" applyFont="1" applyAlignment="1">
      <alignment horizontal="center"/>
    </xf>
    <xf numFmtId="170" fontId="47" fillId="0" borderId="0" xfId="0" quotePrefix="1" applyNumberFormat="1" applyFont="1"/>
    <xf numFmtId="170" fontId="47" fillId="0" borderId="21" xfId="0" applyNumberFormat="1" applyFont="1" applyBorder="1"/>
    <xf numFmtId="170" fontId="47" fillId="0" borderId="80" xfId="0" quotePrefix="1" applyNumberFormat="1" applyFont="1" applyBorder="1"/>
    <xf numFmtId="170" fontId="47" fillId="0" borderId="0" xfId="0" quotePrefix="1" applyNumberFormat="1" applyFont="1" applyAlignment="1">
      <alignment horizontal="left"/>
    </xf>
    <xf numFmtId="164" fontId="67" fillId="0" borderId="0" xfId="0" applyFont="1"/>
    <xf numFmtId="165" fontId="67" fillId="0" borderId="0" xfId="0" applyNumberFormat="1" applyFont="1"/>
    <xf numFmtId="165" fontId="78" fillId="0" borderId="0" xfId="0" applyNumberFormat="1" applyFont="1"/>
    <xf numFmtId="170" fontId="40" fillId="0" borderId="82" xfId="0" quotePrefix="1" applyNumberFormat="1" applyFont="1" applyBorder="1"/>
    <xf numFmtId="166" fontId="66" fillId="0" borderId="0" xfId="0" applyNumberFormat="1" applyFont="1"/>
    <xf numFmtId="0" fontId="47" fillId="0" borderId="0" xfId="0" quotePrefix="1" applyNumberFormat="1" applyFont="1" applyAlignment="1">
      <alignment horizontal="left"/>
    </xf>
    <xf numFmtId="170" fontId="47" fillId="0" borderId="91" xfId="0" quotePrefix="1" applyNumberFormat="1" applyFont="1" applyBorder="1" applyAlignment="1">
      <alignment horizontal="left"/>
    </xf>
    <xf numFmtId="164" fontId="68" fillId="0" borderId="0" xfId="0" applyFont="1"/>
    <xf numFmtId="166" fontId="40" fillId="0" borderId="0" xfId="0" quotePrefix="1" applyNumberFormat="1" applyFont="1"/>
    <xf numFmtId="166" fontId="40" fillId="0" borderId="0" xfId="0" quotePrefix="1" applyNumberFormat="1" applyFont="1" applyAlignment="1">
      <alignment horizontal="right"/>
    </xf>
    <xf numFmtId="0" fontId="40" fillId="0" borderId="0" xfId="1767" applyFont="1"/>
    <xf numFmtId="0" fontId="17" fillId="0" borderId="0" xfId="841" applyFont="1"/>
    <xf numFmtId="4" fontId="46" fillId="0" borderId="0" xfId="1028" applyNumberFormat="1" applyFont="1"/>
    <xf numFmtId="4" fontId="117" fillId="0" borderId="0" xfId="1028" applyNumberFormat="1" applyFont="1" applyAlignment="1">
      <alignment horizontal="right"/>
    </xf>
    <xf numFmtId="1" fontId="46" fillId="0" borderId="0" xfId="1028" applyNumberFormat="1" applyFont="1"/>
    <xf numFmtId="0" fontId="46" fillId="0" borderId="0" xfId="1028" applyFont="1" applyAlignment="1">
      <alignment horizontal="left"/>
    </xf>
    <xf numFmtId="4" fontId="69" fillId="0" borderId="0" xfId="1028" applyNumberFormat="1" applyFont="1" applyAlignment="1">
      <alignment horizontal="left" vertical="center"/>
    </xf>
    <xf numFmtId="39" fontId="46" fillId="0" borderId="0" xfId="1028" applyNumberFormat="1" applyFont="1"/>
    <xf numFmtId="4" fontId="117" fillId="0" borderId="0" xfId="1028" applyNumberFormat="1" applyFont="1"/>
    <xf numFmtId="39" fontId="117" fillId="0" borderId="0" xfId="1028" applyNumberFormat="1" applyFont="1" applyAlignment="1">
      <alignment horizontal="right"/>
    </xf>
    <xf numFmtId="4" fontId="89" fillId="0" borderId="0" xfId="1028" applyNumberFormat="1" applyFont="1"/>
    <xf numFmtId="0" fontId="46" fillId="0" borderId="0" xfId="1028" applyFont="1" applyAlignment="1">
      <alignment horizontal="right"/>
    </xf>
    <xf numFmtId="39" fontId="117" fillId="0" borderId="0" xfId="1028" applyNumberFormat="1" applyFont="1"/>
    <xf numFmtId="4" fontId="117" fillId="0" borderId="0" xfId="1028" quotePrefix="1" applyNumberFormat="1" applyFont="1" applyAlignment="1">
      <alignment horizontal="left"/>
    </xf>
    <xf numFmtId="4" fontId="46" fillId="0" borderId="0" xfId="1028" applyNumberFormat="1" applyFont="1" applyAlignment="1">
      <alignment horizontal="center"/>
    </xf>
    <xf numFmtId="39" fontId="117" fillId="0" borderId="0" xfId="1028" quotePrefix="1" applyNumberFormat="1" applyFont="1" applyAlignment="1">
      <alignment horizontal="left"/>
    </xf>
    <xf numFmtId="4" fontId="45" fillId="0" borderId="0" xfId="1028" applyNumberFormat="1" applyFont="1" applyAlignment="1">
      <alignment horizontal="right"/>
    </xf>
    <xf numFmtId="1" fontId="47" fillId="0" borderId="50" xfId="1028" applyNumberFormat="1" applyFont="1" applyBorder="1"/>
    <xf numFmtId="4" fontId="47" fillId="0" borderId="50" xfId="1028" applyNumberFormat="1" applyFont="1" applyBorder="1"/>
    <xf numFmtId="4" fontId="47" fillId="0" borderId="50" xfId="1028" applyNumberFormat="1" applyFont="1" applyBorder="1" applyAlignment="1">
      <alignment horizontal="center"/>
    </xf>
    <xf numFmtId="186" fontId="47" fillId="0" borderId="50" xfId="0" applyNumberFormat="1" applyFont="1" applyBorder="1" applyAlignment="1">
      <alignment horizontal="center"/>
    </xf>
    <xf numFmtId="39" fontId="47" fillId="0" borderId="50" xfId="0" applyNumberFormat="1" applyFont="1" applyBorder="1" applyAlignment="1">
      <alignment horizontal="center"/>
    </xf>
    <xf numFmtId="1" fontId="47" fillId="0" borderId="0" xfId="1028" applyNumberFormat="1" applyFont="1"/>
    <xf numFmtId="0" fontId="118" fillId="0" borderId="0" xfId="841" applyFont="1"/>
    <xf numFmtId="0" fontId="0" fillId="0" borderId="0" xfId="0" applyNumberFormat="1"/>
    <xf numFmtId="4" fontId="47" fillId="0" borderId="0" xfId="1028" applyNumberFormat="1" applyFont="1"/>
    <xf numFmtId="4" fontId="47" fillId="35" borderId="95" xfId="1028" applyNumberFormat="1" applyFont="1" applyFill="1" applyBorder="1" applyAlignment="1">
      <alignment horizontal="center"/>
    </xf>
    <xf numFmtId="4" fontId="47" fillId="0" borderId="0" xfId="1028" applyNumberFormat="1" applyFont="1" applyAlignment="1">
      <alignment horizontal="center"/>
    </xf>
    <xf numFmtId="0" fontId="100" fillId="0" borderId="0" xfId="0" applyNumberFormat="1" applyFont="1"/>
    <xf numFmtId="0" fontId="40" fillId="0" borderId="0" xfId="1028" quotePrefix="1" applyAlignment="1">
      <alignment horizontal="center"/>
    </xf>
    <xf numFmtId="4" fontId="40" fillId="0" borderId="0" xfId="1028" applyNumberFormat="1" applyAlignment="1">
      <alignment horizontal="left"/>
    </xf>
    <xf numFmtId="0" fontId="104" fillId="0" borderId="0" xfId="0" applyNumberFormat="1" applyFont="1"/>
    <xf numFmtId="44" fontId="40" fillId="0" borderId="0" xfId="1767" applyNumberFormat="1" applyFont="1" applyAlignment="1">
      <alignment horizontal="right"/>
    </xf>
    <xf numFmtId="1" fontId="40" fillId="0" borderId="0" xfId="1028" applyNumberFormat="1" applyAlignment="1">
      <alignment horizontal="center"/>
    </xf>
    <xf numFmtId="44" fontId="118" fillId="0" borderId="0" xfId="841" applyNumberFormat="1" applyFont="1"/>
    <xf numFmtId="4" fontId="47" fillId="35" borderId="95" xfId="1028" quotePrefix="1" applyNumberFormat="1" applyFont="1" applyFill="1" applyBorder="1" applyAlignment="1">
      <alignment horizontal="center"/>
    </xf>
    <xf numFmtId="4" fontId="47" fillId="0" borderId="0" xfId="1028" quotePrefix="1" applyNumberFormat="1" applyFont="1" applyAlignment="1">
      <alignment horizontal="center"/>
    </xf>
    <xf numFmtId="4" fontId="40" fillId="0" borderId="0" xfId="1028" quotePrefix="1" applyNumberFormat="1" applyAlignment="1">
      <alignment horizontal="left"/>
    </xf>
    <xf numFmtId="4" fontId="40" fillId="0" borderId="0" xfId="1028" applyNumberFormat="1"/>
    <xf numFmtId="4" fontId="40" fillId="0" borderId="0" xfId="1028" applyNumberFormat="1" applyAlignment="1">
      <alignment horizontal="center"/>
    </xf>
    <xf numFmtId="1" fontId="40" fillId="0" borderId="0" xfId="1028" quotePrefix="1" applyNumberFormat="1"/>
    <xf numFmtId="4" fontId="47" fillId="0" borderId="0" xfId="0" applyNumberFormat="1" applyFont="1"/>
    <xf numFmtId="0" fontId="100" fillId="0" borderId="0" xfId="1028" quotePrefix="1" applyFont="1"/>
    <xf numFmtId="1" fontId="40" fillId="0" borderId="0" xfId="1028" applyNumberFormat="1"/>
    <xf numFmtId="4" fontId="47" fillId="35" borderId="95" xfId="0" applyNumberFormat="1" applyFont="1" applyFill="1" applyBorder="1" applyAlignment="1">
      <alignment horizontal="center"/>
    </xf>
    <xf numFmtId="4" fontId="47" fillId="0" borderId="0" xfId="0" applyNumberFormat="1" applyFont="1" applyAlignment="1">
      <alignment horizontal="center"/>
    </xf>
    <xf numFmtId="4" fontId="40" fillId="0" borderId="0" xfId="0" applyNumberFormat="1" applyFont="1"/>
    <xf numFmtId="4" fontId="40" fillId="0" borderId="0" xfId="0" applyNumberFormat="1" applyFont="1" applyAlignment="1">
      <alignment horizontal="center"/>
    </xf>
    <xf numFmtId="1" fontId="40" fillId="0" borderId="0" xfId="1028" quotePrefix="1" applyNumberFormat="1" applyAlignment="1">
      <alignment horizontal="center"/>
    </xf>
    <xf numFmtId="4" fontId="40" fillId="0" borderId="0" xfId="1028" quotePrefix="1" applyNumberFormat="1" applyAlignment="1">
      <alignment horizontal="right"/>
    </xf>
    <xf numFmtId="4" fontId="40" fillId="0" borderId="0" xfId="1028" quotePrefix="1" applyNumberFormat="1" applyAlignment="1">
      <alignment horizontal="center"/>
    </xf>
    <xf numFmtId="37" fontId="47" fillId="0" borderId="0" xfId="1028" quotePrefix="1" applyNumberFormat="1" applyFont="1" applyAlignment="1">
      <alignment horizontal="center"/>
    </xf>
    <xf numFmtId="43" fontId="47" fillId="0" borderId="0" xfId="17924" applyFont="1" applyFill="1" applyAlignment="1" applyProtection="1">
      <alignment horizontal="right"/>
    </xf>
    <xf numFmtId="4" fontId="40" fillId="33" borderId="0" xfId="1028" applyNumberFormat="1" applyFill="1" applyAlignment="1">
      <alignment horizontal="centerContinuous"/>
    </xf>
    <xf numFmtId="4" fontId="40" fillId="33" borderId="0" xfId="1028" applyNumberFormat="1" applyFill="1" applyAlignment="1">
      <alignment horizontal="center"/>
    </xf>
    <xf numFmtId="4" fontId="40" fillId="0" borderId="0" xfId="1028" applyNumberFormat="1" applyAlignment="1">
      <alignment horizontal="right"/>
    </xf>
    <xf numFmtId="1" fontId="47" fillId="0" borderId="0" xfId="1028" quotePrefix="1" applyNumberFormat="1" applyFont="1"/>
    <xf numFmtId="0" fontId="100" fillId="0" borderId="0" xfId="1028" applyFont="1"/>
    <xf numFmtId="0" fontId="47" fillId="0" borderId="0" xfId="1028" applyFont="1" applyAlignment="1">
      <alignment horizontal="center"/>
    </xf>
    <xf numFmtId="4" fontId="47" fillId="35" borderId="57" xfId="1028" applyNumberFormat="1" applyFont="1" applyFill="1" applyBorder="1" applyAlignment="1">
      <alignment horizontal="left"/>
    </xf>
    <xf numFmtId="164" fontId="40" fillId="0" borderId="0" xfId="1028" applyNumberFormat="1"/>
    <xf numFmtId="4" fontId="47" fillId="0" borderId="0" xfId="0" applyNumberFormat="1" applyFont="1" applyAlignment="1">
      <alignment horizontal="left"/>
    </xf>
    <xf numFmtId="0" fontId="118" fillId="0" borderId="0" xfId="1028" quotePrefix="1" applyFont="1"/>
    <xf numFmtId="164" fontId="40" fillId="0" borderId="0" xfId="1028" quotePrefix="1" applyNumberFormat="1"/>
    <xf numFmtId="7" fontId="47" fillId="0" borderId="0" xfId="1767" applyNumberFormat="1" applyFont="1" applyAlignment="1">
      <alignment horizontal="right"/>
    </xf>
    <xf numFmtId="7" fontId="47" fillId="0" borderId="0" xfId="0" applyNumberFormat="1" applyFont="1" applyAlignment="1">
      <alignment horizontal="right"/>
    </xf>
    <xf numFmtId="37" fontId="47" fillId="0" borderId="0" xfId="1028" applyNumberFormat="1" applyFont="1" applyAlignment="1">
      <alignment horizontal="right"/>
    </xf>
    <xf numFmtId="4" fontId="47" fillId="0" borderId="0" xfId="0" applyNumberFormat="1" applyFont="1" applyAlignment="1">
      <alignment horizontal="left" vertical="top"/>
    </xf>
    <xf numFmtId="37" fontId="47" fillId="0" borderId="0" xfId="0" applyNumberFormat="1" applyFont="1" applyAlignment="1">
      <alignment horizontal="right" vertical="top"/>
    </xf>
    <xf numFmtId="37" fontId="104" fillId="0" borderId="0" xfId="0" applyNumberFormat="1" applyFont="1" applyAlignment="1">
      <alignment horizontal="right" vertical="top"/>
    </xf>
    <xf numFmtId="37" fontId="47" fillId="0" borderId="0" xfId="841" applyNumberFormat="1" applyFont="1" applyAlignment="1">
      <alignment horizontal="right"/>
    </xf>
    <xf numFmtId="37" fontId="47" fillId="0" borderId="0" xfId="0" applyNumberFormat="1" applyFont="1" applyAlignment="1">
      <alignment horizontal="right"/>
    </xf>
    <xf numFmtId="43" fontId="100" fillId="0" borderId="0" xfId="0" applyNumberFormat="1" applyFont="1"/>
    <xf numFmtId="7" fontId="47" fillId="0" borderId="0" xfId="1028" applyNumberFormat="1" applyFont="1" applyAlignment="1">
      <alignment horizontal="right"/>
    </xf>
    <xf numFmtId="37" fontId="47" fillId="0" borderId="0" xfId="1028" quotePrefix="1" applyNumberFormat="1" applyFont="1" applyAlignment="1">
      <alignment horizontal="right"/>
    </xf>
    <xf numFmtId="39" fontId="40" fillId="0" borderId="0" xfId="1028" applyNumberFormat="1"/>
    <xf numFmtId="0" fontId="138" fillId="0" borderId="0" xfId="841" applyFont="1"/>
    <xf numFmtId="0" fontId="4" fillId="0" borderId="0" xfId="841" applyFont="1"/>
    <xf numFmtId="4" fontId="45" fillId="0" borderId="0" xfId="1767" applyNumberFormat="1" applyFont="1" applyAlignment="1">
      <alignment horizontal="right"/>
    </xf>
    <xf numFmtId="42" fontId="40" fillId="0" borderId="0" xfId="739" applyNumberFormat="1"/>
    <xf numFmtId="42" fontId="47" fillId="0" borderId="17" xfId="840" applyNumberFormat="1" applyFont="1" applyBorder="1"/>
    <xf numFmtId="165" fontId="40" fillId="0" borderId="0" xfId="740" applyNumberFormat="1" applyFont="1" applyProtection="1">
      <protection locked="0"/>
    </xf>
    <xf numFmtId="177" fontId="69" fillId="0" borderId="0" xfId="740" applyNumberFormat="1" applyFont="1"/>
    <xf numFmtId="177" fontId="69" fillId="0" borderId="0" xfId="740" quotePrefix="1" applyNumberFormat="1" applyFont="1" applyAlignment="1">
      <alignment horizontal="right"/>
    </xf>
    <xf numFmtId="177" fontId="47" fillId="0" borderId="0" xfId="740" quotePrefix="1" applyNumberFormat="1" applyFont="1" applyAlignment="1">
      <alignment horizontal="right"/>
    </xf>
    <xf numFmtId="0" fontId="87" fillId="0" borderId="0" xfId="740" applyFont="1" applyAlignment="1">
      <alignment horizontal="right"/>
    </xf>
    <xf numFmtId="177" fontId="69" fillId="0" borderId="0" xfId="740" quotePrefix="1" applyNumberFormat="1" applyFont="1" applyAlignment="1">
      <alignment horizontal="left"/>
    </xf>
    <xf numFmtId="177" fontId="40" fillId="0" borderId="0" xfId="740" applyNumberFormat="1" applyFont="1" applyAlignment="1">
      <alignment horizontal="fill"/>
    </xf>
    <xf numFmtId="179" fontId="47" fillId="0" borderId="10" xfId="740" quotePrefix="1" applyNumberFormat="1" applyFont="1" applyBorder="1" applyAlignment="1">
      <alignment horizontal="center"/>
    </xf>
    <xf numFmtId="179" fontId="47" fillId="0" borderId="0" xfId="740" quotePrefix="1" applyNumberFormat="1" applyFont="1" applyAlignment="1">
      <alignment horizontal="center"/>
    </xf>
    <xf numFmtId="173" fontId="40" fillId="0" borderId="0" xfId="740" applyNumberFormat="1" applyFont="1"/>
    <xf numFmtId="182" fontId="100" fillId="0" borderId="0" xfId="740" applyNumberFormat="1" applyFont="1"/>
    <xf numFmtId="177" fontId="47" fillId="0" borderId="0" xfId="740" applyNumberFormat="1" applyFont="1" applyAlignment="1">
      <alignment horizontal="left"/>
    </xf>
    <xf numFmtId="43" fontId="40" fillId="0" borderId="0" xfId="741" applyFont="1" applyFill="1" applyAlignment="1"/>
    <xf numFmtId="181" fontId="40" fillId="0" borderId="0" xfId="740" applyNumberFormat="1" applyFont="1" applyAlignment="1">
      <alignment horizontal="right"/>
    </xf>
    <xf numFmtId="177" fontId="73" fillId="0" borderId="0" xfId="740" applyNumberFormat="1" applyFont="1" applyAlignment="1">
      <alignment horizontal="left"/>
    </xf>
    <xf numFmtId="41" fontId="0" fillId="0" borderId="0" xfId="0" applyNumberFormat="1"/>
    <xf numFmtId="41" fontId="46" fillId="0" borderId="0" xfId="0" applyNumberFormat="1" applyFont="1" applyAlignment="1">
      <alignment horizontal="center" wrapText="1"/>
    </xf>
    <xf numFmtId="198" fontId="0" fillId="0" borderId="0" xfId="0" applyNumberFormat="1"/>
    <xf numFmtId="41" fontId="113" fillId="0" borderId="0" xfId="0" applyNumberFormat="1" applyFont="1"/>
    <xf numFmtId="41" fontId="169" fillId="0" borderId="0" xfId="0" applyNumberFormat="1" applyFont="1" applyAlignment="1">
      <alignment horizontal="center" vertical="top"/>
    </xf>
    <xf numFmtId="170" fontId="69" fillId="0" borderId="96" xfId="2" quotePrefix="1" applyNumberFormat="1" applyFont="1" applyBorder="1" applyAlignment="1">
      <alignment horizontal="right"/>
    </xf>
    <xf numFmtId="185" fontId="64" fillId="0" borderId="0" xfId="836" applyNumberFormat="1" applyFont="1" applyAlignment="1">
      <alignment horizontal="right"/>
    </xf>
    <xf numFmtId="193" fontId="171" fillId="0" borderId="66" xfId="2" applyNumberFormat="1" applyFont="1" applyBorder="1"/>
    <xf numFmtId="170" fontId="40" fillId="0" borderId="66" xfId="2" quotePrefix="1" applyNumberFormat="1" applyBorder="1" applyAlignment="1">
      <alignment horizontal="center"/>
    </xf>
    <xf numFmtId="170" fontId="40" fillId="0" borderId="31" xfId="2" applyNumberFormat="1" applyBorder="1"/>
    <xf numFmtId="193" fontId="40" fillId="0" borderId="10" xfId="0" applyNumberFormat="1" applyFont="1" applyBorder="1"/>
    <xf numFmtId="0" fontId="42" fillId="0" borderId="0" xfId="2" quotePrefix="1" applyFont="1" applyAlignment="1">
      <alignment horizontal="center"/>
    </xf>
    <xf numFmtId="177" fontId="64" fillId="0" borderId="0" xfId="836" applyNumberFormat="1" applyFont="1" applyAlignment="1">
      <alignment horizontal="fill"/>
    </xf>
    <xf numFmtId="165" fontId="40" fillId="0" borderId="0" xfId="836" applyNumberFormat="1" applyFont="1" applyProtection="1">
      <protection locked="0"/>
    </xf>
    <xf numFmtId="0" fontId="55" fillId="0" borderId="0" xfId="836" applyFont="1"/>
    <xf numFmtId="0" fontId="42" fillId="0" borderId="0" xfId="836" quotePrefix="1" applyAlignment="1">
      <alignment horizontal="left"/>
    </xf>
    <xf numFmtId="181" fontId="81" fillId="0" borderId="0" xfId="836" applyNumberFormat="1" applyFont="1"/>
    <xf numFmtId="181" fontId="81" fillId="0" borderId="0" xfId="836" applyNumberFormat="1" applyFont="1" applyAlignment="1">
      <alignment horizontal="left"/>
    </xf>
    <xf numFmtId="182" fontId="81" fillId="0" borderId="0" xfId="836" applyNumberFormat="1" applyFont="1"/>
    <xf numFmtId="185" fontId="64" fillId="0" borderId="0" xfId="836" quotePrefix="1" applyNumberFormat="1" applyFont="1" applyAlignment="1">
      <alignment horizontal="center"/>
    </xf>
    <xf numFmtId="176" fontId="81" fillId="0" borderId="0" xfId="836" applyNumberFormat="1" applyFont="1"/>
    <xf numFmtId="0" fontId="116" fillId="0" borderId="0" xfId="2" applyFont="1"/>
    <xf numFmtId="165" fontId="45" fillId="0" borderId="0" xfId="0" applyNumberFormat="1" applyFont="1" applyProtection="1">
      <protection locked="0"/>
    </xf>
    <xf numFmtId="165" fontId="169" fillId="0" borderId="0" xfId="0" applyNumberFormat="1" applyFont="1" applyProtection="1">
      <protection locked="0"/>
    </xf>
    <xf numFmtId="174" fontId="47" fillId="0" borderId="15" xfId="0" applyNumberFormat="1" applyFont="1" applyBorder="1"/>
    <xf numFmtId="168" fontId="50" fillId="0" borderId="0" xfId="0" applyNumberFormat="1" applyFont="1"/>
    <xf numFmtId="170" fontId="42" fillId="0" borderId="15" xfId="0" applyNumberFormat="1" applyFont="1" applyBorder="1"/>
    <xf numFmtId="170" fontId="47" fillId="0" borderId="15" xfId="0" applyNumberFormat="1" applyFont="1" applyBorder="1"/>
    <xf numFmtId="165" fontId="45" fillId="0" borderId="0" xfId="2" applyNumberFormat="1" applyFont="1" applyAlignment="1">
      <alignment horizontal="centerContinuous"/>
    </xf>
    <xf numFmtId="37" fontId="47" fillId="0" borderId="0" xfId="1028" applyNumberFormat="1" applyFont="1" applyAlignment="1">
      <alignment horizontal="center"/>
    </xf>
    <xf numFmtId="4" fontId="40" fillId="0" borderId="0" xfId="0" applyNumberFormat="1" applyFont="1" applyAlignment="1">
      <alignment horizontal="left"/>
    </xf>
    <xf numFmtId="1" fontId="40" fillId="0" borderId="0" xfId="0" applyNumberFormat="1" applyFont="1" applyAlignment="1">
      <alignment horizontal="center"/>
    </xf>
    <xf numFmtId="189" fontId="0" fillId="0" borderId="0" xfId="17" applyNumberFormat="1" applyFont="1"/>
    <xf numFmtId="180" fontId="40" fillId="0" borderId="0" xfId="17" applyNumberFormat="1"/>
    <xf numFmtId="181" fontId="64" fillId="0" borderId="0" xfId="1776" applyNumberFormat="1" applyFont="1" applyAlignment="1">
      <alignment horizontal="left"/>
    </xf>
    <xf numFmtId="180" fontId="69" fillId="0" borderId="0" xfId="1776" applyNumberFormat="1" applyFont="1" applyAlignment="1">
      <alignment horizontal="right"/>
    </xf>
    <xf numFmtId="164" fontId="192" fillId="0" borderId="0" xfId="0" applyFont="1"/>
    <xf numFmtId="0" fontId="40" fillId="0" borderId="0" xfId="1028" quotePrefix="1" applyAlignment="1">
      <alignment horizontal="left"/>
    </xf>
    <xf numFmtId="165" fontId="41" fillId="0" borderId="0" xfId="2" applyNumberFormat="1" applyFont="1" applyAlignment="1">
      <alignment horizontal="right"/>
    </xf>
    <xf numFmtId="43" fontId="0" fillId="0" borderId="0" xfId="0" applyNumberFormat="1" applyAlignment="1">
      <alignment horizontal="right"/>
    </xf>
    <xf numFmtId="165" fontId="47" fillId="0" borderId="0" xfId="0" applyNumberFormat="1" applyFont="1" applyAlignment="1">
      <alignment horizontal="right"/>
    </xf>
    <xf numFmtId="171" fontId="61" fillId="0" borderId="0" xfId="2" quotePrefix="1" applyNumberFormat="1" applyFont="1" applyAlignment="1">
      <alignment horizontal="center"/>
    </xf>
    <xf numFmtId="170" fontId="62" fillId="0" borderId="10" xfId="2" applyNumberFormat="1" applyFont="1" applyBorder="1"/>
    <xf numFmtId="170" fontId="62" fillId="0" borderId="13" xfId="2" applyNumberFormat="1" applyFont="1" applyBorder="1"/>
    <xf numFmtId="170" fontId="62" fillId="0" borderId="24" xfId="2" applyNumberFormat="1" applyFont="1" applyBorder="1"/>
    <xf numFmtId="170" fontId="61" fillId="0" borderId="24" xfId="2" applyNumberFormat="1" applyFont="1" applyBorder="1"/>
    <xf numFmtId="165" fontId="46" fillId="0" borderId="0" xfId="2" applyNumberFormat="1" applyFont="1" applyAlignment="1">
      <alignment horizontal="right"/>
    </xf>
    <xf numFmtId="1" fontId="47" fillId="0" borderId="10" xfId="2" quotePrefix="1" applyNumberFormat="1" applyFont="1" applyBorder="1" applyAlignment="1">
      <alignment horizontal="center"/>
    </xf>
    <xf numFmtId="0" fontId="40" fillId="0" borderId="21" xfId="2" applyBorder="1"/>
    <xf numFmtId="170" fontId="47" fillId="0" borderId="10" xfId="1046" applyNumberFormat="1" applyFont="1" applyFill="1" applyBorder="1" applyProtection="1"/>
    <xf numFmtId="0" fontId="47" fillId="0" borderId="66" xfId="2" quotePrefix="1" applyFont="1" applyBorder="1" applyAlignment="1">
      <alignment horizontal="center"/>
    </xf>
    <xf numFmtId="174" fontId="47" fillId="0" borderId="0" xfId="2" quotePrefix="1" applyNumberFormat="1" applyFont="1" applyAlignment="1">
      <alignment horizontal="center"/>
    </xf>
    <xf numFmtId="170" fontId="47" fillId="0" borderId="94" xfId="2" applyNumberFormat="1" applyFont="1" applyBorder="1"/>
    <xf numFmtId="0" fontId="47" fillId="0" borderId="28" xfId="2" applyFont="1" applyBorder="1" applyAlignment="1">
      <alignment horizontal="center"/>
    </xf>
    <xf numFmtId="174" fontId="40" fillId="0" borderId="18" xfId="2" applyNumberFormat="1" applyBorder="1" applyAlignment="1">
      <alignment horizontal="right"/>
    </xf>
    <xf numFmtId="170" fontId="47" fillId="0" borderId="28" xfId="2" applyNumberFormat="1" applyFont="1" applyBorder="1"/>
    <xf numFmtId="170" fontId="40" fillId="0" borderId="18" xfId="2" applyNumberFormat="1" applyBorder="1" applyAlignment="1">
      <alignment horizontal="right"/>
    </xf>
    <xf numFmtId="166" fontId="42" fillId="0" borderId="0" xfId="2" applyNumberFormat="1" applyFont="1" applyAlignment="1">
      <alignment horizontal="center"/>
    </xf>
    <xf numFmtId="170" fontId="42" fillId="0" borderId="71" xfId="2" applyNumberFormat="1" applyFont="1" applyBorder="1"/>
    <xf numFmtId="170" fontId="42" fillId="0" borderId="12" xfId="2" applyNumberFormat="1" applyFont="1" applyBorder="1"/>
    <xf numFmtId="166" fontId="42" fillId="0" borderId="18" xfId="2" applyNumberFormat="1" applyFont="1" applyBorder="1"/>
    <xf numFmtId="170" fontId="0" fillId="0" borderId="28" xfId="2" applyNumberFormat="1" applyFont="1" applyBorder="1"/>
    <xf numFmtId="170" fontId="40" fillId="0" borderId="13" xfId="1" applyNumberFormat="1" applyFont="1" applyFill="1" applyBorder="1" applyAlignment="1" applyProtection="1"/>
    <xf numFmtId="170" fontId="40" fillId="0" borderId="0" xfId="1" applyNumberFormat="1" applyFont="1" applyFill="1" applyBorder="1" applyAlignment="1" applyProtection="1"/>
    <xf numFmtId="170" fontId="42" fillId="0" borderId="13" xfId="2" applyNumberFormat="1" applyFont="1" applyBorder="1" applyAlignment="1">
      <alignment horizontal="center"/>
    </xf>
    <xf numFmtId="170" fontId="47" fillId="0" borderId="75" xfId="2" applyNumberFormat="1" applyFont="1" applyBorder="1" applyAlignment="1">
      <alignment horizontal="center"/>
    </xf>
    <xf numFmtId="170" fontId="42" fillId="0" borderId="81" xfId="2" applyNumberFormat="1" applyFont="1" applyBorder="1"/>
    <xf numFmtId="170" fontId="40" fillId="0" borderId="81" xfId="2" applyNumberFormat="1" applyBorder="1"/>
    <xf numFmtId="170" fontId="42" fillId="0" borderId="91" xfId="2" applyNumberFormat="1" applyFont="1" applyBorder="1"/>
    <xf numFmtId="170" fontId="47" fillId="0" borderId="75" xfId="2" applyNumberFormat="1" applyFont="1" applyBorder="1"/>
    <xf numFmtId="170" fontId="47" fillId="0" borderId="13" xfId="6" applyNumberFormat="1" applyFont="1" applyFill="1" applyBorder="1" applyAlignment="1" applyProtection="1"/>
    <xf numFmtId="193" fontId="42" fillId="0" borderId="0" xfId="2" applyNumberFormat="1" applyFont="1" applyAlignment="1">
      <alignment horizontal="right"/>
    </xf>
    <xf numFmtId="170" fontId="40" fillId="0" borderId="75" xfId="2" applyNumberFormat="1" applyBorder="1"/>
    <xf numFmtId="170" fontId="40" fillId="0" borderId="66" xfId="2" quotePrefix="1" applyNumberFormat="1" applyBorder="1"/>
    <xf numFmtId="170" fontId="167" fillId="0" borderId="94" xfId="2" applyNumberFormat="1" applyFont="1" applyBorder="1"/>
    <xf numFmtId="170" fontId="167" fillId="0" borderId="18" xfId="2" applyNumberFormat="1" applyFont="1" applyBorder="1"/>
    <xf numFmtId="174" fontId="167" fillId="0" borderId="18" xfId="2" applyNumberFormat="1" applyFont="1" applyBorder="1"/>
    <xf numFmtId="170" fontId="82" fillId="0" borderId="13" xfId="2" applyNumberFormat="1" applyFont="1" applyBorder="1"/>
    <xf numFmtId="170" fontId="79" fillId="0" borderId="24" xfId="2" applyNumberFormat="1" applyFont="1" applyBorder="1"/>
    <xf numFmtId="174" fontId="69" fillId="0" borderId="0" xfId="2" quotePrefix="1" applyNumberFormat="1" applyFont="1" applyAlignment="1">
      <alignment horizontal="right"/>
    </xf>
    <xf numFmtId="169" fontId="170" fillId="0" borderId="0" xfId="2" applyNumberFormat="1" applyFont="1" applyAlignment="1" applyProtection="1">
      <alignment horizontal="right"/>
      <protection locked="0"/>
    </xf>
    <xf numFmtId="0" fontId="171" fillId="0" borderId="0" xfId="2" applyFont="1" applyProtection="1">
      <protection locked="0"/>
    </xf>
    <xf numFmtId="170" fontId="171" fillId="0" borderId="0" xfId="1" applyNumberFormat="1" applyFont="1" applyFill="1" applyAlignment="1">
      <alignment horizontal="center"/>
    </xf>
    <xf numFmtId="170" fontId="171" fillId="0" borderId="66" xfId="1" applyNumberFormat="1" applyFont="1" applyFill="1" applyBorder="1" applyAlignment="1">
      <alignment horizontal="center"/>
    </xf>
    <xf numFmtId="170" fontId="170" fillId="0" borderId="66" xfId="2" applyNumberFormat="1" applyFont="1" applyBorder="1"/>
    <xf numFmtId="170" fontId="64" fillId="0" borderId="66" xfId="2" applyNumberFormat="1" applyFont="1" applyBorder="1"/>
    <xf numFmtId="174" fontId="170" fillId="0" borderId="17" xfId="2" applyNumberFormat="1" applyFont="1" applyBorder="1"/>
    <xf numFmtId="174" fontId="69" fillId="0" borderId="21" xfId="2" applyNumberFormat="1" applyFont="1" applyBorder="1"/>
    <xf numFmtId="174" fontId="69" fillId="0" borderId="13" xfId="2" applyNumberFormat="1" applyFont="1" applyBorder="1"/>
    <xf numFmtId="0" fontId="64" fillId="0" borderId="21" xfId="2" applyFont="1" applyBorder="1"/>
    <xf numFmtId="0" fontId="64" fillId="0" borderId="13" xfId="2" applyFont="1" applyBorder="1"/>
    <xf numFmtId="170" fontId="64" fillId="0" borderId="66" xfId="2" quotePrefix="1" applyNumberFormat="1" applyFont="1" applyBorder="1"/>
    <xf numFmtId="170" fontId="64" fillId="0" borderId="13" xfId="2" applyNumberFormat="1" applyFont="1" applyBorder="1"/>
    <xf numFmtId="170" fontId="69" fillId="0" borderId="13" xfId="2" applyNumberFormat="1" applyFont="1" applyBorder="1"/>
    <xf numFmtId="170" fontId="64" fillId="0" borderId="20" xfId="2" applyNumberFormat="1" applyFont="1" applyBorder="1" applyAlignment="1">
      <alignment horizontal="center"/>
    </xf>
    <xf numFmtId="174" fontId="170" fillId="0" borderId="20" xfId="2" quotePrefix="1" applyNumberFormat="1" applyFont="1" applyBorder="1" applyAlignment="1">
      <alignment horizontal="right"/>
    </xf>
    <xf numFmtId="174" fontId="170" fillId="0" borderId="24" xfId="2" applyNumberFormat="1" applyFont="1" applyBorder="1" applyProtection="1">
      <protection locked="0"/>
    </xf>
    <xf numFmtId="174" fontId="170" fillId="0" borderId="0" xfId="2" applyNumberFormat="1" applyFont="1" applyProtection="1">
      <protection locked="0"/>
    </xf>
    <xf numFmtId="0" fontId="171" fillId="0" borderId="24" xfId="2" applyFont="1" applyBorder="1" applyProtection="1">
      <protection locked="0"/>
    </xf>
    <xf numFmtId="170" fontId="170" fillId="0" borderId="0" xfId="2" applyNumberFormat="1" applyFont="1"/>
    <xf numFmtId="174" fontId="47" fillId="0" borderId="35" xfId="2" quotePrefix="1" applyNumberFormat="1" applyFont="1" applyBorder="1"/>
    <xf numFmtId="166" fontId="61" fillId="0" borderId="0" xfId="2" quotePrefix="1" applyNumberFormat="1" applyFont="1" applyAlignment="1">
      <alignment horizontal="center"/>
    </xf>
    <xf numFmtId="174" fontId="61" fillId="0" borderId="21" xfId="2" applyNumberFormat="1" applyFont="1" applyBorder="1"/>
    <xf numFmtId="166" fontId="62" fillId="0" borderId="21" xfId="2" applyNumberFormat="1" applyFont="1" applyBorder="1"/>
    <xf numFmtId="172" fontId="40" fillId="0" borderId="0" xfId="0" applyNumberFormat="1" applyFont="1" applyProtection="1">
      <protection locked="0"/>
    </xf>
    <xf numFmtId="164" fontId="47" fillId="0" borderId="66" xfId="0" applyFont="1" applyBorder="1" applyProtection="1">
      <protection locked="0"/>
    </xf>
    <xf numFmtId="170" fontId="62" fillId="0" borderId="21" xfId="2" applyNumberFormat="1" applyFont="1" applyBorder="1"/>
    <xf numFmtId="170" fontId="78" fillId="0" borderId="0" xfId="2" applyNumberFormat="1" applyFont="1"/>
    <xf numFmtId="164" fontId="40" fillId="0" borderId="66" xfId="0" applyFont="1" applyBorder="1" applyProtection="1">
      <protection locked="0"/>
    </xf>
    <xf numFmtId="166" fontId="62" fillId="0" borderId="19" xfId="2" applyNumberFormat="1" applyFont="1" applyBorder="1"/>
    <xf numFmtId="170" fontId="61" fillId="0" borderId="21" xfId="2" applyNumberFormat="1" applyFont="1" applyBorder="1"/>
    <xf numFmtId="170" fontId="61" fillId="0" borderId="10" xfId="2" applyNumberFormat="1" applyFont="1" applyBorder="1"/>
    <xf numFmtId="172" fontId="47" fillId="0" borderId="66" xfId="0" applyNumberFormat="1" applyFont="1" applyBorder="1" applyProtection="1">
      <protection locked="0"/>
    </xf>
    <xf numFmtId="196" fontId="66" fillId="0" borderId="0" xfId="2" applyNumberFormat="1" applyFont="1"/>
    <xf numFmtId="164" fontId="47" fillId="0" borderId="17" xfId="0" applyFont="1" applyBorder="1" applyProtection="1">
      <protection locked="0"/>
    </xf>
    <xf numFmtId="166" fontId="61" fillId="0" borderId="66" xfId="2" applyNumberFormat="1" applyFont="1" applyBorder="1" applyAlignment="1">
      <alignment horizontal="center"/>
    </xf>
    <xf numFmtId="170" fontId="61" fillId="0" borderId="66" xfId="2" applyNumberFormat="1" applyFont="1" applyBorder="1"/>
    <xf numFmtId="164" fontId="40" fillId="0" borderId="66" xfId="2" applyNumberFormat="1" applyBorder="1"/>
    <xf numFmtId="165" fontId="47" fillId="0" borderId="66" xfId="0" quotePrefix="1" applyNumberFormat="1" applyFont="1" applyBorder="1"/>
    <xf numFmtId="165" fontId="40" fillId="0" borderId="66" xfId="0" applyNumberFormat="1" applyFont="1" applyBorder="1"/>
    <xf numFmtId="165" fontId="47" fillId="0" borderId="66" xfId="0" applyNumberFormat="1" applyFont="1" applyBorder="1" applyAlignment="1">
      <alignment horizontal="centerContinuous"/>
    </xf>
    <xf numFmtId="165" fontId="47" fillId="0" borderId="82" xfId="0" applyNumberFormat="1" applyFont="1" applyBorder="1" applyAlignment="1">
      <alignment horizontal="center"/>
    </xf>
    <xf numFmtId="170" fontId="47" fillId="0" borderId="84" xfId="0" quotePrefix="1" applyNumberFormat="1" applyFont="1" applyBorder="1"/>
    <xf numFmtId="166" fontId="47" fillId="0" borderId="82" xfId="0" applyNumberFormat="1" applyFont="1" applyBorder="1"/>
    <xf numFmtId="170" fontId="42" fillId="0" borderId="0" xfId="0" applyNumberFormat="1" applyFont="1" applyAlignment="1">
      <alignment horizontal="right"/>
    </xf>
    <xf numFmtId="170" fontId="51" fillId="0" borderId="0" xfId="0" applyNumberFormat="1" applyFont="1"/>
    <xf numFmtId="170" fontId="62" fillId="0" borderId="73" xfId="2" applyNumberFormat="1" applyFont="1" applyBorder="1"/>
    <xf numFmtId="170" fontId="62" fillId="0" borderId="74" xfId="2" applyNumberFormat="1" applyFont="1" applyBorder="1"/>
    <xf numFmtId="170" fontId="61" fillId="0" borderId="74" xfId="2" applyNumberFormat="1" applyFont="1" applyBorder="1"/>
    <xf numFmtId="0" fontId="64" fillId="0" borderId="0" xfId="836" quotePrefix="1" applyFont="1" applyAlignment="1">
      <alignment horizontal="left"/>
    </xf>
    <xf numFmtId="165" fontId="68" fillId="0" borderId="0" xfId="840" quotePrefix="1" applyNumberFormat="1" applyFont="1"/>
    <xf numFmtId="44" fontId="156" fillId="0" borderId="0" xfId="5458" applyNumberFormat="1" applyFont="1"/>
    <xf numFmtId="44" fontId="45" fillId="0" borderId="0" xfId="5508" applyNumberFormat="1" applyFont="1"/>
    <xf numFmtId="41" fontId="46" fillId="0" borderId="0" xfId="1773" applyNumberFormat="1" applyFont="1" applyFill="1" applyAlignment="1">
      <alignment horizontal="right"/>
    </xf>
    <xf numFmtId="174" fontId="40" fillId="0" borderId="0" xfId="17" applyNumberFormat="1" applyAlignment="1">
      <alignment horizontal="right"/>
    </xf>
    <xf numFmtId="189" fontId="0" fillId="0" borderId="0" xfId="17" applyNumberFormat="1" applyFont="1" applyAlignment="1">
      <alignment horizontal="right"/>
    </xf>
    <xf numFmtId="177" fontId="0" fillId="0" borderId="0" xfId="17" applyNumberFormat="1" applyFont="1"/>
    <xf numFmtId="180" fontId="40" fillId="0" borderId="0" xfId="17" applyNumberFormat="1" applyAlignment="1">
      <alignment horizontal="right"/>
    </xf>
    <xf numFmtId="170" fontId="40" fillId="0" borderId="10" xfId="0" quotePrefix="1" applyNumberFormat="1" applyFont="1" applyBorder="1" applyAlignment="1">
      <alignment horizontal="right"/>
    </xf>
    <xf numFmtId="170" fontId="47" fillId="0" borderId="16" xfId="0" quotePrefix="1" applyNumberFormat="1" applyFont="1" applyBorder="1" applyAlignment="1">
      <alignment horizontal="center"/>
    </xf>
    <xf numFmtId="166" fontId="135" fillId="0" borderId="0" xfId="0" applyNumberFormat="1" applyFont="1"/>
    <xf numFmtId="166" fontId="132" fillId="0" borderId="0" xfId="0" applyNumberFormat="1" applyFont="1"/>
    <xf numFmtId="165" fontId="135" fillId="0" borderId="0" xfId="0" applyNumberFormat="1" applyFont="1"/>
    <xf numFmtId="177" fontId="40" fillId="0" borderId="0" xfId="740" quotePrefix="1" applyNumberFormat="1" applyFont="1"/>
    <xf numFmtId="182" fontId="40" fillId="0" borderId="0" xfId="740" applyNumberFormat="1" applyFont="1"/>
    <xf numFmtId="170" fontId="42" fillId="0" borderId="0" xfId="5" applyNumberFormat="1" applyFont="1" applyFill="1"/>
    <xf numFmtId="185" fontId="81" fillId="0" borderId="0" xfId="836" applyNumberFormat="1" applyFont="1"/>
    <xf numFmtId="184" fontId="69" fillId="0" borderId="0" xfId="836" quotePrefix="1" applyNumberFormat="1" applyFont="1" applyAlignment="1">
      <alignment horizontal="center"/>
    </xf>
    <xf numFmtId="0" fontId="65" fillId="0" borderId="20" xfId="836" applyFont="1" applyBorder="1"/>
    <xf numFmtId="185" fontId="64" fillId="0" borderId="20" xfId="836" applyNumberFormat="1" applyFont="1" applyBorder="1" applyAlignment="1">
      <alignment horizontal="right"/>
    </xf>
    <xf numFmtId="177" fontId="47" fillId="0" borderId="66" xfId="740" quotePrefix="1" applyNumberFormat="1" applyFont="1" applyBorder="1" applyAlignment="1">
      <alignment horizontal="center"/>
    </xf>
    <xf numFmtId="177" fontId="40" fillId="0" borderId="0" xfId="0" applyNumberFormat="1" applyFont="1" applyAlignment="1">
      <alignment horizontal="center"/>
    </xf>
    <xf numFmtId="165" fontId="40" fillId="0" borderId="0" xfId="840" applyNumberFormat="1" applyFont="1" applyProtection="1">
      <protection locked="0"/>
    </xf>
    <xf numFmtId="165" fontId="47" fillId="0" borderId="0" xfId="840" applyNumberFormat="1" applyFont="1" applyAlignment="1">
      <alignment horizontal="right"/>
    </xf>
    <xf numFmtId="165" fontId="47" fillId="0" borderId="0" xfId="840" applyNumberFormat="1" applyFont="1"/>
    <xf numFmtId="170" fontId="51" fillId="0" borderId="0" xfId="2" applyNumberFormat="1" applyFont="1"/>
    <xf numFmtId="170" fontId="51" fillId="0" borderId="21" xfId="2" applyNumberFormat="1" applyFont="1" applyBorder="1"/>
    <xf numFmtId="0" fontId="170" fillId="0" borderId="10" xfId="2" applyFont="1" applyBorder="1" applyAlignment="1">
      <alignment horizontal="center"/>
    </xf>
    <xf numFmtId="174" fontId="47" fillId="0" borderId="0" xfId="5517" applyNumberFormat="1" applyFont="1"/>
    <xf numFmtId="170" fontId="42" fillId="0" borderId="0" xfId="1" quotePrefix="1" applyNumberFormat="1" applyFont="1" applyFill="1" applyAlignment="1"/>
    <xf numFmtId="170" fontId="40" fillId="0" borderId="0" xfId="1" quotePrefix="1" applyNumberFormat="1" applyFont="1" applyFill="1" applyAlignment="1"/>
    <xf numFmtId="170" fontId="0" fillId="0" borderId="0" xfId="0" applyNumberFormat="1"/>
    <xf numFmtId="170" fontId="40" fillId="0" borderId="66" xfId="2" applyNumberFormat="1" applyBorder="1" applyAlignment="1">
      <alignment horizontal="center"/>
    </xf>
    <xf numFmtId="169" fontId="0" fillId="0" borderId="0" xfId="2" applyNumberFormat="1" applyFont="1"/>
    <xf numFmtId="166" fontId="40" fillId="0" borderId="0" xfId="5517" applyNumberFormat="1" applyFont="1"/>
    <xf numFmtId="174" fontId="40" fillId="0" borderId="47" xfId="2" applyNumberFormat="1" applyBorder="1"/>
    <xf numFmtId="170" fontId="0" fillId="0" borderId="47" xfId="2" applyNumberFormat="1" applyFont="1" applyBorder="1"/>
    <xf numFmtId="165" fontId="40" fillId="0" borderId="80" xfId="0" applyNumberFormat="1" applyFont="1" applyBorder="1"/>
    <xf numFmtId="166" fontId="47" fillId="0" borderId="80" xfId="0" applyNumberFormat="1" applyFont="1" applyBorder="1"/>
    <xf numFmtId="174" fontId="47" fillId="0" borderId="41" xfId="0" applyNumberFormat="1" applyFont="1" applyBorder="1"/>
    <xf numFmtId="165" fontId="137" fillId="0" borderId="0" xfId="2" applyNumberFormat="1" applyFont="1"/>
    <xf numFmtId="0" fontId="47" fillId="0" borderId="10" xfId="2" quotePrefix="1" applyFont="1" applyBorder="1" applyAlignment="1">
      <alignment horizontal="center"/>
    </xf>
    <xf numFmtId="170" fontId="47" fillId="0" borderId="93" xfId="2" quotePrefix="1" applyNumberFormat="1" applyFont="1" applyBorder="1"/>
    <xf numFmtId="174" fontId="66" fillId="0" borderId="0" xfId="2" applyNumberFormat="1" applyFont="1"/>
    <xf numFmtId="193" fontId="47" fillId="0" borderId="0" xfId="2" applyNumberFormat="1" applyFont="1"/>
    <xf numFmtId="42" fontId="158" fillId="0" borderId="0" xfId="5488" applyNumberFormat="1" applyFont="1" applyAlignment="1">
      <alignment horizontal="right"/>
    </xf>
    <xf numFmtId="42" fontId="156" fillId="0" borderId="0" xfId="5458" applyNumberFormat="1" applyFont="1" applyAlignment="1">
      <alignment horizontal="right"/>
    </xf>
    <xf numFmtId="41" fontId="158" fillId="0" borderId="0" xfId="5488" applyNumberFormat="1" applyFont="1" applyAlignment="1">
      <alignment horizontal="right"/>
    </xf>
    <xf numFmtId="164" fontId="66" fillId="0" borderId="0" xfId="0" quotePrefix="1" applyFont="1"/>
    <xf numFmtId="164" fontId="67" fillId="0" borderId="105" xfId="0" applyFont="1" applyBorder="1"/>
    <xf numFmtId="42" fontId="45" fillId="0" borderId="0" xfId="0" applyNumberFormat="1" applyFont="1"/>
    <xf numFmtId="41" fontId="45" fillId="0" borderId="0" xfId="0" applyNumberFormat="1" applyFont="1" applyAlignment="1">
      <alignment horizontal="right"/>
    </xf>
    <xf numFmtId="41" fontId="45" fillId="0" borderId="0" xfId="0" quotePrefix="1" applyNumberFormat="1" applyFont="1" applyAlignment="1">
      <alignment horizontal="right"/>
    </xf>
    <xf numFmtId="3" fontId="45" fillId="0" borderId="0" xfId="0" applyNumberFormat="1" applyFont="1"/>
    <xf numFmtId="42" fontId="46" fillId="0" borderId="85" xfId="0" applyNumberFormat="1" applyFont="1" applyBorder="1" applyAlignment="1">
      <alignment horizontal="right"/>
    </xf>
    <xf numFmtId="43" fontId="185" fillId="0" borderId="0" xfId="9967" applyNumberFormat="1"/>
    <xf numFmtId="43" fontId="46" fillId="0" borderId="66" xfId="9967" quotePrefix="1" applyNumberFormat="1" applyFont="1" applyBorder="1" applyAlignment="1">
      <alignment horizontal="center"/>
    </xf>
    <xf numFmtId="43" fontId="45" fillId="0" borderId="0" xfId="0" quotePrefix="1" applyNumberFormat="1" applyFont="1"/>
    <xf numFmtId="43" fontId="45" fillId="0" borderId="0" xfId="0" applyNumberFormat="1" applyFont="1" applyAlignment="1">
      <alignment horizontal="left" vertical="top"/>
    </xf>
    <xf numFmtId="170" fontId="62" fillId="0" borderId="46" xfId="2" applyNumberFormat="1" applyFont="1" applyBorder="1"/>
    <xf numFmtId="164" fontId="40" fillId="0" borderId="46" xfId="2" applyNumberFormat="1" applyBorder="1"/>
    <xf numFmtId="170" fontId="62" fillId="0" borderId="10" xfId="2" applyNumberFormat="1" applyFont="1" applyBorder="1" applyAlignment="1">
      <alignment horizontal="center"/>
    </xf>
    <xf numFmtId="170" fontId="47" fillId="0" borderId="10" xfId="1046" applyNumberFormat="1" applyFont="1" applyFill="1" applyBorder="1"/>
    <xf numFmtId="164" fontId="47" fillId="0" borderId="10" xfId="1046" applyNumberFormat="1" applyFont="1" applyFill="1" applyBorder="1"/>
    <xf numFmtId="165" fontId="40" fillId="58" borderId="0" xfId="0" applyNumberFormat="1" applyFont="1" applyFill="1"/>
    <xf numFmtId="170" fontId="40" fillId="58" borderId="0" xfId="0" applyNumberFormat="1" applyFont="1" applyFill="1"/>
    <xf numFmtId="170" fontId="47" fillId="58" borderId="0" xfId="0" applyNumberFormat="1" applyFont="1" applyFill="1"/>
    <xf numFmtId="165" fontId="47" fillId="58" borderId="0" xfId="0" applyNumberFormat="1" applyFont="1" applyFill="1"/>
    <xf numFmtId="174" fontId="47" fillId="58" borderId="0" xfId="0" applyNumberFormat="1" applyFont="1" applyFill="1"/>
    <xf numFmtId="41" fontId="156" fillId="0" borderId="0" xfId="5458" applyNumberFormat="1" applyFont="1" applyAlignment="1">
      <alignment horizontal="center"/>
    </xf>
    <xf numFmtId="172" fontId="47" fillId="0" borderId="78" xfId="2" applyNumberFormat="1" applyFont="1" applyBorder="1"/>
    <xf numFmtId="166" fontId="172" fillId="0" borderId="0" xfId="2" applyNumberFormat="1" applyFont="1"/>
    <xf numFmtId="166" fontId="172" fillId="0" borderId="0" xfId="2" quotePrefix="1" applyNumberFormat="1" applyFont="1" applyAlignment="1">
      <alignment horizontal="left"/>
    </xf>
    <xf numFmtId="0" fontId="172" fillId="0" borderId="0" xfId="2" applyFont="1"/>
    <xf numFmtId="0" fontId="172" fillId="0" borderId="0" xfId="2" quotePrefix="1" applyFont="1" applyAlignment="1">
      <alignment horizontal="left"/>
    </xf>
    <xf numFmtId="0" fontId="41" fillId="0" borderId="0" xfId="2" applyFont="1"/>
    <xf numFmtId="165" fontId="85" fillId="0" borderId="0" xfId="0" applyNumberFormat="1" applyFont="1" applyProtection="1">
      <protection locked="0"/>
    </xf>
    <xf numFmtId="170" fontId="42" fillId="0" borderId="72" xfId="0" applyNumberFormat="1" applyFont="1" applyBorder="1"/>
    <xf numFmtId="0" fontId="40" fillId="0" borderId="104" xfId="4" applyFont="1" applyBorder="1"/>
    <xf numFmtId="166" fontId="40" fillId="0" borderId="104" xfId="4" applyNumberFormat="1" applyFont="1" applyBorder="1"/>
    <xf numFmtId="166" fontId="40" fillId="0" borderId="0" xfId="4" applyNumberFormat="1" applyFont="1"/>
    <xf numFmtId="0" fontId="40" fillId="0" borderId="0" xfId="4" applyFont="1" applyAlignment="1">
      <alignment horizontal="center"/>
    </xf>
    <xf numFmtId="166" fontId="40" fillId="0" borderId="15" xfId="4" applyNumberFormat="1" applyFont="1" applyBorder="1"/>
    <xf numFmtId="170" fontId="47" fillId="0" borderId="105" xfId="0" quotePrefix="1" applyNumberFormat="1" applyFont="1" applyBorder="1"/>
    <xf numFmtId="172" fontId="47" fillId="0" borderId="10" xfId="2" applyNumberFormat="1" applyFont="1" applyBorder="1" applyAlignment="1">
      <alignment horizontal="right"/>
    </xf>
    <xf numFmtId="164" fontId="171" fillId="0" borderId="10" xfId="1940" applyNumberFormat="1" applyFont="1" applyBorder="1" applyAlignment="1"/>
    <xf numFmtId="164" fontId="113" fillId="0" borderId="10" xfId="0" applyFont="1" applyBorder="1" applyAlignment="1">
      <alignment horizontal="center"/>
    </xf>
    <xf numFmtId="164" fontId="113" fillId="0" borderId="10" xfId="0" applyFont="1" applyBorder="1" applyAlignment="1">
      <alignment horizontal="center" wrapText="1"/>
    </xf>
    <xf numFmtId="43" fontId="169" fillId="0" borderId="0" xfId="0" applyNumberFormat="1" applyFont="1"/>
    <xf numFmtId="49" fontId="113" fillId="0" borderId="0" xfId="0" applyNumberFormat="1" applyFont="1"/>
    <xf numFmtId="0" fontId="169" fillId="0" borderId="0" xfId="0" applyNumberFormat="1" applyFont="1" applyAlignment="1">
      <alignment horizontal="left"/>
    </xf>
    <xf numFmtId="0" fontId="169" fillId="0" borderId="0" xfId="0" applyNumberFormat="1" applyFont="1" applyAlignment="1">
      <alignment vertical="top"/>
    </xf>
    <xf numFmtId="0" fontId="45" fillId="0" borderId="0" xfId="0" applyNumberFormat="1" applyFont="1" applyAlignment="1">
      <alignment horizontal="left"/>
    </xf>
    <xf numFmtId="43" fontId="169" fillId="0" borderId="0" xfId="17924" applyFont="1"/>
    <xf numFmtId="164" fontId="45" fillId="0" borderId="0" xfId="0" applyFont="1" applyAlignment="1">
      <alignment horizontal="left" indent="1"/>
    </xf>
    <xf numFmtId="0" fontId="46" fillId="0" borderId="0" xfId="9967" applyFont="1" applyAlignment="1">
      <alignment horizontal="centerContinuous" vertical="top"/>
    </xf>
    <xf numFmtId="0" fontId="46" fillId="0" borderId="0" xfId="9967" applyFont="1" applyAlignment="1">
      <alignment horizontal="centerContinuous"/>
    </xf>
    <xf numFmtId="0" fontId="46" fillId="0" borderId="10" xfId="9967" applyFont="1" applyBorder="1" applyAlignment="1">
      <alignment horizontal="centerContinuous"/>
    </xf>
    <xf numFmtId="49" fontId="169" fillId="0" borderId="0" xfId="0" applyNumberFormat="1" applyFont="1" applyAlignment="1">
      <alignment vertical="top" wrapText="1"/>
    </xf>
    <xf numFmtId="172" fontId="188" fillId="0" borderId="66" xfId="2" applyNumberFormat="1" applyFont="1" applyBorder="1"/>
    <xf numFmtId="49" fontId="46" fillId="0" borderId="10" xfId="9967" applyNumberFormat="1" applyFont="1" applyBorder="1" applyAlignment="1">
      <alignment horizontal="center"/>
    </xf>
    <xf numFmtId="169" fontId="52" fillId="0" borderId="0" xfId="8" applyNumberFormat="1" applyFont="1" applyAlignment="1">
      <alignment horizontal="right" vertical="top"/>
    </xf>
    <xf numFmtId="0" fontId="193" fillId="0" borderId="0" xfId="25863"/>
    <xf numFmtId="7" fontId="193" fillId="0" borderId="0" xfId="25863" applyNumberFormat="1"/>
    <xf numFmtId="0" fontId="40" fillId="0" borderId="0" xfId="25866" applyFont="1" applyBorder="1" applyAlignment="1">
      <alignment horizontal="left"/>
    </xf>
    <xf numFmtId="44" fontId="113" fillId="0" borderId="85" xfId="25862" applyFont="1" applyBorder="1"/>
    <xf numFmtId="43" fontId="167" fillId="0" borderId="0" xfId="25873" applyFont="1" applyFill="1" applyBorder="1"/>
    <xf numFmtId="0" fontId="45" fillId="0" borderId="0" xfId="25863" applyFont="1"/>
    <xf numFmtId="43" fontId="47" fillId="0" borderId="0" xfId="25870" applyNumberFormat="1" applyFont="1" applyFill="1" applyBorder="1"/>
    <xf numFmtId="164" fontId="113" fillId="0" borderId="0" xfId="0" applyFont="1" applyAlignment="1">
      <alignment horizontal="left"/>
    </xf>
    <xf numFmtId="43" fontId="113" fillId="0" borderId="0" xfId="0" applyNumberFormat="1" applyFont="1"/>
    <xf numFmtId="44" fontId="40" fillId="0" borderId="0" xfId="25868" applyFont="1" applyFill="1" applyBorder="1"/>
    <xf numFmtId="43" fontId="40" fillId="0" borderId="0" xfId="25870" applyNumberFormat="1" applyFont="1" applyFill="1" applyBorder="1"/>
    <xf numFmtId="44" fontId="40" fillId="0" borderId="0" xfId="25863" applyNumberFormat="1" applyFont="1"/>
    <xf numFmtId="0" fontId="87" fillId="0" borderId="0" xfId="841" applyFont="1" applyAlignment="1">
      <alignment horizontal="right"/>
    </xf>
    <xf numFmtId="0" fontId="85" fillId="0" borderId="0" xfId="1028" applyFont="1" applyAlignment="1">
      <alignment horizontal="right"/>
    </xf>
    <xf numFmtId="39" fontId="47" fillId="0" borderId="0" xfId="0" applyNumberFormat="1" applyFont="1" applyAlignment="1">
      <alignment horizontal="center"/>
    </xf>
    <xf numFmtId="43" fontId="47" fillId="0" borderId="35" xfId="1028" applyNumberFormat="1" applyFont="1" applyBorder="1" applyAlignment="1">
      <alignment horizontal="right"/>
    </xf>
    <xf numFmtId="43" fontId="47" fillId="0" borderId="0" xfId="1028" applyNumberFormat="1" applyFont="1" applyAlignment="1">
      <alignment horizontal="right"/>
    </xf>
    <xf numFmtId="164" fontId="47" fillId="0" borderId="0" xfId="0" applyFont="1" applyAlignment="1">
      <alignment horizontal="right"/>
    </xf>
    <xf numFmtId="43" fontId="40" fillId="0" borderId="0" xfId="17924" applyFont="1" applyFill="1" applyBorder="1" applyAlignment="1" applyProtection="1">
      <alignment horizontal="right"/>
    </xf>
    <xf numFmtId="43" fontId="0" fillId="0" borderId="0" xfId="17924" applyFont="1" applyFill="1" applyAlignment="1" applyProtection="1">
      <alignment horizontal="right"/>
    </xf>
    <xf numFmtId="43" fontId="47" fillId="0" borderId="85" xfId="0" applyNumberFormat="1" applyFont="1" applyBorder="1" applyAlignment="1">
      <alignment horizontal="right"/>
    </xf>
    <xf numFmtId="177" fontId="206" fillId="0" borderId="0" xfId="1767" applyNumberFormat="1" applyFont="1" applyAlignment="1">
      <alignment horizontal="left"/>
    </xf>
    <xf numFmtId="10" fontId="171" fillId="0" borderId="0" xfId="2" applyNumberFormat="1" applyFont="1"/>
    <xf numFmtId="10" fontId="171" fillId="0" borderId="0" xfId="1940" applyNumberFormat="1" applyFont="1" applyBorder="1" applyAlignment="1"/>
    <xf numFmtId="10" fontId="171" fillId="0" borderId="0" xfId="1940" applyNumberFormat="1" applyFont="1" applyFill="1" applyBorder="1" applyAlignment="1"/>
    <xf numFmtId="199" fontId="170" fillId="0" borderId="66" xfId="1940" applyNumberFormat="1" applyFont="1" applyBorder="1" applyAlignment="1"/>
    <xf numFmtId="199" fontId="171" fillId="0" borderId="66" xfId="1940" applyNumberFormat="1" applyFont="1" applyBorder="1" applyAlignment="1"/>
    <xf numFmtId="43" fontId="40" fillId="0" borderId="0" xfId="25863" applyNumberFormat="1" applyFont="1"/>
    <xf numFmtId="0" fontId="40" fillId="0" borderId="0" xfId="25863" applyFont="1"/>
    <xf numFmtId="0" fontId="199" fillId="0" borderId="0" xfId="25863" applyFont="1" applyAlignment="1">
      <alignment horizontal="center"/>
    </xf>
    <xf numFmtId="44" fontId="47" fillId="0" borderId="85" xfId="25874" applyFont="1" applyFill="1" applyBorder="1"/>
    <xf numFmtId="44" fontId="113" fillId="0" borderId="0" xfId="0" applyNumberFormat="1" applyFont="1"/>
    <xf numFmtId="172" fontId="47" fillId="0" borderId="16" xfId="2" applyNumberFormat="1" applyFont="1" applyBorder="1"/>
    <xf numFmtId="0" fontId="150" fillId="0" borderId="0" xfId="1028" quotePrefix="1" applyFont="1" applyAlignment="1">
      <alignment horizontal="right"/>
    </xf>
    <xf numFmtId="170" fontId="90" fillId="0" borderId="0" xfId="2" applyNumberFormat="1" applyFont="1"/>
    <xf numFmtId="164" fontId="42" fillId="0" borderId="16" xfId="0" applyFont="1" applyBorder="1"/>
    <xf numFmtId="172" fontId="42" fillId="0" borderId="0" xfId="1940" applyNumberFormat="1" applyFont="1" applyFill="1" applyBorder="1" applyAlignment="1" applyProtection="1"/>
    <xf numFmtId="178" fontId="0" fillId="0" borderId="0" xfId="2" applyNumberFormat="1" applyFont="1"/>
    <xf numFmtId="170" fontId="47" fillId="0" borderId="0" xfId="6" applyNumberFormat="1" applyFont="1" applyFill="1" applyBorder="1" applyAlignment="1" applyProtection="1"/>
    <xf numFmtId="169" fontId="42" fillId="0" borderId="0" xfId="6" applyNumberFormat="1" applyFont="1" applyFill="1" applyBorder="1" applyAlignment="1" applyProtection="1"/>
    <xf numFmtId="165" fontId="0" fillId="0" borderId="0" xfId="2" quotePrefix="1" applyNumberFormat="1" applyFont="1" applyAlignment="1">
      <alignment horizontal="left"/>
    </xf>
    <xf numFmtId="172" fontId="47" fillId="0" borderId="70" xfId="2" applyNumberFormat="1" applyFont="1" applyBorder="1"/>
    <xf numFmtId="164" fontId="40" fillId="0" borderId="0" xfId="1940" applyNumberFormat="1" applyFont="1" applyBorder="1" applyAlignment="1"/>
    <xf numFmtId="164" fontId="64" fillId="0" borderId="0" xfId="1940" applyNumberFormat="1" applyFont="1" applyFill="1" applyBorder="1" applyAlignment="1"/>
    <xf numFmtId="164" fontId="64" fillId="0" borderId="66" xfId="1940" applyNumberFormat="1" applyFont="1" applyBorder="1" applyAlignment="1"/>
    <xf numFmtId="164" fontId="69" fillId="0" borderId="66" xfId="1940" applyNumberFormat="1" applyFont="1" applyFill="1" applyBorder="1" applyAlignment="1"/>
    <xf numFmtId="164" fontId="47" fillId="0" borderId="105" xfId="2" applyNumberFormat="1" applyFont="1" applyBorder="1"/>
    <xf numFmtId="0" fontId="42" fillId="0" borderId="28" xfId="2" applyFont="1" applyBorder="1"/>
    <xf numFmtId="172" fontId="171" fillId="0" borderId="66" xfId="0" applyNumberFormat="1" applyFont="1" applyBorder="1"/>
    <xf numFmtId="165" fontId="92" fillId="0" borderId="0" xfId="2" applyNumberFormat="1" applyFont="1" applyAlignment="1">
      <alignment horizontal="left"/>
    </xf>
    <xf numFmtId="165" fontId="165" fillId="0" borderId="0" xfId="2" applyNumberFormat="1" applyFont="1"/>
    <xf numFmtId="170" fontId="42" fillId="0" borderId="0" xfId="2" quotePrefix="1" applyNumberFormat="1" applyFont="1" applyAlignment="1">
      <alignment horizontal="left"/>
    </xf>
    <xf numFmtId="0" fontId="0" fillId="0" borderId="0" xfId="2" applyFont="1" applyAlignment="1">
      <alignment horizontal="center"/>
    </xf>
    <xf numFmtId="164" fontId="0" fillId="0" borderId="19" xfId="2" applyNumberFormat="1" applyFont="1" applyBorder="1" applyAlignment="1">
      <alignment horizontal="center"/>
    </xf>
    <xf numFmtId="172" fontId="47" fillId="0" borderId="79" xfId="0" applyNumberFormat="1" applyFont="1" applyBorder="1"/>
    <xf numFmtId="164" fontId="0" fillId="0" borderId="42" xfId="2" applyNumberFormat="1" applyFont="1" applyBorder="1"/>
    <xf numFmtId="165" fontId="40" fillId="0" borderId="0" xfId="2" quotePrefix="1" applyNumberFormat="1" applyAlignment="1">
      <alignment horizontal="left"/>
    </xf>
    <xf numFmtId="170" fontId="171" fillId="0" borderId="24" xfId="2" applyNumberFormat="1" applyFont="1" applyBorder="1" applyProtection="1">
      <protection locked="0"/>
    </xf>
    <xf numFmtId="170" fontId="171" fillId="0" borderId="0" xfId="2" applyNumberFormat="1" applyFont="1" applyProtection="1">
      <protection locked="0"/>
    </xf>
    <xf numFmtId="170" fontId="170" fillId="0" borderId="24" xfId="2" applyNumberFormat="1" applyFont="1" applyBorder="1" applyProtection="1">
      <protection locked="0"/>
    </xf>
    <xf numFmtId="170" fontId="170" fillId="0" borderId="21" xfId="2" applyNumberFormat="1" applyFont="1" applyBorder="1" applyProtection="1">
      <protection locked="0"/>
    </xf>
    <xf numFmtId="170" fontId="171" fillId="0" borderId="20" xfId="2" applyNumberFormat="1" applyFont="1" applyBorder="1"/>
    <xf numFmtId="170" fontId="171" fillId="0" borderId="24" xfId="2" applyNumberFormat="1" applyFont="1" applyBorder="1" applyAlignment="1" applyProtection="1">
      <alignment horizontal="center"/>
      <protection locked="0"/>
    </xf>
    <xf numFmtId="170" fontId="171" fillId="0" borderId="0" xfId="2" applyNumberFormat="1" applyFont="1" applyAlignment="1" applyProtection="1">
      <alignment horizontal="center"/>
      <protection locked="0"/>
    </xf>
    <xf numFmtId="170" fontId="64" fillId="0" borderId="10" xfId="2" quotePrefix="1" applyNumberFormat="1" applyFont="1" applyBorder="1" applyAlignment="1">
      <alignment horizontal="center"/>
    </xf>
    <xf numFmtId="170" fontId="170" fillId="0" borderId="10" xfId="2" quotePrefix="1" applyNumberFormat="1" applyFont="1" applyBorder="1" applyAlignment="1">
      <alignment horizontal="right"/>
    </xf>
    <xf numFmtId="170" fontId="170" fillId="0" borderId="0" xfId="2" applyNumberFormat="1" applyFont="1" applyProtection="1">
      <protection locked="0"/>
    </xf>
    <xf numFmtId="170" fontId="171" fillId="0" borderId="24" xfId="2" applyNumberFormat="1" applyFont="1" applyBorder="1" applyAlignment="1">
      <alignment horizontal="center"/>
    </xf>
    <xf numFmtId="170" fontId="171" fillId="0" borderId="0" xfId="2" applyNumberFormat="1" applyFont="1" applyAlignment="1">
      <alignment horizontal="center"/>
    </xf>
    <xf numFmtId="170" fontId="170" fillId="0" borderId="20" xfId="2" quotePrefix="1" applyNumberFormat="1" applyFont="1" applyBorder="1" applyAlignment="1">
      <alignment horizontal="center"/>
    </xf>
    <xf numFmtId="170" fontId="170" fillId="0" borderId="24" xfId="2" applyNumberFormat="1" applyFont="1" applyBorder="1" applyAlignment="1" applyProtection="1">
      <alignment horizontal="right"/>
      <protection locked="0"/>
    </xf>
    <xf numFmtId="170" fontId="170" fillId="0" borderId="0" xfId="2" applyNumberFormat="1" applyFont="1" applyAlignment="1" applyProtection="1">
      <alignment horizontal="right"/>
      <protection locked="0"/>
    </xf>
    <xf numFmtId="170" fontId="170" fillId="0" borderId="18" xfId="2" applyNumberFormat="1" applyFont="1" applyBorder="1"/>
    <xf numFmtId="174" fontId="170" fillId="0" borderId="18" xfId="2" applyNumberFormat="1" applyFont="1" applyBorder="1"/>
    <xf numFmtId="170" fontId="64" fillId="0" borderId="24" xfId="2" applyNumberFormat="1" applyFont="1" applyBorder="1" applyAlignment="1" applyProtection="1">
      <alignment horizontal="center"/>
      <protection locked="0"/>
    </xf>
    <xf numFmtId="170" fontId="64" fillId="0" borderId="0" xfId="2" applyNumberFormat="1" applyFont="1" applyAlignment="1" applyProtection="1">
      <alignment horizontal="center"/>
      <protection locked="0"/>
    </xf>
    <xf numFmtId="170" fontId="64" fillId="0" borderId="66" xfId="2" quotePrefix="1" applyNumberFormat="1" applyFont="1" applyBorder="1" applyAlignment="1">
      <alignment horizontal="right"/>
    </xf>
    <xf numFmtId="170" fontId="69" fillId="0" borderId="24" xfId="2" applyNumberFormat="1" applyFont="1" applyBorder="1" applyAlignment="1" applyProtection="1">
      <alignment horizontal="right"/>
      <protection locked="0"/>
    </xf>
    <xf numFmtId="170" fontId="69" fillId="0" borderId="18" xfId="2" applyNumberFormat="1" applyFont="1" applyBorder="1"/>
    <xf numFmtId="174" fontId="69" fillId="0" borderId="18" xfId="2" applyNumberFormat="1" applyFont="1" applyBorder="1"/>
    <xf numFmtId="174" fontId="69" fillId="0" borderId="35" xfId="2" applyNumberFormat="1" applyFont="1" applyBorder="1"/>
    <xf numFmtId="0" fontId="52" fillId="0" borderId="0" xfId="0" applyNumberFormat="1" applyFont="1" applyAlignment="1">
      <alignment horizontal="left"/>
    </xf>
    <xf numFmtId="0" fontId="40" fillId="0" borderId="0" xfId="25864" applyFont="1" applyBorder="1">
      <alignment horizontal="right"/>
    </xf>
    <xf numFmtId="44" fontId="40" fillId="0" borderId="0" xfId="25874" applyFont="1" applyFill="1" applyBorder="1"/>
    <xf numFmtId="44" fontId="47" fillId="0" borderId="0" xfId="25874" applyFont="1" applyFill="1" applyBorder="1"/>
    <xf numFmtId="0" fontId="38" fillId="0" borderId="0" xfId="25863" applyFont="1" applyAlignment="1">
      <alignment horizontal="left"/>
    </xf>
    <xf numFmtId="177" fontId="40" fillId="0" borderId="0" xfId="1776" applyNumberFormat="1"/>
    <xf numFmtId="164" fontId="113" fillId="0" borderId="101" xfId="0" applyFont="1" applyBorder="1" applyAlignment="1">
      <alignment horizontal="left"/>
    </xf>
    <xf numFmtId="4" fontId="113" fillId="0" borderId="0" xfId="0" applyNumberFormat="1" applyFont="1"/>
    <xf numFmtId="43" fontId="113" fillId="0" borderId="101" xfId="0" applyNumberFormat="1" applyFont="1" applyBorder="1"/>
    <xf numFmtId="170" fontId="47" fillId="0" borderId="10" xfId="0" applyNumberFormat="1" applyFont="1" applyBorder="1" applyAlignment="1">
      <alignment horizontal="center"/>
    </xf>
    <xf numFmtId="170" fontId="47" fillId="0" borderId="18" xfId="0" applyNumberFormat="1" applyFont="1" applyBorder="1"/>
    <xf numFmtId="42" fontId="45" fillId="0" borderId="0" xfId="5508" applyNumberFormat="1" applyFont="1"/>
    <xf numFmtId="199" fontId="40" fillId="0" borderId="0" xfId="0" applyNumberFormat="1" applyFont="1"/>
    <xf numFmtId="165" fontId="47" fillId="0" borderId="21" xfId="0" applyNumberFormat="1" applyFont="1" applyBorder="1"/>
    <xf numFmtId="165" fontId="47" fillId="0" borderId="14" xfId="0" applyNumberFormat="1" applyFont="1" applyBorder="1"/>
    <xf numFmtId="174" fontId="47" fillId="0" borderId="79" xfId="0" applyNumberFormat="1" applyFont="1" applyBorder="1"/>
    <xf numFmtId="174" fontId="47" fillId="0" borderId="0" xfId="0" applyNumberFormat="1" applyFont="1" applyAlignment="1">
      <alignment horizontal="center"/>
    </xf>
    <xf numFmtId="174" fontId="47" fillId="0" borderId="26" xfId="0" applyNumberFormat="1" applyFont="1" applyBorder="1"/>
    <xf numFmtId="174" fontId="47" fillId="0" borderId="91" xfId="0" applyNumberFormat="1" applyFont="1" applyBorder="1"/>
    <xf numFmtId="0" fontId="194" fillId="0" borderId="0" xfId="25863" applyFont="1" applyAlignment="1">
      <alignment horizontal="left"/>
    </xf>
    <xf numFmtId="0" fontId="41" fillId="0" borderId="0" xfId="25863" quotePrefix="1" applyFont="1" applyAlignment="1">
      <alignment horizontal="left"/>
    </xf>
    <xf numFmtId="0" fontId="150" fillId="0" borderId="0" xfId="25863" applyFont="1" applyAlignment="1">
      <alignment horizontal="left"/>
    </xf>
    <xf numFmtId="0" fontId="47" fillId="0" borderId="0" xfId="25865" applyFont="1" applyFill="1"/>
    <xf numFmtId="0" fontId="0" fillId="0" borderId="0" xfId="25864" applyFont="1" applyBorder="1">
      <alignment horizontal="right"/>
    </xf>
    <xf numFmtId="0" fontId="51" fillId="0" borderId="0" xfId="25866" applyFont="1" applyBorder="1" applyAlignment="1">
      <alignment horizontal="left"/>
    </xf>
    <xf numFmtId="0" fontId="40" fillId="0" borderId="0" xfId="25866" applyFont="1"/>
    <xf numFmtId="44" fontId="47" fillId="0" borderId="0" xfId="25868" applyFont="1" applyFill="1" applyBorder="1"/>
    <xf numFmtId="0" fontId="0" fillId="0" borderId="0" xfId="25866" applyFont="1"/>
    <xf numFmtId="0" fontId="167" fillId="0" borderId="0" xfId="25866" applyFont="1"/>
    <xf numFmtId="0" fontId="47" fillId="0" borderId="0" xfId="25871" applyFill="1"/>
    <xf numFmtId="0" fontId="169" fillId="0" borderId="0" xfId="25872" applyFont="1" applyAlignment="1">
      <alignment horizontal="left" wrapText="1"/>
    </xf>
    <xf numFmtId="0" fontId="150" fillId="0" borderId="0" xfId="25872" applyFont="1"/>
    <xf numFmtId="0" fontId="113" fillId="0" borderId="0" xfId="25863" applyFont="1" applyAlignment="1">
      <alignment horizontal="left"/>
    </xf>
    <xf numFmtId="0" fontId="205" fillId="0" borderId="0" xfId="25863" applyFont="1" applyAlignment="1">
      <alignment horizontal="left" vertical="top"/>
    </xf>
    <xf numFmtId="0" fontId="169" fillId="0" borderId="0" xfId="25863" applyFont="1" applyAlignment="1">
      <alignment horizontal="left" vertical="top"/>
    </xf>
    <xf numFmtId="44" fontId="167" fillId="0" borderId="0" xfId="25873" applyNumberFormat="1" applyFont="1" applyFill="1" applyBorder="1" applyAlignment="1">
      <alignment horizontal="left"/>
    </xf>
    <xf numFmtId="43" fontId="45" fillId="0" borderId="0" xfId="25863" applyNumberFormat="1" applyFont="1"/>
    <xf numFmtId="43" fontId="38" fillId="0" borderId="0" xfId="25863" applyNumberFormat="1" applyFont="1" applyAlignment="1">
      <alignment horizontal="left"/>
    </xf>
    <xf numFmtId="43" fontId="193" fillId="0" borderId="0" xfId="25863" applyNumberFormat="1"/>
    <xf numFmtId="0" fontId="169" fillId="0" borderId="0" xfId="25863" applyFont="1" applyAlignment="1">
      <alignment horizontal="left"/>
    </xf>
    <xf numFmtId="170" fontId="42" fillId="0" borderId="10" xfId="2" applyNumberFormat="1" applyFont="1" applyBorder="1"/>
    <xf numFmtId="170" fontId="47" fillId="0" borderId="10" xfId="1" applyNumberFormat="1" applyFont="1" applyFill="1" applyBorder="1" applyAlignment="1"/>
    <xf numFmtId="170" fontId="62" fillId="0" borderId="20" xfId="2" applyNumberFormat="1" applyFont="1" applyBorder="1"/>
    <xf numFmtId="170" fontId="47" fillId="0" borderId="93" xfId="0" quotePrefix="1" applyNumberFormat="1" applyFont="1" applyBorder="1"/>
    <xf numFmtId="0" fontId="0" fillId="0" borderId="0" xfId="0" applyNumberFormat="1" applyAlignment="1">
      <alignment horizontal="left"/>
    </xf>
    <xf numFmtId="170" fontId="51" fillId="0" borderId="0" xfId="2" applyNumberFormat="1" applyFont="1" applyAlignment="1">
      <alignment horizontal="right"/>
    </xf>
    <xf numFmtId="43" fontId="51" fillId="0" borderId="0" xfId="1767" applyNumberFormat="1" applyFont="1" applyAlignment="1">
      <alignment horizontal="right"/>
    </xf>
    <xf numFmtId="170" fontId="40" fillId="0" borderId="15" xfId="4" applyNumberFormat="1" applyFont="1" applyBorder="1"/>
    <xf numFmtId="170" fontId="40" fillId="0" borderId="0" xfId="4" applyNumberFormat="1" applyFont="1"/>
    <xf numFmtId="44" fontId="169" fillId="0" borderId="0" xfId="0" applyNumberFormat="1" applyFont="1"/>
    <xf numFmtId="49" fontId="45" fillId="0" borderId="0" xfId="0" applyNumberFormat="1" applyFont="1" applyAlignment="1">
      <alignment horizontal="left" vertical="top"/>
    </xf>
    <xf numFmtId="177" fontId="64" fillId="0" borderId="0" xfId="740" applyNumberFormat="1" applyFont="1"/>
    <xf numFmtId="0" fontId="40" fillId="0" borderId="0" xfId="1028" applyAlignment="1">
      <alignment horizontal="left"/>
    </xf>
    <xf numFmtId="172" fontId="171" fillId="0" borderId="0" xfId="1940" applyNumberFormat="1" applyFont="1" applyAlignment="1"/>
    <xf numFmtId="172" fontId="171" fillId="0" borderId="0" xfId="0" applyNumberFormat="1" applyFont="1"/>
    <xf numFmtId="181" fontId="100" fillId="0" borderId="0" xfId="740" applyNumberFormat="1" applyFont="1"/>
    <xf numFmtId="0" fontId="69" fillId="0" borderId="0" xfId="25863" quotePrefix="1" applyFont="1" applyAlignment="1">
      <alignment horizontal="left"/>
    </xf>
    <xf numFmtId="172" fontId="40" fillId="0" borderId="10" xfId="0" applyNumberFormat="1" applyFont="1" applyBorder="1"/>
    <xf numFmtId="172" fontId="69" fillId="0" borderId="0" xfId="1940" applyNumberFormat="1" applyFont="1" applyAlignment="1"/>
    <xf numFmtId="172" fontId="66" fillId="0" borderId="0" xfId="0" applyNumberFormat="1" applyFont="1"/>
    <xf numFmtId="164" fontId="52" fillId="0" borderId="0" xfId="0" applyFont="1"/>
    <xf numFmtId="172" fontId="64" fillId="0" borderId="10" xfId="2" applyNumberFormat="1" applyFont="1" applyBorder="1"/>
    <xf numFmtId="183" fontId="40" fillId="0" borderId="0" xfId="0" applyNumberFormat="1" applyFont="1"/>
    <xf numFmtId="167" fontId="42" fillId="0" borderId="13" xfId="0" applyNumberFormat="1" applyFont="1" applyBorder="1"/>
    <xf numFmtId="170" fontId="47" fillId="0" borderId="16" xfId="0" applyNumberFormat="1" applyFont="1" applyBorder="1" applyAlignment="1">
      <alignment horizontal="center"/>
    </xf>
    <xf numFmtId="170" fontId="43" fillId="0" borderId="0" xfId="0" applyNumberFormat="1" applyFont="1"/>
    <xf numFmtId="170" fontId="40" fillId="0" borderId="10" xfId="0" applyNumberFormat="1" applyFont="1" applyBorder="1"/>
    <xf numFmtId="170" fontId="47" fillId="0" borderId="10" xfId="0" applyNumberFormat="1" applyFont="1" applyBorder="1" applyAlignment="1">
      <alignment horizontal="right"/>
    </xf>
    <xf numFmtId="170" fontId="47" fillId="0" borderId="0" xfId="0" quotePrefix="1" applyNumberFormat="1" applyFont="1" applyAlignment="1">
      <alignment horizontal="right"/>
    </xf>
    <xf numFmtId="170" fontId="98" fillId="0" borderId="0" xfId="2" applyNumberFormat="1" applyFont="1"/>
    <xf numFmtId="166" fontId="52" fillId="0" borderId="0" xfId="8" applyNumberFormat="1" applyFont="1" applyAlignment="1">
      <alignment horizontal="right"/>
    </xf>
    <xf numFmtId="169" fontId="100" fillId="0" borderId="0" xfId="8" applyNumberFormat="1"/>
    <xf numFmtId="166" fontId="67" fillId="0" borderId="0" xfId="2" quotePrefix="1" applyNumberFormat="1" applyFont="1" applyAlignment="1">
      <alignment horizontal="left"/>
    </xf>
    <xf numFmtId="186" fontId="46" fillId="0" borderId="66" xfId="9967" applyNumberFormat="1" applyFont="1" applyBorder="1" applyAlignment="1">
      <alignment horizontal="center"/>
    </xf>
    <xf numFmtId="4" fontId="40" fillId="0" borderId="0" xfId="1028" applyNumberFormat="1" applyAlignment="1">
      <alignment horizontal="centerContinuous"/>
    </xf>
    <xf numFmtId="43" fontId="40" fillId="0" borderId="0" xfId="9049" applyFont="1" applyFill="1" applyAlignment="1" applyProtection="1">
      <alignment horizontal="right"/>
    </xf>
    <xf numFmtId="170" fontId="150" fillId="0" borderId="0" xfId="2" applyNumberFormat="1" applyFont="1"/>
    <xf numFmtId="43" fontId="40" fillId="0" borderId="0" xfId="25873" applyFont="1" applyFill="1" applyBorder="1" applyAlignment="1">
      <alignment horizontal="left"/>
    </xf>
    <xf numFmtId="44" fontId="40" fillId="0" borderId="0" xfId="25873" applyNumberFormat="1" applyFont="1" applyFill="1" applyBorder="1" applyAlignment="1">
      <alignment horizontal="left"/>
    </xf>
    <xf numFmtId="43" fontId="40" fillId="0" borderId="0" xfId="25873" applyFont="1" applyFill="1" applyBorder="1"/>
    <xf numFmtId="0" fontId="42" fillId="0" borderId="106" xfId="4" applyFont="1" applyBorder="1"/>
    <xf numFmtId="166" fontId="42" fillId="0" borderId="106" xfId="4" applyNumberFormat="1" applyFont="1" applyBorder="1"/>
    <xf numFmtId="0" fontId="40" fillId="0" borderId="106" xfId="4" applyFont="1" applyBorder="1"/>
    <xf numFmtId="0" fontId="52" fillId="0" borderId="0" xfId="0" applyNumberFormat="1" applyFont="1" applyAlignment="1">
      <alignment horizontal="left" vertical="top"/>
    </xf>
    <xf numFmtId="174" fontId="40" fillId="0" borderId="0" xfId="1" applyNumberFormat="1" applyFont="1" applyFill="1" applyAlignment="1" applyProtection="1"/>
    <xf numFmtId="174" fontId="0" fillId="0" borderId="0" xfId="0" applyNumberFormat="1"/>
    <xf numFmtId="174" fontId="40" fillId="0" borderId="0" xfId="0" applyNumberFormat="1" applyFont="1" applyAlignment="1">
      <alignment horizontal="right"/>
    </xf>
    <xf numFmtId="174" fontId="42" fillId="0" borderId="18" xfId="0" applyNumberFormat="1" applyFont="1" applyBorder="1"/>
    <xf numFmtId="170" fontId="0" fillId="0" borderId="0" xfId="0" applyNumberFormat="1" applyAlignment="1">
      <alignment horizontal="right"/>
    </xf>
    <xf numFmtId="170" fontId="42" fillId="0" borderId="18" xfId="0" applyNumberFormat="1" applyFont="1" applyBorder="1" applyAlignment="1">
      <alignment horizontal="center"/>
    </xf>
    <xf numFmtId="170" fontId="42" fillId="0" borderId="10" xfId="0" applyNumberFormat="1" applyFont="1" applyBorder="1" applyAlignment="1">
      <alignment horizontal="right"/>
    </xf>
    <xf numFmtId="170" fontId="47" fillId="0" borderId="18" xfId="0" applyNumberFormat="1" applyFont="1" applyBorder="1" applyAlignment="1">
      <alignment horizontal="center"/>
    </xf>
    <xf numFmtId="170" fontId="42" fillId="0" borderId="28" xfId="0" applyNumberFormat="1" applyFont="1" applyBorder="1"/>
    <xf numFmtId="0" fontId="69" fillId="33" borderId="0" xfId="2" applyFont="1" applyFill="1" applyAlignment="1">
      <alignment horizontal="left" vertical="center"/>
    </xf>
    <xf numFmtId="37" fontId="45" fillId="33" borderId="0" xfId="2" applyNumberFormat="1" applyFont="1" applyFill="1" applyAlignment="1">
      <alignment vertical="center"/>
    </xf>
    <xf numFmtId="37" fontId="45" fillId="0" borderId="0" xfId="2" applyNumberFormat="1" applyFont="1" applyAlignment="1">
      <alignment vertical="center"/>
    </xf>
    <xf numFmtId="0" fontId="69" fillId="0" borderId="0" xfId="2" applyFont="1" applyAlignment="1" applyProtection="1">
      <alignment horizontal="left" vertical="center"/>
      <protection locked="0"/>
    </xf>
    <xf numFmtId="0" fontId="69" fillId="0" borderId="0" xfId="2" applyFont="1" applyAlignment="1">
      <alignment horizontal="left" vertical="center"/>
    </xf>
    <xf numFmtId="170" fontId="40" fillId="0" borderId="10" xfId="2" applyNumberFormat="1" applyBorder="1" applyAlignment="1">
      <alignment horizontal="center"/>
    </xf>
    <xf numFmtId="170" fontId="69" fillId="0" borderId="43" xfId="2" quotePrefix="1" applyNumberFormat="1" applyFont="1" applyBorder="1" applyAlignment="1">
      <alignment horizontal="right"/>
    </xf>
    <xf numFmtId="170" fontId="69" fillId="0" borderId="43" xfId="2" quotePrefix="1" applyNumberFormat="1" applyFont="1" applyBorder="1" applyAlignment="1">
      <alignment horizontal="center"/>
    </xf>
    <xf numFmtId="2" fontId="45" fillId="0" borderId="0" xfId="2" applyNumberFormat="1" applyFont="1"/>
    <xf numFmtId="170" fontId="40" fillId="0" borderId="106" xfId="2" quotePrefix="1" applyNumberFormat="1" applyBorder="1"/>
    <xf numFmtId="170" fontId="42" fillId="0" borderId="106" xfId="2" applyNumberFormat="1" applyFont="1" applyBorder="1" applyAlignment="1">
      <alignment horizontal="right"/>
    </xf>
    <xf numFmtId="170" fontId="40" fillId="0" borderId="106" xfId="2" applyNumberFormat="1" applyBorder="1"/>
    <xf numFmtId="170" fontId="42" fillId="0" borderId="106" xfId="2" applyNumberFormat="1" applyFont="1" applyBorder="1"/>
    <xf numFmtId="170" fontId="40" fillId="0" borderId="106" xfId="0" quotePrefix="1" applyNumberFormat="1" applyFont="1" applyBorder="1" applyAlignment="1">
      <alignment horizontal="right"/>
    </xf>
    <xf numFmtId="191" fontId="52" fillId="0" borderId="0" xfId="8" applyNumberFormat="1" applyFont="1" applyAlignment="1">
      <alignment horizontal="right"/>
    </xf>
    <xf numFmtId="172" fontId="42" fillId="0" borderId="66" xfId="0" applyNumberFormat="1" applyFont="1" applyBorder="1" applyProtection="1">
      <protection locked="0"/>
    </xf>
    <xf numFmtId="164" fontId="140" fillId="0" borderId="0" xfId="0" applyFont="1"/>
    <xf numFmtId="164" fontId="52" fillId="0" borderId="0" xfId="0" applyFont="1" applyAlignment="1">
      <alignment horizontal="left"/>
    </xf>
    <xf numFmtId="164" fontId="52" fillId="0" borderId="0" xfId="0" applyFont="1" applyAlignment="1">
      <alignment horizontal="right"/>
    </xf>
    <xf numFmtId="164" fontId="141" fillId="0" borderId="0" xfId="0" applyFont="1"/>
    <xf numFmtId="164" fontId="141" fillId="0" borderId="0" xfId="0" applyFont="1" applyAlignment="1">
      <alignment horizontal="left"/>
    </xf>
    <xf numFmtId="172" fontId="0" fillId="0" borderId="10" xfId="2" applyNumberFormat="1" applyFont="1" applyBorder="1"/>
    <xf numFmtId="177" fontId="219" fillId="0" borderId="0" xfId="740" applyNumberFormat="1" applyFont="1"/>
    <xf numFmtId="170" fontId="47" fillId="0" borderId="105" xfId="2" applyNumberFormat="1" applyFont="1" applyBorder="1" applyAlignment="1">
      <alignment horizontal="right"/>
    </xf>
    <xf numFmtId="170" fontId="47" fillId="0" borderId="83" xfId="2" applyNumberFormat="1" applyFont="1" applyBorder="1"/>
    <xf numFmtId="4" fontId="0" fillId="0" borderId="0" xfId="0" applyNumberFormat="1" applyAlignment="1">
      <alignment horizontal="right"/>
    </xf>
    <xf numFmtId="43" fontId="40" fillId="0" borderId="0" xfId="1028" applyNumberFormat="1" applyAlignment="1">
      <alignment horizontal="right"/>
    </xf>
    <xf numFmtId="43" fontId="0" fillId="0" borderId="0" xfId="0" applyNumberFormat="1"/>
    <xf numFmtId="43" fontId="47" fillId="0" borderId="35" xfId="0" applyNumberFormat="1" applyFont="1" applyBorder="1" applyAlignment="1">
      <alignment horizontal="right"/>
    </xf>
    <xf numFmtId="43" fontId="132" fillId="0" borderId="0" xfId="2" applyNumberFormat="1" applyFont="1"/>
    <xf numFmtId="43" fontId="0" fillId="0" borderId="0" xfId="2" applyNumberFormat="1" applyFont="1" applyAlignment="1">
      <alignment horizontal="center" vertical="top"/>
    </xf>
    <xf numFmtId="43" fontId="47" fillId="0" borderId="101" xfId="25874" applyNumberFormat="1" applyFont="1" applyFill="1" applyBorder="1" applyAlignment="1">
      <alignment horizontal="right"/>
    </xf>
    <xf numFmtId="43" fontId="47" fillId="0" borderId="0" xfId="25874" applyNumberFormat="1" applyFont="1" applyFill="1" applyBorder="1" applyAlignment="1">
      <alignment horizontal="right"/>
    </xf>
    <xf numFmtId="43" fontId="47" fillId="0" borderId="101" xfId="25868" applyNumberFormat="1" applyFont="1" applyFill="1" applyBorder="1" applyAlignment="1">
      <alignment horizontal="right"/>
    </xf>
    <xf numFmtId="174" fontId="0" fillId="0" borderId="0" xfId="2" quotePrefix="1" applyNumberFormat="1" applyFont="1"/>
    <xf numFmtId="43" fontId="0" fillId="0" borderId="0" xfId="25864" applyNumberFormat="1" applyFont="1" applyBorder="1">
      <alignment horizontal="right"/>
    </xf>
    <xf numFmtId="43" fontId="0" fillId="0" borderId="0" xfId="25866" applyNumberFormat="1" applyFont="1"/>
    <xf numFmtId="44" fontId="0" fillId="0" borderId="0" xfId="25866" applyNumberFormat="1" applyFont="1"/>
    <xf numFmtId="170" fontId="40" fillId="0" borderId="73" xfId="2" applyNumberFormat="1" applyBorder="1"/>
    <xf numFmtId="170" fontId="40" fillId="0" borderId="73" xfId="2" applyNumberFormat="1" applyBorder="1" applyAlignment="1">
      <alignment horizontal="center"/>
    </xf>
    <xf numFmtId="170" fontId="47" fillId="0" borderId="73" xfId="2" applyNumberFormat="1" applyFont="1" applyBorder="1"/>
    <xf numFmtId="174" fontId="47" fillId="0" borderId="73" xfId="2" applyNumberFormat="1" applyFont="1" applyBorder="1"/>
    <xf numFmtId="43" fontId="40" fillId="0" borderId="0" xfId="840" applyNumberFormat="1" applyFont="1" applyAlignment="1">
      <alignment horizontal="right"/>
    </xf>
    <xf numFmtId="166" fontId="42" fillId="0" borderId="13" xfId="0" applyNumberFormat="1" applyFont="1" applyBorder="1"/>
    <xf numFmtId="166" fontId="42" fillId="0" borderId="15" xfId="0" applyNumberFormat="1" applyFont="1" applyBorder="1"/>
    <xf numFmtId="167" fontId="42" fillId="0" borderId="0" xfId="0" applyNumberFormat="1" applyFont="1" applyAlignment="1">
      <alignment horizontal="center"/>
    </xf>
    <xf numFmtId="174" fontId="42" fillId="0" borderId="13" xfId="0" applyNumberFormat="1" applyFont="1" applyBorder="1"/>
    <xf numFmtId="167" fontId="42" fillId="0" borderId="14" xfId="0" applyNumberFormat="1" applyFont="1" applyBorder="1"/>
    <xf numFmtId="167" fontId="42" fillId="0" borderId="15" xfId="0" applyNumberFormat="1" applyFont="1" applyBorder="1"/>
    <xf numFmtId="37" fontId="40" fillId="0" borderId="0" xfId="0" applyNumberFormat="1" applyFont="1" applyAlignment="1">
      <alignment horizontal="left"/>
    </xf>
    <xf numFmtId="170" fontId="47" fillId="0" borderId="0" xfId="0" applyNumberFormat="1" applyFont="1" applyAlignment="1">
      <alignment horizontal="right"/>
    </xf>
    <xf numFmtId="170" fontId="42" fillId="0" borderId="15" xfId="0" quotePrefix="1" applyNumberFormat="1" applyFont="1" applyBorder="1" applyAlignment="1">
      <alignment horizontal="right"/>
    </xf>
    <xf numFmtId="3" fontId="42" fillId="0" borderId="0" xfId="0" applyNumberFormat="1" applyFont="1" applyAlignment="1">
      <alignment horizontal="left"/>
    </xf>
    <xf numFmtId="170" fontId="52" fillId="0" borderId="0" xfId="0" applyNumberFormat="1" applyFont="1"/>
    <xf numFmtId="170" fontId="42" fillId="0" borderId="15" xfId="0" applyNumberFormat="1" applyFont="1" applyBorder="1" applyAlignment="1">
      <alignment horizontal="center"/>
    </xf>
    <xf numFmtId="170" fontId="42" fillId="0" borderId="10" xfId="0" applyNumberFormat="1" applyFont="1" applyBorder="1"/>
    <xf numFmtId="166" fontId="48" fillId="0" borderId="0" xfId="0" quotePrefix="1" applyNumberFormat="1" applyFont="1" applyAlignment="1">
      <alignment horizontal="left"/>
    </xf>
    <xf numFmtId="164" fontId="46" fillId="0" borderId="0" xfId="0" quotePrefix="1" applyFont="1" applyAlignment="1">
      <alignment horizontal="right"/>
    </xf>
    <xf numFmtId="199" fontId="42" fillId="0" borderId="0" xfId="0" applyNumberFormat="1" applyFont="1"/>
    <xf numFmtId="170" fontId="171" fillId="0" borderId="36" xfId="2" applyNumberFormat="1" applyFont="1" applyBorder="1"/>
    <xf numFmtId="170" fontId="47" fillId="0" borderId="97" xfId="2" applyNumberFormat="1" applyFont="1" applyBorder="1"/>
    <xf numFmtId="170" fontId="69" fillId="0" borderId="0" xfId="2" quotePrefix="1" applyNumberFormat="1" applyFont="1"/>
    <xf numFmtId="170" fontId="42" fillId="0" borderId="0" xfId="5" applyNumberFormat="1" applyFont="1" applyFill="1" applyBorder="1" applyProtection="1"/>
    <xf numFmtId="44" fontId="40" fillId="0" borderId="0" xfId="25870" applyNumberFormat="1" applyFont="1" applyFill="1" applyBorder="1"/>
    <xf numFmtId="172" fontId="47" fillId="0" borderId="17" xfId="0" applyNumberFormat="1" applyFont="1" applyBorder="1"/>
    <xf numFmtId="170" fontId="52" fillId="0" borderId="0" xfId="8" applyNumberFormat="1" applyFont="1"/>
    <xf numFmtId="169" fontId="52" fillId="0" borderId="0" xfId="8" applyNumberFormat="1" applyFont="1"/>
    <xf numFmtId="166" fontId="100" fillId="0" borderId="0" xfId="8" applyNumberFormat="1"/>
    <xf numFmtId="169" fontId="142" fillId="0" borderId="0" xfId="8" applyNumberFormat="1" applyFont="1"/>
    <xf numFmtId="39" fontId="45" fillId="0" borderId="0" xfId="0" quotePrefix="1" applyNumberFormat="1" applyFont="1" applyAlignment="1">
      <alignment horizontal="right"/>
    </xf>
    <xf numFmtId="39" fontId="45" fillId="0" borderId="0" xfId="0" quotePrefix="1" applyNumberFormat="1" applyFont="1"/>
    <xf numFmtId="4" fontId="45" fillId="0" borderId="0" xfId="0" applyNumberFormat="1" applyFont="1"/>
    <xf numFmtId="41" fontId="169" fillId="0" borderId="0" xfId="0" applyNumberFormat="1" applyFont="1" applyAlignment="1">
      <alignment horizontal="right"/>
    </xf>
    <xf numFmtId="0" fontId="46" fillId="0" borderId="49" xfId="0" applyNumberFormat="1" applyFont="1" applyBorder="1"/>
    <xf numFmtId="7" fontId="46" fillId="0" borderId="0" xfId="0" applyNumberFormat="1" applyFont="1" applyAlignment="1">
      <alignment horizontal="right" vertical="top"/>
    </xf>
    <xf numFmtId="7" fontId="45" fillId="0" borderId="0" xfId="0" applyNumberFormat="1" applyFont="1"/>
    <xf numFmtId="42" fontId="45" fillId="0" borderId="0" xfId="0" applyNumberFormat="1" applyFont="1" applyAlignment="1">
      <alignment horizontal="right"/>
    </xf>
    <xf numFmtId="43" fontId="45" fillId="0" borderId="0" xfId="0" applyNumberFormat="1" applyFont="1" applyAlignment="1">
      <alignment horizontal="center"/>
    </xf>
    <xf numFmtId="39" fontId="45" fillId="0" borderId="0" xfId="0" quotePrefix="1" applyNumberFormat="1" applyFont="1" applyAlignment="1">
      <alignment horizontal="center"/>
    </xf>
    <xf numFmtId="43" fontId="45" fillId="0" borderId="0" xfId="0" applyNumberFormat="1" applyFont="1" applyAlignment="1">
      <alignment horizontal="center" vertical="top"/>
    </xf>
    <xf numFmtId="39" fontId="46" fillId="0" borderId="0" xfId="0" applyNumberFormat="1" applyFont="1" applyAlignment="1">
      <alignment horizontal="right"/>
    </xf>
    <xf numFmtId="43" fontId="46" fillId="0" borderId="0" xfId="0" applyNumberFormat="1" applyFont="1" applyAlignment="1">
      <alignment horizontal="center" vertical="top"/>
    </xf>
    <xf numFmtId="41" fontId="45" fillId="0" borderId="72" xfId="0" applyNumberFormat="1" applyFont="1" applyBorder="1"/>
    <xf numFmtId="199" fontId="40" fillId="0" borderId="0" xfId="2" applyNumberFormat="1"/>
    <xf numFmtId="166" fontId="52" fillId="0" borderId="0" xfId="8" quotePrefix="1" applyNumberFormat="1" applyFont="1"/>
    <xf numFmtId="200" fontId="40" fillId="0" borderId="0" xfId="0" applyNumberFormat="1" applyFont="1"/>
    <xf numFmtId="49" fontId="47" fillId="0" borderId="50" xfId="1767" quotePrefix="1" applyNumberFormat="1" applyFont="1" applyBorder="1" applyAlignment="1">
      <alignment horizontal="center"/>
    </xf>
    <xf numFmtId="170" fontId="40" fillId="0" borderId="0" xfId="2" applyNumberFormat="1" applyAlignment="1">
      <alignment horizontal="center" vertical="top"/>
    </xf>
    <xf numFmtId="164" fontId="0" fillId="0" borderId="0" xfId="0" applyAlignment="1">
      <alignment horizontal="center"/>
    </xf>
    <xf numFmtId="42" fontId="156" fillId="0" borderId="0" xfId="5458" applyNumberFormat="1" applyFont="1"/>
    <xf numFmtId="0" fontId="195" fillId="0" borderId="0" xfId="25863" applyFont="1" applyAlignment="1">
      <alignment horizontal="left"/>
    </xf>
    <xf numFmtId="0" fontId="69" fillId="0" borderId="0" xfId="25863" applyFont="1" applyAlignment="1">
      <alignment horizontal="right"/>
    </xf>
    <xf numFmtId="7" fontId="47" fillId="0" borderId="0" xfId="25863" applyNumberFormat="1" applyFont="1" applyAlignment="1">
      <alignment horizontal="center"/>
    </xf>
    <xf numFmtId="7" fontId="40" fillId="0" borderId="0" xfId="25863" applyNumberFormat="1" applyFont="1"/>
    <xf numFmtId="43" fontId="51" fillId="0" borderId="0" xfId="0" applyNumberFormat="1" applyFont="1" applyAlignment="1">
      <alignment horizontal="right" wrapText="1"/>
    </xf>
    <xf numFmtId="43" fontId="51" fillId="0" borderId="0" xfId="25872" applyNumberFormat="1" applyFont="1" applyAlignment="1">
      <alignment horizontal="left"/>
    </xf>
    <xf numFmtId="43" fontId="51" fillId="0" borderId="0" xfId="25876" applyNumberFormat="1" applyFont="1" applyAlignment="1">
      <alignment horizontal="right"/>
    </xf>
    <xf numFmtId="43" fontId="51" fillId="0" borderId="0" xfId="25876" applyNumberFormat="1" applyFont="1"/>
    <xf numFmtId="43" fontId="51" fillId="0" borderId="0" xfId="25872" applyNumberFormat="1" applyFont="1"/>
    <xf numFmtId="43" fontId="51" fillId="0" borderId="0" xfId="4579" applyNumberFormat="1" applyFont="1" applyAlignment="1">
      <alignment wrapText="1"/>
    </xf>
    <xf numFmtId="43" fontId="40" fillId="0" borderId="0" xfId="25872" applyNumberFormat="1" applyFont="1"/>
    <xf numFmtId="43" fontId="40" fillId="0" borderId="0" xfId="0" applyNumberFormat="1" applyFont="1" applyAlignment="1">
      <alignment horizontal="right" wrapText="1"/>
    </xf>
    <xf numFmtId="0" fontId="69" fillId="0" borderId="0" xfId="25863" applyFont="1"/>
    <xf numFmtId="44" fontId="193" fillId="0" borderId="0" xfId="25863" applyNumberFormat="1"/>
    <xf numFmtId="172" fontId="47" fillId="0" borderId="0" xfId="2" applyNumberFormat="1" applyFont="1"/>
    <xf numFmtId="174" fontId="40" fillId="0" borderId="0" xfId="0" quotePrefix="1" applyNumberFormat="1" applyFont="1" applyAlignment="1">
      <alignment horizontal="right"/>
    </xf>
    <xf numFmtId="170" fontId="47" fillId="0" borderId="96" xfId="0" quotePrefix="1" applyNumberFormat="1" applyFont="1" applyBorder="1"/>
    <xf numFmtId="37" fontId="150" fillId="0" borderId="0" xfId="25864" applyNumberFormat="1" applyFont="1" applyBorder="1">
      <alignment horizontal="right"/>
    </xf>
    <xf numFmtId="44" fontId="47" fillId="0" borderId="0" xfId="49695" applyFont="1" applyFill="1" applyBorder="1"/>
    <xf numFmtId="177" fontId="51" fillId="0" borderId="0" xfId="1767" applyNumberFormat="1" applyFont="1" applyAlignment="1">
      <alignment horizontal="left"/>
    </xf>
    <xf numFmtId="177" fontId="51" fillId="0" borderId="0" xfId="740" applyNumberFormat="1" applyFont="1" applyAlignment="1">
      <alignment horizontal="right"/>
    </xf>
    <xf numFmtId="177" fontId="51" fillId="0" borderId="0" xfId="740" applyNumberFormat="1" applyFont="1" applyAlignment="1">
      <alignment horizontal="center"/>
    </xf>
    <xf numFmtId="177" fontId="0" fillId="0" borderId="0" xfId="0" applyNumberFormat="1"/>
    <xf numFmtId="37" fontId="47" fillId="0" borderId="28" xfId="2" applyNumberFormat="1" applyFont="1" applyBorder="1" applyAlignment="1">
      <alignment horizontal="centerContinuous"/>
    </xf>
    <xf numFmtId="37" fontId="47" fillId="0" borderId="107" xfId="2" applyNumberFormat="1" applyFont="1" applyBorder="1"/>
    <xf numFmtId="37" fontId="47" fillId="0" borderId="108" xfId="2" applyNumberFormat="1" applyFont="1" applyBorder="1"/>
    <xf numFmtId="44" fontId="47" fillId="0" borderId="85" xfId="25868" applyFont="1" applyFill="1" applyBorder="1"/>
    <xf numFmtId="43" fontId="40" fillId="0" borderId="0" xfId="25863" applyNumberFormat="1" applyFont="1" applyAlignment="1">
      <alignment horizontal="right" wrapText="1"/>
    </xf>
    <xf numFmtId="0" fontId="196" fillId="0" borderId="0" xfId="25863" quotePrefix="1" applyFont="1" applyAlignment="1">
      <alignment horizontal="left"/>
    </xf>
    <xf numFmtId="0" fontId="51" fillId="0" borderId="0" xfId="25863" applyFont="1" applyAlignment="1">
      <alignment horizontal="left"/>
    </xf>
    <xf numFmtId="0" fontId="201" fillId="0" borderId="0" xfId="25863" applyFont="1" applyAlignment="1">
      <alignment horizontal="left"/>
    </xf>
    <xf numFmtId="0" fontId="202" fillId="0" borderId="0" xfId="25863" applyFont="1" applyAlignment="1">
      <alignment horizontal="center"/>
    </xf>
    <xf numFmtId="0" fontId="199" fillId="0" borderId="0" xfId="25863" applyFont="1" applyAlignment="1">
      <alignment horizontal="center" wrapText="1"/>
    </xf>
    <xf numFmtId="0" fontId="150" fillId="0" borderId="0" xfId="25864" applyFont="1" applyBorder="1">
      <alignment horizontal="right"/>
    </xf>
    <xf numFmtId="0" fontId="201" fillId="0" borderId="0" xfId="25863" applyFont="1"/>
    <xf numFmtId="43" fontId="150" fillId="0" borderId="0" xfId="25863" applyNumberFormat="1" applyFont="1" applyAlignment="1">
      <alignment horizontal="left"/>
    </xf>
    <xf numFmtId="0" fontId="221" fillId="0" borderId="0" xfId="25863" applyFont="1" applyAlignment="1">
      <alignment horizontal="left"/>
    </xf>
    <xf numFmtId="7" fontId="45" fillId="0" borderId="0" xfId="25863" applyNumberFormat="1" applyFont="1"/>
    <xf numFmtId="44" fontId="221" fillId="0" borderId="0" xfId="25863" applyNumberFormat="1" applyFont="1" applyAlignment="1">
      <alignment horizontal="left"/>
    </xf>
    <xf numFmtId="43" fontId="221" fillId="0" borderId="0" xfId="25863" applyNumberFormat="1" applyFont="1" applyAlignment="1">
      <alignment horizontal="left"/>
    </xf>
    <xf numFmtId="43" fontId="40" fillId="0" borderId="0" xfId="25872" applyNumberFormat="1" applyFont="1" applyAlignment="1">
      <alignment horizontal="left"/>
    </xf>
    <xf numFmtId="43" fontId="40" fillId="0" borderId="0" xfId="25876" applyNumberFormat="1" applyFont="1" applyAlignment="1">
      <alignment horizontal="right"/>
    </xf>
    <xf numFmtId="43" fontId="40" fillId="0" borderId="0" xfId="25876" applyNumberFormat="1" applyFont="1"/>
    <xf numFmtId="43" fontId="40" fillId="0" borderId="0" xfId="4579" applyNumberFormat="1" applyAlignment="1">
      <alignment wrapText="1"/>
    </xf>
    <xf numFmtId="0" fontId="169" fillId="0" borderId="0" xfId="25863" applyFont="1" applyAlignment="1">
      <alignment horizontal="left" vertical="top" wrapText="1"/>
    </xf>
    <xf numFmtId="43" fontId="40" fillId="0" borderId="0" xfId="25863" applyNumberFormat="1" applyFont="1" applyAlignment="1">
      <alignment horizontal="left"/>
    </xf>
    <xf numFmtId="43" fontId="40" fillId="0" borderId="0" xfId="25863" applyNumberFormat="1" applyFont="1" applyAlignment="1">
      <alignment horizontal="right"/>
    </xf>
    <xf numFmtId="43" fontId="40" fillId="0" borderId="0" xfId="25863" applyNumberFormat="1" applyFont="1" applyAlignment="1">
      <alignment wrapText="1"/>
    </xf>
    <xf numFmtId="43" fontId="51" fillId="0" borderId="0" xfId="25863" applyNumberFormat="1" applyFont="1" applyAlignment="1">
      <alignment horizontal="right" wrapText="1"/>
    </xf>
    <xf numFmtId="43" fontId="51" fillId="0" borderId="0" xfId="25863" applyNumberFormat="1" applyFont="1" applyAlignment="1">
      <alignment horizontal="left"/>
    </xf>
    <xf numFmtId="43" fontId="51" fillId="0" borderId="0" xfId="25863" applyNumberFormat="1" applyFont="1" applyAlignment="1">
      <alignment horizontal="right"/>
    </xf>
    <xf numFmtId="43" fontId="51" fillId="0" borderId="0" xfId="0" applyNumberFormat="1" applyFont="1"/>
    <xf numFmtId="43" fontId="51" fillId="0" borderId="0" xfId="25863" applyNumberFormat="1" applyFont="1"/>
    <xf numFmtId="43" fontId="51" fillId="0" borderId="0" xfId="25863" applyNumberFormat="1" applyFont="1" applyAlignment="1">
      <alignment wrapText="1"/>
    </xf>
    <xf numFmtId="43" fontId="47" fillId="0" borderId="0" xfId="49695" applyNumberFormat="1" applyFont="1" applyFill="1" applyBorder="1" applyAlignment="1">
      <alignment horizontal="right"/>
    </xf>
    <xf numFmtId="43" fontId="40" fillId="0" borderId="0" xfId="840" applyNumberFormat="1" applyFont="1" applyAlignment="1">
      <alignment horizontal="center"/>
    </xf>
    <xf numFmtId="43" fontId="45" fillId="0" borderId="0" xfId="840" applyNumberFormat="1"/>
    <xf numFmtId="43" fontId="47" fillId="0" borderId="0" xfId="840" quotePrefix="1" applyNumberFormat="1" applyFont="1" applyAlignment="1">
      <alignment horizontal="left"/>
    </xf>
    <xf numFmtId="43" fontId="47" fillId="0" borderId="0" xfId="840" quotePrefix="1" applyNumberFormat="1" applyFont="1" applyAlignment="1">
      <alignment horizontal="center"/>
    </xf>
    <xf numFmtId="43" fontId="47" fillId="0" borderId="0" xfId="840" applyNumberFormat="1" applyFont="1"/>
    <xf numFmtId="43" fontId="47" fillId="0" borderId="0" xfId="840" applyNumberFormat="1" applyFont="1" applyAlignment="1">
      <alignment horizontal="center"/>
    </xf>
    <xf numFmtId="43" fontId="40" fillId="0" borderId="80" xfId="840" applyNumberFormat="1" applyFont="1" applyBorder="1"/>
    <xf numFmtId="43" fontId="40" fillId="0" borderId="0" xfId="840" applyNumberFormat="1" applyFont="1"/>
    <xf numFmtId="43" fontId="40" fillId="0" borderId="80" xfId="11" applyFont="1" applyBorder="1" applyAlignment="1"/>
    <xf numFmtId="43" fontId="40" fillId="0" borderId="0" xfId="11" applyFont="1" applyAlignment="1"/>
    <xf numFmtId="43" fontId="47" fillId="0" borderId="84" xfId="840" applyNumberFormat="1" applyFont="1" applyBorder="1"/>
    <xf numFmtId="43" fontId="40" fillId="0" borderId="0" xfId="840" quotePrefix="1" applyNumberFormat="1" applyFont="1" applyAlignment="1">
      <alignment horizontal="center"/>
    </xf>
    <xf numFmtId="43" fontId="40" fillId="0" borderId="0" xfId="840" quotePrefix="1" applyNumberFormat="1" applyFont="1" applyAlignment="1">
      <alignment horizontal="right"/>
    </xf>
    <xf numFmtId="43" fontId="47" fillId="0" borderId="84" xfId="840" quotePrefix="1" applyNumberFormat="1" applyFont="1" applyBorder="1"/>
    <xf numFmtId="43" fontId="40" fillId="0" borderId="82" xfId="840" quotePrefix="1" applyNumberFormat="1" applyFont="1" applyBorder="1" applyAlignment="1">
      <alignment horizontal="center"/>
    </xf>
    <xf numFmtId="43" fontId="47" fillId="0" borderId="66" xfId="840" applyNumberFormat="1" applyFont="1" applyBorder="1"/>
    <xf numFmtId="190" fontId="40" fillId="0" borderId="0" xfId="840" applyNumberFormat="1" applyFont="1"/>
    <xf numFmtId="190" fontId="47" fillId="0" borderId="0" xfId="840" applyNumberFormat="1" applyFont="1"/>
    <xf numFmtId="190" fontId="47" fillId="0" borderId="84" xfId="840" applyNumberFormat="1" applyFont="1" applyBorder="1"/>
    <xf numFmtId="190" fontId="47" fillId="0" borderId="66" xfId="840" applyNumberFormat="1" applyFont="1" applyBorder="1"/>
    <xf numFmtId="190" fontId="51" fillId="0" borderId="0" xfId="11" applyNumberFormat="1" applyFont="1" applyFill="1" applyAlignment="1"/>
    <xf numFmtId="190" fontId="47" fillId="0" borderId="84" xfId="840" quotePrefix="1" applyNumberFormat="1" applyFont="1" applyBorder="1"/>
    <xf numFmtId="190" fontId="40" fillId="0" borderId="82" xfId="11" applyNumberFormat="1" applyFont="1" applyBorder="1" applyAlignment="1"/>
    <xf numFmtId="43" fontId="47" fillId="0" borderId="105" xfId="1776" applyNumberFormat="1" applyFont="1" applyBorder="1"/>
    <xf numFmtId="43" fontId="40" fillId="0" borderId="0" xfId="1776" applyNumberFormat="1" applyAlignment="1">
      <alignment horizontal="right" vertical="top"/>
    </xf>
    <xf numFmtId="43" fontId="64" fillId="0" borderId="0" xfId="25863" applyNumberFormat="1" applyFont="1"/>
    <xf numFmtId="37" fontId="40" fillId="0" borderId="0" xfId="25872" applyNumberFormat="1" applyFont="1" applyAlignment="1">
      <alignment horizontal="left"/>
    </xf>
    <xf numFmtId="37" fontId="40" fillId="0" borderId="0" xfId="25872" applyNumberFormat="1" applyFont="1"/>
    <xf numFmtId="44" fontId="51" fillId="0" borderId="0" xfId="25872" applyNumberFormat="1" applyFont="1" applyAlignment="1">
      <alignment horizontal="left"/>
    </xf>
    <xf numFmtId="171" fontId="113" fillId="0" borderId="0" xfId="25863" applyNumberFormat="1" applyFont="1" applyAlignment="1">
      <alignment horizontal="left"/>
    </xf>
    <xf numFmtId="44" fontId="40" fillId="0" borderId="0" xfId="0" applyNumberFormat="1" applyFont="1"/>
    <xf numFmtId="43" fontId="167" fillId="0" borderId="0" xfId="25872" applyNumberFormat="1" applyFont="1" applyAlignment="1">
      <alignment horizontal="left"/>
    </xf>
    <xf numFmtId="44" fontId="167" fillId="0" borderId="0" xfId="25872" applyNumberFormat="1" applyFont="1" applyAlignment="1">
      <alignment horizontal="left"/>
    </xf>
    <xf numFmtId="43" fontId="104" fillId="0" borderId="0" xfId="0" applyNumberFormat="1" applyFont="1" applyAlignment="1">
      <alignment vertical="top" wrapText="1"/>
    </xf>
    <xf numFmtId="43" fontId="113" fillId="0" borderId="0" xfId="25863" applyNumberFormat="1" applyFont="1" applyAlignment="1">
      <alignment horizontal="left"/>
    </xf>
    <xf numFmtId="170" fontId="47" fillId="0" borderId="91" xfId="0" applyNumberFormat="1" applyFont="1" applyBorder="1"/>
    <xf numFmtId="170" fontId="47" fillId="0" borderId="80" xfId="0" quotePrefix="1" applyNumberFormat="1" applyFont="1" applyBorder="1" applyAlignment="1">
      <alignment horizontal="center"/>
    </xf>
    <xf numFmtId="42" fontId="51" fillId="0" borderId="0" xfId="840" applyNumberFormat="1" applyFont="1"/>
    <xf numFmtId="42" fontId="150" fillId="0" borderId="0" xfId="840" applyNumberFormat="1" applyFont="1"/>
    <xf numFmtId="42" fontId="150" fillId="0" borderId="79" xfId="840" applyNumberFormat="1" applyFont="1" applyBorder="1"/>
    <xf numFmtId="170" fontId="40" fillId="0" borderId="98" xfId="0" quotePrefix="1" applyNumberFormat="1" applyFont="1" applyBorder="1" applyAlignment="1">
      <alignment horizontal="right"/>
    </xf>
    <xf numFmtId="190" fontId="47" fillId="0" borderId="105" xfId="840" applyNumberFormat="1" applyFont="1" applyBorder="1"/>
    <xf numFmtId="41" fontId="47" fillId="0" borderId="84" xfId="840" applyNumberFormat="1" applyFont="1" applyBorder="1"/>
    <xf numFmtId="0" fontId="222" fillId="0" borderId="0" xfId="25863" applyFont="1" applyAlignment="1">
      <alignment horizontal="left"/>
    </xf>
    <xf numFmtId="166" fontId="52" fillId="0" borderId="0" xfId="8" applyNumberFormat="1" applyFont="1"/>
    <xf numFmtId="174" fontId="42" fillId="0" borderId="0" xfId="0" applyNumberFormat="1" applyFont="1" applyAlignment="1">
      <alignment horizontal="right"/>
    </xf>
    <xf numFmtId="7" fontId="40" fillId="0" borderId="0" xfId="25864" applyNumberFormat="1" applyFont="1" applyBorder="1">
      <alignment horizontal="right"/>
    </xf>
    <xf numFmtId="37" fontId="40" fillId="0" borderId="0" xfId="25864" applyNumberFormat="1" applyFont="1" applyBorder="1">
      <alignment horizontal="right"/>
    </xf>
    <xf numFmtId="44" fontId="40" fillId="0" borderId="0" xfId="49694" applyNumberFormat="1" applyFont="1"/>
    <xf numFmtId="44" fontId="40" fillId="0" borderId="0" xfId="25872" applyNumberFormat="1" applyFont="1"/>
    <xf numFmtId="171" fontId="45" fillId="0" borderId="0" xfId="25863" applyNumberFormat="1" applyFont="1"/>
    <xf numFmtId="43" fontId="167" fillId="0" borderId="0" xfId="25872" applyNumberFormat="1" applyFont="1"/>
    <xf numFmtId="44" fontId="167" fillId="0" borderId="0" xfId="25872" applyNumberFormat="1" applyFont="1"/>
    <xf numFmtId="44" fontId="40" fillId="0" borderId="0" xfId="25863" applyNumberFormat="1" applyFont="1" applyAlignment="1">
      <alignment horizontal="left"/>
    </xf>
    <xf numFmtId="44" fontId="45" fillId="0" borderId="0" xfId="25863" applyNumberFormat="1" applyFont="1"/>
    <xf numFmtId="174" fontId="170" fillId="0" borderId="20" xfId="2" applyNumberFormat="1" applyFont="1" applyBorder="1"/>
    <xf numFmtId="43" fontId="40" fillId="0" borderId="0" xfId="25869" applyFont="1" applyFill="1" applyBorder="1"/>
    <xf numFmtId="43" fontId="47" fillId="0" borderId="0" xfId="25868" applyNumberFormat="1" applyFont="1" applyFill="1" applyBorder="1" applyAlignment="1">
      <alignment horizontal="right"/>
    </xf>
    <xf numFmtId="166" fontId="41" fillId="0" borderId="0" xfId="0" applyNumberFormat="1" applyFont="1" applyAlignment="1">
      <alignment horizontal="left"/>
    </xf>
    <xf numFmtId="164" fontId="42" fillId="0" borderId="0" xfId="0" applyFont="1" applyAlignment="1">
      <alignment horizontal="left"/>
    </xf>
    <xf numFmtId="164" fontId="44" fillId="0" borderId="0" xfId="0" applyFont="1" applyAlignment="1">
      <alignment horizontal="left"/>
    </xf>
    <xf numFmtId="166" fontId="47" fillId="0" borderId="10" xfId="0" applyNumberFormat="1" applyFont="1" applyBorder="1" applyAlignment="1">
      <alignment horizontal="left"/>
    </xf>
    <xf numFmtId="164" fontId="40" fillId="0" borderId="10" xfId="0" applyFont="1" applyBorder="1" applyAlignment="1">
      <alignment horizontal="left"/>
    </xf>
    <xf numFmtId="166" fontId="47" fillId="0" borderId="0" xfId="0" applyNumberFormat="1" applyFont="1" applyAlignment="1">
      <alignment horizontal="center"/>
    </xf>
    <xf numFmtId="164" fontId="42" fillId="0" borderId="0" xfId="0" applyFont="1" applyAlignment="1">
      <alignment horizontal="center"/>
    </xf>
    <xf numFmtId="166" fontId="47" fillId="0" borderId="10" xfId="0" applyNumberFormat="1" applyFont="1" applyBorder="1" applyAlignment="1">
      <alignment horizontal="center"/>
    </xf>
    <xf numFmtId="39" fontId="41" fillId="0" borderId="0" xfId="0" applyNumberFormat="1" applyFont="1" applyAlignment="1">
      <alignment horizontal="left"/>
    </xf>
    <xf numFmtId="0" fontId="47" fillId="0" borderId="0" xfId="2" applyFont="1" applyAlignment="1">
      <alignment horizontal="right"/>
    </xf>
    <xf numFmtId="0" fontId="47" fillId="0" borderId="0" xfId="2" applyFont="1" applyAlignment="1">
      <alignment horizontal="left"/>
    </xf>
    <xf numFmtId="0" fontId="47" fillId="0" borderId="66" xfId="2" applyFont="1" applyBorder="1" applyAlignment="1">
      <alignment horizontal="center"/>
    </xf>
    <xf numFmtId="0" fontId="69" fillId="0" borderId="0" xfId="2" applyFont="1" applyAlignment="1" applyProtection="1">
      <alignment vertical="center"/>
      <protection locked="0"/>
    </xf>
    <xf numFmtId="0" fontId="0" fillId="0" borderId="0" xfId="2" applyFont="1" applyAlignment="1">
      <alignment vertical="center"/>
    </xf>
    <xf numFmtId="0" fontId="47" fillId="33" borderId="66" xfId="2" applyFont="1" applyFill="1" applyBorder="1" applyAlignment="1">
      <alignment horizontal="center"/>
    </xf>
    <xf numFmtId="0" fontId="69" fillId="0" borderId="0" xfId="2" applyFont="1" applyProtection="1">
      <protection locked="0"/>
    </xf>
    <xf numFmtId="0" fontId="0" fillId="0" borderId="0" xfId="2" applyFont="1"/>
    <xf numFmtId="166" fontId="77" fillId="0" borderId="0" xfId="2" applyNumberFormat="1" applyFont="1" applyAlignment="1">
      <alignment horizontal="right"/>
    </xf>
    <xf numFmtId="0" fontId="42" fillId="0" borderId="0" xfId="2" applyFont="1"/>
    <xf numFmtId="0" fontId="47" fillId="0" borderId="10" xfId="2" quotePrefix="1" applyFont="1" applyBorder="1" applyAlignment="1" applyProtection="1">
      <alignment horizontal="center"/>
      <protection locked="0"/>
    </xf>
    <xf numFmtId="0" fontId="47" fillId="0" borderId="10" xfId="2" applyFont="1" applyBorder="1" applyAlignment="1" applyProtection="1">
      <alignment horizontal="center"/>
      <protection locked="0"/>
    </xf>
    <xf numFmtId="0" fontId="40" fillId="0" borderId="0" xfId="2"/>
    <xf numFmtId="166" fontId="47" fillId="0" borderId="66" xfId="2" applyNumberFormat="1" applyFont="1" applyBorder="1" applyAlignment="1">
      <alignment horizontal="center"/>
    </xf>
    <xf numFmtId="0" fontId="47" fillId="0" borderId="10" xfId="2" quotePrefix="1" applyFont="1" applyBorder="1" applyAlignment="1">
      <alignment horizontal="center"/>
    </xf>
    <xf numFmtId="0" fontId="46" fillId="0" borderId="0" xfId="4" quotePrefix="1" applyFont="1" applyAlignment="1">
      <alignment horizontal="right"/>
    </xf>
    <xf numFmtId="0" fontId="88" fillId="0" borderId="0" xfId="4"/>
    <xf numFmtId="0" fontId="47" fillId="0" borderId="10" xfId="4" quotePrefix="1" applyFont="1" applyBorder="1" applyAlignment="1">
      <alignment horizontal="center"/>
    </xf>
    <xf numFmtId="0" fontId="0" fillId="0" borderId="10" xfId="2" applyFont="1" applyBorder="1"/>
    <xf numFmtId="166" fontId="69" fillId="0" borderId="66" xfId="2" quotePrefix="1" applyNumberFormat="1" applyFont="1" applyBorder="1" applyAlignment="1" applyProtection="1">
      <alignment horizontal="center"/>
      <protection locked="0"/>
    </xf>
    <xf numFmtId="166" fontId="69" fillId="0" borderId="66" xfId="2" applyNumberFormat="1" applyFont="1" applyBorder="1" applyAlignment="1" applyProtection="1">
      <alignment horizontal="center"/>
      <protection locked="0"/>
    </xf>
    <xf numFmtId="165" fontId="69" fillId="0" borderId="66" xfId="2" quotePrefix="1" applyNumberFormat="1" applyFont="1" applyBorder="1" applyAlignment="1" applyProtection="1">
      <alignment horizontal="center"/>
      <protection locked="0"/>
    </xf>
    <xf numFmtId="165" fontId="69" fillId="0" borderId="66" xfId="2" applyNumberFormat="1" applyFont="1" applyBorder="1" applyAlignment="1" applyProtection="1">
      <alignment horizontal="center"/>
      <protection locked="0"/>
    </xf>
    <xf numFmtId="0" fontId="69" fillId="0" borderId="0" xfId="2" quotePrefix="1" applyFont="1" applyAlignment="1">
      <alignment horizontal="center"/>
    </xf>
    <xf numFmtId="0" fontId="64" fillId="0" borderId="0" xfId="2" applyFont="1" applyAlignment="1">
      <alignment horizontal="center"/>
    </xf>
    <xf numFmtId="0" fontId="69" fillId="0" borderId="66" xfId="2" quotePrefix="1" applyFont="1" applyBorder="1" applyAlignment="1">
      <alignment horizontal="center"/>
    </xf>
    <xf numFmtId="0" fontId="170" fillId="0" borderId="0" xfId="2" quotePrefix="1" applyFont="1" applyAlignment="1">
      <alignment horizontal="center"/>
    </xf>
    <xf numFmtId="0" fontId="171" fillId="0" borderId="0" xfId="2" applyFont="1" applyAlignment="1">
      <alignment horizontal="center"/>
    </xf>
    <xf numFmtId="0" fontId="170" fillId="0" borderId="66" xfId="2" quotePrefix="1" applyFont="1" applyBorder="1" applyAlignment="1">
      <alignment horizontal="center"/>
    </xf>
    <xf numFmtId="181" fontId="85" fillId="0" borderId="0" xfId="1776" quotePrefix="1" applyNumberFormat="1" applyFont="1" applyAlignment="1">
      <alignment horizontal="justify" vertical="top"/>
    </xf>
    <xf numFmtId="181" fontId="85" fillId="0" borderId="0" xfId="1776" quotePrefix="1" applyNumberFormat="1" applyFont="1" applyAlignment="1">
      <alignment horizontal="justify" vertical="top" wrapText="1"/>
    </xf>
    <xf numFmtId="181" fontId="47" fillId="0" borderId="0" xfId="1776" quotePrefix="1" applyNumberFormat="1" applyFont="1" applyAlignment="1">
      <alignment horizontal="left" vertical="distributed" wrapText="1"/>
    </xf>
    <xf numFmtId="181" fontId="45" fillId="0" borderId="0" xfId="1776" applyNumberFormat="1" applyFont="1" applyAlignment="1">
      <alignment horizontal="left" vertical="top" wrapText="1"/>
    </xf>
    <xf numFmtId="0" fontId="46" fillId="0" borderId="66" xfId="9967" applyFont="1" applyBorder="1" applyAlignment="1">
      <alignment horizontal="center"/>
    </xf>
    <xf numFmtId="0" fontId="40" fillId="0" borderId="0" xfId="17" applyNumberFormat="1" applyAlignment="1">
      <alignment horizontal="left" wrapText="1"/>
    </xf>
    <xf numFmtId="0" fontId="44" fillId="0" borderId="51" xfId="739" applyFont="1" applyBorder="1" applyAlignment="1">
      <alignment horizontal="justify" wrapText="1"/>
    </xf>
    <xf numFmtId="0" fontId="44" fillId="0" borderId="52" xfId="739" applyFont="1" applyBorder="1" applyAlignment="1">
      <alignment horizontal="justify" wrapText="1"/>
    </xf>
    <xf numFmtId="0" fontId="44" fillId="0" borderId="53" xfId="739" applyFont="1" applyBorder="1" applyAlignment="1">
      <alignment horizontal="justify" wrapText="1"/>
    </xf>
    <xf numFmtId="0" fontId="44" fillId="0" borderId="54" xfId="739" applyFont="1" applyBorder="1" applyAlignment="1">
      <alignment horizontal="justify" wrapText="1"/>
    </xf>
    <xf numFmtId="0" fontId="44" fillId="0" borderId="0" xfId="739" applyFont="1" applyAlignment="1">
      <alignment horizontal="justify" wrapText="1"/>
    </xf>
    <xf numFmtId="0" fontId="44" fillId="0" borderId="44" xfId="739" applyFont="1" applyBorder="1" applyAlignment="1">
      <alignment horizontal="justify" wrapText="1"/>
    </xf>
    <xf numFmtId="0" fontId="44" fillId="0" borderId="55" xfId="739" applyFont="1" applyBorder="1" applyAlignment="1">
      <alignment horizontal="justify" wrapText="1"/>
    </xf>
    <xf numFmtId="0" fontId="44" fillId="0" borderId="50" xfId="739" applyFont="1" applyBorder="1" applyAlignment="1">
      <alignment horizontal="justify" wrapText="1"/>
    </xf>
    <xf numFmtId="0" fontId="44" fillId="0" borderId="56" xfId="739" applyFont="1" applyBorder="1" applyAlignment="1">
      <alignment horizontal="justify" wrapText="1"/>
    </xf>
    <xf numFmtId="17" fontId="47" fillId="0" borderId="10" xfId="25863" quotePrefix="1" applyNumberFormat="1" applyFont="1" applyBorder="1" applyAlignment="1">
      <alignment horizontal="center"/>
    </xf>
    <xf numFmtId="7" fontId="47" fillId="0" borderId="10" xfId="25863" applyNumberFormat="1" applyFont="1" applyBorder="1" applyAlignment="1">
      <alignment horizontal="center"/>
    </xf>
  </cellXfs>
  <cellStyles count="49833">
    <cellStyle name="20% - Accent1" xfId="49697" builtinId="30" customBuiltin="1"/>
    <cellStyle name="20% - Accent1 10" xfId="25" xr:uid="{00000000-0005-0000-0000-000000000000}"/>
    <cellStyle name="20% - Accent1 10 10" xfId="17928" xr:uid="{00000000-0005-0000-0000-000001000000}"/>
    <cellStyle name="20% - Accent1 10 10 2" xfId="41761" xr:uid="{D54AD429-DF24-4D06-A487-245C7A4D476F}"/>
    <cellStyle name="20% - Accent1 10 11" xfId="25881" xr:uid="{B5BD093D-2241-4BFC-809C-B952D4D79907}"/>
    <cellStyle name="20% - Accent1 10 2" xfId="26" xr:uid="{00000000-0005-0000-0000-000002000000}"/>
    <cellStyle name="20% - Accent1 10 2 2" xfId="27" xr:uid="{00000000-0005-0000-0000-000003000000}"/>
    <cellStyle name="20% - Accent1 10 2 2 2" xfId="1055" xr:uid="{00000000-0005-0000-0000-000004000000}"/>
    <cellStyle name="20% - Accent1 10 2 2 2 2" xfId="4585" xr:uid="{00000000-0005-0000-0000-000005000000}"/>
    <cellStyle name="20% - Accent1 10 2 2 2 2 2" xfId="8176" xr:uid="{00000000-0005-0000-0000-000006000000}"/>
    <cellStyle name="20% - Accent1 10 2 2 2 2 2 2" xfId="16147" xr:uid="{00000000-0005-0000-0000-000007000000}"/>
    <cellStyle name="20% - Accent1 10 2 2 2 2 2 2 2" xfId="39990" xr:uid="{3B40D96F-92AA-4A4C-A528-48CD10E2B5CE}"/>
    <cellStyle name="20% - Accent1 10 2 2 2 2 2 3" xfId="24093" xr:uid="{00000000-0005-0000-0000-000008000000}"/>
    <cellStyle name="20% - Accent1 10 2 2 2 2 2 3 2" xfId="47926" xr:uid="{7CEB6BE4-6805-47F9-AD0F-B51186C3951A}"/>
    <cellStyle name="20% - Accent1 10 2 2 2 2 2 4" xfId="32049" xr:uid="{22535533-ED80-473A-A630-BAF68FC28F89}"/>
    <cellStyle name="20% - Accent1 10 2 2 2 2 3" xfId="12609" xr:uid="{00000000-0005-0000-0000-000009000000}"/>
    <cellStyle name="20% - Accent1 10 2 2 2 2 3 2" xfId="36459" xr:uid="{0AC6E630-351F-4D31-9CCA-C3D899124F05}"/>
    <cellStyle name="20% - Accent1 10 2 2 2 2 4" xfId="20564" xr:uid="{00000000-0005-0000-0000-00000A000000}"/>
    <cellStyle name="20% - Accent1 10 2 2 2 2 4 2" xfId="44397" xr:uid="{93072CEE-D451-4091-AEBA-3AB8CFFB8376}"/>
    <cellStyle name="20% - Accent1 10 2 2 2 2 5" xfId="28518" xr:uid="{53000ADD-C283-4963-940A-EEE73EA5A7D5}"/>
    <cellStyle name="20% - Accent1 10 2 2 2 3" xfId="6417" xr:uid="{00000000-0005-0000-0000-00000B000000}"/>
    <cellStyle name="20% - Accent1 10 2 2 2 3 2" xfId="14389" xr:uid="{00000000-0005-0000-0000-00000C000000}"/>
    <cellStyle name="20% - Accent1 10 2 2 2 3 2 2" xfId="38232" xr:uid="{A957E603-81C3-4664-8EA4-5C21060456EF}"/>
    <cellStyle name="20% - Accent1 10 2 2 2 3 3" xfId="22336" xr:uid="{00000000-0005-0000-0000-00000D000000}"/>
    <cellStyle name="20% - Accent1 10 2 2 2 3 3 2" xfId="46169" xr:uid="{6428B369-D4CD-4E9F-91D4-BA6BAFA9BE3F}"/>
    <cellStyle name="20% - Accent1 10 2 2 2 3 4" xfId="30291" xr:uid="{757E17B2-4F2C-4BEA-8068-DC6794200163}"/>
    <cellStyle name="20% - Accent1 10 2 2 2 4" xfId="10853" xr:uid="{00000000-0005-0000-0000-00000E000000}"/>
    <cellStyle name="20% - Accent1 10 2 2 2 4 2" xfId="34703" xr:uid="{DDD12B88-54F7-4FD1-B629-26A2859320B8}"/>
    <cellStyle name="20% - Accent1 10 2 2 2 5" xfId="18808" xr:uid="{00000000-0005-0000-0000-00000F000000}"/>
    <cellStyle name="20% - Accent1 10 2 2 2 5 2" xfId="42641" xr:uid="{ADA83C4F-4476-4E17-B2DE-60BC797F8EA6}"/>
    <cellStyle name="20% - Accent1 10 2 2 2 6" xfId="26761" xr:uid="{BBA91749-A146-478C-9D0F-D12C712EE809}"/>
    <cellStyle name="20% - Accent1 10 2 2 2_Exh G" xfId="1944" xr:uid="{00000000-0005-0000-0000-000010000000}"/>
    <cellStyle name="20% - Accent1 10 2 2 3" xfId="3706" xr:uid="{00000000-0005-0000-0000-000011000000}"/>
    <cellStyle name="20% - Accent1 10 2 2 3 2" xfId="7298" xr:uid="{00000000-0005-0000-0000-000012000000}"/>
    <cellStyle name="20% - Accent1 10 2 2 3 2 2" xfId="15269" xr:uid="{00000000-0005-0000-0000-000013000000}"/>
    <cellStyle name="20% - Accent1 10 2 2 3 2 2 2" xfId="39112" xr:uid="{50EDE723-5D51-4DC9-B42F-C2C6FDC9DE54}"/>
    <cellStyle name="20% - Accent1 10 2 2 3 2 3" xfId="23215" xr:uid="{00000000-0005-0000-0000-000014000000}"/>
    <cellStyle name="20% - Accent1 10 2 2 3 2 3 2" xfId="47048" xr:uid="{A88D0D10-B92C-4F16-9FD1-7B77DA0DDFF2}"/>
    <cellStyle name="20% - Accent1 10 2 2 3 2 4" xfId="31171" xr:uid="{BC22CC1F-CB8C-4355-8F3E-051C63E30232}"/>
    <cellStyle name="20% - Accent1 10 2 2 3 3" xfId="11731" xr:uid="{00000000-0005-0000-0000-000015000000}"/>
    <cellStyle name="20% - Accent1 10 2 2 3 3 2" xfId="35581" xr:uid="{1CFF968D-4AF4-4CCD-8628-E7E9C7CD7EEB}"/>
    <cellStyle name="20% - Accent1 10 2 2 3 4" xfId="19686" xr:uid="{00000000-0005-0000-0000-000016000000}"/>
    <cellStyle name="20% - Accent1 10 2 2 3 4 2" xfId="43519" xr:uid="{32C941E4-0333-457F-871B-D7CF5C8D14B1}"/>
    <cellStyle name="20% - Accent1 10 2 2 3 5" xfId="27640" xr:uid="{1C5ED38D-D56A-4018-98EE-FD965DD90612}"/>
    <cellStyle name="20% - Accent1 10 2 2 4" xfId="5526" xr:uid="{00000000-0005-0000-0000-000017000000}"/>
    <cellStyle name="20% - Accent1 10 2 2 4 2" xfId="13510" xr:uid="{00000000-0005-0000-0000-000018000000}"/>
    <cellStyle name="20% - Accent1 10 2 2 4 2 2" xfId="37354" xr:uid="{91284129-5D02-4B07-8D93-2109066E635C}"/>
    <cellStyle name="20% - Accent1 10 2 2 4 3" xfId="21458" xr:uid="{00000000-0005-0000-0000-000019000000}"/>
    <cellStyle name="20% - Accent1 10 2 2 4 3 2" xfId="45291" xr:uid="{7C5CD11D-A327-484E-86D9-B38C9B510E59}"/>
    <cellStyle name="20% - Accent1 10 2 2 4 4" xfId="29413" xr:uid="{CD1DE642-F2EA-4AA0-B0E4-1B41D860A1BB}"/>
    <cellStyle name="20% - Accent1 10 2 2 5" xfId="9079" xr:uid="{00000000-0005-0000-0000-00001A000000}"/>
    <cellStyle name="20% - Accent1 10 2 2 5 2" xfId="17037" xr:uid="{00000000-0005-0000-0000-00001B000000}"/>
    <cellStyle name="20% - Accent1 10 2 2 5 2 2" xfId="40878" xr:uid="{41AF5449-CF7A-4F03-8043-8C6E890167E0}"/>
    <cellStyle name="20% - Accent1 10 2 2 5 3" xfId="24981" xr:uid="{00000000-0005-0000-0000-00001C000000}"/>
    <cellStyle name="20% - Accent1 10 2 2 5 3 2" xfId="48814" xr:uid="{E4CA491E-0674-4C47-A4F0-399941A0ACD6}"/>
    <cellStyle name="20% - Accent1 10 2 2 5 4" xfId="32937" xr:uid="{297085F4-6AE4-4D11-A335-76517CFB6282}"/>
    <cellStyle name="20% - Accent1 10 2 2 6" xfId="9975" xr:uid="{00000000-0005-0000-0000-00001D000000}"/>
    <cellStyle name="20% - Accent1 10 2 2 6 2" xfId="33825" xr:uid="{3BE356BE-1E12-4E81-906E-77D4D94A6041}"/>
    <cellStyle name="20% - Accent1 10 2 2 7" xfId="17930" xr:uid="{00000000-0005-0000-0000-00001E000000}"/>
    <cellStyle name="20% - Accent1 10 2 2 7 2" xfId="41763" xr:uid="{188EBB27-5B11-4E49-9C78-CB06A81A02A4}"/>
    <cellStyle name="20% - Accent1 10 2 2 8" xfId="25883" xr:uid="{AC6FE465-004E-48CD-AC72-02C478475425}"/>
    <cellStyle name="20% - Accent1 10 2 2_Exh G" xfId="1943" xr:uid="{00000000-0005-0000-0000-00001F000000}"/>
    <cellStyle name="20% - Accent1 10 2 3" xfId="1054" xr:uid="{00000000-0005-0000-0000-000020000000}"/>
    <cellStyle name="20% - Accent1 10 2 3 2" xfId="4584" xr:uid="{00000000-0005-0000-0000-000021000000}"/>
    <cellStyle name="20% - Accent1 10 2 3 2 2" xfId="8175" xr:uid="{00000000-0005-0000-0000-000022000000}"/>
    <cellStyle name="20% - Accent1 10 2 3 2 2 2" xfId="16146" xr:uid="{00000000-0005-0000-0000-000023000000}"/>
    <cellStyle name="20% - Accent1 10 2 3 2 2 2 2" xfId="39989" xr:uid="{E98D46D6-B81B-4F38-91F2-51929E25C46F}"/>
    <cellStyle name="20% - Accent1 10 2 3 2 2 3" xfId="24092" xr:uid="{00000000-0005-0000-0000-000024000000}"/>
    <cellStyle name="20% - Accent1 10 2 3 2 2 3 2" xfId="47925" xr:uid="{D02C99D6-7A77-4581-8C6C-D3EE3177A586}"/>
    <cellStyle name="20% - Accent1 10 2 3 2 2 4" xfId="32048" xr:uid="{80E264E7-5596-4EE8-AEF0-79240CC04E42}"/>
    <cellStyle name="20% - Accent1 10 2 3 2 3" xfId="12608" xr:uid="{00000000-0005-0000-0000-000025000000}"/>
    <cellStyle name="20% - Accent1 10 2 3 2 3 2" xfId="36458" xr:uid="{0B9FC142-B46E-4493-856F-907B07C459C0}"/>
    <cellStyle name="20% - Accent1 10 2 3 2 4" xfId="20563" xr:uid="{00000000-0005-0000-0000-000026000000}"/>
    <cellStyle name="20% - Accent1 10 2 3 2 4 2" xfId="44396" xr:uid="{34F90425-8481-4D5B-A6C6-D3A7E5B39FAE}"/>
    <cellStyle name="20% - Accent1 10 2 3 2 5" xfId="28517" xr:uid="{2EB436C3-C39D-40F7-A3BF-A582CE001CC7}"/>
    <cellStyle name="20% - Accent1 10 2 3 3" xfId="6416" xr:uid="{00000000-0005-0000-0000-000027000000}"/>
    <cellStyle name="20% - Accent1 10 2 3 3 2" xfId="14388" xr:uid="{00000000-0005-0000-0000-000028000000}"/>
    <cellStyle name="20% - Accent1 10 2 3 3 2 2" xfId="38231" xr:uid="{933788A2-587E-458A-97C7-7976A71E555F}"/>
    <cellStyle name="20% - Accent1 10 2 3 3 3" xfId="22335" xr:uid="{00000000-0005-0000-0000-000029000000}"/>
    <cellStyle name="20% - Accent1 10 2 3 3 3 2" xfId="46168" xr:uid="{63C2CAF7-5131-4D3A-8C09-F5C4B7DB27B6}"/>
    <cellStyle name="20% - Accent1 10 2 3 3 4" xfId="30290" xr:uid="{87DB6417-73CE-4573-8A00-1074279BC534}"/>
    <cellStyle name="20% - Accent1 10 2 3 4" xfId="10852" xr:uid="{00000000-0005-0000-0000-00002A000000}"/>
    <cellStyle name="20% - Accent1 10 2 3 4 2" xfId="34702" xr:uid="{C1AE6BBB-87B0-48AF-8BC3-12CB2A91E988}"/>
    <cellStyle name="20% - Accent1 10 2 3 5" xfId="18807" xr:uid="{00000000-0005-0000-0000-00002B000000}"/>
    <cellStyle name="20% - Accent1 10 2 3 5 2" xfId="42640" xr:uid="{1F902941-D8C9-4C1B-9301-BB17F95ACCEE}"/>
    <cellStyle name="20% - Accent1 10 2 3 6" xfId="26760" xr:uid="{73011931-A146-434D-95C5-E9965CBF2D45}"/>
    <cellStyle name="20% - Accent1 10 2 3_Exh G" xfId="1945" xr:uid="{00000000-0005-0000-0000-00002C000000}"/>
    <cellStyle name="20% - Accent1 10 2 4" xfId="3705" xr:uid="{00000000-0005-0000-0000-00002D000000}"/>
    <cellStyle name="20% - Accent1 10 2 4 2" xfId="7297" xr:uid="{00000000-0005-0000-0000-00002E000000}"/>
    <cellStyle name="20% - Accent1 10 2 4 2 2" xfId="15268" xr:uid="{00000000-0005-0000-0000-00002F000000}"/>
    <cellStyle name="20% - Accent1 10 2 4 2 2 2" xfId="39111" xr:uid="{19551634-F9CF-4470-A8EB-7A0DF9AB0A35}"/>
    <cellStyle name="20% - Accent1 10 2 4 2 3" xfId="23214" xr:uid="{00000000-0005-0000-0000-000030000000}"/>
    <cellStyle name="20% - Accent1 10 2 4 2 3 2" xfId="47047" xr:uid="{AC4174CE-53DE-477F-87E8-D5D9295874A1}"/>
    <cellStyle name="20% - Accent1 10 2 4 2 4" xfId="31170" xr:uid="{9E4E3200-F64A-428F-8026-C15774117FE6}"/>
    <cellStyle name="20% - Accent1 10 2 4 3" xfId="11730" xr:uid="{00000000-0005-0000-0000-000031000000}"/>
    <cellStyle name="20% - Accent1 10 2 4 3 2" xfId="35580" xr:uid="{D586C06A-90A5-4CF3-892A-5A3481E46FE6}"/>
    <cellStyle name="20% - Accent1 10 2 4 4" xfId="19685" xr:uid="{00000000-0005-0000-0000-000032000000}"/>
    <cellStyle name="20% - Accent1 10 2 4 4 2" xfId="43518" xr:uid="{5ADABEC2-A0D5-424F-8D3F-E807BD3B52D7}"/>
    <cellStyle name="20% - Accent1 10 2 4 5" xfId="27639" xr:uid="{EEE8D0DF-71BB-42A8-9FD4-015A57239FCE}"/>
    <cellStyle name="20% - Accent1 10 2 5" xfId="5525" xr:uid="{00000000-0005-0000-0000-000033000000}"/>
    <cellStyle name="20% - Accent1 10 2 5 2" xfId="13509" xr:uid="{00000000-0005-0000-0000-000034000000}"/>
    <cellStyle name="20% - Accent1 10 2 5 2 2" xfId="37353" xr:uid="{47B69594-AA43-413E-8195-AD95DC129744}"/>
    <cellStyle name="20% - Accent1 10 2 5 3" xfId="21457" xr:uid="{00000000-0005-0000-0000-000035000000}"/>
    <cellStyle name="20% - Accent1 10 2 5 3 2" xfId="45290" xr:uid="{96CC88C9-5D5B-494E-8587-A571036F4221}"/>
    <cellStyle name="20% - Accent1 10 2 5 4" xfId="29412" xr:uid="{151CABA6-CF3B-49B1-88CE-E275A785EC88}"/>
    <cellStyle name="20% - Accent1 10 2 6" xfId="9078" xr:uid="{00000000-0005-0000-0000-000036000000}"/>
    <cellStyle name="20% - Accent1 10 2 6 2" xfId="17036" xr:uid="{00000000-0005-0000-0000-000037000000}"/>
    <cellStyle name="20% - Accent1 10 2 6 2 2" xfId="40877" xr:uid="{23E2CF90-3E26-4363-8AB8-F626CF916648}"/>
    <cellStyle name="20% - Accent1 10 2 6 3" xfId="24980" xr:uid="{00000000-0005-0000-0000-000038000000}"/>
    <cellStyle name="20% - Accent1 10 2 6 3 2" xfId="48813" xr:uid="{A1C76EC4-1815-45D9-84F3-6ED115D87AD3}"/>
    <cellStyle name="20% - Accent1 10 2 6 4" xfId="32936" xr:uid="{54FFD23E-708F-44B2-90FE-BFF9B301D02D}"/>
    <cellStyle name="20% - Accent1 10 2 7" xfId="9974" xr:uid="{00000000-0005-0000-0000-000039000000}"/>
    <cellStyle name="20% - Accent1 10 2 7 2" xfId="33824" xr:uid="{1CB24C0B-34F2-43BD-A349-DEA314D19A0A}"/>
    <cellStyle name="20% - Accent1 10 2 8" xfId="17929" xr:uid="{00000000-0005-0000-0000-00003A000000}"/>
    <cellStyle name="20% - Accent1 10 2 8 2" xfId="41762" xr:uid="{4580FA3E-32D5-4C7E-AE29-D0044B3E9E37}"/>
    <cellStyle name="20% - Accent1 10 2 9" xfId="25882" xr:uid="{A1A94017-4D7A-413B-8E45-2AA965855EC8}"/>
    <cellStyle name="20% - Accent1 10 2_Exh G" xfId="1942" xr:uid="{00000000-0005-0000-0000-00003B000000}"/>
    <cellStyle name="20% - Accent1 10 3" xfId="28" xr:uid="{00000000-0005-0000-0000-00003C000000}"/>
    <cellStyle name="20% - Accent1 10 3 2" xfId="1056" xr:uid="{00000000-0005-0000-0000-00003D000000}"/>
    <cellStyle name="20% - Accent1 10 3 2 2" xfId="4586" xr:uid="{00000000-0005-0000-0000-00003E000000}"/>
    <cellStyle name="20% - Accent1 10 3 2 2 2" xfId="8177" xr:uid="{00000000-0005-0000-0000-00003F000000}"/>
    <cellStyle name="20% - Accent1 10 3 2 2 2 2" xfId="16148" xr:uid="{00000000-0005-0000-0000-000040000000}"/>
    <cellStyle name="20% - Accent1 10 3 2 2 2 2 2" xfId="39991" xr:uid="{92467DB1-9756-4C44-ADEC-E59C5E3F9F21}"/>
    <cellStyle name="20% - Accent1 10 3 2 2 2 3" xfId="24094" xr:uid="{00000000-0005-0000-0000-000041000000}"/>
    <cellStyle name="20% - Accent1 10 3 2 2 2 3 2" xfId="47927" xr:uid="{200FC925-5749-47D8-B858-B6F7538187F6}"/>
    <cellStyle name="20% - Accent1 10 3 2 2 2 4" xfId="32050" xr:uid="{904DAC14-A69B-4C81-94CA-AF50F8895895}"/>
    <cellStyle name="20% - Accent1 10 3 2 2 3" xfId="12610" xr:uid="{00000000-0005-0000-0000-000042000000}"/>
    <cellStyle name="20% - Accent1 10 3 2 2 3 2" xfId="36460" xr:uid="{F7C61370-615F-4D74-9A2A-8F8561A02FAF}"/>
    <cellStyle name="20% - Accent1 10 3 2 2 4" xfId="20565" xr:uid="{00000000-0005-0000-0000-000043000000}"/>
    <cellStyle name="20% - Accent1 10 3 2 2 4 2" xfId="44398" xr:uid="{B5783020-A021-40A7-81BA-7E7AA9288DF6}"/>
    <cellStyle name="20% - Accent1 10 3 2 2 5" xfId="28519" xr:uid="{82EF0E60-43FD-468F-BDE4-3056375C7D63}"/>
    <cellStyle name="20% - Accent1 10 3 2 3" xfId="6418" xr:uid="{00000000-0005-0000-0000-000044000000}"/>
    <cellStyle name="20% - Accent1 10 3 2 3 2" xfId="14390" xr:uid="{00000000-0005-0000-0000-000045000000}"/>
    <cellStyle name="20% - Accent1 10 3 2 3 2 2" xfId="38233" xr:uid="{1E87A4A6-BCC5-476C-81C0-B9E1E5BB0CB7}"/>
    <cellStyle name="20% - Accent1 10 3 2 3 3" xfId="22337" xr:uid="{00000000-0005-0000-0000-000046000000}"/>
    <cellStyle name="20% - Accent1 10 3 2 3 3 2" xfId="46170" xr:uid="{3973CC81-76FF-4FF4-A2A9-BEDC96CBAEDE}"/>
    <cellStyle name="20% - Accent1 10 3 2 3 4" xfId="30292" xr:uid="{57FB4785-F932-4FFF-BE89-A4F291D13BEC}"/>
    <cellStyle name="20% - Accent1 10 3 2 4" xfId="10854" xr:uid="{00000000-0005-0000-0000-000047000000}"/>
    <cellStyle name="20% - Accent1 10 3 2 4 2" xfId="34704" xr:uid="{6647EDF7-2C15-45B2-B98B-3889C96959AE}"/>
    <cellStyle name="20% - Accent1 10 3 2 5" xfId="18809" xr:uid="{00000000-0005-0000-0000-000048000000}"/>
    <cellStyle name="20% - Accent1 10 3 2 5 2" xfId="42642" xr:uid="{BFE87766-51B7-4C5A-90E1-A6A0732E2F70}"/>
    <cellStyle name="20% - Accent1 10 3 2 6" xfId="26762" xr:uid="{834EA2EA-10E8-411B-9640-7630901F05E0}"/>
    <cellStyle name="20% - Accent1 10 3 2_Exh G" xfId="1947" xr:uid="{00000000-0005-0000-0000-000049000000}"/>
    <cellStyle name="20% - Accent1 10 3 3" xfId="3707" xr:uid="{00000000-0005-0000-0000-00004A000000}"/>
    <cellStyle name="20% - Accent1 10 3 3 2" xfId="7299" xr:uid="{00000000-0005-0000-0000-00004B000000}"/>
    <cellStyle name="20% - Accent1 10 3 3 2 2" xfId="15270" xr:uid="{00000000-0005-0000-0000-00004C000000}"/>
    <cellStyle name="20% - Accent1 10 3 3 2 2 2" xfId="39113" xr:uid="{429B466A-7E67-4705-957E-5677B53290B0}"/>
    <cellStyle name="20% - Accent1 10 3 3 2 3" xfId="23216" xr:uid="{00000000-0005-0000-0000-00004D000000}"/>
    <cellStyle name="20% - Accent1 10 3 3 2 3 2" xfId="47049" xr:uid="{55B41D9F-4892-4994-A4E3-A24D8F3609B0}"/>
    <cellStyle name="20% - Accent1 10 3 3 2 4" xfId="31172" xr:uid="{F25E22E5-AD62-40D8-A3D9-9D103C99EC74}"/>
    <cellStyle name="20% - Accent1 10 3 3 3" xfId="11732" xr:uid="{00000000-0005-0000-0000-00004E000000}"/>
    <cellStyle name="20% - Accent1 10 3 3 3 2" xfId="35582" xr:uid="{D00778BD-799A-4E2B-A1F7-34562B0832D7}"/>
    <cellStyle name="20% - Accent1 10 3 3 4" xfId="19687" xr:uid="{00000000-0005-0000-0000-00004F000000}"/>
    <cellStyle name="20% - Accent1 10 3 3 4 2" xfId="43520" xr:uid="{B30527F2-5841-4F93-BFAB-A716F8CDADB9}"/>
    <cellStyle name="20% - Accent1 10 3 3 5" xfId="27641" xr:uid="{27E38583-DFD0-4D9A-B16F-038531A94A76}"/>
    <cellStyle name="20% - Accent1 10 3 4" xfId="5527" xr:uid="{00000000-0005-0000-0000-000050000000}"/>
    <cellStyle name="20% - Accent1 10 3 4 2" xfId="13511" xr:uid="{00000000-0005-0000-0000-000051000000}"/>
    <cellStyle name="20% - Accent1 10 3 4 2 2" xfId="37355" xr:uid="{5D0E5100-730B-4B88-BE4B-48C4C3291FDE}"/>
    <cellStyle name="20% - Accent1 10 3 4 3" xfId="21459" xr:uid="{00000000-0005-0000-0000-000052000000}"/>
    <cellStyle name="20% - Accent1 10 3 4 3 2" xfId="45292" xr:uid="{B5B362B1-3FF3-49AB-A22D-BA2E80399FDF}"/>
    <cellStyle name="20% - Accent1 10 3 4 4" xfId="29414" xr:uid="{C7BF6480-2FA2-469C-8991-EA94BF71DC82}"/>
    <cellStyle name="20% - Accent1 10 3 5" xfId="9080" xr:uid="{00000000-0005-0000-0000-000053000000}"/>
    <cellStyle name="20% - Accent1 10 3 5 2" xfId="17038" xr:uid="{00000000-0005-0000-0000-000054000000}"/>
    <cellStyle name="20% - Accent1 10 3 5 2 2" xfId="40879" xr:uid="{634083AE-E26E-42E5-850A-C7470663C561}"/>
    <cellStyle name="20% - Accent1 10 3 5 3" xfId="24982" xr:uid="{00000000-0005-0000-0000-000055000000}"/>
    <cellStyle name="20% - Accent1 10 3 5 3 2" xfId="48815" xr:uid="{A81009B6-940B-4DE2-8ABF-9A51A40D1DD0}"/>
    <cellStyle name="20% - Accent1 10 3 5 4" xfId="32938" xr:uid="{180564AC-D675-42D1-8277-587B97A689B3}"/>
    <cellStyle name="20% - Accent1 10 3 6" xfId="9976" xr:uid="{00000000-0005-0000-0000-000056000000}"/>
    <cellStyle name="20% - Accent1 10 3 6 2" xfId="33826" xr:uid="{929EE666-6048-4C87-BE61-8EBFFA54D55D}"/>
    <cellStyle name="20% - Accent1 10 3 7" xfId="17931" xr:uid="{00000000-0005-0000-0000-000057000000}"/>
    <cellStyle name="20% - Accent1 10 3 7 2" xfId="41764" xr:uid="{72A0551D-CFBD-4FF1-A3CF-EB71984227AB}"/>
    <cellStyle name="20% - Accent1 10 3 8" xfId="25884" xr:uid="{7A5BBFD1-5CD2-4816-9809-A1BBA9BF7682}"/>
    <cellStyle name="20% - Accent1 10 3_Exh G" xfId="1946" xr:uid="{00000000-0005-0000-0000-000058000000}"/>
    <cellStyle name="20% - Accent1 10 4" xfId="862" xr:uid="{00000000-0005-0000-0000-000059000000}"/>
    <cellStyle name="20% - Accent1 10 5" xfId="1053" xr:uid="{00000000-0005-0000-0000-00005A000000}"/>
    <cellStyle name="20% - Accent1 10 5 2" xfId="4583" xr:uid="{00000000-0005-0000-0000-00005B000000}"/>
    <cellStyle name="20% - Accent1 10 5 2 2" xfId="8174" xr:uid="{00000000-0005-0000-0000-00005C000000}"/>
    <cellStyle name="20% - Accent1 10 5 2 2 2" xfId="16145" xr:uid="{00000000-0005-0000-0000-00005D000000}"/>
    <cellStyle name="20% - Accent1 10 5 2 2 2 2" xfId="39988" xr:uid="{15A046AD-1820-45E3-9719-FD550E46A474}"/>
    <cellStyle name="20% - Accent1 10 5 2 2 3" xfId="24091" xr:uid="{00000000-0005-0000-0000-00005E000000}"/>
    <cellStyle name="20% - Accent1 10 5 2 2 3 2" xfId="47924" xr:uid="{577F970C-E84F-4573-AFC7-90EFC3CD720E}"/>
    <cellStyle name="20% - Accent1 10 5 2 2 4" xfId="32047" xr:uid="{58ADC68D-96A3-4B9D-9BC1-70210808AE5B}"/>
    <cellStyle name="20% - Accent1 10 5 2 3" xfId="12607" xr:uid="{00000000-0005-0000-0000-00005F000000}"/>
    <cellStyle name="20% - Accent1 10 5 2 3 2" xfId="36457" xr:uid="{4FC65317-95F2-4D3E-BCC6-CF330BD57FFF}"/>
    <cellStyle name="20% - Accent1 10 5 2 4" xfId="20562" xr:uid="{00000000-0005-0000-0000-000060000000}"/>
    <cellStyle name="20% - Accent1 10 5 2 4 2" xfId="44395" xr:uid="{CFC7C107-8F80-4B37-ADF8-1AE2497611D6}"/>
    <cellStyle name="20% - Accent1 10 5 2 5" xfId="28516" xr:uid="{E9402D05-675A-466B-A6D0-95FB2FD6DD54}"/>
    <cellStyle name="20% - Accent1 10 5 3" xfId="6415" xr:uid="{00000000-0005-0000-0000-000061000000}"/>
    <cellStyle name="20% - Accent1 10 5 3 2" xfId="14387" xr:uid="{00000000-0005-0000-0000-000062000000}"/>
    <cellStyle name="20% - Accent1 10 5 3 2 2" xfId="38230" xr:uid="{57FC7362-2CB2-40EA-9A65-DFA8347F44DB}"/>
    <cellStyle name="20% - Accent1 10 5 3 3" xfId="22334" xr:uid="{00000000-0005-0000-0000-000063000000}"/>
    <cellStyle name="20% - Accent1 10 5 3 3 2" xfId="46167" xr:uid="{6ED6C06A-927E-4D74-B53B-9898BDA71C41}"/>
    <cellStyle name="20% - Accent1 10 5 3 4" xfId="30289" xr:uid="{6029595D-00D4-4615-A57D-0DE0A0E6F260}"/>
    <cellStyle name="20% - Accent1 10 5 4" xfId="10851" xr:uid="{00000000-0005-0000-0000-000064000000}"/>
    <cellStyle name="20% - Accent1 10 5 4 2" xfId="34701" xr:uid="{5E1A0A02-D725-40A6-894E-6C9969F5639F}"/>
    <cellStyle name="20% - Accent1 10 5 5" xfId="18806" xr:uid="{00000000-0005-0000-0000-000065000000}"/>
    <cellStyle name="20% - Accent1 10 5 5 2" xfId="42639" xr:uid="{6C9B17F8-D3F5-4F10-9DF5-B80DF397FF59}"/>
    <cellStyle name="20% - Accent1 10 5 6" xfId="26759" xr:uid="{BA8A1039-2EB1-4C29-91BA-2D7205E7BC8A}"/>
    <cellStyle name="20% - Accent1 10 5_Exh G" xfId="1948" xr:uid="{00000000-0005-0000-0000-000066000000}"/>
    <cellStyle name="20% - Accent1 10 6" xfId="3704" xr:uid="{00000000-0005-0000-0000-000067000000}"/>
    <cellStyle name="20% - Accent1 10 6 2" xfId="7296" xr:uid="{00000000-0005-0000-0000-000068000000}"/>
    <cellStyle name="20% - Accent1 10 6 2 2" xfId="15267" xr:uid="{00000000-0005-0000-0000-000069000000}"/>
    <cellStyle name="20% - Accent1 10 6 2 2 2" xfId="39110" xr:uid="{3E8C4DF4-4277-4830-A78E-B665B40B7936}"/>
    <cellStyle name="20% - Accent1 10 6 2 3" xfId="23213" xr:uid="{00000000-0005-0000-0000-00006A000000}"/>
    <cellStyle name="20% - Accent1 10 6 2 3 2" xfId="47046" xr:uid="{F1E78C19-4C23-4C86-AFCA-A8E2C69BE2B6}"/>
    <cellStyle name="20% - Accent1 10 6 2 4" xfId="31169" xr:uid="{AA6BB194-D26D-44CC-AF5D-DF0D983AF546}"/>
    <cellStyle name="20% - Accent1 10 6 3" xfId="11729" xr:uid="{00000000-0005-0000-0000-00006B000000}"/>
    <cellStyle name="20% - Accent1 10 6 3 2" xfId="35579" xr:uid="{5A987C18-EDDA-4363-8B2F-86002A315042}"/>
    <cellStyle name="20% - Accent1 10 6 4" xfId="19684" xr:uid="{00000000-0005-0000-0000-00006C000000}"/>
    <cellStyle name="20% - Accent1 10 6 4 2" xfId="43517" xr:uid="{889A82EC-63C4-48EC-9954-485AC8B0658D}"/>
    <cellStyle name="20% - Accent1 10 6 5" xfId="27638" xr:uid="{5C7526BB-291A-47C5-8350-47B23410B8D2}"/>
    <cellStyle name="20% - Accent1 10 7" xfId="5524" xr:uid="{00000000-0005-0000-0000-00006D000000}"/>
    <cellStyle name="20% - Accent1 10 7 2" xfId="13508" xr:uid="{00000000-0005-0000-0000-00006E000000}"/>
    <cellStyle name="20% - Accent1 10 7 2 2" xfId="37352" xr:uid="{8470E940-7C25-4991-BDA9-F61D92670199}"/>
    <cellStyle name="20% - Accent1 10 7 3" xfId="21456" xr:uid="{00000000-0005-0000-0000-00006F000000}"/>
    <cellStyle name="20% - Accent1 10 7 3 2" xfId="45289" xr:uid="{F5374DE5-7118-46B0-9D3A-5E174F880E1D}"/>
    <cellStyle name="20% - Accent1 10 7 4" xfId="29411" xr:uid="{EF6C6441-5A24-42E7-9415-0C872C54704D}"/>
    <cellStyle name="20% - Accent1 10 8" xfId="9077" xr:uid="{00000000-0005-0000-0000-000070000000}"/>
    <cellStyle name="20% - Accent1 10 8 2" xfId="17035" xr:uid="{00000000-0005-0000-0000-000071000000}"/>
    <cellStyle name="20% - Accent1 10 8 2 2" xfId="40876" xr:uid="{1EAD7DE4-D365-4F06-8797-6B933420CA99}"/>
    <cellStyle name="20% - Accent1 10 8 3" xfId="24979" xr:uid="{00000000-0005-0000-0000-000072000000}"/>
    <cellStyle name="20% - Accent1 10 8 3 2" xfId="48812" xr:uid="{E657A98C-0819-4491-8D67-65B0908816CA}"/>
    <cellStyle name="20% - Accent1 10 8 4" xfId="32935" xr:uid="{361D478C-E597-43D8-B6BD-FFD0B8E527AE}"/>
    <cellStyle name="20% - Accent1 10 9" xfId="9973" xr:uid="{00000000-0005-0000-0000-000073000000}"/>
    <cellStyle name="20% - Accent1 10 9 2" xfId="33823" xr:uid="{13A462B9-8FDF-46FB-8057-74438E9989DC}"/>
    <cellStyle name="20% - Accent1 10_Exh G" xfId="1941" xr:uid="{00000000-0005-0000-0000-000074000000}"/>
    <cellStyle name="20% - Accent1 11" xfId="29" xr:uid="{00000000-0005-0000-0000-000075000000}"/>
    <cellStyle name="20% - Accent1 11 10" xfId="25885" xr:uid="{9D016E12-0214-45A3-BA52-DC0716F9DB5D}"/>
    <cellStyle name="20% - Accent1 11 2" xfId="30" xr:uid="{00000000-0005-0000-0000-000076000000}"/>
    <cellStyle name="20% - Accent1 11 2 2" xfId="31" xr:uid="{00000000-0005-0000-0000-000077000000}"/>
    <cellStyle name="20% - Accent1 11 2 2 2" xfId="1059" xr:uid="{00000000-0005-0000-0000-000078000000}"/>
    <cellStyle name="20% - Accent1 11 2 2 2 2" xfId="4589" xr:uid="{00000000-0005-0000-0000-000079000000}"/>
    <cellStyle name="20% - Accent1 11 2 2 2 2 2" xfId="8180" xr:uid="{00000000-0005-0000-0000-00007A000000}"/>
    <cellStyle name="20% - Accent1 11 2 2 2 2 2 2" xfId="16151" xr:uid="{00000000-0005-0000-0000-00007B000000}"/>
    <cellStyle name="20% - Accent1 11 2 2 2 2 2 2 2" xfId="39994" xr:uid="{7D5F7F14-627A-4764-B00D-B1DA3B70A53B}"/>
    <cellStyle name="20% - Accent1 11 2 2 2 2 2 3" xfId="24097" xr:uid="{00000000-0005-0000-0000-00007C000000}"/>
    <cellStyle name="20% - Accent1 11 2 2 2 2 2 3 2" xfId="47930" xr:uid="{3FC9D4EC-5C6C-4AAA-850D-03E612F8B0FF}"/>
    <cellStyle name="20% - Accent1 11 2 2 2 2 2 4" xfId="32053" xr:uid="{72029543-0E44-445D-87B4-6EC9BF78212D}"/>
    <cellStyle name="20% - Accent1 11 2 2 2 2 3" xfId="12613" xr:uid="{00000000-0005-0000-0000-00007D000000}"/>
    <cellStyle name="20% - Accent1 11 2 2 2 2 3 2" xfId="36463" xr:uid="{0C277474-6D1F-40A9-85CB-DDF3EB214C5E}"/>
    <cellStyle name="20% - Accent1 11 2 2 2 2 4" xfId="20568" xr:uid="{00000000-0005-0000-0000-00007E000000}"/>
    <cellStyle name="20% - Accent1 11 2 2 2 2 4 2" xfId="44401" xr:uid="{8A237A89-C2E7-445C-97AC-2E195B0F544B}"/>
    <cellStyle name="20% - Accent1 11 2 2 2 2 5" xfId="28522" xr:uid="{0AFFA4B5-899B-436B-B642-9FFAFE836D28}"/>
    <cellStyle name="20% - Accent1 11 2 2 2 3" xfId="6421" xr:uid="{00000000-0005-0000-0000-00007F000000}"/>
    <cellStyle name="20% - Accent1 11 2 2 2 3 2" xfId="14393" xr:uid="{00000000-0005-0000-0000-000080000000}"/>
    <cellStyle name="20% - Accent1 11 2 2 2 3 2 2" xfId="38236" xr:uid="{544A32E2-6404-4D6B-8D78-07F08E3532AD}"/>
    <cellStyle name="20% - Accent1 11 2 2 2 3 3" xfId="22340" xr:uid="{00000000-0005-0000-0000-000081000000}"/>
    <cellStyle name="20% - Accent1 11 2 2 2 3 3 2" xfId="46173" xr:uid="{083A4737-CF3E-4CE6-BC3E-820B1DEE895F}"/>
    <cellStyle name="20% - Accent1 11 2 2 2 3 4" xfId="30295" xr:uid="{D02643CF-E598-4B01-9C5E-F1581C0815C9}"/>
    <cellStyle name="20% - Accent1 11 2 2 2 4" xfId="10857" xr:uid="{00000000-0005-0000-0000-000082000000}"/>
    <cellStyle name="20% - Accent1 11 2 2 2 4 2" xfId="34707" xr:uid="{D48A96CF-BF44-4721-8BBD-BD1BEF1BAB1C}"/>
    <cellStyle name="20% - Accent1 11 2 2 2 5" xfId="18812" xr:uid="{00000000-0005-0000-0000-000083000000}"/>
    <cellStyle name="20% - Accent1 11 2 2 2 5 2" xfId="42645" xr:uid="{D548B25C-0DE7-4225-8F55-0AFCEE3553E9}"/>
    <cellStyle name="20% - Accent1 11 2 2 2 6" xfId="26765" xr:uid="{964F29F0-368A-41B9-BD1E-B97BD530C40D}"/>
    <cellStyle name="20% - Accent1 11 2 2 2_Exh G" xfId="1952" xr:uid="{00000000-0005-0000-0000-000084000000}"/>
    <cellStyle name="20% - Accent1 11 2 2 3" xfId="3710" xr:uid="{00000000-0005-0000-0000-000085000000}"/>
    <cellStyle name="20% - Accent1 11 2 2 3 2" xfId="7302" xr:uid="{00000000-0005-0000-0000-000086000000}"/>
    <cellStyle name="20% - Accent1 11 2 2 3 2 2" xfId="15273" xr:uid="{00000000-0005-0000-0000-000087000000}"/>
    <cellStyle name="20% - Accent1 11 2 2 3 2 2 2" xfId="39116" xr:uid="{01F8B3DB-A22D-4ACC-93DA-9AD9FCB7D394}"/>
    <cellStyle name="20% - Accent1 11 2 2 3 2 3" xfId="23219" xr:uid="{00000000-0005-0000-0000-000088000000}"/>
    <cellStyle name="20% - Accent1 11 2 2 3 2 3 2" xfId="47052" xr:uid="{650F60EE-ECCA-4523-B569-55D50733B0F4}"/>
    <cellStyle name="20% - Accent1 11 2 2 3 2 4" xfId="31175" xr:uid="{20266C6B-C6A7-41AD-A750-3E64011C1EAA}"/>
    <cellStyle name="20% - Accent1 11 2 2 3 3" xfId="11735" xr:uid="{00000000-0005-0000-0000-000089000000}"/>
    <cellStyle name="20% - Accent1 11 2 2 3 3 2" xfId="35585" xr:uid="{1B886F49-151C-4514-8615-090CE2D1F2B9}"/>
    <cellStyle name="20% - Accent1 11 2 2 3 4" xfId="19690" xr:uid="{00000000-0005-0000-0000-00008A000000}"/>
    <cellStyle name="20% - Accent1 11 2 2 3 4 2" xfId="43523" xr:uid="{B807B7A0-3F3D-4C07-A24B-FBC3FCC7373A}"/>
    <cellStyle name="20% - Accent1 11 2 2 3 5" xfId="27644" xr:uid="{10A321C6-0ECF-44B1-8CBE-7171828EE9D0}"/>
    <cellStyle name="20% - Accent1 11 2 2 4" xfId="5530" xr:uid="{00000000-0005-0000-0000-00008B000000}"/>
    <cellStyle name="20% - Accent1 11 2 2 4 2" xfId="13514" xr:uid="{00000000-0005-0000-0000-00008C000000}"/>
    <cellStyle name="20% - Accent1 11 2 2 4 2 2" xfId="37358" xr:uid="{FB1B32BB-5A2B-4A95-89A0-E81F363F6A95}"/>
    <cellStyle name="20% - Accent1 11 2 2 4 3" xfId="21462" xr:uid="{00000000-0005-0000-0000-00008D000000}"/>
    <cellStyle name="20% - Accent1 11 2 2 4 3 2" xfId="45295" xr:uid="{808186A3-A3FE-494C-85A1-011B821D2FBB}"/>
    <cellStyle name="20% - Accent1 11 2 2 4 4" xfId="29417" xr:uid="{503419DF-55B7-46AE-8F20-7CCD217EF253}"/>
    <cellStyle name="20% - Accent1 11 2 2 5" xfId="9083" xr:uid="{00000000-0005-0000-0000-00008E000000}"/>
    <cellStyle name="20% - Accent1 11 2 2 5 2" xfId="17041" xr:uid="{00000000-0005-0000-0000-00008F000000}"/>
    <cellStyle name="20% - Accent1 11 2 2 5 2 2" xfId="40882" xr:uid="{F4AFBAEE-357C-4FCE-BF0B-840F491C4DEA}"/>
    <cellStyle name="20% - Accent1 11 2 2 5 3" xfId="24985" xr:uid="{00000000-0005-0000-0000-000090000000}"/>
    <cellStyle name="20% - Accent1 11 2 2 5 3 2" xfId="48818" xr:uid="{5BACCE1A-01CE-4368-B5A4-F54DA2DF78C2}"/>
    <cellStyle name="20% - Accent1 11 2 2 5 4" xfId="32941" xr:uid="{A1D38150-C391-4EDB-A14E-73C6CFA12E42}"/>
    <cellStyle name="20% - Accent1 11 2 2 6" xfId="9979" xr:uid="{00000000-0005-0000-0000-000091000000}"/>
    <cellStyle name="20% - Accent1 11 2 2 6 2" xfId="33829" xr:uid="{CCFD0929-7C3A-4B8D-9526-D822F33AD1E0}"/>
    <cellStyle name="20% - Accent1 11 2 2 7" xfId="17934" xr:uid="{00000000-0005-0000-0000-000092000000}"/>
    <cellStyle name="20% - Accent1 11 2 2 7 2" xfId="41767" xr:uid="{A1F0A6FA-E96E-461E-A055-34119CD1C587}"/>
    <cellStyle name="20% - Accent1 11 2 2 8" xfId="25887" xr:uid="{88027599-2788-4D43-99CF-4CA8FD1F0E46}"/>
    <cellStyle name="20% - Accent1 11 2 2_Exh G" xfId="1951" xr:uid="{00000000-0005-0000-0000-000093000000}"/>
    <cellStyle name="20% - Accent1 11 2 3" xfId="1058" xr:uid="{00000000-0005-0000-0000-000094000000}"/>
    <cellStyle name="20% - Accent1 11 2 3 2" xfId="4588" xr:uid="{00000000-0005-0000-0000-000095000000}"/>
    <cellStyle name="20% - Accent1 11 2 3 2 2" xfId="8179" xr:uid="{00000000-0005-0000-0000-000096000000}"/>
    <cellStyle name="20% - Accent1 11 2 3 2 2 2" xfId="16150" xr:uid="{00000000-0005-0000-0000-000097000000}"/>
    <cellStyle name="20% - Accent1 11 2 3 2 2 2 2" xfId="39993" xr:uid="{61385533-D6B4-4114-93CA-103F34EBE538}"/>
    <cellStyle name="20% - Accent1 11 2 3 2 2 3" xfId="24096" xr:uid="{00000000-0005-0000-0000-000098000000}"/>
    <cellStyle name="20% - Accent1 11 2 3 2 2 3 2" xfId="47929" xr:uid="{350139C7-4249-43AA-8C79-EF009565B4EB}"/>
    <cellStyle name="20% - Accent1 11 2 3 2 2 4" xfId="32052" xr:uid="{E05A2BCA-0594-41B6-83C5-B53A54F4CB89}"/>
    <cellStyle name="20% - Accent1 11 2 3 2 3" xfId="12612" xr:uid="{00000000-0005-0000-0000-000099000000}"/>
    <cellStyle name="20% - Accent1 11 2 3 2 3 2" xfId="36462" xr:uid="{B7D65091-F356-436D-85D5-B91F27986052}"/>
    <cellStyle name="20% - Accent1 11 2 3 2 4" xfId="20567" xr:uid="{00000000-0005-0000-0000-00009A000000}"/>
    <cellStyle name="20% - Accent1 11 2 3 2 4 2" xfId="44400" xr:uid="{75892CFF-6E28-48C4-AB8B-6388ABC8A94F}"/>
    <cellStyle name="20% - Accent1 11 2 3 2 5" xfId="28521" xr:uid="{7C289BF1-3F55-4210-9811-05837FAA6628}"/>
    <cellStyle name="20% - Accent1 11 2 3 3" xfId="6420" xr:uid="{00000000-0005-0000-0000-00009B000000}"/>
    <cellStyle name="20% - Accent1 11 2 3 3 2" xfId="14392" xr:uid="{00000000-0005-0000-0000-00009C000000}"/>
    <cellStyle name="20% - Accent1 11 2 3 3 2 2" xfId="38235" xr:uid="{A76ABB9C-9283-49ED-AFD9-BADA7E2B390D}"/>
    <cellStyle name="20% - Accent1 11 2 3 3 3" xfId="22339" xr:uid="{00000000-0005-0000-0000-00009D000000}"/>
    <cellStyle name="20% - Accent1 11 2 3 3 3 2" xfId="46172" xr:uid="{EE4A4C8A-2600-4965-8D5A-5FF20E715EDE}"/>
    <cellStyle name="20% - Accent1 11 2 3 3 4" xfId="30294" xr:uid="{3B6A7999-ADFA-4AC9-B6B1-790CCC36D26C}"/>
    <cellStyle name="20% - Accent1 11 2 3 4" xfId="10856" xr:uid="{00000000-0005-0000-0000-00009E000000}"/>
    <cellStyle name="20% - Accent1 11 2 3 4 2" xfId="34706" xr:uid="{2628480D-22AF-435C-9326-BEB9FAE6D1FE}"/>
    <cellStyle name="20% - Accent1 11 2 3 5" xfId="18811" xr:uid="{00000000-0005-0000-0000-00009F000000}"/>
    <cellStyle name="20% - Accent1 11 2 3 5 2" xfId="42644" xr:uid="{F2BBCD79-D257-4514-BF97-59736BDDD1EA}"/>
    <cellStyle name="20% - Accent1 11 2 3 6" xfId="26764" xr:uid="{73B3B3C0-A321-4025-8724-486FBF3D73E3}"/>
    <cellStyle name="20% - Accent1 11 2 3_Exh G" xfId="1953" xr:uid="{00000000-0005-0000-0000-0000A0000000}"/>
    <cellStyle name="20% - Accent1 11 2 4" xfId="3709" xr:uid="{00000000-0005-0000-0000-0000A1000000}"/>
    <cellStyle name="20% - Accent1 11 2 4 2" xfId="7301" xr:uid="{00000000-0005-0000-0000-0000A2000000}"/>
    <cellStyle name="20% - Accent1 11 2 4 2 2" xfId="15272" xr:uid="{00000000-0005-0000-0000-0000A3000000}"/>
    <cellStyle name="20% - Accent1 11 2 4 2 2 2" xfId="39115" xr:uid="{8EB240E2-EAAB-4AA4-AD2D-BFCF4FF8E182}"/>
    <cellStyle name="20% - Accent1 11 2 4 2 3" xfId="23218" xr:uid="{00000000-0005-0000-0000-0000A4000000}"/>
    <cellStyle name="20% - Accent1 11 2 4 2 3 2" xfId="47051" xr:uid="{586639B0-C75A-4616-A8A4-5ECC072B50C7}"/>
    <cellStyle name="20% - Accent1 11 2 4 2 4" xfId="31174" xr:uid="{9DEDB03A-030D-4D13-B319-E7DC902630BF}"/>
    <cellStyle name="20% - Accent1 11 2 4 3" xfId="11734" xr:uid="{00000000-0005-0000-0000-0000A5000000}"/>
    <cellStyle name="20% - Accent1 11 2 4 3 2" xfId="35584" xr:uid="{EB82E3F1-26FB-4B28-B52D-24BA9A057ED1}"/>
    <cellStyle name="20% - Accent1 11 2 4 4" xfId="19689" xr:uid="{00000000-0005-0000-0000-0000A6000000}"/>
    <cellStyle name="20% - Accent1 11 2 4 4 2" xfId="43522" xr:uid="{6411BE3C-3336-45F9-B369-4DB900FD04DD}"/>
    <cellStyle name="20% - Accent1 11 2 4 5" xfId="27643" xr:uid="{C21CCF24-C8DC-4918-AD37-654C00F93FC2}"/>
    <cellStyle name="20% - Accent1 11 2 5" xfId="5529" xr:uid="{00000000-0005-0000-0000-0000A7000000}"/>
    <cellStyle name="20% - Accent1 11 2 5 2" xfId="13513" xr:uid="{00000000-0005-0000-0000-0000A8000000}"/>
    <cellStyle name="20% - Accent1 11 2 5 2 2" xfId="37357" xr:uid="{85D6C4B0-F3D1-48BF-A493-1BDF1C593F50}"/>
    <cellStyle name="20% - Accent1 11 2 5 3" xfId="21461" xr:uid="{00000000-0005-0000-0000-0000A9000000}"/>
    <cellStyle name="20% - Accent1 11 2 5 3 2" xfId="45294" xr:uid="{7F9DF758-ED0D-4F13-89D5-4D08805A5738}"/>
    <cellStyle name="20% - Accent1 11 2 5 4" xfId="29416" xr:uid="{2F9CF1C0-1FA0-4FD8-A558-349BEF425E9B}"/>
    <cellStyle name="20% - Accent1 11 2 6" xfId="9082" xr:uid="{00000000-0005-0000-0000-0000AA000000}"/>
    <cellStyle name="20% - Accent1 11 2 6 2" xfId="17040" xr:uid="{00000000-0005-0000-0000-0000AB000000}"/>
    <cellStyle name="20% - Accent1 11 2 6 2 2" xfId="40881" xr:uid="{BCFED2C9-48CB-47AA-B2A9-6A5DC225C92D}"/>
    <cellStyle name="20% - Accent1 11 2 6 3" xfId="24984" xr:uid="{00000000-0005-0000-0000-0000AC000000}"/>
    <cellStyle name="20% - Accent1 11 2 6 3 2" xfId="48817" xr:uid="{F3794D1E-B3AF-49AB-8A80-A2ED5FF4562F}"/>
    <cellStyle name="20% - Accent1 11 2 6 4" xfId="32940" xr:uid="{0C14DFC0-5806-401C-9DFA-E1C7B535A924}"/>
    <cellStyle name="20% - Accent1 11 2 7" xfId="9978" xr:uid="{00000000-0005-0000-0000-0000AD000000}"/>
    <cellStyle name="20% - Accent1 11 2 7 2" xfId="33828" xr:uid="{D376191B-4778-4F76-84AE-24ED3675BB71}"/>
    <cellStyle name="20% - Accent1 11 2 8" xfId="17933" xr:uid="{00000000-0005-0000-0000-0000AE000000}"/>
    <cellStyle name="20% - Accent1 11 2 8 2" xfId="41766" xr:uid="{9DEDF6D3-F8C3-4507-9DB4-4221F897DEF4}"/>
    <cellStyle name="20% - Accent1 11 2 9" xfId="25886" xr:uid="{AE45FDA3-81BF-445C-8613-4E7E219857EC}"/>
    <cellStyle name="20% - Accent1 11 2_Exh G" xfId="1950" xr:uid="{00000000-0005-0000-0000-0000AF000000}"/>
    <cellStyle name="20% - Accent1 11 3" xfId="32" xr:uid="{00000000-0005-0000-0000-0000B0000000}"/>
    <cellStyle name="20% - Accent1 11 3 2" xfId="1060" xr:uid="{00000000-0005-0000-0000-0000B1000000}"/>
    <cellStyle name="20% - Accent1 11 3 2 2" xfId="4590" xr:uid="{00000000-0005-0000-0000-0000B2000000}"/>
    <cellStyle name="20% - Accent1 11 3 2 2 2" xfId="8181" xr:uid="{00000000-0005-0000-0000-0000B3000000}"/>
    <cellStyle name="20% - Accent1 11 3 2 2 2 2" xfId="16152" xr:uid="{00000000-0005-0000-0000-0000B4000000}"/>
    <cellStyle name="20% - Accent1 11 3 2 2 2 2 2" xfId="39995" xr:uid="{BD4817E8-4484-4768-BB2E-008739D9DA29}"/>
    <cellStyle name="20% - Accent1 11 3 2 2 2 3" xfId="24098" xr:uid="{00000000-0005-0000-0000-0000B5000000}"/>
    <cellStyle name="20% - Accent1 11 3 2 2 2 3 2" xfId="47931" xr:uid="{665153B9-19D9-488F-9ACF-8C7D1392B68D}"/>
    <cellStyle name="20% - Accent1 11 3 2 2 2 4" xfId="32054" xr:uid="{880E1339-35EF-4DE2-8DBA-BA5609D93862}"/>
    <cellStyle name="20% - Accent1 11 3 2 2 3" xfId="12614" xr:uid="{00000000-0005-0000-0000-0000B6000000}"/>
    <cellStyle name="20% - Accent1 11 3 2 2 3 2" xfId="36464" xr:uid="{E5B9DC25-0D79-4264-A2AC-0F7F3DDEC210}"/>
    <cellStyle name="20% - Accent1 11 3 2 2 4" xfId="20569" xr:uid="{00000000-0005-0000-0000-0000B7000000}"/>
    <cellStyle name="20% - Accent1 11 3 2 2 4 2" xfId="44402" xr:uid="{36955A7A-C196-47C4-BC16-0F9442419DB0}"/>
    <cellStyle name="20% - Accent1 11 3 2 2 5" xfId="28523" xr:uid="{F00C90F9-51CC-4DAB-8C64-869D87B1E9B4}"/>
    <cellStyle name="20% - Accent1 11 3 2 3" xfId="6422" xr:uid="{00000000-0005-0000-0000-0000B8000000}"/>
    <cellStyle name="20% - Accent1 11 3 2 3 2" xfId="14394" xr:uid="{00000000-0005-0000-0000-0000B9000000}"/>
    <cellStyle name="20% - Accent1 11 3 2 3 2 2" xfId="38237" xr:uid="{BE8C9416-AB9D-4DC7-AFFF-E1CF88DF1B92}"/>
    <cellStyle name="20% - Accent1 11 3 2 3 3" xfId="22341" xr:uid="{00000000-0005-0000-0000-0000BA000000}"/>
    <cellStyle name="20% - Accent1 11 3 2 3 3 2" xfId="46174" xr:uid="{505F3B1C-8EA9-4A3E-AE1F-494E69B07CAF}"/>
    <cellStyle name="20% - Accent1 11 3 2 3 4" xfId="30296" xr:uid="{A982D095-15F4-45BD-9532-19246E39B849}"/>
    <cellStyle name="20% - Accent1 11 3 2 4" xfId="10858" xr:uid="{00000000-0005-0000-0000-0000BB000000}"/>
    <cellStyle name="20% - Accent1 11 3 2 4 2" xfId="34708" xr:uid="{1E0698A4-B3B8-43A5-BBDC-E4DD91D80A52}"/>
    <cellStyle name="20% - Accent1 11 3 2 5" xfId="18813" xr:uid="{00000000-0005-0000-0000-0000BC000000}"/>
    <cellStyle name="20% - Accent1 11 3 2 5 2" xfId="42646" xr:uid="{FD9AF2AA-5A47-47AA-B1FD-2A7D946DDA63}"/>
    <cellStyle name="20% - Accent1 11 3 2 6" xfId="26766" xr:uid="{7BA671AE-3C4D-483C-A68C-E9C03863C60A}"/>
    <cellStyle name="20% - Accent1 11 3 2_Exh G" xfId="1955" xr:uid="{00000000-0005-0000-0000-0000BD000000}"/>
    <cellStyle name="20% - Accent1 11 3 3" xfId="3711" xr:uid="{00000000-0005-0000-0000-0000BE000000}"/>
    <cellStyle name="20% - Accent1 11 3 3 2" xfId="7303" xr:uid="{00000000-0005-0000-0000-0000BF000000}"/>
    <cellStyle name="20% - Accent1 11 3 3 2 2" xfId="15274" xr:uid="{00000000-0005-0000-0000-0000C0000000}"/>
    <cellStyle name="20% - Accent1 11 3 3 2 2 2" xfId="39117" xr:uid="{540419EC-737C-46B8-925D-EFC596503579}"/>
    <cellStyle name="20% - Accent1 11 3 3 2 3" xfId="23220" xr:uid="{00000000-0005-0000-0000-0000C1000000}"/>
    <cellStyle name="20% - Accent1 11 3 3 2 3 2" xfId="47053" xr:uid="{9B0B8263-D578-4503-8D10-07C4D99C621E}"/>
    <cellStyle name="20% - Accent1 11 3 3 2 4" xfId="31176" xr:uid="{867051FB-1E15-450D-A74A-0DE91DF6ADC8}"/>
    <cellStyle name="20% - Accent1 11 3 3 3" xfId="11736" xr:uid="{00000000-0005-0000-0000-0000C2000000}"/>
    <cellStyle name="20% - Accent1 11 3 3 3 2" xfId="35586" xr:uid="{5140F261-D019-454B-B2A1-66A226991E56}"/>
    <cellStyle name="20% - Accent1 11 3 3 4" xfId="19691" xr:uid="{00000000-0005-0000-0000-0000C3000000}"/>
    <cellStyle name="20% - Accent1 11 3 3 4 2" xfId="43524" xr:uid="{611BBEB2-2D22-4694-909A-9FA1D3DB4FCD}"/>
    <cellStyle name="20% - Accent1 11 3 3 5" xfId="27645" xr:uid="{B3061921-57FE-4934-9908-DF61209A3E30}"/>
    <cellStyle name="20% - Accent1 11 3 4" xfId="5531" xr:uid="{00000000-0005-0000-0000-0000C4000000}"/>
    <cellStyle name="20% - Accent1 11 3 4 2" xfId="13515" xr:uid="{00000000-0005-0000-0000-0000C5000000}"/>
    <cellStyle name="20% - Accent1 11 3 4 2 2" xfId="37359" xr:uid="{05D47188-0D9C-4EE6-8556-9C57EE671E14}"/>
    <cellStyle name="20% - Accent1 11 3 4 3" xfId="21463" xr:uid="{00000000-0005-0000-0000-0000C6000000}"/>
    <cellStyle name="20% - Accent1 11 3 4 3 2" xfId="45296" xr:uid="{94897D2F-4526-4395-AD8B-006321987695}"/>
    <cellStyle name="20% - Accent1 11 3 4 4" xfId="29418" xr:uid="{3D7BA088-0747-4B58-884F-D6A36E5D964C}"/>
    <cellStyle name="20% - Accent1 11 3 5" xfId="9084" xr:uid="{00000000-0005-0000-0000-0000C7000000}"/>
    <cellStyle name="20% - Accent1 11 3 5 2" xfId="17042" xr:uid="{00000000-0005-0000-0000-0000C8000000}"/>
    <cellStyle name="20% - Accent1 11 3 5 2 2" xfId="40883" xr:uid="{AF8F702B-7024-4D66-B17F-28B9D6FA79F1}"/>
    <cellStyle name="20% - Accent1 11 3 5 3" xfId="24986" xr:uid="{00000000-0005-0000-0000-0000C9000000}"/>
    <cellStyle name="20% - Accent1 11 3 5 3 2" xfId="48819" xr:uid="{9798F560-85DF-4323-B716-A0D722A09184}"/>
    <cellStyle name="20% - Accent1 11 3 5 4" xfId="32942" xr:uid="{4C3A8EA2-4AA0-420A-A608-4B475F26FF99}"/>
    <cellStyle name="20% - Accent1 11 3 6" xfId="9980" xr:uid="{00000000-0005-0000-0000-0000CA000000}"/>
    <cellStyle name="20% - Accent1 11 3 6 2" xfId="33830" xr:uid="{99CC59F9-0122-4D5D-85E0-7BA09CD5CD47}"/>
    <cellStyle name="20% - Accent1 11 3 7" xfId="17935" xr:uid="{00000000-0005-0000-0000-0000CB000000}"/>
    <cellStyle name="20% - Accent1 11 3 7 2" xfId="41768" xr:uid="{3CD32E5B-036F-48F6-B0F4-ED98B9DA21D2}"/>
    <cellStyle name="20% - Accent1 11 3 8" xfId="25888" xr:uid="{D07C72AC-6972-4795-83B1-56C1395B170C}"/>
    <cellStyle name="20% - Accent1 11 3_Exh G" xfId="1954" xr:uid="{00000000-0005-0000-0000-0000CC000000}"/>
    <cellStyle name="20% - Accent1 11 4" xfId="1057" xr:uid="{00000000-0005-0000-0000-0000CD000000}"/>
    <cellStyle name="20% - Accent1 11 4 2" xfId="4587" xr:uid="{00000000-0005-0000-0000-0000CE000000}"/>
    <cellStyle name="20% - Accent1 11 4 2 2" xfId="8178" xr:uid="{00000000-0005-0000-0000-0000CF000000}"/>
    <cellStyle name="20% - Accent1 11 4 2 2 2" xfId="16149" xr:uid="{00000000-0005-0000-0000-0000D0000000}"/>
    <cellStyle name="20% - Accent1 11 4 2 2 2 2" xfId="39992" xr:uid="{8AD99FBC-EC62-4C20-B6D0-EB988DD9F03D}"/>
    <cellStyle name="20% - Accent1 11 4 2 2 3" xfId="24095" xr:uid="{00000000-0005-0000-0000-0000D1000000}"/>
    <cellStyle name="20% - Accent1 11 4 2 2 3 2" xfId="47928" xr:uid="{4E447B79-C646-47CC-9148-21AE02DAE3BC}"/>
    <cellStyle name="20% - Accent1 11 4 2 2 4" xfId="32051" xr:uid="{95AB6CDA-197C-4397-A3AC-18AC6DA18AE4}"/>
    <cellStyle name="20% - Accent1 11 4 2 3" xfId="12611" xr:uid="{00000000-0005-0000-0000-0000D2000000}"/>
    <cellStyle name="20% - Accent1 11 4 2 3 2" xfId="36461" xr:uid="{A037AC63-9C60-4F04-953B-D7ECB4158E89}"/>
    <cellStyle name="20% - Accent1 11 4 2 4" xfId="20566" xr:uid="{00000000-0005-0000-0000-0000D3000000}"/>
    <cellStyle name="20% - Accent1 11 4 2 4 2" xfId="44399" xr:uid="{CF0FC6EC-20F6-417F-B83A-78998ED7FFAD}"/>
    <cellStyle name="20% - Accent1 11 4 2 5" xfId="28520" xr:uid="{F522EA8A-0A0F-4E04-91D0-5F80E12A25D9}"/>
    <cellStyle name="20% - Accent1 11 4 3" xfId="6419" xr:uid="{00000000-0005-0000-0000-0000D4000000}"/>
    <cellStyle name="20% - Accent1 11 4 3 2" xfId="14391" xr:uid="{00000000-0005-0000-0000-0000D5000000}"/>
    <cellStyle name="20% - Accent1 11 4 3 2 2" xfId="38234" xr:uid="{7BD5B17A-3325-4E0E-AAC0-3E8ABDB6F7DD}"/>
    <cellStyle name="20% - Accent1 11 4 3 3" xfId="22338" xr:uid="{00000000-0005-0000-0000-0000D6000000}"/>
    <cellStyle name="20% - Accent1 11 4 3 3 2" xfId="46171" xr:uid="{BD24290F-523B-476D-8E1B-DCDF1573673C}"/>
    <cellStyle name="20% - Accent1 11 4 3 4" xfId="30293" xr:uid="{3F641833-3C42-45F0-B302-8AFC1C28B6BA}"/>
    <cellStyle name="20% - Accent1 11 4 4" xfId="10855" xr:uid="{00000000-0005-0000-0000-0000D7000000}"/>
    <cellStyle name="20% - Accent1 11 4 4 2" xfId="34705" xr:uid="{BE1ACBB9-F284-4E47-9781-1B545DDD78E3}"/>
    <cellStyle name="20% - Accent1 11 4 5" xfId="18810" xr:uid="{00000000-0005-0000-0000-0000D8000000}"/>
    <cellStyle name="20% - Accent1 11 4 5 2" xfId="42643" xr:uid="{710B58FA-3519-4BCB-8DA3-47B82B10DA11}"/>
    <cellStyle name="20% - Accent1 11 4 6" xfId="26763" xr:uid="{87DBA921-6A46-4AD5-A32A-251FDA7313D2}"/>
    <cellStyle name="20% - Accent1 11 4_Exh G" xfId="1956" xr:uid="{00000000-0005-0000-0000-0000D9000000}"/>
    <cellStyle name="20% - Accent1 11 5" xfId="3708" xr:uid="{00000000-0005-0000-0000-0000DA000000}"/>
    <cellStyle name="20% - Accent1 11 5 2" xfId="7300" xr:uid="{00000000-0005-0000-0000-0000DB000000}"/>
    <cellStyle name="20% - Accent1 11 5 2 2" xfId="15271" xr:uid="{00000000-0005-0000-0000-0000DC000000}"/>
    <cellStyle name="20% - Accent1 11 5 2 2 2" xfId="39114" xr:uid="{98656AE4-76C8-4978-A72D-648F6527F227}"/>
    <cellStyle name="20% - Accent1 11 5 2 3" xfId="23217" xr:uid="{00000000-0005-0000-0000-0000DD000000}"/>
    <cellStyle name="20% - Accent1 11 5 2 3 2" xfId="47050" xr:uid="{7EF4E9E8-A4D3-44E8-8AAE-1C3EB97D0192}"/>
    <cellStyle name="20% - Accent1 11 5 2 4" xfId="31173" xr:uid="{8C0B7F2C-8C3F-4545-9B35-2E1F4744E1E9}"/>
    <cellStyle name="20% - Accent1 11 5 3" xfId="11733" xr:uid="{00000000-0005-0000-0000-0000DE000000}"/>
    <cellStyle name="20% - Accent1 11 5 3 2" xfId="35583" xr:uid="{F6AF4C64-C182-41B4-A967-D82EE6A234FE}"/>
    <cellStyle name="20% - Accent1 11 5 4" xfId="19688" xr:uid="{00000000-0005-0000-0000-0000DF000000}"/>
    <cellStyle name="20% - Accent1 11 5 4 2" xfId="43521" xr:uid="{E9760052-1E98-4239-9953-353C3157D1FF}"/>
    <cellStyle name="20% - Accent1 11 5 5" xfId="27642" xr:uid="{5E748CBD-3AB9-4741-909A-FEA379D24CD1}"/>
    <cellStyle name="20% - Accent1 11 6" xfId="5528" xr:uid="{00000000-0005-0000-0000-0000E0000000}"/>
    <cellStyle name="20% - Accent1 11 6 2" xfId="13512" xr:uid="{00000000-0005-0000-0000-0000E1000000}"/>
    <cellStyle name="20% - Accent1 11 6 2 2" xfId="37356" xr:uid="{51A9C1D4-68D5-40CF-BDF0-23BAE29AC24A}"/>
    <cellStyle name="20% - Accent1 11 6 3" xfId="21460" xr:uid="{00000000-0005-0000-0000-0000E2000000}"/>
    <cellStyle name="20% - Accent1 11 6 3 2" xfId="45293" xr:uid="{C3E20080-9754-4048-B3C7-2F643A08D7AF}"/>
    <cellStyle name="20% - Accent1 11 6 4" xfId="29415" xr:uid="{0883506A-BAE1-4EB0-BD92-4CF8125CEA97}"/>
    <cellStyle name="20% - Accent1 11 7" xfId="9081" xr:uid="{00000000-0005-0000-0000-0000E3000000}"/>
    <cellStyle name="20% - Accent1 11 7 2" xfId="17039" xr:uid="{00000000-0005-0000-0000-0000E4000000}"/>
    <cellStyle name="20% - Accent1 11 7 2 2" xfId="40880" xr:uid="{C3B11A23-F6A1-411D-AA43-0202BB2C7DA5}"/>
    <cellStyle name="20% - Accent1 11 7 3" xfId="24983" xr:uid="{00000000-0005-0000-0000-0000E5000000}"/>
    <cellStyle name="20% - Accent1 11 7 3 2" xfId="48816" xr:uid="{42800AEA-016F-400E-A23A-A0400B9B0AF6}"/>
    <cellStyle name="20% - Accent1 11 7 4" xfId="32939" xr:uid="{5508975B-B46C-4AD1-AFE6-AB80B5BE0EFD}"/>
    <cellStyle name="20% - Accent1 11 8" xfId="9977" xr:uid="{00000000-0005-0000-0000-0000E6000000}"/>
    <cellStyle name="20% - Accent1 11 8 2" xfId="33827" xr:uid="{084BFD42-888F-42A7-9CA4-9110983BFCA1}"/>
    <cellStyle name="20% - Accent1 11 9" xfId="17932" xr:uid="{00000000-0005-0000-0000-0000E7000000}"/>
    <cellStyle name="20% - Accent1 11 9 2" xfId="41765" xr:uid="{FA9C14DC-D8EB-46B1-A759-843F86D19D08}"/>
    <cellStyle name="20% - Accent1 11_Exh G" xfId="1949" xr:uid="{00000000-0005-0000-0000-0000E8000000}"/>
    <cellStyle name="20% - Accent1 12" xfId="33" xr:uid="{00000000-0005-0000-0000-0000E9000000}"/>
    <cellStyle name="20% - Accent1 12 10" xfId="25889" xr:uid="{29852C98-1C95-42FE-8122-4D6793EEBE0B}"/>
    <cellStyle name="20% - Accent1 12 2" xfId="34" xr:uid="{00000000-0005-0000-0000-0000EA000000}"/>
    <cellStyle name="20% - Accent1 12 2 2" xfId="35" xr:uid="{00000000-0005-0000-0000-0000EB000000}"/>
    <cellStyle name="20% - Accent1 12 2 2 2" xfId="1063" xr:uid="{00000000-0005-0000-0000-0000EC000000}"/>
    <cellStyle name="20% - Accent1 12 2 2 2 2" xfId="4593" xr:uid="{00000000-0005-0000-0000-0000ED000000}"/>
    <cellStyle name="20% - Accent1 12 2 2 2 2 2" xfId="8184" xr:uid="{00000000-0005-0000-0000-0000EE000000}"/>
    <cellStyle name="20% - Accent1 12 2 2 2 2 2 2" xfId="16155" xr:uid="{00000000-0005-0000-0000-0000EF000000}"/>
    <cellStyle name="20% - Accent1 12 2 2 2 2 2 2 2" xfId="39998" xr:uid="{336790F4-F0CA-46DE-B031-D953E37F2452}"/>
    <cellStyle name="20% - Accent1 12 2 2 2 2 2 3" xfId="24101" xr:uid="{00000000-0005-0000-0000-0000F0000000}"/>
    <cellStyle name="20% - Accent1 12 2 2 2 2 2 3 2" xfId="47934" xr:uid="{4FC2B80D-4F7F-453E-8F39-26BD0849F231}"/>
    <cellStyle name="20% - Accent1 12 2 2 2 2 2 4" xfId="32057" xr:uid="{53D2F3A1-1162-4433-8389-B91C45E889EE}"/>
    <cellStyle name="20% - Accent1 12 2 2 2 2 3" xfId="12617" xr:uid="{00000000-0005-0000-0000-0000F1000000}"/>
    <cellStyle name="20% - Accent1 12 2 2 2 2 3 2" xfId="36467" xr:uid="{18716E5A-C4A1-47A8-9CEC-D0CBCA281B1D}"/>
    <cellStyle name="20% - Accent1 12 2 2 2 2 4" xfId="20572" xr:uid="{00000000-0005-0000-0000-0000F2000000}"/>
    <cellStyle name="20% - Accent1 12 2 2 2 2 4 2" xfId="44405" xr:uid="{EA2FFFDF-D542-47CA-85F7-27E717AB40E8}"/>
    <cellStyle name="20% - Accent1 12 2 2 2 2 5" xfId="28526" xr:uid="{995FE494-4C97-4CB3-9009-D78B0EF2FAA2}"/>
    <cellStyle name="20% - Accent1 12 2 2 2 3" xfId="6425" xr:uid="{00000000-0005-0000-0000-0000F3000000}"/>
    <cellStyle name="20% - Accent1 12 2 2 2 3 2" xfId="14397" xr:uid="{00000000-0005-0000-0000-0000F4000000}"/>
    <cellStyle name="20% - Accent1 12 2 2 2 3 2 2" xfId="38240" xr:uid="{610D6AE4-7C46-4F37-B7E1-46BBB64BE79E}"/>
    <cellStyle name="20% - Accent1 12 2 2 2 3 3" xfId="22344" xr:uid="{00000000-0005-0000-0000-0000F5000000}"/>
    <cellStyle name="20% - Accent1 12 2 2 2 3 3 2" xfId="46177" xr:uid="{BE1F11A2-B026-4489-8A07-2B7B1A776433}"/>
    <cellStyle name="20% - Accent1 12 2 2 2 3 4" xfId="30299" xr:uid="{6602DCFC-4672-4454-B365-C046AE65DAE8}"/>
    <cellStyle name="20% - Accent1 12 2 2 2 4" xfId="10861" xr:uid="{00000000-0005-0000-0000-0000F6000000}"/>
    <cellStyle name="20% - Accent1 12 2 2 2 4 2" xfId="34711" xr:uid="{FB98596C-A7DF-4935-9FCA-BC5AF6ABBC72}"/>
    <cellStyle name="20% - Accent1 12 2 2 2 5" xfId="18816" xr:uid="{00000000-0005-0000-0000-0000F7000000}"/>
    <cellStyle name="20% - Accent1 12 2 2 2 5 2" xfId="42649" xr:uid="{A9D55ACB-EA93-4A2D-B90B-245F7CECBE27}"/>
    <cellStyle name="20% - Accent1 12 2 2 2 6" xfId="26769" xr:uid="{E57A9EC9-4616-4376-9D32-630F80CB37F9}"/>
    <cellStyle name="20% - Accent1 12 2 2 2_Exh G" xfId="1960" xr:uid="{00000000-0005-0000-0000-0000F8000000}"/>
    <cellStyle name="20% - Accent1 12 2 2 3" xfId="3714" xr:uid="{00000000-0005-0000-0000-0000F9000000}"/>
    <cellStyle name="20% - Accent1 12 2 2 3 2" xfId="7306" xr:uid="{00000000-0005-0000-0000-0000FA000000}"/>
    <cellStyle name="20% - Accent1 12 2 2 3 2 2" xfId="15277" xr:uid="{00000000-0005-0000-0000-0000FB000000}"/>
    <cellStyle name="20% - Accent1 12 2 2 3 2 2 2" xfId="39120" xr:uid="{1B6ACDBE-6065-4125-8A5E-1898393E6B28}"/>
    <cellStyle name="20% - Accent1 12 2 2 3 2 3" xfId="23223" xr:uid="{00000000-0005-0000-0000-0000FC000000}"/>
    <cellStyle name="20% - Accent1 12 2 2 3 2 3 2" xfId="47056" xr:uid="{CA4EFAE2-2CA3-4F98-99A9-DB2EE4C148C1}"/>
    <cellStyle name="20% - Accent1 12 2 2 3 2 4" xfId="31179" xr:uid="{CFA7D174-2847-459C-A9AC-8DD34A87F7E6}"/>
    <cellStyle name="20% - Accent1 12 2 2 3 3" xfId="11739" xr:uid="{00000000-0005-0000-0000-0000FD000000}"/>
    <cellStyle name="20% - Accent1 12 2 2 3 3 2" xfId="35589" xr:uid="{D350C77B-2F29-42F4-8D30-D07D694ADBCA}"/>
    <cellStyle name="20% - Accent1 12 2 2 3 4" xfId="19694" xr:uid="{00000000-0005-0000-0000-0000FE000000}"/>
    <cellStyle name="20% - Accent1 12 2 2 3 4 2" xfId="43527" xr:uid="{367AF1CC-6DE5-44F8-B3CE-1DBA7D580D1F}"/>
    <cellStyle name="20% - Accent1 12 2 2 3 5" xfId="27648" xr:uid="{06E322ED-DCC0-4A8C-B37B-E830011EC382}"/>
    <cellStyle name="20% - Accent1 12 2 2 4" xfId="5534" xr:uid="{00000000-0005-0000-0000-0000FF000000}"/>
    <cellStyle name="20% - Accent1 12 2 2 4 2" xfId="13518" xr:uid="{00000000-0005-0000-0000-000000010000}"/>
    <cellStyle name="20% - Accent1 12 2 2 4 2 2" xfId="37362" xr:uid="{6F7937D2-797D-4EDC-9E5A-EA7E5368E358}"/>
    <cellStyle name="20% - Accent1 12 2 2 4 3" xfId="21466" xr:uid="{00000000-0005-0000-0000-000001010000}"/>
    <cellStyle name="20% - Accent1 12 2 2 4 3 2" xfId="45299" xr:uid="{A58912DF-DF44-476A-BFFE-6623B0077646}"/>
    <cellStyle name="20% - Accent1 12 2 2 4 4" xfId="29421" xr:uid="{4F0C71AD-9C5B-410A-B499-30E0BD70FB02}"/>
    <cellStyle name="20% - Accent1 12 2 2 5" xfId="9087" xr:uid="{00000000-0005-0000-0000-000002010000}"/>
    <cellStyle name="20% - Accent1 12 2 2 5 2" xfId="17045" xr:uid="{00000000-0005-0000-0000-000003010000}"/>
    <cellStyle name="20% - Accent1 12 2 2 5 2 2" xfId="40886" xr:uid="{6F68F345-DA2B-4648-8551-137358269877}"/>
    <cellStyle name="20% - Accent1 12 2 2 5 3" xfId="24989" xr:uid="{00000000-0005-0000-0000-000004010000}"/>
    <cellStyle name="20% - Accent1 12 2 2 5 3 2" xfId="48822" xr:uid="{6A423494-B06F-4B31-8B0C-6DA556448933}"/>
    <cellStyle name="20% - Accent1 12 2 2 5 4" xfId="32945" xr:uid="{975622CD-F0B3-4870-94D5-E758B8E5BCEB}"/>
    <cellStyle name="20% - Accent1 12 2 2 6" xfId="9983" xr:uid="{00000000-0005-0000-0000-000005010000}"/>
    <cellStyle name="20% - Accent1 12 2 2 6 2" xfId="33833" xr:uid="{017DD113-1547-4E37-A506-512E9C0503E7}"/>
    <cellStyle name="20% - Accent1 12 2 2 7" xfId="17938" xr:uid="{00000000-0005-0000-0000-000006010000}"/>
    <cellStyle name="20% - Accent1 12 2 2 7 2" xfId="41771" xr:uid="{F6C7B7EA-D80D-4F98-8BF7-BA8BEA7693E5}"/>
    <cellStyle name="20% - Accent1 12 2 2 8" xfId="25891" xr:uid="{EE694A3A-AD27-40F7-9B3E-978441050ACC}"/>
    <cellStyle name="20% - Accent1 12 2 2_Exh G" xfId="1959" xr:uid="{00000000-0005-0000-0000-000007010000}"/>
    <cellStyle name="20% - Accent1 12 2 3" xfId="1062" xr:uid="{00000000-0005-0000-0000-000008010000}"/>
    <cellStyle name="20% - Accent1 12 2 3 2" xfId="4592" xr:uid="{00000000-0005-0000-0000-000009010000}"/>
    <cellStyle name="20% - Accent1 12 2 3 2 2" xfId="8183" xr:uid="{00000000-0005-0000-0000-00000A010000}"/>
    <cellStyle name="20% - Accent1 12 2 3 2 2 2" xfId="16154" xr:uid="{00000000-0005-0000-0000-00000B010000}"/>
    <cellStyle name="20% - Accent1 12 2 3 2 2 2 2" xfId="39997" xr:uid="{C6E0F24E-5152-4DFC-B88A-E5C3D972F697}"/>
    <cellStyle name="20% - Accent1 12 2 3 2 2 3" xfId="24100" xr:uid="{00000000-0005-0000-0000-00000C010000}"/>
    <cellStyle name="20% - Accent1 12 2 3 2 2 3 2" xfId="47933" xr:uid="{B991E387-DFD1-4C8F-B55A-41A74D86E292}"/>
    <cellStyle name="20% - Accent1 12 2 3 2 2 4" xfId="32056" xr:uid="{7ADAD8A0-1C06-4B6F-92C5-650D3133D2B1}"/>
    <cellStyle name="20% - Accent1 12 2 3 2 3" xfId="12616" xr:uid="{00000000-0005-0000-0000-00000D010000}"/>
    <cellStyle name="20% - Accent1 12 2 3 2 3 2" xfId="36466" xr:uid="{CA3B03D0-DBBE-40C0-AB1F-D5E1F5D38DB1}"/>
    <cellStyle name="20% - Accent1 12 2 3 2 4" xfId="20571" xr:uid="{00000000-0005-0000-0000-00000E010000}"/>
    <cellStyle name="20% - Accent1 12 2 3 2 4 2" xfId="44404" xr:uid="{5ACACAC5-9EA8-4348-87EC-C8EB8A8EBFFA}"/>
    <cellStyle name="20% - Accent1 12 2 3 2 5" xfId="28525" xr:uid="{45EA3ACF-DF2B-4A40-951D-F7ABEDBC17AE}"/>
    <cellStyle name="20% - Accent1 12 2 3 3" xfId="6424" xr:uid="{00000000-0005-0000-0000-00000F010000}"/>
    <cellStyle name="20% - Accent1 12 2 3 3 2" xfId="14396" xr:uid="{00000000-0005-0000-0000-000010010000}"/>
    <cellStyle name="20% - Accent1 12 2 3 3 2 2" xfId="38239" xr:uid="{EA03851A-6F08-441B-8F33-D0C24D83C499}"/>
    <cellStyle name="20% - Accent1 12 2 3 3 3" xfId="22343" xr:uid="{00000000-0005-0000-0000-000011010000}"/>
    <cellStyle name="20% - Accent1 12 2 3 3 3 2" xfId="46176" xr:uid="{1A4B3B16-BB84-4B12-BAF8-9DBFA8492A22}"/>
    <cellStyle name="20% - Accent1 12 2 3 3 4" xfId="30298" xr:uid="{9612D94A-51C9-4ECD-A4DA-045D2031CF7B}"/>
    <cellStyle name="20% - Accent1 12 2 3 4" xfId="10860" xr:uid="{00000000-0005-0000-0000-000012010000}"/>
    <cellStyle name="20% - Accent1 12 2 3 4 2" xfId="34710" xr:uid="{1FD0DF3F-1B6D-4437-8039-ED50DDD1BBDA}"/>
    <cellStyle name="20% - Accent1 12 2 3 5" xfId="18815" xr:uid="{00000000-0005-0000-0000-000013010000}"/>
    <cellStyle name="20% - Accent1 12 2 3 5 2" xfId="42648" xr:uid="{D52DCF90-2911-41FD-A2EC-FE284C340875}"/>
    <cellStyle name="20% - Accent1 12 2 3 6" xfId="26768" xr:uid="{0142C96B-B1FB-433F-AAAB-2BBB0B463926}"/>
    <cellStyle name="20% - Accent1 12 2 3_Exh G" xfId="1961" xr:uid="{00000000-0005-0000-0000-000014010000}"/>
    <cellStyle name="20% - Accent1 12 2 4" xfId="3713" xr:uid="{00000000-0005-0000-0000-000015010000}"/>
    <cellStyle name="20% - Accent1 12 2 4 2" xfId="7305" xr:uid="{00000000-0005-0000-0000-000016010000}"/>
    <cellStyle name="20% - Accent1 12 2 4 2 2" xfId="15276" xr:uid="{00000000-0005-0000-0000-000017010000}"/>
    <cellStyle name="20% - Accent1 12 2 4 2 2 2" xfId="39119" xr:uid="{F1E2F159-A368-40A5-9D4D-74AC49B67F8C}"/>
    <cellStyle name="20% - Accent1 12 2 4 2 3" xfId="23222" xr:uid="{00000000-0005-0000-0000-000018010000}"/>
    <cellStyle name="20% - Accent1 12 2 4 2 3 2" xfId="47055" xr:uid="{DE62C06A-A841-4E53-B9D1-6F03A6FF9DB8}"/>
    <cellStyle name="20% - Accent1 12 2 4 2 4" xfId="31178" xr:uid="{54F1E031-257A-4491-B33E-7C43CE0969CE}"/>
    <cellStyle name="20% - Accent1 12 2 4 3" xfId="11738" xr:uid="{00000000-0005-0000-0000-000019010000}"/>
    <cellStyle name="20% - Accent1 12 2 4 3 2" xfId="35588" xr:uid="{D548C1E9-353E-46A1-9108-B4D8D4BB517F}"/>
    <cellStyle name="20% - Accent1 12 2 4 4" xfId="19693" xr:uid="{00000000-0005-0000-0000-00001A010000}"/>
    <cellStyle name="20% - Accent1 12 2 4 4 2" xfId="43526" xr:uid="{943F2636-7B71-45FF-8D6E-902241826BA1}"/>
    <cellStyle name="20% - Accent1 12 2 4 5" xfId="27647" xr:uid="{3EE24360-C107-4094-A39F-9088963D4FC2}"/>
    <cellStyle name="20% - Accent1 12 2 5" xfId="5533" xr:uid="{00000000-0005-0000-0000-00001B010000}"/>
    <cellStyle name="20% - Accent1 12 2 5 2" xfId="13517" xr:uid="{00000000-0005-0000-0000-00001C010000}"/>
    <cellStyle name="20% - Accent1 12 2 5 2 2" xfId="37361" xr:uid="{DF2C83AA-8174-4AAB-BDDB-4FCF56F07C4F}"/>
    <cellStyle name="20% - Accent1 12 2 5 3" xfId="21465" xr:uid="{00000000-0005-0000-0000-00001D010000}"/>
    <cellStyle name="20% - Accent1 12 2 5 3 2" xfId="45298" xr:uid="{5D188469-B712-43CA-B79C-4A654893F1D8}"/>
    <cellStyle name="20% - Accent1 12 2 5 4" xfId="29420" xr:uid="{9FAB63A6-AE1A-4C9A-86B2-CD07BD394D9A}"/>
    <cellStyle name="20% - Accent1 12 2 6" xfId="9086" xr:uid="{00000000-0005-0000-0000-00001E010000}"/>
    <cellStyle name="20% - Accent1 12 2 6 2" xfId="17044" xr:uid="{00000000-0005-0000-0000-00001F010000}"/>
    <cellStyle name="20% - Accent1 12 2 6 2 2" xfId="40885" xr:uid="{9AAA874B-4EB8-4A6A-A4FB-164E5698577F}"/>
    <cellStyle name="20% - Accent1 12 2 6 3" xfId="24988" xr:uid="{00000000-0005-0000-0000-000020010000}"/>
    <cellStyle name="20% - Accent1 12 2 6 3 2" xfId="48821" xr:uid="{15F658CD-ACAD-4135-A057-10EA01DD4253}"/>
    <cellStyle name="20% - Accent1 12 2 6 4" xfId="32944" xr:uid="{3978589E-A335-467E-BA1D-57818ADF2F1D}"/>
    <cellStyle name="20% - Accent1 12 2 7" xfId="9982" xr:uid="{00000000-0005-0000-0000-000021010000}"/>
    <cellStyle name="20% - Accent1 12 2 7 2" xfId="33832" xr:uid="{98377D6A-8451-4E3A-B259-1418877A8896}"/>
    <cellStyle name="20% - Accent1 12 2 8" xfId="17937" xr:uid="{00000000-0005-0000-0000-000022010000}"/>
    <cellStyle name="20% - Accent1 12 2 8 2" xfId="41770" xr:uid="{9E9F4174-A3D2-4C56-AEAF-044327A9B0ED}"/>
    <cellStyle name="20% - Accent1 12 2 9" xfId="25890" xr:uid="{C2684D3F-36EE-4B04-BEF2-60EB132DDF43}"/>
    <cellStyle name="20% - Accent1 12 2_Exh G" xfId="1958" xr:uid="{00000000-0005-0000-0000-000023010000}"/>
    <cellStyle name="20% - Accent1 12 3" xfId="36" xr:uid="{00000000-0005-0000-0000-000024010000}"/>
    <cellStyle name="20% - Accent1 12 3 2" xfId="1064" xr:uid="{00000000-0005-0000-0000-000025010000}"/>
    <cellStyle name="20% - Accent1 12 3 2 2" xfId="4594" xr:uid="{00000000-0005-0000-0000-000026010000}"/>
    <cellStyle name="20% - Accent1 12 3 2 2 2" xfId="8185" xr:uid="{00000000-0005-0000-0000-000027010000}"/>
    <cellStyle name="20% - Accent1 12 3 2 2 2 2" xfId="16156" xr:uid="{00000000-0005-0000-0000-000028010000}"/>
    <cellStyle name="20% - Accent1 12 3 2 2 2 2 2" xfId="39999" xr:uid="{3DD1967E-40D2-4DEB-9475-B0EA0BCDC196}"/>
    <cellStyle name="20% - Accent1 12 3 2 2 2 3" xfId="24102" xr:uid="{00000000-0005-0000-0000-000029010000}"/>
    <cellStyle name="20% - Accent1 12 3 2 2 2 3 2" xfId="47935" xr:uid="{0A57EE38-354A-422D-A90C-128F9B44781A}"/>
    <cellStyle name="20% - Accent1 12 3 2 2 2 4" xfId="32058" xr:uid="{90D57A72-E38A-43B7-A28B-09267189AC40}"/>
    <cellStyle name="20% - Accent1 12 3 2 2 3" xfId="12618" xr:uid="{00000000-0005-0000-0000-00002A010000}"/>
    <cellStyle name="20% - Accent1 12 3 2 2 3 2" xfId="36468" xr:uid="{7BA863A8-28C8-4280-BEEF-EE4528F31ECF}"/>
    <cellStyle name="20% - Accent1 12 3 2 2 4" xfId="20573" xr:uid="{00000000-0005-0000-0000-00002B010000}"/>
    <cellStyle name="20% - Accent1 12 3 2 2 4 2" xfId="44406" xr:uid="{90946ED2-7D8F-4444-B1A8-BD991F951F71}"/>
    <cellStyle name="20% - Accent1 12 3 2 2 5" xfId="28527" xr:uid="{9C090719-E104-4742-9D74-5C6DC0DCD0C9}"/>
    <cellStyle name="20% - Accent1 12 3 2 3" xfId="6426" xr:uid="{00000000-0005-0000-0000-00002C010000}"/>
    <cellStyle name="20% - Accent1 12 3 2 3 2" xfId="14398" xr:uid="{00000000-0005-0000-0000-00002D010000}"/>
    <cellStyle name="20% - Accent1 12 3 2 3 2 2" xfId="38241" xr:uid="{0D8576D7-032E-4278-828B-C3C9A904F1F6}"/>
    <cellStyle name="20% - Accent1 12 3 2 3 3" xfId="22345" xr:uid="{00000000-0005-0000-0000-00002E010000}"/>
    <cellStyle name="20% - Accent1 12 3 2 3 3 2" xfId="46178" xr:uid="{CF0F46ED-1675-4C48-B3FA-42042F3EF195}"/>
    <cellStyle name="20% - Accent1 12 3 2 3 4" xfId="30300" xr:uid="{26B09D1D-C820-43ED-82C1-76ADDFD83685}"/>
    <cellStyle name="20% - Accent1 12 3 2 4" xfId="10862" xr:uid="{00000000-0005-0000-0000-00002F010000}"/>
    <cellStyle name="20% - Accent1 12 3 2 4 2" xfId="34712" xr:uid="{3CDB5BDF-B49A-45A6-B646-4C2DA7032B8D}"/>
    <cellStyle name="20% - Accent1 12 3 2 5" xfId="18817" xr:uid="{00000000-0005-0000-0000-000030010000}"/>
    <cellStyle name="20% - Accent1 12 3 2 5 2" xfId="42650" xr:uid="{90BCDCD2-33C0-42D4-AB3D-DEF85F3E0CAA}"/>
    <cellStyle name="20% - Accent1 12 3 2 6" xfId="26770" xr:uid="{450D67D6-4AFE-40DD-AB09-B48B1B6E2CBD}"/>
    <cellStyle name="20% - Accent1 12 3 2_Exh G" xfId="1963" xr:uid="{00000000-0005-0000-0000-000031010000}"/>
    <cellStyle name="20% - Accent1 12 3 3" xfId="3715" xr:uid="{00000000-0005-0000-0000-000032010000}"/>
    <cellStyle name="20% - Accent1 12 3 3 2" xfId="7307" xr:uid="{00000000-0005-0000-0000-000033010000}"/>
    <cellStyle name="20% - Accent1 12 3 3 2 2" xfId="15278" xr:uid="{00000000-0005-0000-0000-000034010000}"/>
    <cellStyle name="20% - Accent1 12 3 3 2 2 2" xfId="39121" xr:uid="{649989BA-6BEE-4C4B-8D67-B88C61563B0E}"/>
    <cellStyle name="20% - Accent1 12 3 3 2 3" xfId="23224" xr:uid="{00000000-0005-0000-0000-000035010000}"/>
    <cellStyle name="20% - Accent1 12 3 3 2 3 2" xfId="47057" xr:uid="{1C00F14B-7422-4FE2-BDFB-3A86C0355ACC}"/>
    <cellStyle name="20% - Accent1 12 3 3 2 4" xfId="31180" xr:uid="{0ED338D8-C371-4506-968C-99FF7ECA6076}"/>
    <cellStyle name="20% - Accent1 12 3 3 3" xfId="11740" xr:uid="{00000000-0005-0000-0000-000036010000}"/>
    <cellStyle name="20% - Accent1 12 3 3 3 2" xfId="35590" xr:uid="{3C41810B-D682-4AD2-88D1-75F958E1E08C}"/>
    <cellStyle name="20% - Accent1 12 3 3 4" xfId="19695" xr:uid="{00000000-0005-0000-0000-000037010000}"/>
    <cellStyle name="20% - Accent1 12 3 3 4 2" xfId="43528" xr:uid="{9D5CE3B4-0257-4467-8C41-911D60161523}"/>
    <cellStyle name="20% - Accent1 12 3 3 5" xfId="27649" xr:uid="{603FD1CE-7BDD-4A66-BF9C-1B9855717B4D}"/>
    <cellStyle name="20% - Accent1 12 3 4" xfId="5535" xr:uid="{00000000-0005-0000-0000-000038010000}"/>
    <cellStyle name="20% - Accent1 12 3 4 2" xfId="13519" xr:uid="{00000000-0005-0000-0000-000039010000}"/>
    <cellStyle name="20% - Accent1 12 3 4 2 2" xfId="37363" xr:uid="{CFEF37C5-7A74-4D38-BB80-1F99BDEF4646}"/>
    <cellStyle name="20% - Accent1 12 3 4 3" xfId="21467" xr:uid="{00000000-0005-0000-0000-00003A010000}"/>
    <cellStyle name="20% - Accent1 12 3 4 3 2" xfId="45300" xr:uid="{642B1BC7-43F9-4F1E-9EC5-527285BA2C09}"/>
    <cellStyle name="20% - Accent1 12 3 4 4" xfId="29422" xr:uid="{3C64C0A4-71C7-4995-B018-728C3609222F}"/>
    <cellStyle name="20% - Accent1 12 3 5" xfId="9088" xr:uid="{00000000-0005-0000-0000-00003B010000}"/>
    <cellStyle name="20% - Accent1 12 3 5 2" xfId="17046" xr:uid="{00000000-0005-0000-0000-00003C010000}"/>
    <cellStyle name="20% - Accent1 12 3 5 2 2" xfId="40887" xr:uid="{9C96214D-B5E7-4D1D-A710-8A24BB94699F}"/>
    <cellStyle name="20% - Accent1 12 3 5 3" xfId="24990" xr:uid="{00000000-0005-0000-0000-00003D010000}"/>
    <cellStyle name="20% - Accent1 12 3 5 3 2" xfId="48823" xr:uid="{D8AC2B05-33FF-4347-B73A-2107C8A0E55D}"/>
    <cellStyle name="20% - Accent1 12 3 5 4" xfId="32946" xr:uid="{38AA623C-7C8E-41DF-B50F-001FDB908CEF}"/>
    <cellStyle name="20% - Accent1 12 3 6" xfId="9984" xr:uid="{00000000-0005-0000-0000-00003E010000}"/>
    <cellStyle name="20% - Accent1 12 3 6 2" xfId="33834" xr:uid="{EDEEF180-259A-405E-AAD2-BB5BB873776B}"/>
    <cellStyle name="20% - Accent1 12 3 7" xfId="17939" xr:uid="{00000000-0005-0000-0000-00003F010000}"/>
    <cellStyle name="20% - Accent1 12 3 7 2" xfId="41772" xr:uid="{5EFC08D7-6638-4BB3-855D-3DB0C9CE9ED6}"/>
    <cellStyle name="20% - Accent1 12 3 8" xfId="25892" xr:uid="{ABC47DC3-7643-4D87-8FA8-42ED77067527}"/>
    <cellStyle name="20% - Accent1 12 3_Exh G" xfId="1962" xr:uid="{00000000-0005-0000-0000-000040010000}"/>
    <cellStyle name="20% - Accent1 12 4" xfId="1061" xr:uid="{00000000-0005-0000-0000-000041010000}"/>
    <cellStyle name="20% - Accent1 12 4 2" xfId="4591" xr:uid="{00000000-0005-0000-0000-000042010000}"/>
    <cellStyle name="20% - Accent1 12 4 2 2" xfId="8182" xr:uid="{00000000-0005-0000-0000-000043010000}"/>
    <cellStyle name="20% - Accent1 12 4 2 2 2" xfId="16153" xr:uid="{00000000-0005-0000-0000-000044010000}"/>
    <cellStyle name="20% - Accent1 12 4 2 2 2 2" xfId="39996" xr:uid="{9FF6A678-EBF4-457D-8F49-E13E34E972D0}"/>
    <cellStyle name="20% - Accent1 12 4 2 2 3" xfId="24099" xr:uid="{00000000-0005-0000-0000-000045010000}"/>
    <cellStyle name="20% - Accent1 12 4 2 2 3 2" xfId="47932" xr:uid="{6225E115-0818-4550-A0F7-E39FDF7ED5E0}"/>
    <cellStyle name="20% - Accent1 12 4 2 2 4" xfId="32055" xr:uid="{26E0681C-4028-42C0-BBA6-C3BBF94D5A26}"/>
    <cellStyle name="20% - Accent1 12 4 2 3" xfId="12615" xr:uid="{00000000-0005-0000-0000-000046010000}"/>
    <cellStyle name="20% - Accent1 12 4 2 3 2" xfId="36465" xr:uid="{75F90B0E-C891-4C6E-9E1F-FCC1B8C3A0F8}"/>
    <cellStyle name="20% - Accent1 12 4 2 4" xfId="20570" xr:uid="{00000000-0005-0000-0000-000047010000}"/>
    <cellStyle name="20% - Accent1 12 4 2 4 2" xfId="44403" xr:uid="{2C064F8B-4BC2-4DCD-A142-06418473B2EE}"/>
    <cellStyle name="20% - Accent1 12 4 2 5" xfId="28524" xr:uid="{A25A8AB9-0291-4D21-A0BE-72B5D1F1475A}"/>
    <cellStyle name="20% - Accent1 12 4 3" xfId="6423" xr:uid="{00000000-0005-0000-0000-000048010000}"/>
    <cellStyle name="20% - Accent1 12 4 3 2" xfId="14395" xr:uid="{00000000-0005-0000-0000-000049010000}"/>
    <cellStyle name="20% - Accent1 12 4 3 2 2" xfId="38238" xr:uid="{D74F99B4-ADAF-4667-B9E6-D46F8AE61774}"/>
    <cellStyle name="20% - Accent1 12 4 3 3" xfId="22342" xr:uid="{00000000-0005-0000-0000-00004A010000}"/>
    <cellStyle name="20% - Accent1 12 4 3 3 2" xfId="46175" xr:uid="{6D7D7FF8-1336-4124-AFA1-B3A6DF6036EE}"/>
    <cellStyle name="20% - Accent1 12 4 3 4" xfId="30297" xr:uid="{2B09B89E-77F7-4278-BDFD-7E975B25AEEB}"/>
    <cellStyle name="20% - Accent1 12 4 4" xfId="10859" xr:uid="{00000000-0005-0000-0000-00004B010000}"/>
    <cellStyle name="20% - Accent1 12 4 4 2" xfId="34709" xr:uid="{4649ED57-1A0B-4AF9-BAE5-2D735E750AFF}"/>
    <cellStyle name="20% - Accent1 12 4 5" xfId="18814" xr:uid="{00000000-0005-0000-0000-00004C010000}"/>
    <cellStyle name="20% - Accent1 12 4 5 2" xfId="42647" xr:uid="{4B7C8B56-FAE2-4F68-886E-382C275423C6}"/>
    <cellStyle name="20% - Accent1 12 4 6" xfId="26767" xr:uid="{BF66B095-1BF9-46C4-B294-520140FDA6DB}"/>
    <cellStyle name="20% - Accent1 12 4_Exh G" xfId="1964" xr:uid="{00000000-0005-0000-0000-00004D010000}"/>
    <cellStyle name="20% - Accent1 12 5" xfId="3712" xr:uid="{00000000-0005-0000-0000-00004E010000}"/>
    <cellStyle name="20% - Accent1 12 5 2" xfId="7304" xr:uid="{00000000-0005-0000-0000-00004F010000}"/>
    <cellStyle name="20% - Accent1 12 5 2 2" xfId="15275" xr:uid="{00000000-0005-0000-0000-000050010000}"/>
    <cellStyle name="20% - Accent1 12 5 2 2 2" xfId="39118" xr:uid="{E551DA3D-1EE9-47FE-ABA3-EF348651DE5A}"/>
    <cellStyle name="20% - Accent1 12 5 2 3" xfId="23221" xr:uid="{00000000-0005-0000-0000-000051010000}"/>
    <cellStyle name="20% - Accent1 12 5 2 3 2" xfId="47054" xr:uid="{AFFE9128-36B1-42C7-B4C9-DA20349A0EDE}"/>
    <cellStyle name="20% - Accent1 12 5 2 4" xfId="31177" xr:uid="{7A859D01-264F-4DDF-96EE-3721C7B027D7}"/>
    <cellStyle name="20% - Accent1 12 5 3" xfId="11737" xr:uid="{00000000-0005-0000-0000-000052010000}"/>
    <cellStyle name="20% - Accent1 12 5 3 2" xfId="35587" xr:uid="{3A416ADA-D800-48F7-95D0-A58CAD5A3955}"/>
    <cellStyle name="20% - Accent1 12 5 4" xfId="19692" xr:uid="{00000000-0005-0000-0000-000053010000}"/>
    <cellStyle name="20% - Accent1 12 5 4 2" xfId="43525" xr:uid="{F57D4B84-6155-46B1-85DE-A56CD814674D}"/>
    <cellStyle name="20% - Accent1 12 5 5" xfId="27646" xr:uid="{AAB3FAA5-1D1A-4734-B17B-D89E8D6833AB}"/>
    <cellStyle name="20% - Accent1 12 6" xfId="5532" xr:uid="{00000000-0005-0000-0000-000054010000}"/>
    <cellStyle name="20% - Accent1 12 6 2" xfId="13516" xr:uid="{00000000-0005-0000-0000-000055010000}"/>
    <cellStyle name="20% - Accent1 12 6 2 2" xfId="37360" xr:uid="{9F30532E-4272-4A57-BE92-97321FF74E1E}"/>
    <cellStyle name="20% - Accent1 12 6 3" xfId="21464" xr:uid="{00000000-0005-0000-0000-000056010000}"/>
    <cellStyle name="20% - Accent1 12 6 3 2" xfId="45297" xr:uid="{8CAEB7C9-5B54-4F95-A640-85D295D02BF9}"/>
    <cellStyle name="20% - Accent1 12 6 4" xfId="29419" xr:uid="{BC485048-2063-460C-A3FC-619FD9C2A0B1}"/>
    <cellStyle name="20% - Accent1 12 7" xfId="9085" xr:uid="{00000000-0005-0000-0000-000057010000}"/>
    <cellStyle name="20% - Accent1 12 7 2" xfId="17043" xr:uid="{00000000-0005-0000-0000-000058010000}"/>
    <cellStyle name="20% - Accent1 12 7 2 2" xfId="40884" xr:uid="{12A91051-3EC3-4F49-9B45-754FC884A7BE}"/>
    <cellStyle name="20% - Accent1 12 7 3" xfId="24987" xr:uid="{00000000-0005-0000-0000-000059010000}"/>
    <cellStyle name="20% - Accent1 12 7 3 2" xfId="48820" xr:uid="{4D866ECD-1B1C-407B-97A3-9BEC3A82A2C2}"/>
    <cellStyle name="20% - Accent1 12 7 4" xfId="32943" xr:uid="{ED3145F3-49DA-42D0-8BF4-229054D4D864}"/>
    <cellStyle name="20% - Accent1 12 8" xfId="9981" xr:uid="{00000000-0005-0000-0000-00005A010000}"/>
    <cellStyle name="20% - Accent1 12 8 2" xfId="33831" xr:uid="{F9E392A8-A83D-4F9A-9349-BB6597304D1E}"/>
    <cellStyle name="20% - Accent1 12 9" xfId="17936" xr:uid="{00000000-0005-0000-0000-00005B010000}"/>
    <cellStyle name="20% - Accent1 12 9 2" xfId="41769" xr:uid="{DF5B9D94-9AEF-4344-A512-71970577D7E1}"/>
    <cellStyle name="20% - Accent1 12_Exh G" xfId="1957" xr:uid="{00000000-0005-0000-0000-00005C010000}"/>
    <cellStyle name="20% - Accent1 13" xfId="37" xr:uid="{00000000-0005-0000-0000-00005D010000}"/>
    <cellStyle name="20% - Accent1 13 10" xfId="25893" xr:uid="{346FBD3C-D6BA-4DD0-961B-3F65EC16DFBC}"/>
    <cellStyle name="20% - Accent1 13 2" xfId="38" xr:uid="{00000000-0005-0000-0000-00005E010000}"/>
    <cellStyle name="20% - Accent1 13 2 2" xfId="39" xr:uid="{00000000-0005-0000-0000-00005F010000}"/>
    <cellStyle name="20% - Accent1 13 2 2 2" xfId="1067" xr:uid="{00000000-0005-0000-0000-000060010000}"/>
    <cellStyle name="20% - Accent1 13 2 2 2 2" xfId="4597" xr:uid="{00000000-0005-0000-0000-000061010000}"/>
    <cellStyle name="20% - Accent1 13 2 2 2 2 2" xfId="8188" xr:uid="{00000000-0005-0000-0000-000062010000}"/>
    <cellStyle name="20% - Accent1 13 2 2 2 2 2 2" xfId="16159" xr:uid="{00000000-0005-0000-0000-000063010000}"/>
    <cellStyle name="20% - Accent1 13 2 2 2 2 2 2 2" xfId="40002" xr:uid="{6C5A24FE-5506-4E36-87D9-5253FDB07CE4}"/>
    <cellStyle name="20% - Accent1 13 2 2 2 2 2 3" xfId="24105" xr:uid="{00000000-0005-0000-0000-000064010000}"/>
    <cellStyle name="20% - Accent1 13 2 2 2 2 2 3 2" xfId="47938" xr:uid="{5256D91A-11C1-47C2-A56D-A8D7BF854E25}"/>
    <cellStyle name="20% - Accent1 13 2 2 2 2 2 4" xfId="32061" xr:uid="{D6E48250-68CE-4CCB-8959-4C8F93B35B31}"/>
    <cellStyle name="20% - Accent1 13 2 2 2 2 3" xfId="12621" xr:uid="{00000000-0005-0000-0000-000065010000}"/>
    <cellStyle name="20% - Accent1 13 2 2 2 2 3 2" xfId="36471" xr:uid="{C95E56DD-EC3E-4BED-8750-306351A197CE}"/>
    <cellStyle name="20% - Accent1 13 2 2 2 2 4" xfId="20576" xr:uid="{00000000-0005-0000-0000-000066010000}"/>
    <cellStyle name="20% - Accent1 13 2 2 2 2 4 2" xfId="44409" xr:uid="{B5225973-44F6-4393-B0B4-34EAE2BEB806}"/>
    <cellStyle name="20% - Accent1 13 2 2 2 2 5" xfId="28530" xr:uid="{EC8A5FDC-BA29-4C88-BB39-437FBE8F428C}"/>
    <cellStyle name="20% - Accent1 13 2 2 2 3" xfId="6429" xr:uid="{00000000-0005-0000-0000-000067010000}"/>
    <cellStyle name="20% - Accent1 13 2 2 2 3 2" xfId="14401" xr:uid="{00000000-0005-0000-0000-000068010000}"/>
    <cellStyle name="20% - Accent1 13 2 2 2 3 2 2" xfId="38244" xr:uid="{A545CAC4-C858-44C0-9FA7-FC642AD5B706}"/>
    <cellStyle name="20% - Accent1 13 2 2 2 3 3" xfId="22348" xr:uid="{00000000-0005-0000-0000-000069010000}"/>
    <cellStyle name="20% - Accent1 13 2 2 2 3 3 2" xfId="46181" xr:uid="{DAC695E5-449C-4776-905C-36FA7B455254}"/>
    <cellStyle name="20% - Accent1 13 2 2 2 3 4" xfId="30303" xr:uid="{FC4ABC74-8B4C-4544-BE13-8A7270659C68}"/>
    <cellStyle name="20% - Accent1 13 2 2 2 4" xfId="10865" xr:uid="{00000000-0005-0000-0000-00006A010000}"/>
    <cellStyle name="20% - Accent1 13 2 2 2 4 2" xfId="34715" xr:uid="{3F4CE73C-3140-4849-AF5A-AF3953E68FA1}"/>
    <cellStyle name="20% - Accent1 13 2 2 2 5" xfId="18820" xr:uid="{00000000-0005-0000-0000-00006B010000}"/>
    <cellStyle name="20% - Accent1 13 2 2 2 5 2" xfId="42653" xr:uid="{CF006494-278F-4F3A-81E4-20B61F364D86}"/>
    <cellStyle name="20% - Accent1 13 2 2 2 6" xfId="26773" xr:uid="{CB1495B3-F30E-4A99-94C9-1F0030A05A6B}"/>
    <cellStyle name="20% - Accent1 13 2 2 2_Exh G" xfId="1968" xr:uid="{00000000-0005-0000-0000-00006C010000}"/>
    <cellStyle name="20% - Accent1 13 2 2 3" xfId="3718" xr:uid="{00000000-0005-0000-0000-00006D010000}"/>
    <cellStyle name="20% - Accent1 13 2 2 3 2" xfId="7310" xr:uid="{00000000-0005-0000-0000-00006E010000}"/>
    <cellStyle name="20% - Accent1 13 2 2 3 2 2" xfId="15281" xr:uid="{00000000-0005-0000-0000-00006F010000}"/>
    <cellStyle name="20% - Accent1 13 2 2 3 2 2 2" xfId="39124" xr:uid="{7363EB53-7AF6-4090-946D-345D6AED05FC}"/>
    <cellStyle name="20% - Accent1 13 2 2 3 2 3" xfId="23227" xr:uid="{00000000-0005-0000-0000-000070010000}"/>
    <cellStyle name="20% - Accent1 13 2 2 3 2 3 2" xfId="47060" xr:uid="{FDD6D5E3-2762-4F6A-AA16-6F8DD5D4F7EB}"/>
    <cellStyle name="20% - Accent1 13 2 2 3 2 4" xfId="31183" xr:uid="{43E86B35-0A4F-41D2-B789-085EBF005B30}"/>
    <cellStyle name="20% - Accent1 13 2 2 3 3" xfId="11743" xr:uid="{00000000-0005-0000-0000-000071010000}"/>
    <cellStyle name="20% - Accent1 13 2 2 3 3 2" xfId="35593" xr:uid="{29DA947B-16CB-45AC-A7FD-525B76401039}"/>
    <cellStyle name="20% - Accent1 13 2 2 3 4" xfId="19698" xr:uid="{00000000-0005-0000-0000-000072010000}"/>
    <cellStyle name="20% - Accent1 13 2 2 3 4 2" xfId="43531" xr:uid="{ABE16199-B17C-48A0-AD0E-60440D84C05A}"/>
    <cellStyle name="20% - Accent1 13 2 2 3 5" xfId="27652" xr:uid="{557E9375-77D7-4801-A4D3-E87C64593DB8}"/>
    <cellStyle name="20% - Accent1 13 2 2 4" xfId="5538" xr:uid="{00000000-0005-0000-0000-000073010000}"/>
    <cellStyle name="20% - Accent1 13 2 2 4 2" xfId="13522" xr:uid="{00000000-0005-0000-0000-000074010000}"/>
    <cellStyle name="20% - Accent1 13 2 2 4 2 2" xfId="37366" xr:uid="{9DC20833-76F6-49DB-967A-25B2D58218BF}"/>
    <cellStyle name="20% - Accent1 13 2 2 4 3" xfId="21470" xr:uid="{00000000-0005-0000-0000-000075010000}"/>
    <cellStyle name="20% - Accent1 13 2 2 4 3 2" xfId="45303" xr:uid="{CE1D1943-8F21-4146-8FB5-0C59674E0D3E}"/>
    <cellStyle name="20% - Accent1 13 2 2 4 4" xfId="29425" xr:uid="{1E6F8470-14E8-4F7C-9858-D8A07F9EE28A}"/>
    <cellStyle name="20% - Accent1 13 2 2 5" xfId="9091" xr:uid="{00000000-0005-0000-0000-000076010000}"/>
    <cellStyle name="20% - Accent1 13 2 2 5 2" xfId="17049" xr:uid="{00000000-0005-0000-0000-000077010000}"/>
    <cellStyle name="20% - Accent1 13 2 2 5 2 2" xfId="40890" xr:uid="{9C99ADE1-4857-4AAF-8481-2B7D51CDA792}"/>
    <cellStyle name="20% - Accent1 13 2 2 5 3" xfId="24993" xr:uid="{00000000-0005-0000-0000-000078010000}"/>
    <cellStyle name="20% - Accent1 13 2 2 5 3 2" xfId="48826" xr:uid="{FA27A7CA-92E3-4E0B-8EC8-DF5E22DC546F}"/>
    <cellStyle name="20% - Accent1 13 2 2 5 4" xfId="32949" xr:uid="{B2FCB5B7-E842-4AB4-BBDA-381C9DD001E2}"/>
    <cellStyle name="20% - Accent1 13 2 2 6" xfId="9987" xr:uid="{00000000-0005-0000-0000-000079010000}"/>
    <cellStyle name="20% - Accent1 13 2 2 6 2" xfId="33837" xr:uid="{23539F14-2E30-4509-AAFD-D0831FA82C6B}"/>
    <cellStyle name="20% - Accent1 13 2 2 7" xfId="17942" xr:uid="{00000000-0005-0000-0000-00007A010000}"/>
    <cellStyle name="20% - Accent1 13 2 2 7 2" xfId="41775" xr:uid="{499AE355-32F9-4893-ADAA-D33D41E21C7B}"/>
    <cellStyle name="20% - Accent1 13 2 2 8" xfId="25895" xr:uid="{68A0990B-056D-4EFB-9989-AEEBE44BB978}"/>
    <cellStyle name="20% - Accent1 13 2 2_Exh G" xfId="1967" xr:uid="{00000000-0005-0000-0000-00007B010000}"/>
    <cellStyle name="20% - Accent1 13 2 3" xfId="1066" xr:uid="{00000000-0005-0000-0000-00007C010000}"/>
    <cellStyle name="20% - Accent1 13 2 3 2" xfId="4596" xr:uid="{00000000-0005-0000-0000-00007D010000}"/>
    <cellStyle name="20% - Accent1 13 2 3 2 2" xfId="8187" xr:uid="{00000000-0005-0000-0000-00007E010000}"/>
    <cellStyle name="20% - Accent1 13 2 3 2 2 2" xfId="16158" xr:uid="{00000000-0005-0000-0000-00007F010000}"/>
    <cellStyle name="20% - Accent1 13 2 3 2 2 2 2" xfId="40001" xr:uid="{7746E5E7-E2AD-4CF3-AB49-3C4442C78C5D}"/>
    <cellStyle name="20% - Accent1 13 2 3 2 2 3" xfId="24104" xr:uid="{00000000-0005-0000-0000-000080010000}"/>
    <cellStyle name="20% - Accent1 13 2 3 2 2 3 2" xfId="47937" xr:uid="{5C04F6D4-6C25-44B5-8B01-D1DAA2F99E87}"/>
    <cellStyle name="20% - Accent1 13 2 3 2 2 4" xfId="32060" xr:uid="{22DBDFDD-3BFB-4BB4-8952-B65ADAD9E2AD}"/>
    <cellStyle name="20% - Accent1 13 2 3 2 3" xfId="12620" xr:uid="{00000000-0005-0000-0000-000081010000}"/>
    <cellStyle name="20% - Accent1 13 2 3 2 3 2" xfId="36470" xr:uid="{9BB72BAE-4823-4A73-9A16-1D7A5BF178C6}"/>
    <cellStyle name="20% - Accent1 13 2 3 2 4" xfId="20575" xr:uid="{00000000-0005-0000-0000-000082010000}"/>
    <cellStyle name="20% - Accent1 13 2 3 2 4 2" xfId="44408" xr:uid="{0AFFE4FC-4BB7-48AD-ABE8-47131ECEFA55}"/>
    <cellStyle name="20% - Accent1 13 2 3 2 5" xfId="28529" xr:uid="{8C231EB8-2BFD-4373-916B-3685A52DE30A}"/>
    <cellStyle name="20% - Accent1 13 2 3 3" xfId="6428" xr:uid="{00000000-0005-0000-0000-000083010000}"/>
    <cellStyle name="20% - Accent1 13 2 3 3 2" xfId="14400" xr:uid="{00000000-0005-0000-0000-000084010000}"/>
    <cellStyle name="20% - Accent1 13 2 3 3 2 2" xfId="38243" xr:uid="{4E50564C-F899-445C-B254-9B082D8DAA5E}"/>
    <cellStyle name="20% - Accent1 13 2 3 3 3" xfId="22347" xr:uid="{00000000-0005-0000-0000-000085010000}"/>
    <cellStyle name="20% - Accent1 13 2 3 3 3 2" xfId="46180" xr:uid="{63CB794A-B8C0-40CD-83AB-A9BE134D8310}"/>
    <cellStyle name="20% - Accent1 13 2 3 3 4" xfId="30302" xr:uid="{405BD2E1-E81C-459D-833C-1570CB1CAEC1}"/>
    <cellStyle name="20% - Accent1 13 2 3 4" xfId="10864" xr:uid="{00000000-0005-0000-0000-000086010000}"/>
    <cellStyle name="20% - Accent1 13 2 3 4 2" xfId="34714" xr:uid="{E613DABE-52A5-4817-AE38-86305FC72A16}"/>
    <cellStyle name="20% - Accent1 13 2 3 5" xfId="18819" xr:uid="{00000000-0005-0000-0000-000087010000}"/>
    <cellStyle name="20% - Accent1 13 2 3 5 2" xfId="42652" xr:uid="{0E7B0762-0773-4F8C-8C2D-F25FCF1064C2}"/>
    <cellStyle name="20% - Accent1 13 2 3 6" xfId="26772" xr:uid="{1CE8E5AB-B69A-4298-AAFE-69BDCF1CBD45}"/>
    <cellStyle name="20% - Accent1 13 2 3_Exh G" xfId="1969" xr:uid="{00000000-0005-0000-0000-000088010000}"/>
    <cellStyle name="20% - Accent1 13 2 4" xfId="3717" xr:uid="{00000000-0005-0000-0000-000089010000}"/>
    <cellStyle name="20% - Accent1 13 2 4 2" xfId="7309" xr:uid="{00000000-0005-0000-0000-00008A010000}"/>
    <cellStyle name="20% - Accent1 13 2 4 2 2" xfId="15280" xr:uid="{00000000-0005-0000-0000-00008B010000}"/>
    <cellStyle name="20% - Accent1 13 2 4 2 2 2" xfId="39123" xr:uid="{6B51D5AF-B0ED-4120-8070-4C1EBC89F747}"/>
    <cellStyle name="20% - Accent1 13 2 4 2 3" xfId="23226" xr:uid="{00000000-0005-0000-0000-00008C010000}"/>
    <cellStyle name="20% - Accent1 13 2 4 2 3 2" xfId="47059" xr:uid="{3E58E005-AD57-4F79-8EC0-2CFF73B0FBD5}"/>
    <cellStyle name="20% - Accent1 13 2 4 2 4" xfId="31182" xr:uid="{7A4E93DE-AAA1-40F6-9195-48A61D025FF2}"/>
    <cellStyle name="20% - Accent1 13 2 4 3" xfId="11742" xr:uid="{00000000-0005-0000-0000-00008D010000}"/>
    <cellStyle name="20% - Accent1 13 2 4 3 2" xfId="35592" xr:uid="{3D3E55C7-E5B9-4A17-ADA7-5B208E00F0E8}"/>
    <cellStyle name="20% - Accent1 13 2 4 4" xfId="19697" xr:uid="{00000000-0005-0000-0000-00008E010000}"/>
    <cellStyle name="20% - Accent1 13 2 4 4 2" xfId="43530" xr:uid="{1BCD6507-F750-490F-B350-7E9D5295747C}"/>
    <cellStyle name="20% - Accent1 13 2 4 5" xfId="27651" xr:uid="{36FCFB87-3341-4BBF-A220-65B6659F6DA9}"/>
    <cellStyle name="20% - Accent1 13 2 5" xfId="5537" xr:uid="{00000000-0005-0000-0000-00008F010000}"/>
    <cellStyle name="20% - Accent1 13 2 5 2" xfId="13521" xr:uid="{00000000-0005-0000-0000-000090010000}"/>
    <cellStyle name="20% - Accent1 13 2 5 2 2" xfId="37365" xr:uid="{F386D87D-3C26-447B-8860-DB091C7555B7}"/>
    <cellStyle name="20% - Accent1 13 2 5 3" xfId="21469" xr:uid="{00000000-0005-0000-0000-000091010000}"/>
    <cellStyle name="20% - Accent1 13 2 5 3 2" xfId="45302" xr:uid="{C21621DF-5EAA-40E8-9C46-446226B2331A}"/>
    <cellStyle name="20% - Accent1 13 2 5 4" xfId="29424" xr:uid="{32E5758E-143C-4E43-8C1C-98D133A38730}"/>
    <cellStyle name="20% - Accent1 13 2 6" xfId="9090" xr:uid="{00000000-0005-0000-0000-000092010000}"/>
    <cellStyle name="20% - Accent1 13 2 6 2" xfId="17048" xr:uid="{00000000-0005-0000-0000-000093010000}"/>
    <cellStyle name="20% - Accent1 13 2 6 2 2" xfId="40889" xr:uid="{1D6420DF-6959-4CB6-ACAE-E84D13D28489}"/>
    <cellStyle name="20% - Accent1 13 2 6 3" xfId="24992" xr:uid="{00000000-0005-0000-0000-000094010000}"/>
    <cellStyle name="20% - Accent1 13 2 6 3 2" xfId="48825" xr:uid="{FAF8B2FD-7F00-454D-87CA-EFEF0CE2FE1B}"/>
    <cellStyle name="20% - Accent1 13 2 6 4" xfId="32948" xr:uid="{7DE8F789-14CC-4987-A9E5-3C1960B6D56F}"/>
    <cellStyle name="20% - Accent1 13 2 7" xfId="9986" xr:uid="{00000000-0005-0000-0000-000095010000}"/>
    <cellStyle name="20% - Accent1 13 2 7 2" xfId="33836" xr:uid="{1B9E417D-0AF7-459A-88E1-C845024A9A93}"/>
    <cellStyle name="20% - Accent1 13 2 8" xfId="17941" xr:uid="{00000000-0005-0000-0000-000096010000}"/>
    <cellStyle name="20% - Accent1 13 2 8 2" xfId="41774" xr:uid="{2A9BA080-E4D6-4823-B94A-9748194D203A}"/>
    <cellStyle name="20% - Accent1 13 2 9" xfId="25894" xr:uid="{AC6ED6C5-D1A2-4C75-905A-549E1072DC2A}"/>
    <cellStyle name="20% - Accent1 13 2_Exh G" xfId="1966" xr:uid="{00000000-0005-0000-0000-000097010000}"/>
    <cellStyle name="20% - Accent1 13 3" xfId="40" xr:uid="{00000000-0005-0000-0000-000098010000}"/>
    <cellStyle name="20% - Accent1 13 3 2" xfId="1068" xr:uid="{00000000-0005-0000-0000-000099010000}"/>
    <cellStyle name="20% - Accent1 13 3 2 2" xfId="4598" xr:uid="{00000000-0005-0000-0000-00009A010000}"/>
    <cellStyle name="20% - Accent1 13 3 2 2 2" xfId="8189" xr:uid="{00000000-0005-0000-0000-00009B010000}"/>
    <cellStyle name="20% - Accent1 13 3 2 2 2 2" xfId="16160" xr:uid="{00000000-0005-0000-0000-00009C010000}"/>
    <cellStyle name="20% - Accent1 13 3 2 2 2 2 2" xfId="40003" xr:uid="{EBAA0A34-0263-457F-AAED-7C6E5F4A1D26}"/>
    <cellStyle name="20% - Accent1 13 3 2 2 2 3" xfId="24106" xr:uid="{00000000-0005-0000-0000-00009D010000}"/>
    <cellStyle name="20% - Accent1 13 3 2 2 2 3 2" xfId="47939" xr:uid="{D2925B94-FA4A-4D64-8162-ED22AAC0B282}"/>
    <cellStyle name="20% - Accent1 13 3 2 2 2 4" xfId="32062" xr:uid="{93A93578-E5AE-48DC-BD9D-B71A6CD22491}"/>
    <cellStyle name="20% - Accent1 13 3 2 2 3" xfId="12622" xr:uid="{00000000-0005-0000-0000-00009E010000}"/>
    <cellStyle name="20% - Accent1 13 3 2 2 3 2" xfId="36472" xr:uid="{A688E4B3-5B31-4193-8821-62ED6C41B95C}"/>
    <cellStyle name="20% - Accent1 13 3 2 2 4" xfId="20577" xr:uid="{00000000-0005-0000-0000-00009F010000}"/>
    <cellStyle name="20% - Accent1 13 3 2 2 4 2" xfId="44410" xr:uid="{E46C636D-1F87-456F-89D2-0B0D46BBC53A}"/>
    <cellStyle name="20% - Accent1 13 3 2 2 5" xfId="28531" xr:uid="{491AA467-787B-4D3C-8EC7-090E16A6E117}"/>
    <cellStyle name="20% - Accent1 13 3 2 3" xfId="6430" xr:uid="{00000000-0005-0000-0000-0000A0010000}"/>
    <cellStyle name="20% - Accent1 13 3 2 3 2" xfId="14402" xr:uid="{00000000-0005-0000-0000-0000A1010000}"/>
    <cellStyle name="20% - Accent1 13 3 2 3 2 2" xfId="38245" xr:uid="{5990E574-7346-4D5E-83BC-90854E3DDB23}"/>
    <cellStyle name="20% - Accent1 13 3 2 3 3" xfId="22349" xr:uid="{00000000-0005-0000-0000-0000A2010000}"/>
    <cellStyle name="20% - Accent1 13 3 2 3 3 2" xfId="46182" xr:uid="{DC574399-E08E-4B14-A17D-B593519451D6}"/>
    <cellStyle name="20% - Accent1 13 3 2 3 4" xfId="30304" xr:uid="{83C5C023-FD5F-46AA-80AF-3D1BB3C86095}"/>
    <cellStyle name="20% - Accent1 13 3 2 4" xfId="10866" xr:uid="{00000000-0005-0000-0000-0000A3010000}"/>
    <cellStyle name="20% - Accent1 13 3 2 4 2" xfId="34716" xr:uid="{1DB05A62-AE7A-4E55-A7BD-14D6BB0FA3B0}"/>
    <cellStyle name="20% - Accent1 13 3 2 5" xfId="18821" xr:uid="{00000000-0005-0000-0000-0000A4010000}"/>
    <cellStyle name="20% - Accent1 13 3 2 5 2" xfId="42654" xr:uid="{19DE39F8-01BC-4A8F-97F6-B33A48EAD085}"/>
    <cellStyle name="20% - Accent1 13 3 2 6" xfId="26774" xr:uid="{0DC53AA5-7D8F-435C-9FD8-8FE473FABC91}"/>
    <cellStyle name="20% - Accent1 13 3 2_Exh G" xfId="1971" xr:uid="{00000000-0005-0000-0000-0000A5010000}"/>
    <cellStyle name="20% - Accent1 13 3 3" xfId="3719" xr:uid="{00000000-0005-0000-0000-0000A6010000}"/>
    <cellStyle name="20% - Accent1 13 3 3 2" xfId="7311" xr:uid="{00000000-0005-0000-0000-0000A7010000}"/>
    <cellStyle name="20% - Accent1 13 3 3 2 2" xfId="15282" xr:uid="{00000000-0005-0000-0000-0000A8010000}"/>
    <cellStyle name="20% - Accent1 13 3 3 2 2 2" xfId="39125" xr:uid="{90BBBB3F-A506-41C2-9641-16B06A8B35AB}"/>
    <cellStyle name="20% - Accent1 13 3 3 2 3" xfId="23228" xr:uid="{00000000-0005-0000-0000-0000A9010000}"/>
    <cellStyle name="20% - Accent1 13 3 3 2 3 2" xfId="47061" xr:uid="{7E69005F-F9CD-4ED7-8D77-1D47E3BB5AC1}"/>
    <cellStyle name="20% - Accent1 13 3 3 2 4" xfId="31184" xr:uid="{B60428E5-476A-494B-8487-B4F653FF2650}"/>
    <cellStyle name="20% - Accent1 13 3 3 3" xfId="11744" xr:uid="{00000000-0005-0000-0000-0000AA010000}"/>
    <cellStyle name="20% - Accent1 13 3 3 3 2" xfId="35594" xr:uid="{4BDBB6C1-CF17-433D-8DAB-95CD5FBAB4EF}"/>
    <cellStyle name="20% - Accent1 13 3 3 4" xfId="19699" xr:uid="{00000000-0005-0000-0000-0000AB010000}"/>
    <cellStyle name="20% - Accent1 13 3 3 4 2" xfId="43532" xr:uid="{D2F46593-6026-4074-BAD5-A846E26EE1B8}"/>
    <cellStyle name="20% - Accent1 13 3 3 5" xfId="27653" xr:uid="{514C602F-3D74-4F6B-88C0-C0019CA31D1E}"/>
    <cellStyle name="20% - Accent1 13 3 4" xfId="5539" xr:uid="{00000000-0005-0000-0000-0000AC010000}"/>
    <cellStyle name="20% - Accent1 13 3 4 2" xfId="13523" xr:uid="{00000000-0005-0000-0000-0000AD010000}"/>
    <cellStyle name="20% - Accent1 13 3 4 2 2" xfId="37367" xr:uid="{3FA68A77-8C46-444A-9AA4-4DF960E71475}"/>
    <cellStyle name="20% - Accent1 13 3 4 3" xfId="21471" xr:uid="{00000000-0005-0000-0000-0000AE010000}"/>
    <cellStyle name="20% - Accent1 13 3 4 3 2" xfId="45304" xr:uid="{54432BBE-63E5-4E59-BEC3-0CB72BA724A1}"/>
    <cellStyle name="20% - Accent1 13 3 4 4" xfId="29426" xr:uid="{3547C216-E137-46A8-8F74-E80E0EADE9CD}"/>
    <cellStyle name="20% - Accent1 13 3 5" xfId="9092" xr:uid="{00000000-0005-0000-0000-0000AF010000}"/>
    <cellStyle name="20% - Accent1 13 3 5 2" xfId="17050" xr:uid="{00000000-0005-0000-0000-0000B0010000}"/>
    <cellStyle name="20% - Accent1 13 3 5 2 2" xfId="40891" xr:uid="{4202470E-85E6-48C4-B21B-6B6FC8CA87C3}"/>
    <cellStyle name="20% - Accent1 13 3 5 3" xfId="24994" xr:uid="{00000000-0005-0000-0000-0000B1010000}"/>
    <cellStyle name="20% - Accent1 13 3 5 3 2" xfId="48827" xr:uid="{40BF776C-5CF5-4573-9851-7ADCB7AE0FC0}"/>
    <cellStyle name="20% - Accent1 13 3 5 4" xfId="32950" xr:uid="{4EC6EB8C-D618-4B9C-AF5E-18D7F640FC4C}"/>
    <cellStyle name="20% - Accent1 13 3 6" xfId="9988" xr:uid="{00000000-0005-0000-0000-0000B2010000}"/>
    <cellStyle name="20% - Accent1 13 3 6 2" xfId="33838" xr:uid="{77A58743-D5FF-4149-9D35-2E8C5FEC3E55}"/>
    <cellStyle name="20% - Accent1 13 3 7" xfId="17943" xr:uid="{00000000-0005-0000-0000-0000B3010000}"/>
    <cellStyle name="20% - Accent1 13 3 7 2" xfId="41776" xr:uid="{00183E70-82EA-46AD-92DF-75F50372FBDD}"/>
    <cellStyle name="20% - Accent1 13 3 8" xfId="25896" xr:uid="{EC0A9E63-6EE1-4967-8621-5833BDAE2D1E}"/>
    <cellStyle name="20% - Accent1 13 3_Exh G" xfId="1970" xr:uid="{00000000-0005-0000-0000-0000B4010000}"/>
    <cellStyle name="20% - Accent1 13 4" xfId="1065" xr:uid="{00000000-0005-0000-0000-0000B5010000}"/>
    <cellStyle name="20% - Accent1 13 4 2" xfId="4595" xr:uid="{00000000-0005-0000-0000-0000B6010000}"/>
    <cellStyle name="20% - Accent1 13 4 2 2" xfId="8186" xr:uid="{00000000-0005-0000-0000-0000B7010000}"/>
    <cellStyle name="20% - Accent1 13 4 2 2 2" xfId="16157" xr:uid="{00000000-0005-0000-0000-0000B8010000}"/>
    <cellStyle name="20% - Accent1 13 4 2 2 2 2" xfId="40000" xr:uid="{C78289B8-C98D-476E-878C-5F59354C72B4}"/>
    <cellStyle name="20% - Accent1 13 4 2 2 3" xfId="24103" xr:uid="{00000000-0005-0000-0000-0000B9010000}"/>
    <cellStyle name="20% - Accent1 13 4 2 2 3 2" xfId="47936" xr:uid="{0B6DF766-E531-40B9-AC66-3009605E6780}"/>
    <cellStyle name="20% - Accent1 13 4 2 2 4" xfId="32059" xr:uid="{4979CEF8-6E95-4128-BDE5-4D5D814A9453}"/>
    <cellStyle name="20% - Accent1 13 4 2 3" xfId="12619" xr:uid="{00000000-0005-0000-0000-0000BA010000}"/>
    <cellStyle name="20% - Accent1 13 4 2 3 2" xfId="36469" xr:uid="{F622EE86-F8FC-4848-849D-E30741CC4573}"/>
    <cellStyle name="20% - Accent1 13 4 2 4" xfId="20574" xr:uid="{00000000-0005-0000-0000-0000BB010000}"/>
    <cellStyle name="20% - Accent1 13 4 2 4 2" xfId="44407" xr:uid="{2E65534D-D691-4F1B-8D3F-3F0BD4617DF6}"/>
    <cellStyle name="20% - Accent1 13 4 2 5" xfId="28528" xr:uid="{47C13EF2-CB97-42E9-BDA8-7BCE154F2AC0}"/>
    <cellStyle name="20% - Accent1 13 4 3" xfId="6427" xr:uid="{00000000-0005-0000-0000-0000BC010000}"/>
    <cellStyle name="20% - Accent1 13 4 3 2" xfId="14399" xr:uid="{00000000-0005-0000-0000-0000BD010000}"/>
    <cellStyle name="20% - Accent1 13 4 3 2 2" xfId="38242" xr:uid="{8DEEFBDF-F6A2-4C4B-BAE2-4F063EFA51C8}"/>
    <cellStyle name="20% - Accent1 13 4 3 3" xfId="22346" xr:uid="{00000000-0005-0000-0000-0000BE010000}"/>
    <cellStyle name="20% - Accent1 13 4 3 3 2" xfId="46179" xr:uid="{E94D9754-6AF4-4F91-A616-40562F11D7B7}"/>
    <cellStyle name="20% - Accent1 13 4 3 4" xfId="30301" xr:uid="{2F92AFF6-D088-4C77-A71D-6B63E95780A1}"/>
    <cellStyle name="20% - Accent1 13 4 4" xfId="10863" xr:uid="{00000000-0005-0000-0000-0000BF010000}"/>
    <cellStyle name="20% - Accent1 13 4 4 2" xfId="34713" xr:uid="{3EF90D1A-80DD-4096-897B-D240DEFCD486}"/>
    <cellStyle name="20% - Accent1 13 4 5" xfId="18818" xr:uid="{00000000-0005-0000-0000-0000C0010000}"/>
    <cellStyle name="20% - Accent1 13 4 5 2" xfId="42651" xr:uid="{4356AE0F-F274-476D-903B-124BA0A5673F}"/>
    <cellStyle name="20% - Accent1 13 4 6" xfId="26771" xr:uid="{0569028D-CA25-479D-857B-FFE7C95E9F54}"/>
    <cellStyle name="20% - Accent1 13 4_Exh G" xfId="1972" xr:uid="{00000000-0005-0000-0000-0000C1010000}"/>
    <cellStyle name="20% - Accent1 13 5" xfId="3716" xr:uid="{00000000-0005-0000-0000-0000C2010000}"/>
    <cellStyle name="20% - Accent1 13 5 2" xfId="7308" xr:uid="{00000000-0005-0000-0000-0000C3010000}"/>
    <cellStyle name="20% - Accent1 13 5 2 2" xfId="15279" xr:uid="{00000000-0005-0000-0000-0000C4010000}"/>
    <cellStyle name="20% - Accent1 13 5 2 2 2" xfId="39122" xr:uid="{9DA6A25A-7CFF-4760-B3FD-DE8AA5229A7C}"/>
    <cellStyle name="20% - Accent1 13 5 2 3" xfId="23225" xr:uid="{00000000-0005-0000-0000-0000C5010000}"/>
    <cellStyle name="20% - Accent1 13 5 2 3 2" xfId="47058" xr:uid="{53EC5BFB-CBB2-462A-BC29-4CEF20C63B9F}"/>
    <cellStyle name="20% - Accent1 13 5 2 4" xfId="31181" xr:uid="{170CD6BA-01C9-418B-BE02-09095D4FCBFF}"/>
    <cellStyle name="20% - Accent1 13 5 3" xfId="11741" xr:uid="{00000000-0005-0000-0000-0000C6010000}"/>
    <cellStyle name="20% - Accent1 13 5 3 2" xfId="35591" xr:uid="{9E98916F-C9E4-43BD-827F-9E9E831AD395}"/>
    <cellStyle name="20% - Accent1 13 5 4" xfId="19696" xr:uid="{00000000-0005-0000-0000-0000C7010000}"/>
    <cellStyle name="20% - Accent1 13 5 4 2" xfId="43529" xr:uid="{394BA643-A49A-4777-B05F-C3F338927304}"/>
    <cellStyle name="20% - Accent1 13 5 5" xfId="27650" xr:uid="{6DC7C211-3ABC-40AE-A9CD-CFB216817ECB}"/>
    <cellStyle name="20% - Accent1 13 6" xfId="5536" xr:uid="{00000000-0005-0000-0000-0000C8010000}"/>
    <cellStyle name="20% - Accent1 13 6 2" xfId="13520" xr:uid="{00000000-0005-0000-0000-0000C9010000}"/>
    <cellStyle name="20% - Accent1 13 6 2 2" xfId="37364" xr:uid="{0E65C98C-6C53-47D8-8F29-4C4A012331A8}"/>
    <cellStyle name="20% - Accent1 13 6 3" xfId="21468" xr:uid="{00000000-0005-0000-0000-0000CA010000}"/>
    <cellStyle name="20% - Accent1 13 6 3 2" xfId="45301" xr:uid="{10828D90-3260-4C1B-8261-AF8FA602D6EC}"/>
    <cellStyle name="20% - Accent1 13 6 4" xfId="29423" xr:uid="{0279C8A8-139F-4973-8D7D-11C94CBFCAF2}"/>
    <cellStyle name="20% - Accent1 13 7" xfId="9089" xr:uid="{00000000-0005-0000-0000-0000CB010000}"/>
    <cellStyle name="20% - Accent1 13 7 2" xfId="17047" xr:uid="{00000000-0005-0000-0000-0000CC010000}"/>
    <cellStyle name="20% - Accent1 13 7 2 2" xfId="40888" xr:uid="{FA2E3936-5E0B-410E-8EAE-87909148B08E}"/>
    <cellStyle name="20% - Accent1 13 7 3" xfId="24991" xr:uid="{00000000-0005-0000-0000-0000CD010000}"/>
    <cellStyle name="20% - Accent1 13 7 3 2" xfId="48824" xr:uid="{C8793F1F-F448-45BF-95D1-BD64C9BF4219}"/>
    <cellStyle name="20% - Accent1 13 7 4" xfId="32947" xr:uid="{BBD64D8F-EDE5-4D6B-BD52-7574C3916F27}"/>
    <cellStyle name="20% - Accent1 13 8" xfId="9985" xr:uid="{00000000-0005-0000-0000-0000CE010000}"/>
    <cellStyle name="20% - Accent1 13 8 2" xfId="33835" xr:uid="{0EEA1665-2A20-4B70-BAF0-39E350F7FBB0}"/>
    <cellStyle name="20% - Accent1 13 9" xfId="17940" xr:uid="{00000000-0005-0000-0000-0000CF010000}"/>
    <cellStyle name="20% - Accent1 13 9 2" xfId="41773" xr:uid="{9F86B958-A49E-4B5F-A258-D9419F6A38E1}"/>
    <cellStyle name="20% - Accent1 13_Exh G" xfId="1965" xr:uid="{00000000-0005-0000-0000-0000D0010000}"/>
    <cellStyle name="20% - Accent1 14" xfId="41" xr:uid="{00000000-0005-0000-0000-0000D1010000}"/>
    <cellStyle name="20% - Accent1 14 2" xfId="42" xr:uid="{00000000-0005-0000-0000-0000D2010000}"/>
    <cellStyle name="20% - Accent1 14 2 2" xfId="1070" xr:uid="{00000000-0005-0000-0000-0000D3010000}"/>
    <cellStyle name="20% - Accent1 14 2 2 2" xfId="4600" xr:uid="{00000000-0005-0000-0000-0000D4010000}"/>
    <cellStyle name="20% - Accent1 14 2 2 2 2" xfId="8191" xr:uid="{00000000-0005-0000-0000-0000D5010000}"/>
    <cellStyle name="20% - Accent1 14 2 2 2 2 2" xfId="16162" xr:uid="{00000000-0005-0000-0000-0000D6010000}"/>
    <cellStyle name="20% - Accent1 14 2 2 2 2 2 2" xfId="40005" xr:uid="{63B258E7-6F39-4FA4-AD25-90B686855153}"/>
    <cellStyle name="20% - Accent1 14 2 2 2 2 3" xfId="24108" xr:uid="{00000000-0005-0000-0000-0000D7010000}"/>
    <cellStyle name="20% - Accent1 14 2 2 2 2 3 2" xfId="47941" xr:uid="{D35EE1E9-6F8F-4967-9B00-F7283E099DE6}"/>
    <cellStyle name="20% - Accent1 14 2 2 2 2 4" xfId="32064" xr:uid="{0477E2D5-844F-4267-8791-66C1BA500CEB}"/>
    <cellStyle name="20% - Accent1 14 2 2 2 3" xfId="12624" xr:uid="{00000000-0005-0000-0000-0000D8010000}"/>
    <cellStyle name="20% - Accent1 14 2 2 2 3 2" xfId="36474" xr:uid="{2D421301-B3CE-46AE-984A-8E6D6BF3BE42}"/>
    <cellStyle name="20% - Accent1 14 2 2 2 4" xfId="20579" xr:uid="{00000000-0005-0000-0000-0000D9010000}"/>
    <cellStyle name="20% - Accent1 14 2 2 2 4 2" xfId="44412" xr:uid="{3E552679-9142-4CD1-B67C-C3377A39CEF0}"/>
    <cellStyle name="20% - Accent1 14 2 2 2 5" xfId="28533" xr:uid="{F5536A3B-49CA-4806-AD3D-8378A35D7773}"/>
    <cellStyle name="20% - Accent1 14 2 2 3" xfId="6432" xr:uid="{00000000-0005-0000-0000-0000DA010000}"/>
    <cellStyle name="20% - Accent1 14 2 2 3 2" xfId="14404" xr:uid="{00000000-0005-0000-0000-0000DB010000}"/>
    <cellStyle name="20% - Accent1 14 2 2 3 2 2" xfId="38247" xr:uid="{CA6CB94C-1ACD-4779-8A9E-6AD5E3F9F5AB}"/>
    <cellStyle name="20% - Accent1 14 2 2 3 3" xfId="22351" xr:uid="{00000000-0005-0000-0000-0000DC010000}"/>
    <cellStyle name="20% - Accent1 14 2 2 3 3 2" xfId="46184" xr:uid="{24E2CF0C-00DF-4A72-B162-9F0C83F96204}"/>
    <cellStyle name="20% - Accent1 14 2 2 3 4" xfId="30306" xr:uid="{F5789270-1558-4BF5-8EEF-8EC81F931E5E}"/>
    <cellStyle name="20% - Accent1 14 2 2 4" xfId="10868" xr:uid="{00000000-0005-0000-0000-0000DD010000}"/>
    <cellStyle name="20% - Accent1 14 2 2 4 2" xfId="34718" xr:uid="{B53EECAD-2827-4C72-82C9-D12F5A55474A}"/>
    <cellStyle name="20% - Accent1 14 2 2 5" xfId="18823" xr:uid="{00000000-0005-0000-0000-0000DE010000}"/>
    <cellStyle name="20% - Accent1 14 2 2 5 2" xfId="42656" xr:uid="{ABDBB9ED-1D57-426B-BFC5-E6712DA829EA}"/>
    <cellStyle name="20% - Accent1 14 2 2 6" xfId="26776" xr:uid="{A9D59E41-2C21-4413-A3A9-EC520FAC7F47}"/>
    <cellStyle name="20% - Accent1 14 2 2_Exh G" xfId="1975" xr:uid="{00000000-0005-0000-0000-0000DF010000}"/>
    <cellStyle name="20% - Accent1 14 2 3" xfId="3721" xr:uid="{00000000-0005-0000-0000-0000E0010000}"/>
    <cellStyle name="20% - Accent1 14 2 3 2" xfId="7313" xr:uid="{00000000-0005-0000-0000-0000E1010000}"/>
    <cellStyle name="20% - Accent1 14 2 3 2 2" xfId="15284" xr:uid="{00000000-0005-0000-0000-0000E2010000}"/>
    <cellStyle name="20% - Accent1 14 2 3 2 2 2" xfId="39127" xr:uid="{4844AF5A-DBE1-404A-A189-82E09F7CAD14}"/>
    <cellStyle name="20% - Accent1 14 2 3 2 3" xfId="23230" xr:uid="{00000000-0005-0000-0000-0000E3010000}"/>
    <cellStyle name="20% - Accent1 14 2 3 2 3 2" xfId="47063" xr:uid="{6332D047-EE3D-4022-A651-17DA7C53BBAF}"/>
    <cellStyle name="20% - Accent1 14 2 3 2 4" xfId="31186" xr:uid="{6F854068-810D-4F6C-8D59-B66BAF0D8841}"/>
    <cellStyle name="20% - Accent1 14 2 3 3" xfId="11746" xr:uid="{00000000-0005-0000-0000-0000E4010000}"/>
    <cellStyle name="20% - Accent1 14 2 3 3 2" xfId="35596" xr:uid="{1760DB6B-262C-4859-9680-3BCE13020C1D}"/>
    <cellStyle name="20% - Accent1 14 2 3 4" xfId="19701" xr:uid="{00000000-0005-0000-0000-0000E5010000}"/>
    <cellStyle name="20% - Accent1 14 2 3 4 2" xfId="43534" xr:uid="{8BB25AD0-A007-4ED7-B6C2-7E1C89B12A32}"/>
    <cellStyle name="20% - Accent1 14 2 3 5" xfId="27655" xr:uid="{6E8A35CD-42EF-476B-B510-7E21C66CF189}"/>
    <cellStyle name="20% - Accent1 14 2 4" xfId="5541" xr:uid="{00000000-0005-0000-0000-0000E6010000}"/>
    <cellStyle name="20% - Accent1 14 2 4 2" xfId="13525" xr:uid="{00000000-0005-0000-0000-0000E7010000}"/>
    <cellStyle name="20% - Accent1 14 2 4 2 2" xfId="37369" xr:uid="{3C2C70CA-9721-4893-ADEF-8794D7760C27}"/>
    <cellStyle name="20% - Accent1 14 2 4 3" xfId="21473" xr:uid="{00000000-0005-0000-0000-0000E8010000}"/>
    <cellStyle name="20% - Accent1 14 2 4 3 2" xfId="45306" xr:uid="{0A25BFEE-A7AF-4A8D-BF27-3E0B0AD260E2}"/>
    <cellStyle name="20% - Accent1 14 2 4 4" xfId="29428" xr:uid="{112E17B8-C5E5-4EE5-999D-A06AD7B77BDE}"/>
    <cellStyle name="20% - Accent1 14 2 5" xfId="9094" xr:uid="{00000000-0005-0000-0000-0000E9010000}"/>
    <cellStyle name="20% - Accent1 14 2 5 2" xfId="17052" xr:uid="{00000000-0005-0000-0000-0000EA010000}"/>
    <cellStyle name="20% - Accent1 14 2 5 2 2" xfId="40893" xr:uid="{22AA91E6-E1D7-4FE0-B601-7FD2D9633DD6}"/>
    <cellStyle name="20% - Accent1 14 2 5 3" xfId="24996" xr:uid="{00000000-0005-0000-0000-0000EB010000}"/>
    <cellStyle name="20% - Accent1 14 2 5 3 2" xfId="48829" xr:uid="{2B101F2A-B984-4D45-8E74-1BAC4FF36B73}"/>
    <cellStyle name="20% - Accent1 14 2 5 4" xfId="32952" xr:uid="{A4C85890-9480-4078-956D-DCC70BE39ABB}"/>
    <cellStyle name="20% - Accent1 14 2 6" xfId="9990" xr:uid="{00000000-0005-0000-0000-0000EC010000}"/>
    <cellStyle name="20% - Accent1 14 2 6 2" xfId="33840" xr:uid="{F821BD4A-C0AC-4428-8CA8-7E9E7F046641}"/>
    <cellStyle name="20% - Accent1 14 2 7" xfId="17945" xr:uid="{00000000-0005-0000-0000-0000ED010000}"/>
    <cellStyle name="20% - Accent1 14 2 7 2" xfId="41778" xr:uid="{64F7BE11-8A45-48CA-9940-2116EE6D3C5C}"/>
    <cellStyle name="20% - Accent1 14 2 8" xfId="25898" xr:uid="{69AB07B9-E916-4E29-ABB9-5BF4E1A4B159}"/>
    <cellStyle name="20% - Accent1 14 2_Exh G" xfId="1974" xr:uid="{00000000-0005-0000-0000-0000EE010000}"/>
    <cellStyle name="20% - Accent1 14 3" xfId="1069" xr:uid="{00000000-0005-0000-0000-0000EF010000}"/>
    <cellStyle name="20% - Accent1 14 3 2" xfId="4599" xr:uid="{00000000-0005-0000-0000-0000F0010000}"/>
    <cellStyle name="20% - Accent1 14 3 2 2" xfId="8190" xr:uid="{00000000-0005-0000-0000-0000F1010000}"/>
    <cellStyle name="20% - Accent1 14 3 2 2 2" xfId="16161" xr:uid="{00000000-0005-0000-0000-0000F2010000}"/>
    <cellStyle name="20% - Accent1 14 3 2 2 2 2" xfId="40004" xr:uid="{408829C6-FBB0-44B5-8675-A1A029B5636E}"/>
    <cellStyle name="20% - Accent1 14 3 2 2 3" xfId="24107" xr:uid="{00000000-0005-0000-0000-0000F3010000}"/>
    <cellStyle name="20% - Accent1 14 3 2 2 3 2" xfId="47940" xr:uid="{A602C72B-E222-4B6C-8186-31277F9CF5FB}"/>
    <cellStyle name="20% - Accent1 14 3 2 2 4" xfId="32063" xr:uid="{BD25E93A-D639-48AB-AE50-93A79877F151}"/>
    <cellStyle name="20% - Accent1 14 3 2 3" xfId="12623" xr:uid="{00000000-0005-0000-0000-0000F4010000}"/>
    <cellStyle name="20% - Accent1 14 3 2 3 2" xfId="36473" xr:uid="{C260A66D-870A-44FD-B1BC-BA0275058785}"/>
    <cellStyle name="20% - Accent1 14 3 2 4" xfId="20578" xr:uid="{00000000-0005-0000-0000-0000F5010000}"/>
    <cellStyle name="20% - Accent1 14 3 2 4 2" xfId="44411" xr:uid="{3DAABF01-3CE7-4ADA-9ADD-49831BA5AC87}"/>
    <cellStyle name="20% - Accent1 14 3 2 5" xfId="28532" xr:uid="{9D5F00ED-23FB-4539-A0FF-D4F816BAE497}"/>
    <cellStyle name="20% - Accent1 14 3 3" xfId="6431" xr:uid="{00000000-0005-0000-0000-0000F6010000}"/>
    <cellStyle name="20% - Accent1 14 3 3 2" xfId="14403" xr:uid="{00000000-0005-0000-0000-0000F7010000}"/>
    <cellStyle name="20% - Accent1 14 3 3 2 2" xfId="38246" xr:uid="{E723D2B8-6348-400B-A9AC-83E3E83F9616}"/>
    <cellStyle name="20% - Accent1 14 3 3 3" xfId="22350" xr:uid="{00000000-0005-0000-0000-0000F8010000}"/>
    <cellStyle name="20% - Accent1 14 3 3 3 2" xfId="46183" xr:uid="{A7F7A1B2-EC32-4DCB-BEB0-5A656321AC45}"/>
    <cellStyle name="20% - Accent1 14 3 3 4" xfId="30305" xr:uid="{91D6BD68-A059-4245-A929-BCCF876DD61E}"/>
    <cellStyle name="20% - Accent1 14 3 4" xfId="10867" xr:uid="{00000000-0005-0000-0000-0000F9010000}"/>
    <cellStyle name="20% - Accent1 14 3 4 2" xfId="34717" xr:uid="{A93C9EA2-BAA3-476D-B412-721F27581B24}"/>
    <cellStyle name="20% - Accent1 14 3 5" xfId="18822" xr:uid="{00000000-0005-0000-0000-0000FA010000}"/>
    <cellStyle name="20% - Accent1 14 3 5 2" xfId="42655" xr:uid="{C9EA86E1-8487-469B-9481-B7DAA2DE0313}"/>
    <cellStyle name="20% - Accent1 14 3 6" xfId="26775" xr:uid="{B2727EBB-D8DC-4E9D-A9A8-3AC330508C09}"/>
    <cellStyle name="20% - Accent1 14 3_Exh G" xfId="1976" xr:uid="{00000000-0005-0000-0000-0000FB010000}"/>
    <cellStyle name="20% - Accent1 14 4" xfId="3720" xr:uid="{00000000-0005-0000-0000-0000FC010000}"/>
    <cellStyle name="20% - Accent1 14 4 2" xfId="7312" xr:uid="{00000000-0005-0000-0000-0000FD010000}"/>
    <cellStyle name="20% - Accent1 14 4 2 2" xfId="15283" xr:uid="{00000000-0005-0000-0000-0000FE010000}"/>
    <cellStyle name="20% - Accent1 14 4 2 2 2" xfId="39126" xr:uid="{0EF33A17-386E-47AB-A742-A643F53382CF}"/>
    <cellStyle name="20% - Accent1 14 4 2 3" xfId="23229" xr:uid="{00000000-0005-0000-0000-0000FF010000}"/>
    <cellStyle name="20% - Accent1 14 4 2 3 2" xfId="47062" xr:uid="{F53DC9FB-D6CB-4C59-B062-E5DDA8F1E5E0}"/>
    <cellStyle name="20% - Accent1 14 4 2 4" xfId="31185" xr:uid="{5DEBC7C7-26BD-4B63-84CC-D49565CE726B}"/>
    <cellStyle name="20% - Accent1 14 4 3" xfId="11745" xr:uid="{00000000-0005-0000-0000-000000020000}"/>
    <cellStyle name="20% - Accent1 14 4 3 2" xfId="35595" xr:uid="{7CD6043D-2004-4FD0-817B-2242E8085F48}"/>
    <cellStyle name="20% - Accent1 14 4 4" xfId="19700" xr:uid="{00000000-0005-0000-0000-000001020000}"/>
    <cellStyle name="20% - Accent1 14 4 4 2" xfId="43533" xr:uid="{8D03BDC6-C2C2-412E-9F12-F7AACB161CFC}"/>
    <cellStyle name="20% - Accent1 14 4 5" xfId="27654" xr:uid="{FD1B4D06-FEB5-4A52-8E11-C439B7AEB38A}"/>
    <cellStyle name="20% - Accent1 14 5" xfId="5540" xr:uid="{00000000-0005-0000-0000-000002020000}"/>
    <cellStyle name="20% - Accent1 14 5 2" xfId="13524" xr:uid="{00000000-0005-0000-0000-000003020000}"/>
    <cellStyle name="20% - Accent1 14 5 2 2" xfId="37368" xr:uid="{FEE371DA-30EF-4D88-A157-0054B54A2E5A}"/>
    <cellStyle name="20% - Accent1 14 5 3" xfId="21472" xr:uid="{00000000-0005-0000-0000-000004020000}"/>
    <cellStyle name="20% - Accent1 14 5 3 2" xfId="45305" xr:uid="{FEE3F496-71ED-4131-BA6C-957F217AD0F9}"/>
    <cellStyle name="20% - Accent1 14 5 4" xfId="29427" xr:uid="{7D0EB860-02FC-463C-B170-8EA6CF50F8C4}"/>
    <cellStyle name="20% - Accent1 14 6" xfId="9093" xr:uid="{00000000-0005-0000-0000-000005020000}"/>
    <cellStyle name="20% - Accent1 14 6 2" xfId="17051" xr:uid="{00000000-0005-0000-0000-000006020000}"/>
    <cellStyle name="20% - Accent1 14 6 2 2" xfId="40892" xr:uid="{FF659603-B499-4089-91B7-B32306282EE4}"/>
    <cellStyle name="20% - Accent1 14 6 3" xfId="24995" xr:uid="{00000000-0005-0000-0000-000007020000}"/>
    <cellStyle name="20% - Accent1 14 6 3 2" xfId="48828" xr:uid="{09A7B603-FDD4-4EF2-AB93-5C25FCDC9D99}"/>
    <cellStyle name="20% - Accent1 14 6 4" xfId="32951" xr:uid="{C5C06AFA-9002-4058-B2BD-0B718FCD8F6D}"/>
    <cellStyle name="20% - Accent1 14 7" xfId="9989" xr:uid="{00000000-0005-0000-0000-000008020000}"/>
    <cellStyle name="20% - Accent1 14 7 2" xfId="33839" xr:uid="{7889AE9C-344B-47CB-8741-4B17CEEA9105}"/>
    <cellStyle name="20% - Accent1 14 8" xfId="17944" xr:uid="{00000000-0005-0000-0000-000009020000}"/>
    <cellStyle name="20% - Accent1 14 8 2" xfId="41777" xr:uid="{CB36C1E1-175E-4DBB-AD76-BDD57D526F3B}"/>
    <cellStyle name="20% - Accent1 14 9" xfId="25897" xr:uid="{E4D5918E-50A9-4A05-AACD-99B96491250C}"/>
    <cellStyle name="20% - Accent1 14_Exh G" xfId="1973" xr:uid="{00000000-0005-0000-0000-00000A020000}"/>
    <cellStyle name="20% - Accent1 15" xfId="43" xr:uid="{00000000-0005-0000-0000-00000B020000}"/>
    <cellStyle name="20% - Accent1 15 2" xfId="1071" xr:uid="{00000000-0005-0000-0000-00000C020000}"/>
    <cellStyle name="20% - Accent1 15 2 2" xfId="4601" xr:uid="{00000000-0005-0000-0000-00000D020000}"/>
    <cellStyle name="20% - Accent1 15 2 2 2" xfId="8192" xr:uid="{00000000-0005-0000-0000-00000E020000}"/>
    <cellStyle name="20% - Accent1 15 2 2 2 2" xfId="16163" xr:uid="{00000000-0005-0000-0000-00000F020000}"/>
    <cellStyle name="20% - Accent1 15 2 2 2 2 2" xfId="40006" xr:uid="{0561352F-E290-4CB0-BA44-BF28C8458662}"/>
    <cellStyle name="20% - Accent1 15 2 2 2 3" xfId="24109" xr:uid="{00000000-0005-0000-0000-000010020000}"/>
    <cellStyle name="20% - Accent1 15 2 2 2 3 2" xfId="47942" xr:uid="{1C9FB73F-69AA-45F3-920B-327AE293E6CC}"/>
    <cellStyle name="20% - Accent1 15 2 2 2 4" xfId="32065" xr:uid="{BCA751F8-5725-498F-9F2C-0573A9DF75D2}"/>
    <cellStyle name="20% - Accent1 15 2 2 3" xfId="12625" xr:uid="{00000000-0005-0000-0000-000011020000}"/>
    <cellStyle name="20% - Accent1 15 2 2 3 2" xfId="36475" xr:uid="{DD5306E8-1C5D-4A25-8AA0-914BDF61F19E}"/>
    <cellStyle name="20% - Accent1 15 2 2 4" xfId="20580" xr:uid="{00000000-0005-0000-0000-000012020000}"/>
    <cellStyle name="20% - Accent1 15 2 2 4 2" xfId="44413" xr:uid="{4C079228-E043-4493-A406-659175988E4D}"/>
    <cellStyle name="20% - Accent1 15 2 2 5" xfId="28534" xr:uid="{9A85D0F4-3A7E-4793-84C5-29B96B5CCBE3}"/>
    <cellStyle name="20% - Accent1 15 2 3" xfId="6433" xr:uid="{00000000-0005-0000-0000-000013020000}"/>
    <cellStyle name="20% - Accent1 15 2 3 2" xfId="14405" xr:uid="{00000000-0005-0000-0000-000014020000}"/>
    <cellStyle name="20% - Accent1 15 2 3 2 2" xfId="38248" xr:uid="{E9607425-B7DB-4064-A9F9-FA127FDB0213}"/>
    <cellStyle name="20% - Accent1 15 2 3 3" xfId="22352" xr:uid="{00000000-0005-0000-0000-000015020000}"/>
    <cellStyle name="20% - Accent1 15 2 3 3 2" xfId="46185" xr:uid="{D593C313-F4C8-4B3A-8751-95201F5B2F99}"/>
    <cellStyle name="20% - Accent1 15 2 3 4" xfId="30307" xr:uid="{D8254234-93E7-4E90-9DEC-E9B85259878E}"/>
    <cellStyle name="20% - Accent1 15 2 4" xfId="10869" xr:uid="{00000000-0005-0000-0000-000016020000}"/>
    <cellStyle name="20% - Accent1 15 2 4 2" xfId="34719" xr:uid="{D5970926-36B3-4CBF-8DAF-8B8332C0CB2B}"/>
    <cellStyle name="20% - Accent1 15 2 5" xfId="18824" xr:uid="{00000000-0005-0000-0000-000017020000}"/>
    <cellStyle name="20% - Accent1 15 2 5 2" xfId="42657" xr:uid="{D9E9A004-CB97-4EA1-B848-1260087932D0}"/>
    <cellStyle name="20% - Accent1 15 2 6" xfId="26777" xr:uid="{5BF124DE-C72C-431F-8F6F-CB5061BAC6D0}"/>
    <cellStyle name="20% - Accent1 15 2_Exh G" xfId="1978" xr:uid="{00000000-0005-0000-0000-000018020000}"/>
    <cellStyle name="20% - Accent1 15 3" xfId="3722" xr:uid="{00000000-0005-0000-0000-000019020000}"/>
    <cellStyle name="20% - Accent1 15 3 2" xfId="7314" xr:uid="{00000000-0005-0000-0000-00001A020000}"/>
    <cellStyle name="20% - Accent1 15 3 2 2" xfId="15285" xr:uid="{00000000-0005-0000-0000-00001B020000}"/>
    <cellStyle name="20% - Accent1 15 3 2 2 2" xfId="39128" xr:uid="{F9D2AF6A-A7A8-480C-BB91-107C9696E041}"/>
    <cellStyle name="20% - Accent1 15 3 2 3" xfId="23231" xr:uid="{00000000-0005-0000-0000-00001C020000}"/>
    <cellStyle name="20% - Accent1 15 3 2 3 2" xfId="47064" xr:uid="{BCE2385B-7578-4986-8FB8-1AA6F9286626}"/>
    <cellStyle name="20% - Accent1 15 3 2 4" xfId="31187" xr:uid="{0B286D65-B251-46A7-9E0A-069CD10CAEBD}"/>
    <cellStyle name="20% - Accent1 15 3 3" xfId="11747" xr:uid="{00000000-0005-0000-0000-00001D020000}"/>
    <cellStyle name="20% - Accent1 15 3 3 2" xfId="35597" xr:uid="{7317CB9D-2F63-4749-AD83-D9E37A9C54E0}"/>
    <cellStyle name="20% - Accent1 15 3 4" xfId="19702" xr:uid="{00000000-0005-0000-0000-00001E020000}"/>
    <cellStyle name="20% - Accent1 15 3 4 2" xfId="43535" xr:uid="{A4AAFC53-6CBB-4E80-88F2-11245A3320D9}"/>
    <cellStyle name="20% - Accent1 15 3 5" xfId="27656" xr:uid="{1990E0BA-60D7-404E-BD0A-7982DE44C3AB}"/>
    <cellStyle name="20% - Accent1 15 4" xfId="5542" xr:uid="{00000000-0005-0000-0000-00001F020000}"/>
    <cellStyle name="20% - Accent1 15 4 2" xfId="13526" xr:uid="{00000000-0005-0000-0000-000020020000}"/>
    <cellStyle name="20% - Accent1 15 4 2 2" xfId="37370" xr:uid="{547F32F6-52DD-4CC5-90E8-D21CC3D025BD}"/>
    <cellStyle name="20% - Accent1 15 4 3" xfId="21474" xr:uid="{00000000-0005-0000-0000-000021020000}"/>
    <cellStyle name="20% - Accent1 15 4 3 2" xfId="45307" xr:uid="{C95C60D7-04DA-4B05-8E90-55E18FD87E81}"/>
    <cellStyle name="20% - Accent1 15 4 4" xfId="29429" xr:uid="{4F2990A2-E7E8-45E0-A888-EC88E32E92F5}"/>
    <cellStyle name="20% - Accent1 15 5" xfId="9095" xr:uid="{00000000-0005-0000-0000-000022020000}"/>
    <cellStyle name="20% - Accent1 15 5 2" xfId="17053" xr:uid="{00000000-0005-0000-0000-000023020000}"/>
    <cellStyle name="20% - Accent1 15 5 2 2" xfId="40894" xr:uid="{9FFDA235-3617-4A00-8FD6-05C1BEF9B5BE}"/>
    <cellStyle name="20% - Accent1 15 5 3" xfId="24997" xr:uid="{00000000-0005-0000-0000-000024020000}"/>
    <cellStyle name="20% - Accent1 15 5 3 2" xfId="48830" xr:uid="{852E31FE-79B0-4BBC-856C-DF3C99C4DEFD}"/>
    <cellStyle name="20% - Accent1 15 5 4" xfId="32953" xr:uid="{3F395735-724B-4D34-BAC5-B332E988C3EA}"/>
    <cellStyle name="20% - Accent1 15 6" xfId="9991" xr:uid="{00000000-0005-0000-0000-000025020000}"/>
    <cellStyle name="20% - Accent1 15 6 2" xfId="33841" xr:uid="{244B4B84-F820-44FC-BA7A-51FA36F36682}"/>
    <cellStyle name="20% - Accent1 15 7" xfId="17946" xr:uid="{00000000-0005-0000-0000-000026020000}"/>
    <cellStyle name="20% - Accent1 15 7 2" xfId="41779" xr:uid="{1C275393-9992-4A6E-A9B5-5C7592CB35B8}"/>
    <cellStyle name="20% - Accent1 15 8" xfId="25899" xr:uid="{7D041892-DF89-431A-952F-D1DC8E4E9CA7}"/>
    <cellStyle name="20% - Accent1 15_Exh G" xfId="1977" xr:uid="{00000000-0005-0000-0000-000027020000}"/>
    <cellStyle name="20% - Accent1 16" xfId="843" xr:uid="{00000000-0005-0000-0000-000028020000}"/>
    <cellStyle name="20% - Accent1 16 2" xfId="1782" xr:uid="{00000000-0005-0000-0000-000029020000}"/>
    <cellStyle name="20% - Accent1 16 2 2" xfId="5303" xr:uid="{00000000-0005-0000-0000-00002A020000}"/>
    <cellStyle name="20% - Accent1 16 2 2 2" xfId="8894" xr:uid="{00000000-0005-0000-0000-00002B020000}"/>
    <cellStyle name="20% - Accent1 16 2 2 2 2" xfId="16865" xr:uid="{00000000-0005-0000-0000-00002C020000}"/>
    <cellStyle name="20% - Accent1 16 2 2 2 2 2" xfId="40708" xr:uid="{CAF2F8D2-D213-4019-9924-FD750F45A61D}"/>
    <cellStyle name="20% - Accent1 16 2 2 2 3" xfId="24811" xr:uid="{00000000-0005-0000-0000-00002D020000}"/>
    <cellStyle name="20% - Accent1 16 2 2 2 3 2" xfId="48644" xr:uid="{11B4CB97-FAC7-4A03-AFED-22ECEA78EEEC}"/>
    <cellStyle name="20% - Accent1 16 2 2 2 4" xfId="32767" xr:uid="{3A7F9975-285C-4AF0-BD15-DF24CE592B67}"/>
    <cellStyle name="20% - Accent1 16 2 2 3" xfId="13327" xr:uid="{00000000-0005-0000-0000-00002E020000}"/>
    <cellStyle name="20% - Accent1 16 2 2 3 2" xfId="37177" xr:uid="{AB691D16-71D5-4FA0-9FAF-070E1443ACDA}"/>
    <cellStyle name="20% - Accent1 16 2 2 4" xfId="21282" xr:uid="{00000000-0005-0000-0000-00002F020000}"/>
    <cellStyle name="20% - Accent1 16 2 2 4 2" xfId="45115" xr:uid="{AA355DE6-7E0A-419F-8683-53F5F81601CD}"/>
    <cellStyle name="20% - Accent1 16 2 2 5" xfId="29236" xr:uid="{2F0E8F0B-9439-41E1-A0EE-C18621DC6448}"/>
    <cellStyle name="20% - Accent1 16 2 3" xfId="7135" xr:uid="{00000000-0005-0000-0000-000030020000}"/>
    <cellStyle name="20% - Accent1 16 2 3 2" xfId="15107" xr:uid="{00000000-0005-0000-0000-000031020000}"/>
    <cellStyle name="20% - Accent1 16 2 3 2 2" xfId="38950" xr:uid="{C9BBE60D-7306-4847-B267-5AB7EC703CE5}"/>
    <cellStyle name="20% - Accent1 16 2 3 3" xfId="23054" xr:uid="{00000000-0005-0000-0000-000032020000}"/>
    <cellStyle name="20% - Accent1 16 2 3 3 2" xfId="46887" xr:uid="{57470277-A1CD-4512-8AEF-C2859FE0DC54}"/>
    <cellStyle name="20% - Accent1 16 2 3 4" xfId="31009" xr:uid="{8349CF95-5066-4207-884C-C92C67994A16}"/>
    <cellStyle name="20% - Accent1 16 2 4" xfId="11571" xr:uid="{00000000-0005-0000-0000-000033020000}"/>
    <cellStyle name="20% - Accent1 16 2 4 2" xfId="35421" xr:uid="{1E1A1AFC-48DF-435D-A0C3-6C53D6A0E23D}"/>
    <cellStyle name="20% - Accent1 16 2 5" xfId="19526" xr:uid="{00000000-0005-0000-0000-000034020000}"/>
    <cellStyle name="20% - Accent1 16 2 5 2" xfId="43359" xr:uid="{10482308-1DCA-46E7-BAE6-4288F144C8A1}"/>
    <cellStyle name="20% - Accent1 16 2 6" xfId="27479" xr:uid="{42B76362-6A24-4912-ACA6-F880EA98E925}"/>
    <cellStyle name="20% - Accent1 16 2_Exh G" xfId="1980" xr:uid="{00000000-0005-0000-0000-000035020000}"/>
    <cellStyle name="20% - Accent1 16 3" xfId="4424" xr:uid="{00000000-0005-0000-0000-000036020000}"/>
    <cellStyle name="20% - Accent1 16 3 2" xfId="8016" xr:uid="{00000000-0005-0000-0000-000037020000}"/>
    <cellStyle name="20% - Accent1 16 3 2 2" xfId="15987" xr:uid="{00000000-0005-0000-0000-000038020000}"/>
    <cellStyle name="20% - Accent1 16 3 2 2 2" xfId="39830" xr:uid="{42CBE11A-98C4-43FC-BD36-41AD15B798CA}"/>
    <cellStyle name="20% - Accent1 16 3 2 3" xfId="23933" xr:uid="{00000000-0005-0000-0000-000039020000}"/>
    <cellStyle name="20% - Accent1 16 3 2 3 2" xfId="47766" xr:uid="{EB05A8CD-F87C-41FB-AC6E-5CAAAF861AF7}"/>
    <cellStyle name="20% - Accent1 16 3 2 4" xfId="31889" xr:uid="{8B365CB7-46EB-4B48-933F-4DF6FFF58D9A}"/>
    <cellStyle name="20% - Accent1 16 3 3" xfId="12449" xr:uid="{00000000-0005-0000-0000-00003A020000}"/>
    <cellStyle name="20% - Accent1 16 3 3 2" xfId="36299" xr:uid="{CAEFDB1F-4F4C-44D2-8402-519F6483885D}"/>
    <cellStyle name="20% - Accent1 16 3 4" xfId="20404" xr:uid="{00000000-0005-0000-0000-00003B020000}"/>
    <cellStyle name="20% - Accent1 16 3 4 2" xfId="44237" xr:uid="{5D34ABEB-C6A1-451F-8CC0-311862C30B86}"/>
    <cellStyle name="20% - Accent1 16 3 5" xfId="28358" xr:uid="{53A43361-7098-424A-A7BE-5FEC8C3A00EA}"/>
    <cellStyle name="20% - Accent1 16 4" xfId="6254" xr:uid="{00000000-0005-0000-0000-00003C020000}"/>
    <cellStyle name="20% - Accent1 16 4 2" xfId="14229" xr:uid="{00000000-0005-0000-0000-00003D020000}"/>
    <cellStyle name="20% - Accent1 16 4 2 2" xfId="38072" xr:uid="{CA3958F5-0950-4A29-B649-8CB6E8646107}"/>
    <cellStyle name="20% - Accent1 16 4 3" xfId="22176" xr:uid="{00000000-0005-0000-0000-00003E020000}"/>
    <cellStyle name="20% - Accent1 16 4 3 2" xfId="46009" xr:uid="{AC56C4AE-42E9-4ABD-9418-C12DE2C462A6}"/>
    <cellStyle name="20% - Accent1 16 4 4" xfId="30131" xr:uid="{1396EA3C-B19D-4B04-88BA-8A308474D049}"/>
    <cellStyle name="20% - Accent1 16 5" xfId="9797" xr:uid="{00000000-0005-0000-0000-00003F020000}"/>
    <cellStyle name="20% - Accent1 16 5 2" xfId="17755" xr:uid="{00000000-0005-0000-0000-000040020000}"/>
    <cellStyle name="20% - Accent1 16 5 2 2" xfId="41596" xr:uid="{C96B9731-2BF5-4E36-A30E-952D02DC8EF9}"/>
    <cellStyle name="20% - Accent1 16 5 3" xfId="25699" xr:uid="{00000000-0005-0000-0000-000041020000}"/>
    <cellStyle name="20% - Accent1 16 5 3 2" xfId="49532" xr:uid="{4BCEC7F5-7602-4691-A5FD-8A06CD0385BA}"/>
    <cellStyle name="20% - Accent1 16 5 4" xfId="33655" xr:uid="{5DC57A4D-F942-4B38-A08B-78AA3F40460A}"/>
    <cellStyle name="20% - Accent1 16 6" xfId="10693" xr:uid="{00000000-0005-0000-0000-000042020000}"/>
    <cellStyle name="20% - Accent1 16 6 2" xfId="34543" xr:uid="{8F612CC6-4EFC-4297-A9B7-706E8713764E}"/>
    <cellStyle name="20% - Accent1 16 7" xfId="18648" xr:uid="{00000000-0005-0000-0000-000043020000}"/>
    <cellStyle name="20% - Accent1 16 7 2" xfId="42481" xr:uid="{A0C107D2-300A-4C48-8C9C-192A1A0B746A}"/>
    <cellStyle name="20% - Accent1 16 8" xfId="26601" xr:uid="{3CCACD8C-3A87-4679-BA36-6A31F4879085}"/>
    <cellStyle name="20% - Accent1 16_Exh G" xfId="1979" xr:uid="{00000000-0005-0000-0000-000044020000}"/>
    <cellStyle name="20% - Accent1 17" xfId="49795" xr:uid="{AE8DAC52-152C-4F1E-939B-2959056DA31D}"/>
    <cellStyle name="20% - Accent1 2" xfId="44" xr:uid="{00000000-0005-0000-0000-000045020000}"/>
    <cellStyle name="20% - Accent1 2 10" xfId="17947" xr:uid="{00000000-0005-0000-0000-000046020000}"/>
    <cellStyle name="20% - Accent1 2 10 2" xfId="41780" xr:uid="{56729B5E-3D99-4928-8313-3D835C228C00}"/>
    <cellStyle name="20% - Accent1 2 11" xfId="25900" xr:uid="{07D51114-C68C-4528-9023-40D7EFF626FC}"/>
    <cellStyle name="20% - Accent1 2 12" xfId="49780" xr:uid="{FF70C2F3-BDC1-47F6-A1AA-6640D5C4D4FD}"/>
    <cellStyle name="20% - Accent1 2 13" xfId="49808" xr:uid="{39772119-6921-4D37-AAA4-8EDDC133DFDA}"/>
    <cellStyle name="20% - Accent1 2 2" xfId="45" xr:uid="{00000000-0005-0000-0000-000047020000}"/>
    <cellStyle name="20% - Accent1 2 2 10" xfId="25901" xr:uid="{8E42666B-8CEB-4195-843F-3E3843721258}"/>
    <cellStyle name="20% - Accent1 2 2 2" xfId="46" xr:uid="{00000000-0005-0000-0000-000048020000}"/>
    <cellStyle name="20% - Accent1 2 2 2 2" xfId="1074" xr:uid="{00000000-0005-0000-0000-000049020000}"/>
    <cellStyle name="20% - Accent1 2 2 2 2 2" xfId="4604" xr:uid="{00000000-0005-0000-0000-00004A020000}"/>
    <cellStyle name="20% - Accent1 2 2 2 2 2 2" xfId="8195" xr:uid="{00000000-0005-0000-0000-00004B020000}"/>
    <cellStyle name="20% - Accent1 2 2 2 2 2 2 2" xfId="16166" xr:uid="{00000000-0005-0000-0000-00004C020000}"/>
    <cellStyle name="20% - Accent1 2 2 2 2 2 2 2 2" xfId="40009" xr:uid="{2443AF04-8F65-466C-863F-03DE652D96D1}"/>
    <cellStyle name="20% - Accent1 2 2 2 2 2 2 3" xfId="24112" xr:uid="{00000000-0005-0000-0000-00004D020000}"/>
    <cellStyle name="20% - Accent1 2 2 2 2 2 2 3 2" xfId="47945" xr:uid="{8A496EFE-71FC-4403-917A-2CC8216502BD}"/>
    <cellStyle name="20% - Accent1 2 2 2 2 2 2 4" xfId="32068" xr:uid="{3E051609-DB7C-4DA2-97E1-6C4846D52A6E}"/>
    <cellStyle name="20% - Accent1 2 2 2 2 2 3" xfId="12628" xr:uid="{00000000-0005-0000-0000-00004E020000}"/>
    <cellStyle name="20% - Accent1 2 2 2 2 2 3 2" xfId="36478" xr:uid="{46A3CBFB-5395-40F8-9BF0-419A8ECC5A62}"/>
    <cellStyle name="20% - Accent1 2 2 2 2 2 4" xfId="20583" xr:uid="{00000000-0005-0000-0000-00004F020000}"/>
    <cellStyle name="20% - Accent1 2 2 2 2 2 4 2" xfId="44416" xr:uid="{A8DA49F4-5C15-4214-BC80-40C6CD3C63BC}"/>
    <cellStyle name="20% - Accent1 2 2 2 2 2 5" xfId="28537" xr:uid="{39C39F65-D574-41A8-808F-C082E3394EC1}"/>
    <cellStyle name="20% - Accent1 2 2 2 2 3" xfId="6436" xr:uid="{00000000-0005-0000-0000-000050020000}"/>
    <cellStyle name="20% - Accent1 2 2 2 2 3 2" xfId="14408" xr:uid="{00000000-0005-0000-0000-000051020000}"/>
    <cellStyle name="20% - Accent1 2 2 2 2 3 2 2" xfId="38251" xr:uid="{C7EEDE9E-6B4D-47D2-B816-5A0F0B2B8AAC}"/>
    <cellStyle name="20% - Accent1 2 2 2 2 3 3" xfId="22355" xr:uid="{00000000-0005-0000-0000-000052020000}"/>
    <cellStyle name="20% - Accent1 2 2 2 2 3 3 2" xfId="46188" xr:uid="{53A0793A-04CD-4291-9C26-82113D47436A}"/>
    <cellStyle name="20% - Accent1 2 2 2 2 3 4" xfId="30310" xr:uid="{38AD3B92-4BBE-43B0-967C-9C19E34D310C}"/>
    <cellStyle name="20% - Accent1 2 2 2 2 4" xfId="10872" xr:uid="{00000000-0005-0000-0000-000053020000}"/>
    <cellStyle name="20% - Accent1 2 2 2 2 4 2" xfId="34722" xr:uid="{0CED5B32-304A-4D8C-9B0B-766AE8C31918}"/>
    <cellStyle name="20% - Accent1 2 2 2 2 5" xfId="18827" xr:uid="{00000000-0005-0000-0000-000054020000}"/>
    <cellStyle name="20% - Accent1 2 2 2 2 5 2" xfId="42660" xr:uid="{1705D161-0F13-446F-A40F-5FE494CFF470}"/>
    <cellStyle name="20% - Accent1 2 2 2 2 6" xfId="26780" xr:uid="{71E04CAF-8DBE-4C3E-8300-C7C42C66952F}"/>
    <cellStyle name="20% - Accent1 2 2 2 2_Exh G" xfId="1984" xr:uid="{00000000-0005-0000-0000-000055020000}"/>
    <cellStyle name="20% - Accent1 2 2 2 3" xfId="3725" xr:uid="{00000000-0005-0000-0000-000056020000}"/>
    <cellStyle name="20% - Accent1 2 2 2 3 2" xfId="7317" xr:uid="{00000000-0005-0000-0000-000057020000}"/>
    <cellStyle name="20% - Accent1 2 2 2 3 2 2" xfId="15288" xr:uid="{00000000-0005-0000-0000-000058020000}"/>
    <cellStyle name="20% - Accent1 2 2 2 3 2 2 2" xfId="39131" xr:uid="{640469E1-E3D8-4F8E-9226-DE771FCFA93C}"/>
    <cellStyle name="20% - Accent1 2 2 2 3 2 3" xfId="23234" xr:uid="{00000000-0005-0000-0000-000059020000}"/>
    <cellStyle name="20% - Accent1 2 2 2 3 2 3 2" xfId="47067" xr:uid="{778474DE-33D5-4BF5-9B03-26E0C0DF299A}"/>
    <cellStyle name="20% - Accent1 2 2 2 3 2 4" xfId="31190" xr:uid="{ACB6F1FD-A07C-40E8-830B-39EC8C65D92A}"/>
    <cellStyle name="20% - Accent1 2 2 2 3 3" xfId="11750" xr:uid="{00000000-0005-0000-0000-00005A020000}"/>
    <cellStyle name="20% - Accent1 2 2 2 3 3 2" xfId="35600" xr:uid="{9A11EDCA-09A9-4F15-B571-93827C14B9A3}"/>
    <cellStyle name="20% - Accent1 2 2 2 3 4" xfId="19705" xr:uid="{00000000-0005-0000-0000-00005B020000}"/>
    <cellStyle name="20% - Accent1 2 2 2 3 4 2" xfId="43538" xr:uid="{9873450A-74E6-4EA0-A417-592CD13F78D8}"/>
    <cellStyle name="20% - Accent1 2 2 2 3 5" xfId="27659" xr:uid="{81AB8952-BF4E-49F4-B5EB-6B82A4BD4FA6}"/>
    <cellStyle name="20% - Accent1 2 2 2 4" xfId="5545" xr:uid="{00000000-0005-0000-0000-00005C020000}"/>
    <cellStyle name="20% - Accent1 2 2 2 4 2" xfId="13529" xr:uid="{00000000-0005-0000-0000-00005D020000}"/>
    <cellStyle name="20% - Accent1 2 2 2 4 2 2" xfId="37373" xr:uid="{92C61999-4654-41B9-8C38-58B66D4622E2}"/>
    <cellStyle name="20% - Accent1 2 2 2 4 3" xfId="21477" xr:uid="{00000000-0005-0000-0000-00005E020000}"/>
    <cellStyle name="20% - Accent1 2 2 2 4 3 2" xfId="45310" xr:uid="{AB26DDA3-BCA7-4C44-8A3E-A0A42117A04C}"/>
    <cellStyle name="20% - Accent1 2 2 2 4 4" xfId="29432" xr:uid="{E22098B4-1BF1-47F8-8B50-647FBF65D647}"/>
    <cellStyle name="20% - Accent1 2 2 2 5" xfId="9098" xr:uid="{00000000-0005-0000-0000-00005F020000}"/>
    <cellStyle name="20% - Accent1 2 2 2 5 2" xfId="17056" xr:uid="{00000000-0005-0000-0000-000060020000}"/>
    <cellStyle name="20% - Accent1 2 2 2 5 2 2" xfId="40897" xr:uid="{B3FAADC5-14B4-40D5-B532-E4ECF22872A7}"/>
    <cellStyle name="20% - Accent1 2 2 2 5 3" xfId="25000" xr:uid="{00000000-0005-0000-0000-000061020000}"/>
    <cellStyle name="20% - Accent1 2 2 2 5 3 2" xfId="48833" xr:uid="{EB87E675-6E6A-4211-85CC-077CDE8A7466}"/>
    <cellStyle name="20% - Accent1 2 2 2 5 4" xfId="32956" xr:uid="{810CDA2B-CD33-4890-95E4-DA86F1A58E89}"/>
    <cellStyle name="20% - Accent1 2 2 2 6" xfId="9994" xr:uid="{00000000-0005-0000-0000-000062020000}"/>
    <cellStyle name="20% - Accent1 2 2 2 6 2" xfId="33844" xr:uid="{CB900341-D4A9-49FB-900E-2BB35F73C5AB}"/>
    <cellStyle name="20% - Accent1 2 2 2 7" xfId="17949" xr:uid="{00000000-0005-0000-0000-000063020000}"/>
    <cellStyle name="20% - Accent1 2 2 2 7 2" xfId="41782" xr:uid="{5BB59EDA-ABDB-430A-A57F-AD380684EE85}"/>
    <cellStyle name="20% - Accent1 2 2 2 8" xfId="25902" xr:uid="{471FB39E-7136-4C6D-B311-9FACA6AC9C9C}"/>
    <cellStyle name="20% - Accent1 2 2 2_Exh G" xfId="1983" xr:uid="{00000000-0005-0000-0000-000064020000}"/>
    <cellStyle name="20% - Accent1 2 2 3" xfId="864" xr:uid="{00000000-0005-0000-0000-000065020000}"/>
    <cellStyle name="20% - Accent1 2 2 3 2" xfId="1800" xr:uid="{00000000-0005-0000-0000-000066020000}"/>
    <cellStyle name="20% - Accent1 2 2 3 2 2" xfId="5318" xr:uid="{00000000-0005-0000-0000-000067020000}"/>
    <cellStyle name="20% - Accent1 2 2 3 2 2 2" xfId="8909" xr:uid="{00000000-0005-0000-0000-000068020000}"/>
    <cellStyle name="20% - Accent1 2 2 3 2 2 2 2" xfId="16880" xr:uid="{00000000-0005-0000-0000-000069020000}"/>
    <cellStyle name="20% - Accent1 2 2 3 2 2 2 2 2" xfId="40723" xr:uid="{F4C9C23A-1A5B-4229-9AEA-70F4F6AE046E}"/>
    <cellStyle name="20% - Accent1 2 2 3 2 2 2 3" xfId="24826" xr:uid="{00000000-0005-0000-0000-00006A020000}"/>
    <cellStyle name="20% - Accent1 2 2 3 2 2 2 3 2" xfId="48659" xr:uid="{5C83A77D-49F3-47C6-8E92-12428105BE59}"/>
    <cellStyle name="20% - Accent1 2 2 3 2 2 2 4" xfId="32782" xr:uid="{1DF26FE2-326C-4219-B617-3ADC9D2CFA9F}"/>
    <cellStyle name="20% - Accent1 2 2 3 2 2 3" xfId="13342" xr:uid="{00000000-0005-0000-0000-00006B020000}"/>
    <cellStyle name="20% - Accent1 2 2 3 2 2 3 2" xfId="37192" xr:uid="{87F09399-C860-4A41-B0C4-8E1674BE9B57}"/>
    <cellStyle name="20% - Accent1 2 2 3 2 2 4" xfId="21297" xr:uid="{00000000-0005-0000-0000-00006C020000}"/>
    <cellStyle name="20% - Accent1 2 2 3 2 2 4 2" xfId="45130" xr:uid="{916C2E8F-2C0C-4E80-8AD1-BF020572A66B}"/>
    <cellStyle name="20% - Accent1 2 2 3 2 2 5" xfId="29251" xr:uid="{3B31136F-CFB0-475C-8EEC-8620203E9CFE}"/>
    <cellStyle name="20% - Accent1 2 2 3 2 3" xfId="7150" xr:uid="{00000000-0005-0000-0000-00006D020000}"/>
    <cellStyle name="20% - Accent1 2 2 3 2 3 2" xfId="15122" xr:uid="{00000000-0005-0000-0000-00006E020000}"/>
    <cellStyle name="20% - Accent1 2 2 3 2 3 2 2" xfId="38965" xr:uid="{CEDFFB8F-46C6-4EC4-B6B2-A5DA8A01682F}"/>
    <cellStyle name="20% - Accent1 2 2 3 2 3 3" xfId="23069" xr:uid="{00000000-0005-0000-0000-00006F020000}"/>
    <cellStyle name="20% - Accent1 2 2 3 2 3 3 2" xfId="46902" xr:uid="{F52CB931-F58E-4982-9131-FEC500F9A340}"/>
    <cellStyle name="20% - Accent1 2 2 3 2 3 4" xfId="31024" xr:uid="{C3421BAF-AEEB-4EF8-9E28-3E24A2E4BB07}"/>
    <cellStyle name="20% - Accent1 2 2 3 2 4" xfId="11586" xr:uid="{00000000-0005-0000-0000-000070020000}"/>
    <cellStyle name="20% - Accent1 2 2 3 2 4 2" xfId="35436" xr:uid="{C996AEA1-D842-44AB-9FE6-A8BF02E55C1A}"/>
    <cellStyle name="20% - Accent1 2 2 3 2 5" xfId="19541" xr:uid="{00000000-0005-0000-0000-000071020000}"/>
    <cellStyle name="20% - Accent1 2 2 3 2 5 2" xfId="43374" xr:uid="{F06514B5-1013-4B3B-A7BA-5CE5D916579F}"/>
    <cellStyle name="20% - Accent1 2 2 3 2 6" xfId="27494" xr:uid="{B9A73804-45E3-46FB-8376-2DA91ECD5437}"/>
    <cellStyle name="20% - Accent1 2 2 3 2_Exh G" xfId="1986" xr:uid="{00000000-0005-0000-0000-000072020000}"/>
    <cellStyle name="20% - Accent1 2 2 3 3" xfId="4439" xr:uid="{00000000-0005-0000-0000-000073020000}"/>
    <cellStyle name="20% - Accent1 2 2 3 3 2" xfId="8031" xr:uid="{00000000-0005-0000-0000-000074020000}"/>
    <cellStyle name="20% - Accent1 2 2 3 3 2 2" xfId="16002" xr:uid="{00000000-0005-0000-0000-000075020000}"/>
    <cellStyle name="20% - Accent1 2 2 3 3 2 2 2" xfId="39845" xr:uid="{0615C7D8-C6E8-4C7C-9C7C-2D8A67FC6E72}"/>
    <cellStyle name="20% - Accent1 2 2 3 3 2 3" xfId="23948" xr:uid="{00000000-0005-0000-0000-000076020000}"/>
    <cellStyle name="20% - Accent1 2 2 3 3 2 3 2" xfId="47781" xr:uid="{BDFFAF9D-DA86-43DD-8371-8C33D1769AC0}"/>
    <cellStyle name="20% - Accent1 2 2 3 3 2 4" xfId="31904" xr:uid="{C55BB0E8-75D5-4A3C-BD5E-1A2C5E393AF0}"/>
    <cellStyle name="20% - Accent1 2 2 3 3 3" xfId="12464" xr:uid="{00000000-0005-0000-0000-000077020000}"/>
    <cellStyle name="20% - Accent1 2 2 3 3 3 2" xfId="36314" xr:uid="{6FB0B7CF-72B1-4210-893F-C2F0814F1830}"/>
    <cellStyle name="20% - Accent1 2 2 3 3 4" xfId="20419" xr:uid="{00000000-0005-0000-0000-000078020000}"/>
    <cellStyle name="20% - Accent1 2 2 3 3 4 2" xfId="44252" xr:uid="{55A23472-A1F2-4A99-AE97-DA5142E3C55D}"/>
    <cellStyle name="20% - Accent1 2 2 3 3 5" xfId="28373" xr:uid="{7BF4E506-24BD-4CE4-A3B4-0AF733951881}"/>
    <cellStyle name="20% - Accent1 2 2 3 4" xfId="6269" xr:uid="{00000000-0005-0000-0000-000079020000}"/>
    <cellStyle name="20% - Accent1 2 2 3 4 2" xfId="14244" xr:uid="{00000000-0005-0000-0000-00007A020000}"/>
    <cellStyle name="20% - Accent1 2 2 3 4 2 2" xfId="38087" xr:uid="{94B03627-6184-46C1-8D3F-79E039230C68}"/>
    <cellStyle name="20% - Accent1 2 2 3 4 3" xfId="22191" xr:uid="{00000000-0005-0000-0000-00007B020000}"/>
    <cellStyle name="20% - Accent1 2 2 3 4 3 2" xfId="46024" xr:uid="{9CC9A2A4-3D31-4F79-AD44-BDA0F25A0323}"/>
    <cellStyle name="20% - Accent1 2 2 3 4 4" xfId="30146" xr:uid="{4198BAD2-9A02-40D3-8BD6-261878E135DA}"/>
    <cellStyle name="20% - Accent1 2 2 3 5" xfId="9812" xr:uid="{00000000-0005-0000-0000-00007C020000}"/>
    <cellStyle name="20% - Accent1 2 2 3 5 2" xfId="17770" xr:uid="{00000000-0005-0000-0000-00007D020000}"/>
    <cellStyle name="20% - Accent1 2 2 3 5 2 2" xfId="41611" xr:uid="{D052C9B7-D65F-4730-B295-20DF08E277A2}"/>
    <cellStyle name="20% - Accent1 2 2 3 5 3" xfId="25714" xr:uid="{00000000-0005-0000-0000-00007E020000}"/>
    <cellStyle name="20% - Accent1 2 2 3 5 3 2" xfId="49547" xr:uid="{0595CB6B-63DF-4EB3-ABA0-34EE40813F2A}"/>
    <cellStyle name="20% - Accent1 2 2 3 5 4" xfId="33670" xr:uid="{2EAFAEAF-5DF3-4DDC-AA16-21AF10D97BBD}"/>
    <cellStyle name="20% - Accent1 2 2 3 6" xfId="10708" xr:uid="{00000000-0005-0000-0000-00007F020000}"/>
    <cellStyle name="20% - Accent1 2 2 3 6 2" xfId="34558" xr:uid="{35845E77-6A64-4BED-BAA7-B666634A3AE2}"/>
    <cellStyle name="20% - Accent1 2 2 3 7" xfId="18663" xr:uid="{00000000-0005-0000-0000-000080020000}"/>
    <cellStyle name="20% - Accent1 2 2 3 7 2" xfId="42496" xr:uid="{92AAA4D1-EB2B-45F7-8A72-9B253B12EACC}"/>
    <cellStyle name="20% - Accent1 2 2 3 8" xfId="26616" xr:uid="{E405425B-C469-4253-BA52-24466E0F8912}"/>
    <cellStyle name="20% - Accent1 2 2 3_Exh G" xfId="1985" xr:uid="{00000000-0005-0000-0000-000081020000}"/>
    <cellStyle name="20% - Accent1 2 2 4" xfId="1073" xr:uid="{00000000-0005-0000-0000-000082020000}"/>
    <cellStyle name="20% - Accent1 2 2 4 2" xfId="4603" xr:uid="{00000000-0005-0000-0000-000083020000}"/>
    <cellStyle name="20% - Accent1 2 2 4 2 2" xfId="8194" xr:uid="{00000000-0005-0000-0000-000084020000}"/>
    <cellStyle name="20% - Accent1 2 2 4 2 2 2" xfId="16165" xr:uid="{00000000-0005-0000-0000-000085020000}"/>
    <cellStyle name="20% - Accent1 2 2 4 2 2 2 2" xfId="40008" xr:uid="{22C69A89-0DC3-4603-9773-F2F9A973DBF0}"/>
    <cellStyle name="20% - Accent1 2 2 4 2 2 3" xfId="24111" xr:uid="{00000000-0005-0000-0000-000086020000}"/>
    <cellStyle name="20% - Accent1 2 2 4 2 2 3 2" xfId="47944" xr:uid="{2C2B932B-8A06-462D-A138-72640E22AD2D}"/>
    <cellStyle name="20% - Accent1 2 2 4 2 2 4" xfId="32067" xr:uid="{E3FA3D25-FDDF-4452-A46A-71F55D88AEA0}"/>
    <cellStyle name="20% - Accent1 2 2 4 2 3" xfId="12627" xr:uid="{00000000-0005-0000-0000-000087020000}"/>
    <cellStyle name="20% - Accent1 2 2 4 2 3 2" xfId="36477" xr:uid="{2D80276F-9810-406C-82B8-76EA017F62F9}"/>
    <cellStyle name="20% - Accent1 2 2 4 2 4" xfId="20582" xr:uid="{00000000-0005-0000-0000-000088020000}"/>
    <cellStyle name="20% - Accent1 2 2 4 2 4 2" xfId="44415" xr:uid="{69E7CEAE-AF2B-4A93-A7B4-60809DD97F34}"/>
    <cellStyle name="20% - Accent1 2 2 4 2 5" xfId="28536" xr:uid="{33F12CE8-FAF6-47C7-B47A-CB3340D071F5}"/>
    <cellStyle name="20% - Accent1 2 2 4 3" xfId="6435" xr:uid="{00000000-0005-0000-0000-000089020000}"/>
    <cellStyle name="20% - Accent1 2 2 4 3 2" xfId="14407" xr:uid="{00000000-0005-0000-0000-00008A020000}"/>
    <cellStyle name="20% - Accent1 2 2 4 3 2 2" xfId="38250" xr:uid="{E6D25903-EA6E-4F4C-92A6-34B8DE6ED900}"/>
    <cellStyle name="20% - Accent1 2 2 4 3 3" xfId="22354" xr:uid="{00000000-0005-0000-0000-00008B020000}"/>
    <cellStyle name="20% - Accent1 2 2 4 3 3 2" xfId="46187" xr:uid="{EDEBD2DA-6F5F-4AAC-872F-BF9EC92E1892}"/>
    <cellStyle name="20% - Accent1 2 2 4 3 4" xfId="30309" xr:uid="{42BBE778-2D67-43F0-BF07-1B9932CE5C69}"/>
    <cellStyle name="20% - Accent1 2 2 4 4" xfId="10871" xr:uid="{00000000-0005-0000-0000-00008C020000}"/>
    <cellStyle name="20% - Accent1 2 2 4 4 2" xfId="34721" xr:uid="{A376D356-80A5-4466-A279-F1B46B03D336}"/>
    <cellStyle name="20% - Accent1 2 2 4 5" xfId="18826" xr:uid="{00000000-0005-0000-0000-00008D020000}"/>
    <cellStyle name="20% - Accent1 2 2 4 5 2" xfId="42659" xr:uid="{2F2DB540-62DF-4537-B060-062971D7AD2E}"/>
    <cellStyle name="20% - Accent1 2 2 4 6" xfId="26779" xr:uid="{818C7D91-F61A-424A-AEDD-D5A7C5D44DB4}"/>
    <cellStyle name="20% - Accent1 2 2 4_Exh G" xfId="1987" xr:uid="{00000000-0005-0000-0000-00008E020000}"/>
    <cellStyle name="20% - Accent1 2 2 5" xfId="3724" xr:uid="{00000000-0005-0000-0000-00008F020000}"/>
    <cellStyle name="20% - Accent1 2 2 5 2" xfId="7316" xr:uid="{00000000-0005-0000-0000-000090020000}"/>
    <cellStyle name="20% - Accent1 2 2 5 2 2" xfId="15287" xr:uid="{00000000-0005-0000-0000-000091020000}"/>
    <cellStyle name="20% - Accent1 2 2 5 2 2 2" xfId="39130" xr:uid="{15B4D57B-9C4A-4CAF-9E6A-1B5025D678C9}"/>
    <cellStyle name="20% - Accent1 2 2 5 2 3" xfId="23233" xr:uid="{00000000-0005-0000-0000-000092020000}"/>
    <cellStyle name="20% - Accent1 2 2 5 2 3 2" xfId="47066" xr:uid="{20450E56-E7DD-451D-A0B0-EA07DC99567D}"/>
    <cellStyle name="20% - Accent1 2 2 5 2 4" xfId="31189" xr:uid="{4A261871-B02F-4D7F-99D6-5711A621020C}"/>
    <cellStyle name="20% - Accent1 2 2 5 3" xfId="11749" xr:uid="{00000000-0005-0000-0000-000093020000}"/>
    <cellStyle name="20% - Accent1 2 2 5 3 2" xfId="35599" xr:uid="{7037EBB8-8AE7-441A-B844-3B558FD73017}"/>
    <cellStyle name="20% - Accent1 2 2 5 4" xfId="19704" xr:uid="{00000000-0005-0000-0000-000094020000}"/>
    <cellStyle name="20% - Accent1 2 2 5 4 2" xfId="43537" xr:uid="{F7E608CD-09B1-46E1-8E99-A5A8BF58AD79}"/>
    <cellStyle name="20% - Accent1 2 2 5 5" xfId="27658" xr:uid="{B84E62D3-D50C-4C74-BB25-58D9A00DD9F7}"/>
    <cellStyle name="20% - Accent1 2 2 6" xfId="5544" xr:uid="{00000000-0005-0000-0000-000095020000}"/>
    <cellStyle name="20% - Accent1 2 2 6 2" xfId="13528" xr:uid="{00000000-0005-0000-0000-000096020000}"/>
    <cellStyle name="20% - Accent1 2 2 6 2 2" xfId="37372" xr:uid="{7F0EA88D-84EC-41E4-90A4-C6E5989D069C}"/>
    <cellStyle name="20% - Accent1 2 2 6 3" xfId="21476" xr:uid="{00000000-0005-0000-0000-000097020000}"/>
    <cellStyle name="20% - Accent1 2 2 6 3 2" xfId="45309" xr:uid="{8EDE4D3D-3C9A-440E-9901-0A6C3091879F}"/>
    <cellStyle name="20% - Accent1 2 2 6 4" xfId="29431" xr:uid="{481077E8-6F2E-48EF-B127-8F819A96A065}"/>
    <cellStyle name="20% - Accent1 2 2 7" xfId="9097" xr:uid="{00000000-0005-0000-0000-000098020000}"/>
    <cellStyle name="20% - Accent1 2 2 7 2" xfId="17055" xr:uid="{00000000-0005-0000-0000-000099020000}"/>
    <cellStyle name="20% - Accent1 2 2 7 2 2" xfId="40896" xr:uid="{A6FDD678-6B19-40AA-84E1-A22A45CF0FC5}"/>
    <cellStyle name="20% - Accent1 2 2 7 3" xfId="24999" xr:uid="{00000000-0005-0000-0000-00009A020000}"/>
    <cellStyle name="20% - Accent1 2 2 7 3 2" xfId="48832" xr:uid="{631052CF-E2E7-499A-A58D-81BF4A3D4A5E}"/>
    <cellStyle name="20% - Accent1 2 2 7 4" xfId="32955" xr:uid="{4A48308B-BA87-4BB2-A5F1-EDA488140093}"/>
    <cellStyle name="20% - Accent1 2 2 8" xfId="9993" xr:uid="{00000000-0005-0000-0000-00009B020000}"/>
    <cellStyle name="20% - Accent1 2 2 8 2" xfId="33843" xr:uid="{5892DE27-472D-4EC2-94AF-4ECEA0046D4B}"/>
    <cellStyle name="20% - Accent1 2 2 9" xfId="17948" xr:uid="{00000000-0005-0000-0000-00009C020000}"/>
    <cellStyle name="20% - Accent1 2 2 9 2" xfId="41781" xr:uid="{2782596F-474F-45F2-BACF-4239183FB443}"/>
    <cellStyle name="20% - Accent1 2 2_Exh G" xfId="1982" xr:uid="{00000000-0005-0000-0000-00009D020000}"/>
    <cellStyle name="20% - Accent1 2 3" xfId="47" xr:uid="{00000000-0005-0000-0000-00009E020000}"/>
    <cellStyle name="20% - Accent1 2 3 2" xfId="1075" xr:uid="{00000000-0005-0000-0000-00009F020000}"/>
    <cellStyle name="20% - Accent1 2 3 2 2" xfId="4605" xr:uid="{00000000-0005-0000-0000-0000A0020000}"/>
    <cellStyle name="20% - Accent1 2 3 2 2 2" xfId="8196" xr:uid="{00000000-0005-0000-0000-0000A1020000}"/>
    <cellStyle name="20% - Accent1 2 3 2 2 2 2" xfId="16167" xr:uid="{00000000-0005-0000-0000-0000A2020000}"/>
    <cellStyle name="20% - Accent1 2 3 2 2 2 2 2" xfId="40010" xr:uid="{BA245A86-4AC0-46CC-A7CD-3A1C477D0F5A}"/>
    <cellStyle name="20% - Accent1 2 3 2 2 2 3" xfId="24113" xr:uid="{00000000-0005-0000-0000-0000A3020000}"/>
    <cellStyle name="20% - Accent1 2 3 2 2 2 3 2" xfId="47946" xr:uid="{A3B37C28-0EAD-4CFF-9C80-25F3B7C6C862}"/>
    <cellStyle name="20% - Accent1 2 3 2 2 2 4" xfId="32069" xr:uid="{2D262A3A-466A-4A0A-8625-A8306736105D}"/>
    <cellStyle name="20% - Accent1 2 3 2 2 3" xfId="12629" xr:uid="{00000000-0005-0000-0000-0000A4020000}"/>
    <cellStyle name="20% - Accent1 2 3 2 2 3 2" xfId="36479" xr:uid="{0026FE54-D2BE-4FFB-802A-4D1F0DC07E65}"/>
    <cellStyle name="20% - Accent1 2 3 2 2 4" xfId="20584" xr:uid="{00000000-0005-0000-0000-0000A5020000}"/>
    <cellStyle name="20% - Accent1 2 3 2 2 4 2" xfId="44417" xr:uid="{2549491A-09F0-47E8-B2AE-A862243B18C3}"/>
    <cellStyle name="20% - Accent1 2 3 2 2 5" xfId="28538" xr:uid="{95895334-E061-44A8-8F7C-9D68D5DBAF10}"/>
    <cellStyle name="20% - Accent1 2 3 2 3" xfId="6437" xr:uid="{00000000-0005-0000-0000-0000A6020000}"/>
    <cellStyle name="20% - Accent1 2 3 2 3 2" xfId="14409" xr:uid="{00000000-0005-0000-0000-0000A7020000}"/>
    <cellStyle name="20% - Accent1 2 3 2 3 2 2" xfId="38252" xr:uid="{9EADF9EE-EF9A-4E49-9B0A-A3C4F78528E6}"/>
    <cellStyle name="20% - Accent1 2 3 2 3 3" xfId="22356" xr:uid="{00000000-0005-0000-0000-0000A8020000}"/>
    <cellStyle name="20% - Accent1 2 3 2 3 3 2" xfId="46189" xr:uid="{1A56D0B0-2E9C-41B6-853F-BD9AF9503711}"/>
    <cellStyle name="20% - Accent1 2 3 2 3 4" xfId="30311" xr:uid="{D2B762C2-F8EB-4CA0-BEF5-1719373AFC12}"/>
    <cellStyle name="20% - Accent1 2 3 2 4" xfId="10873" xr:uid="{00000000-0005-0000-0000-0000A9020000}"/>
    <cellStyle name="20% - Accent1 2 3 2 4 2" xfId="34723" xr:uid="{999DA8ED-8EA4-4E83-ADAD-EA53C47E27DA}"/>
    <cellStyle name="20% - Accent1 2 3 2 5" xfId="18828" xr:uid="{00000000-0005-0000-0000-0000AA020000}"/>
    <cellStyle name="20% - Accent1 2 3 2 5 2" xfId="42661" xr:uid="{B7DC34B2-83C9-4C77-95C4-E23713407B66}"/>
    <cellStyle name="20% - Accent1 2 3 2 6" xfId="26781" xr:uid="{44EF94E2-3AF6-4662-BD47-5E70C9423917}"/>
    <cellStyle name="20% - Accent1 2 3 2_Exh G" xfId="1989" xr:uid="{00000000-0005-0000-0000-0000AB020000}"/>
    <cellStyle name="20% - Accent1 2 3 3" xfId="3726" xr:uid="{00000000-0005-0000-0000-0000AC020000}"/>
    <cellStyle name="20% - Accent1 2 3 3 2" xfId="7318" xr:uid="{00000000-0005-0000-0000-0000AD020000}"/>
    <cellStyle name="20% - Accent1 2 3 3 2 2" xfId="15289" xr:uid="{00000000-0005-0000-0000-0000AE020000}"/>
    <cellStyle name="20% - Accent1 2 3 3 2 2 2" xfId="39132" xr:uid="{3DE7C923-2D58-4950-A072-7B7822C06699}"/>
    <cellStyle name="20% - Accent1 2 3 3 2 3" xfId="23235" xr:uid="{00000000-0005-0000-0000-0000AF020000}"/>
    <cellStyle name="20% - Accent1 2 3 3 2 3 2" xfId="47068" xr:uid="{7AB07568-D398-48FE-B5F3-E5BD7387F369}"/>
    <cellStyle name="20% - Accent1 2 3 3 2 4" xfId="31191" xr:uid="{B5FAC521-EF8B-41F9-8B16-F73EA227D7B7}"/>
    <cellStyle name="20% - Accent1 2 3 3 3" xfId="11751" xr:uid="{00000000-0005-0000-0000-0000B0020000}"/>
    <cellStyle name="20% - Accent1 2 3 3 3 2" xfId="35601" xr:uid="{E610BCC7-14F7-4CB6-9D56-586F7B7DEA48}"/>
    <cellStyle name="20% - Accent1 2 3 3 4" xfId="19706" xr:uid="{00000000-0005-0000-0000-0000B1020000}"/>
    <cellStyle name="20% - Accent1 2 3 3 4 2" xfId="43539" xr:uid="{18D3281A-D0B6-47FD-884E-A489A2FEB265}"/>
    <cellStyle name="20% - Accent1 2 3 3 5" xfId="27660" xr:uid="{8B05ECA6-81CD-468F-8629-EE5CBD2B89AA}"/>
    <cellStyle name="20% - Accent1 2 3 4" xfId="5546" xr:uid="{00000000-0005-0000-0000-0000B2020000}"/>
    <cellStyle name="20% - Accent1 2 3 4 2" xfId="13530" xr:uid="{00000000-0005-0000-0000-0000B3020000}"/>
    <cellStyle name="20% - Accent1 2 3 4 2 2" xfId="37374" xr:uid="{CB8CCD43-EEFD-431A-993F-6EB593EF6A77}"/>
    <cellStyle name="20% - Accent1 2 3 4 3" xfId="21478" xr:uid="{00000000-0005-0000-0000-0000B4020000}"/>
    <cellStyle name="20% - Accent1 2 3 4 3 2" xfId="45311" xr:uid="{4A178F7D-186D-491B-9D39-0ABBD8124DDC}"/>
    <cellStyle name="20% - Accent1 2 3 4 4" xfId="29433" xr:uid="{C8735762-FC33-4E5B-BB9E-E6A106C9F28B}"/>
    <cellStyle name="20% - Accent1 2 3 5" xfId="9099" xr:uid="{00000000-0005-0000-0000-0000B5020000}"/>
    <cellStyle name="20% - Accent1 2 3 5 2" xfId="17057" xr:uid="{00000000-0005-0000-0000-0000B6020000}"/>
    <cellStyle name="20% - Accent1 2 3 5 2 2" xfId="40898" xr:uid="{03108B5C-A292-435E-BA33-7E7E148DC0C6}"/>
    <cellStyle name="20% - Accent1 2 3 5 3" xfId="25001" xr:uid="{00000000-0005-0000-0000-0000B7020000}"/>
    <cellStyle name="20% - Accent1 2 3 5 3 2" xfId="48834" xr:uid="{26C773B8-BBA1-48A2-9935-7E654779554D}"/>
    <cellStyle name="20% - Accent1 2 3 5 4" xfId="32957" xr:uid="{3D819E9E-00AC-4B00-A348-DCFE0B5F3F33}"/>
    <cellStyle name="20% - Accent1 2 3 6" xfId="9995" xr:uid="{00000000-0005-0000-0000-0000B8020000}"/>
    <cellStyle name="20% - Accent1 2 3 6 2" xfId="33845" xr:uid="{14CAF471-A079-4C26-84DD-AFD6969EF922}"/>
    <cellStyle name="20% - Accent1 2 3 7" xfId="17950" xr:uid="{00000000-0005-0000-0000-0000B9020000}"/>
    <cellStyle name="20% - Accent1 2 3 7 2" xfId="41783" xr:uid="{CF14FDE7-28A9-4314-96EF-A64FB78B6078}"/>
    <cellStyle name="20% - Accent1 2 3 8" xfId="25903" xr:uid="{6E002C5F-3EF9-4D4E-A6F2-F5700F4F1CDC}"/>
    <cellStyle name="20% - Accent1 2 3_Exh G" xfId="1988" xr:uid="{00000000-0005-0000-0000-0000BA020000}"/>
    <cellStyle name="20% - Accent1 2 4" xfId="863" xr:uid="{00000000-0005-0000-0000-0000BB020000}"/>
    <cellStyle name="20% - Accent1 2 4 2" xfId="1799" xr:uid="{00000000-0005-0000-0000-0000BC020000}"/>
    <cellStyle name="20% - Accent1 2 4 2 2" xfId="5317" xr:uid="{00000000-0005-0000-0000-0000BD020000}"/>
    <cellStyle name="20% - Accent1 2 4 2 2 2" xfId="8908" xr:uid="{00000000-0005-0000-0000-0000BE020000}"/>
    <cellStyle name="20% - Accent1 2 4 2 2 2 2" xfId="16879" xr:uid="{00000000-0005-0000-0000-0000BF020000}"/>
    <cellStyle name="20% - Accent1 2 4 2 2 2 2 2" xfId="40722" xr:uid="{33C3AB96-3509-40FF-BEB9-A19A1C433C27}"/>
    <cellStyle name="20% - Accent1 2 4 2 2 2 3" xfId="24825" xr:uid="{00000000-0005-0000-0000-0000C0020000}"/>
    <cellStyle name="20% - Accent1 2 4 2 2 2 3 2" xfId="48658" xr:uid="{778B0082-770B-4E0F-8A9E-6BB66BB06BE6}"/>
    <cellStyle name="20% - Accent1 2 4 2 2 2 4" xfId="32781" xr:uid="{20D6BDA8-74B3-4601-82F3-FB974ECC36C9}"/>
    <cellStyle name="20% - Accent1 2 4 2 2 3" xfId="13341" xr:uid="{00000000-0005-0000-0000-0000C1020000}"/>
    <cellStyle name="20% - Accent1 2 4 2 2 3 2" xfId="37191" xr:uid="{C0CD4829-CED1-4E2C-910F-EF85BDBB3DC9}"/>
    <cellStyle name="20% - Accent1 2 4 2 2 4" xfId="21296" xr:uid="{00000000-0005-0000-0000-0000C2020000}"/>
    <cellStyle name="20% - Accent1 2 4 2 2 4 2" xfId="45129" xr:uid="{EEB8D2A6-F1EF-49D5-A4AD-271E2A8FA451}"/>
    <cellStyle name="20% - Accent1 2 4 2 2 5" xfId="29250" xr:uid="{17CA2D3C-5F65-4957-9E1C-2D732172DDD3}"/>
    <cellStyle name="20% - Accent1 2 4 2 3" xfId="7149" xr:uid="{00000000-0005-0000-0000-0000C3020000}"/>
    <cellStyle name="20% - Accent1 2 4 2 3 2" xfId="15121" xr:uid="{00000000-0005-0000-0000-0000C4020000}"/>
    <cellStyle name="20% - Accent1 2 4 2 3 2 2" xfId="38964" xr:uid="{11BF2B0D-FDF5-49B5-9480-1968CF54EF4C}"/>
    <cellStyle name="20% - Accent1 2 4 2 3 3" xfId="23068" xr:uid="{00000000-0005-0000-0000-0000C5020000}"/>
    <cellStyle name="20% - Accent1 2 4 2 3 3 2" xfId="46901" xr:uid="{5F7AFB7E-9778-4076-BFF1-8D7B359B8D10}"/>
    <cellStyle name="20% - Accent1 2 4 2 3 4" xfId="31023" xr:uid="{BC0E4EE4-DF61-4265-BFF9-922A8C4217F5}"/>
    <cellStyle name="20% - Accent1 2 4 2 4" xfId="11585" xr:uid="{00000000-0005-0000-0000-0000C6020000}"/>
    <cellStyle name="20% - Accent1 2 4 2 4 2" xfId="35435" xr:uid="{8729A58D-AC98-4CF4-AE6D-96749EB904BF}"/>
    <cellStyle name="20% - Accent1 2 4 2 5" xfId="19540" xr:uid="{00000000-0005-0000-0000-0000C7020000}"/>
    <cellStyle name="20% - Accent1 2 4 2 5 2" xfId="43373" xr:uid="{E75214FF-91C6-4D2B-B7DF-E7343DACAE65}"/>
    <cellStyle name="20% - Accent1 2 4 2 6" xfId="27493" xr:uid="{FBD33532-6DCC-4EFC-BBCC-AAFDB25A7C06}"/>
    <cellStyle name="20% - Accent1 2 4 2_Exh G" xfId="1991" xr:uid="{00000000-0005-0000-0000-0000C8020000}"/>
    <cellStyle name="20% - Accent1 2 4 3" xfId="4438" xr:uid="{00000000-0005-0000-0000-0000C9020000}"/>
    <cellStyle name="20% - Accent1 2 4 3 2" xfId="8030" xr:uid="{00000000-0005-0000-0000-0000CA020000}"/>
    <cellStyle name="20% - Accent1 2 4 3 2 2" xfId="16001" xr:uid="{00000000-0005-0000-0000-0000CB020000}"/>
    <cellStyle name="20% - Accent1 2 4 3 2 2 2" xfId="39844" xr:uid="{278DDA07-6B16-420B-A1B3-67CC7D76C4E0}"/>
    <cellStyle name="20% - Accent1 2 4 3 2 3" xfId="23947" xr:uid="{00000000-0005-0000-0000-0000CC020000}"/>
    <cellStyle name="20% - Accent1 2 4 3 2 3 2" xfId="47780" xr:uid="{85A9A1E6-745C-4DA8-A97B-0B59C38D0F77}"/>
    <cellStyle name="20% - Accent1 2 4 3 2 4" xfId="31903" xr:uid="{E42BDF17-866E-4243-916B-D73C20A89EF2}"/>
    <cellStyle name="20% - Accent1 2 4 3 3" xfId="12463" xr:uid="{00000000-0005-0000-0000-0000CD020000}"/>
    <cellStyle name="20% - Accent1 2 4 3 3 2" xfId="36313" xr:uid="{5C931B25-3D80-48FB-A2DA-73825717362A}"/>
    <cellStyle name="20% - Accent1 2 4 3 4" xfId="20418" xr:uid="{00000000-0005-0000-0000-0000CE020000}"/>
    <cellStyle name="20% - Accent1 2 4 3 4 2" xfId="44251" xr:uid="{D0E51DDC-365B-4E8E-9D22-835E47270867}"/>
    <cellStyle name="20% - Accent1 2 4 3 5" xfId="28372" xr:uid="{A3FA1D4B-1E4F-42F2-95E6-9B81F163964E}"/>
    <cellStyle name="20% - Accent1 2 4 4" xfId="6268" xr:uid="{00000000-0005-0000-0000-0000CF020000}"/>
    <cellStyle name="20% - Accent1 2 4 4 2" xfId="14243" xr:uid="{00000000-0005-0000-0000-0000D0020000}"/>
    <cellStyle name="20% - Accent1 2 4 4 2 2" xfId="38086" xr:uid="{F29C027F-6F39-4B97-A6D7-D7CB9C349B3D}"/>
    <cellStyle name="20% - Accent1 2 4 4 3" xfId="22190" xr:uid="{00000000-0005-0000-0000-0000D1020000}"/>
    <cellStyle name="20% - Accent1 2 4 4 3 2" xfId="46023" xr:uid="{D7F3C2CF-53DA-497F-9497-9D05312FF6A9}"/>
    <cellStyle name="20% - Accent1 2 4 4 4" xfId="30145" xr:uid="{A2A50F1A-C270-4628-8B60-09C57CDA8E7B}"/>
    <cellStyle name="20% - Accent1 2 4 5" xfId="9811" xr:uid="{00000000-0005-0000-0000-0000D2020000}"/>
    <cellStyle name="20% - Accent1 2 4 5 2" xfId="17769" xr:uid="{00000000-0005-0000-0000-0000D3020000}"/>
    <cellStyle name="20% - Accent1 2 4 5 2 2" xfId="41610" xr:uid="{C445DF1E-670B-4933-9204-930D9D961DEC}"/>
    <cellStyle name="20% - Accent1 2 4 5 3" xfId="25713" xr:uid="{00000000-0005-0000-0000-0000D4020000}"/>
    <cellStyle name="20% - Accent1 2 4 5 3 2" xfId="49546" xr:uid="{53745085-0FCB-45A7-90C2-0D6EB7B17769}"/>
    <cellStyle name="20% - Accent1 2 4 5 4" xfId="33669" xr:uid="{2C5022A3-E2F9-4036-B7E2-4E82153D827C}"/>
    <cellStyle name="20% - Accent1 2 4 6" xfId="10707" xr:uid="{00000000-0005-0000-0000-0000D5020000}"/>
    <cellStyle name="20% - Accent1 2 4 6 2" xfId="34557" xr:uid="{8126EFF5-84A9-40D8-8084-E8A98A1B28E1}"/>
    <cellStyle name="20% - Accent1 2 4 7" xfId="18662" xr:uid="{00000000-0005-0000-0000-0000D6020000}"/>
    <cellStyle name="20% - Accent1 2 4 7 2" xfId="42495" xr:uid="{5BBBF56D-8BAC-4656-8D16-435EEC29BA5A}"/>
    <cellStyle name="20% - Accent1 2 4 8" xfId="26615" xr:uid="{5EEBB7FD-ABC9-467D-82A3-DD8452764A57}"/>
    <cellStyle name="20% - Accent1 2 4_Exh G" xfId="1990" xr:uid="{00000000-0005-0000-0000-0000D7020000}"/>
    <cellStyle name="20% - Accent1 2 5" xfId="1072" xr:uid="{00000000-0005-0000-0000-0000D8020000}"/>
    <cellStyle name="20% - Accent1 2 5 2" xfId="4602" xr:uid="{00000000-0005-0000-0000-0000D9020000}"/>
    <cellStyle name="20% - Accent1 2 5 2 2" xfId="8193" xr:uid="{00000000-0005-0000-0000-0000DA020000}"/>
    <cellStyle name="20% - Accent1 2 5 2 2 2" xfId="16164" xr:uid="{00000000-0005-0000-0000-0000DB020000}"/>
    <cellStyle name="20% - Accent1 2 5 2 2 2 2" xfId="40007" xr:uid="{39B74557-77FB-410C-84FE-0E3D50DBF8BD}"/>
    <cellStyle name="20% - Accent1 2 5 2 2 3" xfId="24110" xr:uid="{00000000-0005-0000-0000-0000DC020000}"/>
    <cellStyle name="20% - Accent1 2 5 2 2 3 2" xfId="47943" xr:uid="{DCAD052C-1481-4739-B70D-B2F54E110AEE}"/>
    <cellStyle name="20% - Accent1 2 5 2 2 4" xfId="32066" xr:uid="{0030D369-0B42-4C01-99FD-86F65961362D}"/>
    <cellStyle name="20% - Accent1 2 5 2 3" xfId="12626" xr:uid="{00000000-0005-0000-0000-0000DD020000}"/>
    <cellStyle name="20% - Accent1 2 5 2 3 2" xfId="36476" xr:uid="{1217F21F-C231-4B4F-9722-B3C0E2BB1484}"/>
    <cellStyle name="20% - Accent1 2 5 2 4" xfId="20581" xr:uid="{00000000-0005-0000-0000-0000DE020000}"/>
    <cellStyle name="20% - Accent1 2 5 2 4 2" xfId="44414" xr:uid="{7A04B83C-8C7C-48A1-84FC-92185428FF1B}"/>
    <cellStyle name="20% - Accent1 2 5 2 5" xfId="28535" xr:uid="{FD304F4B-74DD-4410-99EA-02D288976B33}"/>
    <cellStyle name="20% - Accent1 2 5 3" xfId="6434" xr:uid="{00000000-0005-0000-0000-0000DF020000}"/>
    <cellStyle name="20% - Accent1 2 5 3 2" xfId="14406" xr:uid="{00000000-0005-0000-0000-0000E0020000}"/>
    <cellStyle name="20% - Accent1 2 5 3 2 2" xfId="38249" xr:uid="{E6C23100-2B35-4D35-9040-5D91A2C787C3}"/>
    <cellStyle name="20% - Accent1 2 5 3 3" xfId="22353" xr:uid="{00000000-0005-0000-0000-0000E1020000}"/>
    <cellStyle name="20% - Accent1 2 5 3 3 2" xfId="46186" xr:uid="{5488F361-2421-407F-BE9A-9ECF8DDA8653}"/>
    <cellStyle name="20% - Accent1 2 5 3 4" xfId="30308" xr:uid="{6FC88290-1917-43EB-84C4-3985D7A307D4}"/>
    <cellStyle name="20% - Accent1 2 5 4" xfId="10870" xr:uid="{00000000-0005-0000-0000-0000E2020000}"/>
    <cellStyle name="20% - Accent1 2 5 4 2" xfId="34720" xr:uid="{505C7FA4-B8FA-432F-B45D-131B41BAE01C}"/>
    <cellStyle name="20% - Accent1 2 5 5" xfId="18825" xr:uid="{00000000-0005-0000-0000-0000E3020000}"/>
    <cellStyle name="20% - Accent1 2 5 5 2" xfId="42658" xr:uid="{A26401AE-36F9-4FD8-8157-F8CA0AD02053}"/>
    <cellStyle name="20% - Accent1 2 5 6" xfId="26778" xr:uid="{7B45C0F9-8BD5-424E-8FA3-58084867BCF1}"/>
    <cellStyle name="20% - Accent1 2 5_Exh G" xfId="1992" xr:uid="{00000000-0005-0000-0000-0000E4020000}"/>
    <cellStyle name="20% - Accent1 2 6" xfId="3723" xr:uid="{00000000-0005-0000-0000-0000E5020000}"/>
    <cellStyle name="20% - Accent1 2 6 2" xfId="7315" xr:uid="{00000000-0005-0000-0000-0000E6020000}"/>
    <cellStyle name="20% - Accent1 2 6 2 2" xfId="15286" xr:uid="{00000000-0005-0000-0000-0000E7020000}"/>
    <cellStyle name="20% - Accent1 2 6 2 2 2" xfId="39129" xr:uid="{9C201D7A-2C97-44C6-BF01-509AC654C8E6}"/>
    <cellStyle name="20% - Accent1 2 6 2 3" xfId="23232" xr:uid="{00000000-0005-0000-0000-0000E8020000}"/>
    <cellStyle name="20% - Accent1 2 6 2 3 2" xfId="47065" xr:uid="{1E68B599-8F0C-49D7-A958-36903E9B66A3}"/>
    <cellStyle name="20% - Accent1 2 6 2 4" xfId="31188" xr:uid="{6A45200E-813A-425B-8F8C-2B789A3AC849}"/>
    <cellStyle name="20% - Accent1 2 6 3" xfId="11748" xr:uid="{00000000-0005-0000-0000-0000E9020000}"/>
    <cellStyle name="20% - Accent1 2 6 3 2" xfId="35598" xr:uid="{E51E56B7-2A98-4C8E-92D5-8B1F8EA4B63E}"/>
    <cellStyle name="20% - Accent1 2 6 4" xfId="19703" xr:uid="{00000000-0005-0000-0000-0000EA020000}"/>
    <cellStyle name="20% - Accent1 2 6 4 2" xfId="43536" xr:uid="{27D4FF7A-E122-4DAC-B04D-8A2D740212F3}"/>
    <cellStyle name="20% - Accent1 2 6 5" xfId="27657" xr:uid="{1EBD0B7B-F1A2-482E-BB4B-796221A56C47}"/>
    <cellStyle name="20% - Accent1 2 7" xfId="5543" xr:uid="{00000000-0005-0000-0000-0000EB020000}"/>
    <cellStyle name="20% - Accent1 2 7 2" xfId="13527" xr:uid="{00000000-0005-0000-0000-0000EC020000}"/>
    <cellStyle name="20% - Accent1 2 7 2 2" xfId="37371" xr:uid="{5EC949F4-D716-442F-BE08-C2A61275D5D6}"/>
    <cellStyle name="20% - Accent1 2 7 3" xfId="21475" xr:uid="{00000000-0005-0000-0000-0000ED020000}"/>
    <cellStyle name="20% - Accent1 2 7 3 2" xfId="45308" xr:uid="{9D9C2156-B166-475D-AA86-54D0315AD337}"/>
    <cellStyle name="20% - Accent1 2 7 4" xfId="29430" xr:uid="{C3DBCD18-0D08-4175-9612-5F463E5F6F4C}"/>
    <cellStyle name="20% - Accent1 2 8" xfId="9096" xr:uid="{00000000-0005-0000-0000-0000EE020000}"/>
    <cellStyle name="20% - Accent1 2 8 2" xfId="17054" xr:uid="{00000000-0005-0000-0000-0000EF020000}"/>
    <cellStyle name="20% - Accent1 2 8 2 2" xfId="40895" xr:uid="{3C45378C-72A5-4056-AA9F-BEB633D5E816}"/>
    <cellStyle name="20% - Accent1 2 8 3" xfId="24998" xr:uid="{00000000-0005-0000-0000-0000F0020000}"/>
    <cellStyle name="20% - Accent1 2 8 3 2" xfId="48831" xr:uid="{D4EC156A-78EC-49CB-A3BC-2BCDC0C5CA5F}"/>
    <cellStyle name="20% - Accent1 2 8 4" xfId="32954" xr:uid="{CEEE65CC-02E3-4794-B251-5DFAF51BB848}"/>
    <cellStyle name="20% - Accent1 2 9" xfId="9992" xr:uid="{00000000-0005-0000-0000-0000F1020000}"/>
    <cellStyle name="20% - Accent1 2 9 2" xfId="33842" xr:uid="{9F195934-0532-4543-AB69-F08A109FD910}"/>
    <cellStyle name="20% - Accent1 2_Exh G" xfId="1981" xr:uid="{00000000-0005-0000-0000-0000F2020000}"/>
    <cellStyle name="20% - Accent1 3" xfId="48" xr:uid="{00000000-0005-0000-0000-0000F3020000}"/>
    <cellStyle name="20% - Accent1 3 10" xfId="17951" xr:uid="{00000000-0005-0000-0000-0000F4020000}"/>
    <cellStyle name="20% - Accent1 3 10 2" xfId="41784" xr:uid="{A056336D-DEAE-43E7-9C75-461FDDA21EBD}"/>
    <cellStyle name="20% - Accent1 3 11" xfId="25904" xr:uid="{6B4DABFA-604E-43F2-9801-294D85B086B5}"/>
    <cellStyle name="20% - Accent1 3 12" xfId="49766" xr:uid="{FB93CA43-A575-46C0-86E2-2B60FD799D0C}"/>
    <cellStyle name="20% - Accent1 3 13" xfId="49820" xr:uid="{F8B71A7A-8B90-450A-A611-30C9E3FA662B}"/>
    <cellStyle name="20% - Accent1 3 2" xfId="49" xr:uid="{00000000-0005-0000-0000-0000F5020000}"/>
    <cellStyle name="20% - Accent1 3 2 10" xfId="25905" xr:uid="{2CC8ABA4-2F93-44DF-B2CB-19723CBAF2A4}"/>
    <cellStyle name="20% - Accent1 3 2 2" xfId="50" xr:uid="{00000000-0005-0000-0000-0000F6020000}"/>
    <cellStyle name="20% - Accent1 3 2 2 2" xfId="1078" xr:uid="{00000000-0005-0000-0000-0000F7020000}"/>
    <cellStyle name="20% - Accent1 3 2 2 2 2" xfId="4608" xr:uid="{00000000-0005-0000-0000-0000F8020000}"/>
    <cellStyle name="20% - Accent1 3 2 2 2 2 2" xfId="8199" xr:uid="{00000000-0005-0000-0000-0000F9020000}"/>
    <cellStyle name="20% - Accent1 3 2 2 2 2 2 2" xfId="16170" xr:uid="{00000000-0005-0000-0000-0000FA020000}"/>
    <cellStyle name="20% - Accent1 3 2 2 2 2 2 2 2" xfId="40013" xr:uid="{DDF0B7EC-4FE2-4457-AB1C-A4E795AD744E}"/>
    <cellStyle name="20% - Accent1 3 2 2 2 2 2 3" xfId="24116" xr:uid="{00000000-0005-0000-0000-0000FB020000}"/>
    <cellStyle name="20% - Accent1 3 2 2 2 2 2 3 2" xfId="47949" xr:uid="{B39D1A32-EB31-4818-89BF-372A9F63F7C6}"/>
    <cellStyle name="20% - Accent1 3 2 2 2 2 2 4" xfId="32072" xr:uid="{736F6BD6-197D-43C0-9D5B-ED1AEFD17426}"/>
    <cellStyle name="20% - Accent1 3 2 2 2 2 3" xfId="12632" xr:uid="{00000000-0005-0000-0000-0000FC020000}"/>
    <cellStyle name="20% - Accent1 3 2 2 2 2 3 2" xfId="36482" xr:uid="{73E32DF7-B159-4395-955B-6B7E6DB51935}"/>
    <cellStyle name="20% - Accent1 3 2 2 2 2 4" xfId="20587" xr:uid="{00000000-0005-0000-0000-0000FD020000}"/>
    <cellStyle name="20% - Accent1 3 2 2 2 2 4 2" xfId="44420" xr:uid="{5CAF81A9-033B-48C2-BAC4-0C9CCA05E6D3}"/>
    <cellStyle name="20% - Accent1 3 2 2 2 2 5" xfId="28541" xr:uid="{B1D0646D-E4F9-4360-BEB3-EDD7E5F5888E}"/>
    <cellStyle name="20% - Accent1 3 2 2 2 3" xfId="6440" xr:uid="{00000000-0005-0000-0000-0000FE020000}"/>
    <cellStyle name="20% - Accent1 3 2 2 2 3 2" xfId="14412" xr:uid="{00000000-0005-0000-0000-0000FF020000}"/>
    <cellStyle name="20% - Accent1 3 2 2 2 3 2 2" xfId="38255" xr:uid="{7E754C21-95F8-4A03-8BEB-C2DCB1714E1C}"/>
    <cellStyle name="20% - Accent1 3 2 2 2 3 3" xfId="22359" xr:uid="{00000000-0005-0000-0000-000000030000}"/>
    <cellStyle name="20% - Accent1 3 2 2 2 3 3 2" xfId="46192" xr:uid="{4EEE3774-5653-4342-A93C-34686EAA43B6}"/>
    <cellStyle name="20% - Accent1 3 2 2 2 3 4" xfId="30314" xr:uid="{3837BECC-E830-4610-927C-DE9226F66027}"/>
    <cellStyle name="20% - Accent1 3 2 2 2 4" xfId="10876" xr:uid="{00000000-0005-0000-0000-000001030000}"/>
    <cellStyle name="20% - Accent1 3 2 2 2 4 2" xfId="34726" xr:uid="{1FE569FB-493B-4DFD-B920-801E7DE3D8D1}"/>
    <cellStyle name="20% - Accent1 3 2 2 2 5" xfId="18831" xr:uid="{00000000-0005-0000-0000-000002030000}"/>
    <cellStyle name="20% - Accent1 3 2 2 2 5 2" xfId="42664" xr:uid="{BA2E93B4-14E7-47CA-B46B-D76A3FBFA882}"/>
    <cellStyle name="20% - Accent1 3 2 2 2 6" xfId="26784" xr:uid="{6D131696-DA7F-43B9-BD05-9CF1CC6A3D8B}"/>
    <cellStyle name="20% - Accent1 3 2 2 2_Exh G" xfId="1996" xr:uid="{00000000-0005-0000-0000-000003030000}"/>
    <cellStyle name="20% - Accent1 3 2 2 3" xfId="3729" xr:uid="{00000000-0005-0000-0000-000004030000}"/>
    <cellStyle name="20% - Accent1 3 2 2 3 2" xfId="7321" xr:uid="{00000000-0005-0000-0000-000005030000}"/>
    <cellStyle name="20% - Accent1 3 2 2 3 2 2" xfId="15292" xr:uid="{00000000-0005-0000-0000-000006030000}"/>
    <cellStyle name="20% - Accent1 3 2 2 3 2 2 2" xfId="39135" xr:uid="{E72B5854-6866-4E65-89FC-664708ED5029}"/>
    <cellStyle name="20% - Accent1 3 2 2 3 2 3" xfId="23238" xr:uid="{00000000-0005-0000-0000-000007030000}"/>
    <cellStyle name="20% - Accent1 3 2 2 3 2 3 2" xfId="47071" xr:uid="{1C759FBC-32DC-4176-8CB4-6CBFC6587D64}"/>
    <cellStyle name="20% - Accent1 3 2 2 3 2 4" xfId="31194" xr:uid="{B50B04A8-0177-417E-93EC-DB8D692D3EA1}"/>
    <cellStyle name="20% - Accent1 3 2 2 3 3" xfId="11754" xr:uid="{00000000-0005-0000-0000-000008030000}"/>
    <cellStyle name="20% - Accent1 3 2 2 3 3 2" xfId="35604" xr:uid="{95ACA89E-753C-4536-8B9B-CD0E0A204AFA}"/>
    <cellStyle name="20% - Accent1 3 2 2 3 4" xfId="19709" xr:uid="{00000000-0005-0000-0000-000009030000}"/>
    <cellStyle name="20% - Accent1 3 2 2 3 4 2" xfId="43542" xr:uid="{6802160A-2E3E-4207-9CDA-5D71485B0317}"/>
    <cellStyle name="20% - Accent1 3 2 2 3 5" xfId="27663" xr:uid="{43D382DC-4FB5-4C6A-9814-4F16008CFCEA}"/>
    <cellStyle name="20% - Accent1 3 2 2 4" xfId="5549" xr:uid="{00000000-0005-0000-0000-00000A030000}"/>
    <cellStyle name="20% - Accent1 3 2 2 4 2" xfId="13533" xr:uid="{00000000-0005-0000-0000-00000B030000}"/>
    <cellStyle name="20% - Accent1 3 2 2 4 2 2" xfId="37377" xr:uid="{AFB332D3-C571-4A4E-B960-58E668215B8B}"/>
    <cellStyle name="20% - Accent1 3 2 2 4 3" xfId="21481" xr:uid="{00000000-0005-0000-0000-00000C030000}"/>
    <cellStyle name="20% - Accent1 3 2 2 4 3 2" xfId="45314" xr:uid="{F764FBE7-129E-4119-94FC-6ADB195FA2F3}"/>
    <cellStyle name="20% - Accent1 3 2 2 4 4" xfId="29436" xr:uid="{EF4CD56C-5440-4A8E-B1DE-DE4B4FC84E85}"/>
    <cellStyle name="20% - Accent1 3 2 2 5" xfId="9102" xr:uid="{00000000-0005-0000-0000-00000D030000}"/>
    <cellStyle name="20% - Accent1 3 2 2 5 2" xfId="17060" xr:uid="{00000000-0005-0000-0000-00000E030000}"/>
    <cellStyle name="20% - Accent1 3 2 2 5 2 2" xfId="40901" xr:uid="{0FB1C3BB-E1A9-463E-9D49-975787E17FB8}"/>
    <cellStyle name="20% - Accent1 3 2 2 5 3" xfId="25004" xr:uid="{00000000-0005-0000-0000-00000F030000}"/>
    <cellStyle name="20% - Accent1 3 2 2 5 3 2" xfId="48837" xr:uid="{DA2E88E2-8E2F-41BF-807C-D6B1D309F8B3}"/>
    <cellStyle name="20% - Accent1 3 2 2 5 4" xfId="32960" xr:uid="{7E8A5F91-0552-45CE-8175-1C1E27DF243E}"/>
    <cellStyle name="20% - Accent1 3 2 2 6" xfId="9998" xr:uid="{00000000-0005-0000-0000-000010030000}"/>
    <cellStyle name="20% - Accent1 3 2 2 6 2" xfId="33848" xr:uid="{F031D342-768B-49B8-8CC8-77D9316F9D4C}"/>
    <cellStyle name="20% - Accent1 3 2 2 7" xfId="17953" xr:uid="{00000000-0005-0000-0000-000011030000}"/>
    <cellStyle name="20% - Accent1 3 2 2 7 2" xfId="41786" xr:uid="{B9EE3C47-3B83-45D8-8A48-F86762E488F6}"/>
    <cellStyle name="20% - Accent1 3 2 2 8" xfId="25906" xr:uid="{40FF164E-749C-4C94-9EBA-C0E55A40346E}"/>
    <cellStyle name="20% - Accent1 3 2 2_Exh G" xfId="1995" xr:uid="{00000000-0005-0000-0000-000012030000}"/>
    <cellStyle name="20% - Accent1 3 2 3" xfId="866" xr:uid="{00000000-0005-0000-0000-000013030000}"/>
    <cellStyle name="20% - Accent1 3 2 3 2" xfId="1802" xr:uid="{00000000-0005-0000-0000-000014030000}"/>
    <cellStyle name="20% - Accent1 3 2 3 2 2" xfId="5320" xr:uid="{00000000-0005-0000-0000-000015030000}"/>
    <cellStyle name="20% - Accent1 3 2 3 2 2 2" xfId="8911" xr:uid="{00000000-0005-0000-0000-000016030000}"/>
    <cellStyle name="20% - Accent1 3 2 3 2 2 2 2" xfId="16882" xr:uid="{00000000-0005-0000-0000-000017030000}"/>
    <cellStyle name="20% - Accent1 3 2 3 2 2 2 2 2" xfId="40725" xr:uid="{67B1E185-5460-459D-86DF-62883779DD23}"/>
    <cellStyle name="20% - Accent1 3 2 3 2 2 2 3" xfId="24828" xr:uid="{00000000-0005-0000-0000-000018030000}"/>
    <cellStyle name="20% - Accent1 3 2 3 2 2 2 3 2" xfId="48661" xr:uid="{D8B2A5DC-D219-4B05-BD4E-8DA5A8622DED}"/>
    <cellStyle name="20% - Accent1 3 2 3 2 2 2 4" xfId="32784" xr:uid="{BDFF8876-DD1A-415D-8B2B-69DC6F6C5D2D}"/>
    <cellStyle name="20% - Accent1 3 2 3 2 2 3" xfId="13344" xr:uid="{00000000-0005-0000-0000-000019030000}"/>
    <cellStyle name="20% - Accent1 3 2 3 2 2 3 2" xfId="37194" xr:uid="{DCDE4EDE-64C2-4094-B2B9-DC72F05A718E}"/>
    <cellStyle name="20% - Accent1 3 2 3 2 2 4" xfId="21299" xr:uid="{00000000-0005-0000-0000-00001A030000}"/>
    <cellStyle name="20% - Accent1 3 2 3 2 2 4 2" xfId="45132" xr:uid="{03BF04AC-26D5-4299-8B59-040B5CC890A3}"/>
    <cellStyle name="20% - Accent1 3 2 3 2 2 5" xfId="29253" xr:uid="{F44CF2D9-260A-4D29-A670-05B8D3169DBB}"/>
    <cellStyle name="20% - Accent1 3 2 3 2 3" xfId="7152" xr:uid="{00000000-0005-0000-0000-00001B030000}"/>
    <cellStyle name="20% - Accent1 3 2 3 2 3 2" xfId="15124" xr:uid="{00000000-0005-0000-0000-00001C030000}"/>
    <cellStyle name="20% - Accent1 3 2 3 2 3 2 2" xfId="38967" xr:uid="{822EE2E8-4AEB-4AFE-8948-513DE7BAFA18}"/>
    <cellStyle name="20% - Accent1 3 2 3 2 3 3" xfId="23071" xr:uid="{00000000-0005-0000-0000-00001D030000}"/>
    <cellStyle name="20% - Accent1 3 2 3 2 3 3 2" xfId="46904" xr:uid="{626687C3-1394-4D5F-81FA-4B1E2D9D8FB6}"/>
    <cellStyle name="20% - Accent1 3 2 3 2 3 4" xfId="31026" xr:uid="{C1054553-15A1-4143-8549-890329A8AF9B}"/>
    <cellStyle name="20% - Accent1 3 2 3 2 4" xfId="11588" xr:uid="{00000000-0005-0000-0000-00001E030000}"/>
    <cellStyle name="20% - Accent1 3 2 3 2 4 2" xfId="35438" xr:uid="{2C3E7A88-BB3B-4244-A154-F1938AAEA76B}"/>
    <cellStyle name="20% - Accent1 3 2 3 2 5" xfId="19543" xr:uid="{00000000-0005-0000-0000-00001F030000}"/>
    <cellStyle name="20% - Accent1 3 2 3 2 5 2" xfId="43376" xr:uid="{D35F715B-E661-4F59-827A-BF321ED18A9B}"/>
    <cellStyle name="20% - Accent1 3 2 3 2 6" xfId="27496" xr:uid="{BD8E14C9-0996-4CD1-87EC-9BD7CBE11DE6}"/>
    <cellStyle name="20% - Accent1 3 2 3 2_Exh G" xfId="1998" xr:uid="{00000000-0005-0000-0000-000020030000}"/>
    <cellStyle name="20% - Accent1 3 2 3 3" xfId="4441" xr:uid="{00000000-0005-0000-0000-000021030000}"/>
    <cellStyle name="20% - Accent1 3 2 3 3 2" xfId="8033" xr:uid="{00000000-0005-0000-0000-000022030000}"/>
    <cellStyle name="20% - Accent1 3 2 3 3 2 2" xfId="16004" xr:uid="{00000000-0005-0000-0000-000023030000}"/>
    <cellStyle name="20% - Accent1 3 2 3 3 2 2 2" xfId="39847" xr:uid="{E21EAC8B-201F-4977-B9A4-CC9800AF4C48}"/>
    <cellStyle name="20% - Accent1 3 2 3 3 2 3" xfId="23950" xr:uid="{00000000-0005-0000-0000-000024030000}"/>
    <cellStyle name="20% - Accent1 3 2 3 3 2 3 2" xfId="47783" xr:uid="{9FAE633A-B04E-41E1-9604-A3A3AF0B7E16}"/>
    <cellStyle name="20% - Accent1 3 2 3 3 2 4" xfId="31906" xr:uid="{48CEEA84-5049-4E22-9457-81A91795970E}"/>
    <cellStyle name="20% - Accent1 3 2 3 3 3" xfId="12466" xr:uid="{00000000-0005-0000-0000-000025030000}"/>
    <cellStyle name="20% - Accent1 3 2 3 3 3 2" xfId="36316" xr:uid="{13A5C4A6-DF66-4C28-8E10-26CECC0C93F9}"/>
    <cellStyle name="20% - Accent1 3 2 3 3 4" xfId="20421" xr:uid="{00000000-0005-0000-0000-000026030000}"/>
    <cellStyle name="20% - Accent1 3 2 3 3 4 2" xfId="44254" xr:uid="{BC54DB91-1627-4EC6-B465-668FF69BAF27}"/>
    <cellStyle name="20% - Accent1 3 2 3 3 5" xfId="28375" xr:uid="{5D9A4122-FC6E-4ECC-9C33-7B00295B6350}"/>
    <cellStyle name="20% - Accent1 3 2 3 4" xfId="6271" xr:uid="{00000000-0005-0000-0000-000027030000}"/>
    <cellStyle name="20% - Accent1 3 2 3 4 2" xfId="14246" xr:uid="{00000000-0005-0000-0000-000028030000}"/>
    <cellStyle name="20% - Accent1 3 2 3 4 2 2" xfId="38089" xr:uid="{2E87B51F-15C1-4976-93CB-173D814DAC68}"/>
    <cellStyle name="20% - Accent1 3 2 3 4 3" xfId="22193" xr:uid="{00000000-0005-0000-0000-000029030000}"/>
    <cellStyle name="20% - Accent1 3 2 3 4 3 2" xfId="46026" xr:uid="{25CD438D-284D-46B1-AF7A-0E2A2641AF3B}"/>
    <cellStyle name="20% - Accent1 3 2 3 4 4" xfId="30148" xr:uid="{8C99B714-849B-4E85-BC70-717C0C67856C}"/>
    <cellStyle name="20% - Accent1 3 2 3 5" xfId="9814" xr:uid="{00000000-0005-0000-0000-00002A030000}"/>
    <cellStyle name="20% - Accent1 3 2 3 5 2" xfId="17772" xr:uid="{00000000-0005-0000-0000-00002B030000}"/>
    <cellStyle name="20% - Accent1 3 2 3 5 2 2" xfId="41613" xr:uid="{F17511E5-14EA-4BB3-BFB6-0244B104DAFD}"/>
    <cellStyle name="20% - Accent1 3 2 3 5 3" xfId="25716" xr:uid="{00000000-0005-0000-0000-00002C030000}"/>
    <cellStyle name="20% - Accent1 3 2 3 5 3 2" xfId="49549" xr:uid="{83F65EF5-BB24-4F26-89E9-36BAD404F0A1}"/>
    <cellStyle name="20% - Accent1 3 2 3 5 4" xfId="33672" xr:uid="{AFAD3F78-89E3-4E54-975E-FA988A76A392}"/>
    <cellStyle name="20% - Accent1 3 2 3 6" xfId="10710" xr:uid="{00000000-0005-0000-0000-00002D030000}"/>
    <cellStyle name="20% - Accent1 3 2 3 6 2" xfId="34560" xr:uid="{3BE68DEC-CEDF-4D07-95BB-6D5E564583B8}"/>
    <cellStyle name="20% - Accent1 3 2 3 7" xfId="18665" xr:uid="{00000000-0005-0000-0000-00002E030000}"/>
    <cellStyle name="20% - Accent1 3 2 3 7 2" xfId="42498" xr:uid="{331B546B-92EF-4503-832C-74CD8EF56C51}"/>
    <cellStyle name="20% - Accent1 3 2 3 8" xfId="26618" xr:uid="{8603772E-384B-430D-9FFE-84259A8EFE35}"/>
    <cellStyle name="20% - Accent1 3 2 3_Exh G" xfId="1997" xr:uid="{00000000-0005-0000-0000-00002F030000}"/>
    <cellStyle name="20% - Accent1 3 2 4" xfId="1077" xr:uid="{00000000-0005-0000-0000-000030030000}"/>
    <cellStyle name="20% - Accent1 3 2 4 2" xfId="4607" xr:uid="{00000000-0005-0000-0000-000031030000}"/>
    <cellStyle name="20% - Accent1 3 2 4 2 2" xfId="8198" xr:uid="{00000000-0005-0000-0000-000032030000}"/>
    <cellStyle name="20% - Accent1 3 2 4 2 2 2" xfId="16169" xr:uid="{00000000-0005-0000-0000-000033030000}"/>
    <cellStyle name="20% - Accent1 3 2 4 2 2 2 2" xfId="40012" xr:uid="{633803C5-A110-4435-9861-F2C974937B4D}"/>
    <cellStyle name="20% - Accent1 3 2 4 2 2 3" xfId="24115" xr:uid="{00000000-0005-0000-0000-000034030000}"/>
    <cellStyle name="20% - Accent1 3 2 4 2 2 3 2" xfId="47948" xr:uid="{12EB254B-F478-4CCA-9E5C-26EE055E4CB3}"/>
    <cellStyle name="20% - Accent1 3 2 4 2 2 4" xfId="32071" xr:uid="{E582E74D-DA99-4D86-833F-9E649384CC50}"/>
    <cellStyle name="20% - Accent1 3 2 4 2 3" xfId="12631" xr:uid="{00000000-0005-0000-0000-000035030000}"/>
    <cellStyle name="20% - Accent1 3 2 4 2 3 2" xfId="36481" xr:uid="{9E2D6CE8-6B8B-4A62-BB96-27039226267A}"/>
    <cellStyle name="20% - Accent1 3 2 4 2 4" xfId="20586" xr:uid="{00000000-0005-0000-0000-000036030000}"/>
    <cellStyle name="20% - Accent1 3 2 4 2 4 2" xfId="44419" xr:uid="{02FB2866-F218-43BE-BB9C-CF90F28E1C2B}"/>
    <cellStyle name="20% - Accent1 3 2 4 2 5" xfId="28540" xr:uid="{12204707-0A4B-4625-913E-AF59BD0E68D1}"/>
    <cellStyle name="20% - Accent1 3 2 4 3" xfId="6439" xr:uid="{00000000-0005-0000-0000-000037030000}"/>
    <cellStyle name="20% - Accent1 3 2 4 3 2" xfId="14411" xr:uid="{00000000-0005-0000-0000-000038030000}"/>
    <cellStyle name="20% - Accent1 3 2 4 3 2 2" xfId="38254" xr:uid="{D6E1490C-755B-4911-A3F1-61BF21E74D00}"/>
    <cellStyle name="20% - Accent1 3 2 4 3 3" xfId="22358" xr:uid="{00000000-0005-0000-0000-000039030000}"/>
    <cellStyle name="20% - Accent1 3 2 4 3 3 2" xfId="46191" xr:uid="{6457D5A3-85F0-4541-9B6E-86DC7DB500D7}"/>
    <cellStyle name="20% - Accent1 3 2 4 3 4" xfId="30313" xr:uid="{E3F3017B-870A-4A20-B478-3DECD9D86D6B}"/>
    <cellStyle name="20% - Accent1 3 2 4 4" xfId="10875" xr:uid="{00000000-0005-0000-0000-00003A030000}"/>
    <cellStyle name="20% - Accent1 3 2 4 4 2" xfId="34725" xr:uid="{95BAFC76-D16A-4489-A00C-A157A752197E}"/>
    <cellStyle name="20% - Accent1 3 2 4 5" xfId="18830" xr:uid="{00000000-0005-0000-0000-00003B030000}"/>
    <cellStyle name="20% - Accent1 3 2 4 5 2" xfId="42663" xr:uid="{10ABF765-1363-477F-B124-51D1E310DAB1}"/>
    <cellStyle name="20% - Accent1 3 2 4 6" xfId="26783" xr:uid="{6BC5B850-2EF6-4426-B295-5AE78416162E}"/>
    <cellStyle name="20% - Accent1 3 2 4_Exh G" xfId="1999" xr:uid="{00000000-0005-0000-0000-00003C030000}"/>
    <cellStyle name="20% - Accent1 3 2 5" xfId="3728" xr:uid="{00000000-0005-0000-0000-00003D030000}"/>
    <cellStyle name="20% - Accent1 3 2 5 2" xfId="7320" xr:uid="{00000000-0005-0000-0000-00003E030000}"/>
    <cellStyle name="20% - Accent1 3 2 5 2 2" xfId="15291" xr:uid="{00000000-0005-0000-0000-00003F030000}"/>
    <cellStyle name="20% - Accent1 3 2 5 2 2 2" xfId="39134" xr:uid="{496298E5-02E4-45F0-92C0-D07B3F47933A}"/>
    <cellStyle name="20% - Accent1 3 2 5 2 3" xfId="23237" xr:uid="{00000000-0005-0000-0000-000040030000}"/>
    <cellStyle name="20% - Accent1 3 2 5 2 3 2" xfId="47070" xr:uid="{B446F124-6369-4EE0-ABCF-F85E56E31D19}"/>
    <cellStyle name="20% - Accent1 3 2 5 2 4" xfId="31193" xr:uid="{B9736FBF-3E1B-46FB-94A5-0FA651193A24}"/>
    <cellStyle name="20% - Accent1 3 2 5 3" xfId="11753" xr:uid="{00000000-0005-0000-0000-000041030000}"/>
    <cellStyle name="20% - Accent1 3 2 5 3 2" xfId="35603" xr:uid="{0B6693F7-3BE6-4F03-A87A-29ED2DAFDC92}"/>
    <cellStyle name="20% - Accent1 3 2 5 4" xfId="19708" xr:uid="{00000000-0005-0000-0000-000042030000}"/>
    <cellStyle name="20% - Accent1 3 2 5 4 2" xfId="43541" xr:uid="{F81795ED-41D8-4163-B882-5E44A888E95B}"/>
    <cellStyle name="20% - Accent1 3 2 5 5" xfId="27662" xr:uid="{C3CB35A4-4246-4242-BC8C-3EBE7C2A7BCC}"/>
    <cellStyle name="20% - Accent1 3 2 6" xfId="5548" xr:uid="{00000000-0005-0000-0000-000043030000}"/>
    <cellStyle name="20% - Accent1 3 2 6 2" xfId="13532" xr:uid="{00000000-0005-0000-0000-000044030000}"/>
    <cellStyle name="20% - Accent1 3 2 6 2 2" xfId="37376" xr:uid="{CBD0B8A5-4DFB-4DAD-A1D2-5587919E7EDC}"/>
    <cellStyle name="20% - Accent1 3 2 6 3" xfId="21480" xr:uid="{00000000-0005-0000-0000-000045030000}"/>
    <cellStyle name="20% - Accent1 3 2 6 3 2" xfId="45313" xr:uid="{E637523B-9B23-4227-9586-640E9E5E20BF}"/>
    <cellStyle name="20% - Accent1 3 2 6 4" xfId="29435" xr:uid="{344814D3-D6EC-472A-9A99-7B74BD443BDA}"/>
    <cellStyle name="20% - Accent1 3 2 7" xfId="9101" xr:uid="{00000000-0005-0000-0000-000046030000}"/>
    <cellStyle name="20% - Accent1 3 2 7 2" xfId="17059" xr:uid="{00000000-0005-0000-0000-000047030000}"/>
    <cellStyle name="20% - Accent1 3 2 7 2 2" xfId="40900" xr:uid="{5F39B459-44D8-4743-B15E-0D9D14EC2DBF}"/>
    <cellStyle name="20% - Accent1 3 2 7 3" xfId="25003" xr:uid="{00000000-0005-0000-0000-000048030000}"/>
    <cellStyle name="20% - Accent1 3 2 7 3 2" xfId="48836" xr:uid="{813516E8-5808-41C4-B85C-F4AF4B5EF30E}"/>
    <cellStyle name="20% - Accent1 3 2 7 4" xfId="32959" xr:uid="{9798C23F-AC05-4BF7-B098-897B21D75005}"/>
    <cellStyle name="20% - Accent1 3 2 8" xfId="9997" xr:uid="{00000000-0005-0000-0000-000049030000}"/>
    <cellStyle name="20% - Accent1 3 2 8 2" xfId="33847" xr:uid="{1640A51F-7E0F-443B-92A8-140F12658ADA}"/>
    <cellStyle name="20% - Accent1 3 2 9" xfId="17952" xr:uid="{00000000-0005-0000-0000-00004A030000}"/>
    <cellStyle name="20% - Accent1 3 2 9 2" xfId="41785" xr:uid="{05962407-27B6-4971-B0E3-878DF7D5C379}"/>
    <cellStyle name="20% - Accent1 3 2_Exh G" xfId="1994" xr:uid="{00000000-0005-0000-0000-00004B030000}"/>
    <cellStyle name="20% - Accent1 3 3" xfId="51" xr:uid="{00000000-0005-0000-0000-00004C030000}"/>
    <cellStyle name="20% - Accent1 3 3 2" xfId="1079" xr:uid="{00000000-0005-0000-0000-00004D030000}"/>
    <cellStyle name="20% - Accent1 3 3 2 2" xfId="4609" xr:uid="{00000000-0005-0000-0000-00004E030000}"/>
    <cellStyle name="20% - Accent1 3 3 2 2 2" xfId="8200" xr:uid="{00000000-0005-0000-0000-00004F030000}"/>
    <cellStyle name="20% - Accent1 3 3 2 2 2 2" xfId="16171" xr:uid="{00000000-0005-0000-0000-000050030000}"/>
    <cellStyle name="20% - Accent1 3 3 2 2 2 2 2" xfId="40014" xr:uid="{FE6F678C-1B37-4C84-9E25-F484F06FF2F6}"/>
    <cellStyle name="20% - Accent1 3 3 2 2 2 3" xfId="24117" xr:uid="{00000000-0005-0000-0000-000051030000}"/>
    <cellStyle name="20% - Accent1 3 3 2 2 2 3 2" xfId="47950" xr:uid="{123D0EEC-6D3F-4D56-8CFD-113965130263}"/>
    <cellStyle name="20% - Accent1 3 3 2 2 2 4" xfId="32073" xr:uid="{920938C5-B870-46EA-A314-66363BDEBEF8}"/>
    <cellStyle name="20% - Accent1 3 3 2 2 3" xfId="12633" xr:uid="{00000000-0005-0000-0000-000052030000}"/>
    <cellStyle name="20% - Accent1 3 3 2 2 3 2" xfId="36483" xr:uid="{575B56E6-94AD-4E79-9B4F-F7E7A758CA6A}"/>
    <cellStyle name="20% - Accent1 3 3 2 2 4" xfId="20588" xr:uid="{00000000-0005-0000-0000-000053030000}"/>
    <cellStyle name="20% - Accent1 3 3 2 2 4 2" xfId="44421" xr:uid="{6C2767DD-3C0E-46CE-8347-23F34F4F987F}"/>
    <cellStyle name="20% - Accent1 3 3 2 2 5" xfId="28542" xr:uid="{5630F704-A09A-49E4-BDAF-5B9BFB35E8A2}"/>
    <cellStyle name="20% - Accent1 3 3 2 3" xfId="6441" xr:uid="{00000000-0005-0000-0000-000054030000}"/>
    <cellStyle name="20% - Accent1 3 3 2 3 2" xfId="14413" xr:uid="{00000000-0005-0000-0000-000055030000}"/>
    <cellStyle name="20% - Accent1 3 3 2 3 2 2" xfId="38256" xr:uid="{E7BFAE93-5C09-438D-A118-897926B9636F}"/>
    <cellStyle name="20% - Accent1 3 3 2 3 3" xfId="22360" xr:uid="{00000000-0005-0000-0000-000056030000}"/>
    <cellStyle name="20% - Accent1 3 3 2 3 3 2" xfId="46193" xr:uid="{4A4AD866-57FB-4E03-BE74-3699982B3927}"/>
    <cellStyle name="20% - Accent1 3 3 2 3 4" xfId="30315" xr:uid="{3C1B6161-8B21-49A4-A179-3DF901C0D51F}"/>
    <cellStyle name="20% - Accent1 3 3 2 4" xfId="10877" xr:uid="{00000000-0005-0000-0000-000057030000}"/>
    <cellStyle name="20% - Accent1 3 3 2 4 2" xfId="34727" xr:uid="{A604D1A5-0823-40CC-B4C1-11AF50BDD0A8}"/>
    <cellStyle name="20% - Accent1 3 3 2 5" xfId="18832" xr:uid="{00000000-0005-0000-0000-000058030000}"/>
    <cellStyle name="20% - Accent1 3 3 2 5 2" xfId="42665" xr:uid="{59FB7DE5-AAE9-48FD-8A58-AFFCBD8602BA}"/>
    <cellStyle name="20% - Accent1 3 3 2 6" xfId="26785" xr:uid="{47922B23-8E51-4EBA-9F4C-D88A8D35978A}"/>
    <cellStyle name="20% - Accent1 3 3 2_Exh G" xfId="2001" xr:uid="{00000000-0005-0000-0000-000059030000}"/>
    <cellStyle name="20% - Accent1 3 3 3" xfId="3730" xr:uid="{00000000-0005-0000-0000-00005A030000}"/>
    <cellStyle name="20% - Accent1 3 3 3 2" xfId="7322" xr:uid="{00000000-0005-0000-0000-00005B030000}"/>
    <cellStyle name="20% - Accent1 3 3 3 2 2" xfId="15293" xr:uid="{00000000-0005-0000-0000-00005C030000}"/>
    <cellStyle name="20% - Accent1 3 3 3 2 2 2" xfId="39136" xr:uid="{42A9873E-6151-4A12-B7D1-A9EB66DCF49F}"/>
    <cellStyle name="20% - Accent1 3 3 3 2 3" xfId="23239" xr:uid="{00000000-0005-0000-0000-00005D030000}"/>
    <cellStyle name="20% - Accent1 3 3 3 2 3 2" xfId="47072" xr:uid="{352A87FC-8821-4A79-9877-C4C95878E973}"/>
    <cellStyle name="20% - Accent1 3 3 3 2 4" xfId="31195" xr:uid="{FE7B89F1-35B3-44A3-9171-70DA7D7B385A}"/>
    <cellStyle name="20% - Accent1 3 3 3 3" xfId="11755" xr:uid="{00000000-0005-0000-0000-00005E030000}"/>
    <cellStyle name="20% - Accent1 3 3 3 3 2" xfId="35605" xr:uid="{4DB9AC98-E67D-401D-B4D8-EB2324AF2280}"/>
    <cellStyle name="20% - Accent1 3 3 3 4" xfId="19710" xr:uid="{00000000-0005-0000-0000-00005F030000}"/>
    <cellStyle name="20% - Accent1 3 3 3 4 2" xfId="43543" xr:uid="{2564F5D2-5AEF-44DB-B33F-BC61C91A782E}"/>
    <cellStyle name="20% - Accent1 3 3 3 5" xfId="27664" xr:uid="{F2D0163F-2D88-412C-80F4-25F5006641F7}"/>
    <cellStyle name="20% - Accent1 3 3 4" xfId="5550" xr:uid="{00000000-0005-0000-0000-000060030000}"/>
    <cellStyle name="20% - Accent1 3 3 4 2" xfId="13534" xr:uid="{00000000-0005-0000-0000-000061030000}"/>
    <cellStyle name="20% - Accent1 3 3 4 2 2" xfId="37378" xr:uid="{6C849FF0-6D5A-47BA-8F05-5590AF9EFFB3}"/>
    <cellStyle name="20% - Accent1 3 3 4 3" xfId="21482" xr:uid="{00000000-0005-0000-0000-000062030000}"/>
    <cellStyle name="20% - Accent1 3 3 4 3 2" xfId="45315" xr:uid="{369E3A3A-AE9B-4478-BACC-F77C38033C5B}"/>
    <cellStyle name="20% - Accent1 3 3 4 4" xfId="29437" xr:uid="{51264BFC-B93E-4874-AA52-B1AB27DB6287}"/>
    <cellStyle name="20% - Accent1 3 3 5" xfId="9103" xr:uid="{00000000-0005-0000-0000-000063030000}"/>
    <cellStyle name="20% - Accent1 3 3 5 2" xfId="17061" xr:uid="{00000000-0005-0000-0000-000064030000}"/>
    <cellStyle name="20% - Accent1 3 3 5 2 2" xfId="40902" xr:uid="{C1AE7132-6636-4106-A0E1-023167E538C4}"/>
    <cellStyle name="20% - Accent1 3 3 5 3" xfId="25005" xr:uid="{00000000-0005-0000-0000-000065030000}"/>
    <cellStyle name="20% - Accent1 3 3 5 3 2" xfId="48838" xr:uid="{FB6A2B99-E51F-4FC9-B72B-3B9B85CBBF77}"/>
    <cellStyle name="20% - Accent1 3 3 5 4" xfId="32961" xr:uid="{E823B44B-C436-40E7-BABF-42C2677A8DCB}"/>
    <cellStyle name="20% - Accent1 3 3 6" xfId="9999" xr:uid="{00000000-0005-0000-0000-000066030000}"/>
    <cellStyle name="20% - Accent1 3 3 6 2" xfId="33849" xr:uid="{34C6A005-368A-4427-8E15-309143AEFA9C}"/>
    <cellStyle name="20% - Accent1 3 3 7" xfId="17954" xr:uid="{00000000-0005-0000-0000-000067030000}"/>
    <cellStyle name="20% - Accent1 3 3 7 2" xfId="41787" xr:uid="{9F2DE6F1-DFA6-49B7-A31F-AD26D4B30F69}"/>
    <cellStyle name="20% - Accent1 3 3 8" xfId="25907" xr:uid="{4F521252-EAE8-415F-AEB5-DCE6521748AD}"/>
    <cellStyle name="20% - Accent1 3 3_Exh G" xfId="2000" xr:uid="{00000000-0005-0000-0000-000068030000}"/>
    <cellStyle name="20% - Accent1 3 4" xfId="865" xr:uid="{00000000-0005-0000-0000-000069030000}"/>
    <cellStyle name="20% - Accent1 3 4 2" xfId="1801" xr:uid="{00000000-0005-0000-0000-00006A030000}"/>
    <cellStyle name="20% - Accent1 3 4 2 2" xfId="5319" xr:uid="{00000000-0005-0000-0000-00006B030000}"/>
    <cellStyle name="20% - Accent1 3 4 2 2 2" xfId="8910" xr:uid="{00000000-0005-0000-0000-00006C030000}"/>
    <cellStyle name="20% - Accent1 3 4 2 2 2 2" xfId="16881" xr:uid="{00000000-0005-0000-0000-00006D030000}"/>
    <cellStyle name="20% - Accent1 3 4 2 2 2 2 2" xfId="40724" xr:uid="{82568373-FD4D-40E4-8287-BECC31F7F4AD}"/>
    <cellStyle name="20% - Accent1 3 4 2 2 2 3" xfId="24827" xr:uid="{00000000-0005-0000-0000-00006E030000}"/>
    <cellStyle name="20% - Accent1 3 4 2 2 2 3 2" xfId="48660" xr:uid="{936ED19B-CD0D-4509-9509-E635E58AB2F7}"/>
    <cellStyle name="20% - Accent1 3 4 2 2 2 4" xfId="32783" xr:uid="{2CF3650F-AACA-4795-B851-D618A881C930}"/>
    <cellStyle name="20% - Accent1 3 4 2 2 3" xfId="13343" xr:uid="{00000000-0005-0000-0000-00006F030000}"/>
    <cellStyle name="20% - Accent1 3 4 2 2 3 2" xfId="37193" xr:uid="{1A029131-B7C5-4AB1-A2A8-323778768D37}"/>
    <cellStyle name="20% - Accent1 3 4 2 2 4" xfId="21298" xr:uid="{00000000-0005-0000-0000-000070030000}"/>
    <cellStyle name="20% - Accent1 3 4 2 2 4 2" xfId="45131" xr:uid="{9C996FF3-F7A7-4158-9F73-7FF93BC5C5C9}"/>
    <cellStyle name="20% - Accent1 3 4 2 2 5" xfId="29252" xr:uid="{3C1AE5C2-8C7C-4D92-BB0C-DFFB7D62A0B1}"/>
    <cellStyle name="20% - Accent1 3 4 2 3" xfId="7151" xr:uid="{00000000-0005-0000-0000-000071030000}"/>
    <cellStyle name="20% - Accent1 3 4 2 3 2" xfId="15123" xr:uid="{00000000-0005-0000-0000-000072030000}"/>
    <cellStyle name="20% - Accent1 3 4 2 3 2 2" xfId="38966" xr:uid="{94BC1028-94FF-4C31-97D4-3E5FFE475D2F}"/>
    <cellStyle name="20% - Accent1 3 4 2 3 3" xfId="23070" xr:uid="{00000000-0005-0000-0000-000073030000}"/>
    <cellStyle name="20% - Accent1 3 4 2 3 3 2" xfId="46903" xr:uid="{E4C133D9-C0E7-4B4F-837C-361CF3DB2140}"/>
    <cellStyle name="20% - Accent1 3 4 2 3 4" xfId="31025" xr:uid="{370B7866-A4BE-44A1-8C10-7F9052AF0D4E}"/>
    <cellStyle name="20% - Accent1 3 4 2 4" xfId="11587" xr:uid="{00000000-0005-0000-0000-000074030000}"/>
    <cellStyle name="20% - Accent1 3 4 2 4 2" xfId="35437" xr:uid="{C107BA50-FA8A-43E3-9A79-8FD240ABFF62}"/>
    <cellStyle name="20% - Accent1 3 4 2 5" xfId="19542" xr:uid="{00000000-0005-0000-0000-000075030000}"/>
    <cellStyle name="20% - Accent1 3 4 2 5 2" xfId="43375" xr:uid="{EDE4A9F5-82D0-4628-BAF0-1A4CF6CE7157}"/>
    <cellStyle name="20% - Accent1 3 4 2 6" xfId="27495" xr:uid="{5AD7E9DC-C614-4C45-BFE5-2BFA683FF96A}"/>
    <cellStyle name="20% - Accent1 3 4 2_Exh G" xfId="2003" xr:uid="{00000000-0005-0000-0000-000076030000}"/>
    <cellStyle name="20% - Accent1 3 4 3" xfId="4440" xr:uid="{00000000-0005-0000-0000-000077030000}"/>
    <cellStyle name="20% - Accent1 3 4 3 2" xfId="8032" xr:uid="{00000000-0005-0000-0000-000078030000}"/>
    <cellStyle name="20% - Accent1 3 4 3 2 2" xfId="16003" xr:uid="{00000000-0005-0000-0000-000079030000}"/>
    <cellStyle name="20% - Accent1 3 4 3 2 2 2" xfId="39846" xr:uid="{A7D10070-2F67-4FE9-B59D-BF070A25E871}"/>
    <cellStyle name="20% - Accent1 3 4 3 2 3" xfId="23949" xr:uid="{00000000-0005-0000-0000-00007A030000}"/>
    <cellStyle name="20% - Accent1 3 4 3 2 3 2" xfId="47782" xr:uid="{90B73580-1642-426C-934C-D7B07C13B7C9}"/>
    <cellStyle name="20% - Accent1 3 4 3 2 4" xfId="31905" xr:uid="{EA2E5E2E-1458-4CC4-B644-06A0D7357ADA}"/>
    <cellStyle name="20% - Accent1 3 4 3 3" xfId="12465" xr:uid="{00000000-0005-0000-0000-00007B030000}"/>
    <cellStyle name="20% - Accent1 3 4 3 3 2" xfId="36315" xr:uid="{C44E4FA9-59A6-4887-8313-4D6E18FD893A}"/>
    <cellStyle name="20% - Accent1 3 4 3 4" xfId="20420" xr:uid="{00000000-0005-0000-0000-00007C030000}"/>
    <cellStyle name="20% - Accent1 3 4 3 4 2" xfId="44253" xr:uid="{87E99DA0-1713-4E19-B0F2-CBF4A4D87AB8}"/>
    <cellStyle name="20% - Accent1 3 4 3 5" xfId="28374" xr:uid="{9F1845D7-B851-4DFF-AD3B-39FC7E101451}"/>
    <cellStyle name="20% - Accent1 3 4 4" xfId="6270" xr:uid="{00000000-0005-0000-0000-00007D030000}"/>
    <cellStyle name="20% - Accent1 3 4 4 2" xfId="14245" xr:uid="{00000000-0005-0000-0000-00007E030000}"/>
    <cellStyle name="20% - Accent1 3 4 4 2 2" xfId="38088" xr:uid="{4C87F9BA-058B-4AF7-9F36-E0E2E381EFD6}"/>
    <cellStyle name="20% - Accent1 3 4 4 3" xfId="22192" xr:uid="{00000000-0005-0000-0000-00007F030000}"/>
    <cellStyle name="20% - Accent1 3 4 4 3 2" xfId="46025" xr:uid="{8CF89948-87B5-4196-99C8-B92538A445C7}"/>
    <cellStyle name="20% - Accent1 3 4 4 4" xfId="30147" xr:uid="{058CD8D6-3FB2-427C-A787-893DA130168E}"/>
    <cellStyle name="20% - Accent1 3 4 5" xfId="9813" xr:uid="{00000000-0005-0000-0000-000080030000}"/>
    <cellStyle name="20% - Accent1 3 4 5 2" xfId="17771" xr:uid="{00000000-0005-0000-0000-000081030000}"/>
    <cellStyle name="20% - Accent1 3 4 5 2 2" xfId="41612" xr:uid="{1B137F58-687A-4F01-9FC4-4BE9035FFF58}"/>
    <cellStyle name="20% - Accent1 3 4 5 3" xfId="25715" xr:uid="{00000000-0005-0000-0000-000082030000}"/>
    <cellStyle name="20% - Accent1 3 4 5 3 2" xfId="49548" xr:uid="{8082B193-A201-4A42-9237-4828BB49A153}"/>
    <cellStyle name="20% - Accent1 3 4 5 4" xfId="33671" xr:uid="{F527021F-48A7-417E-882D-2389894EFC6D}"/>
    <cellStyle name="20% - Accent1 3 4 6" xfId="10709" xr:uid="{00000000-0005-0000-0000-000083030000}"/>
    <cellStyle name="20% - Accent1 3 4 6 2" xfId="34559" xr:uid="{57990274-EFC2-48F2-8AA1-D83457CAA165}"/>
    <cellStyle name="20% - Accent1 3 4 7" xfId="18664" xr:uid="{00000000-0005-0000-0000-000084030000}"/>
    <cellStyle name="20% - Accent1 3 4 7 2" xfId="42497" xr:uid="{4560CE5B-3002-4E49-9108-AC2851612EB8}"/>
    <cellStyle name="20% - Accent1 3 4 8" xfId="26617" xr:uid="{CA8A3890-557F-4CB7-9EB6-39620EB10EA5}"/>
    <cellStyle name="20% - Accent1 3 4_Exh G" xfId="2002" xr:uid="{00000000-0005-0000-0000-000085030000}"/>
    <cellStyle name="20% - Accent1 3 5" xfId="1076" xr:uid="{00000000-0005-0000-0000-000086030000}"/>
    <cellStyle name="20% - Accent1 3 5 2" xfId="4606" xr:uid="{00000000-0005-0000-0000-000087030000}"/>
    <cellStyle name="20% - Accent1 3 5 2 2" xfId="8197" xr:uid="{00000000-0005-0000-0000-000088030000}"/>
    <cellStyle name="20% - Accent1 3 5 2 2 2" xfId="16168" xr:uid="{00000000-0005-0000-0000-000089030000}"/>
    <cellStyle name="20% - Accent1 3 5 2 2 2 2" xfId="40011" xr:uid="{C4A3DD61-8A47-4DDF-9A30-5F26C0D6BB2E}"/>
    <cellStyle name="20% - Accent1 3 5 2 2 3" xfId="24114" xr:uid="{00000000-0005-0000-0000-00008A030000}"/>
    <cellStyle name="20% - Accent1 3 5 2 2 3 2" xfId="47947" xr:uid="{240A5A90-EECD-42E2-AF6A-259D10ABB822}"/>
    <cellStyle name="20% - Accent1 3 5 2 2 4" xfId="32070" xr:uid="{F9C29D44-C6AC-45ED-91DC-D47577060D4C}"/>
    <cellStyle name="20% - Accent1 3 5 2 3" xfId="12630" xr:uid="{00000000-0005-0000-0000-00008B030000}"/>
    <cellStyle name="20% - Accent1 3 5 2 3 2" xfId="36480" xr:uid="{A55847CC-805E-4C8C-8CBD-35D5ACF98414}"/>
    <cellStyle name="20% - Accent1 3 5 2 4" xfId="20585" xr:uid="{00000000-0005-0000-0000-00008C030000}"/>
    <cellStyle name="20% - Accent1 3 5 2 4 2" xfId="44418" xr:uid="{7B4BB26D-21B3-4B19-AB90-EEB35529DA22}"/>
    <cellStyle name="20% - Accent1 3 5 2 5" xfId="28539" xr:uid="{36A49B07-3AC3-45AC-8A26-682E36CD95B3}"/>
    <cellStyle name="20% - Accent1 3 5 3" xfId="6438" xr:uid="{00000000-0005-0000-0000-00008D030000}"/>
    <cellStyle name="20% - Accent1 3 5 3 2" xfId="14410" xr:uid="{00000000-0005-0000-0000-00008E030000}"/>
    <cellStyle name="20% - Accent1 3 5 3 2 2" xfId="38253" xr:uid="{96000349-024A-40BA-916D-891C63280F7F}"/>
    <cellStyle name="20% - Accent1 3 5 3 3" xfId="22357" xr:uid="{00000000-0005-0000-0000-00008F030000}"/>
    <cellStyle name="20% - Accent1 3 5 3 3 2" xfId="46190" xr:uid="{BF24D46B-30B2-4896-B37A-3DA11823FB6E}"/>
    <cellStyle name="20% - Accent1 3 5 3 4" xfId="30312" xr:uid="{FB6AE52E-5EBF-4E8A-83C8-8E86F2897E6B}"/>
    <cellStyle name="20% - Accent1 3 5 4" xfId="10874" xr:uid="{00000000-0005-0000-0000-000090030000}"/>
    <cellStyle name="20% - Accent1 3 5 4 2" xfId="34724" xr:uid="{89B0F98F-0733-4134-B791-B3E8B3AB8039}"/>
    <cellStyle name="20% - Accent1 3 5 5" xfId="18829" xr:uid="{00000000-0005-0000-0000-000091030000}"/>
    <cellStyle name="20% - Accent1 3 5 5 2" xfId="42662" xr:uid="{0CD7BCE3-6A30-4503-8951-EE026D2F9168}"/>
    <cellStyle name="20% - Accent1 3 5 6" xfId="26782" xr:uid="{41AEBF55-621C-42A1-99D0-BFA2CD999ED0}"/>
    <cellStyle name="20% - Accent1 3 5_Exh G" xfId="2004" xr:uid="{00000000-0005-0000-0000-000092030000}"/>
    <cellStyle name="20% - Accent1 3 6" xfId="3727" xr:uid="{00000000-0005-0000-0000-000093030000}"/>
    <cellStyle name="20% - Accent1 3 6 2" xfId="7319" xr:uid="{00000000-0005-0000-0000-000094030000}"/>
    <cellStyle name="20% - Accent1 3 6 2 2" xfId="15290" xr:uid="{00000000-0005-0000-0000-000095030000}"/>
    <cellStyle name="20% - Accent1 3 6 2 2 2" xfId="39133" xr:uid="{43BE012F-9D47-4067-AAC4-BF9DEBDD4EB9}"/>
    <cellStyle name="20% - Accent1 3 6 2 3" xfId="23236" xr:uid="{00000000-0005-0000-0000-000096030000}"/>
    <cellStyle name="20% - Accent1 3 6 2 3 2" xfId="47069" xr:uid="{65716E94-4048-4C62-A29A-6D6E9442AE6A}"/>
    <cellStyle name="20% - Accent1 3 6 2 4" xfId="31192" xr:uid="{8043F50C-C9EF-4B7D-9C31-31C1A21D910A}"/>
    <cellStyle name="20% - Accent1 3 6 3" xfId="11752" xr:uid="{00000000-0005-0000-0000-000097030000}"/>
    <cellStyle name="20% - Accent1 3 6 3 2" xfId="35602" xr:uid="{0336CB12-A169-402E-AD59-19DF495C50B2}"/>
    <cellStyle name="20% - Accent1 3 6 4" xfId="19707" xr:uid="{00000000-0005-0000-0000-000098030000}"/>
    <cellStyle name="20% - Accent1 3 6 4 2" xfId="43540" xr:uid="{5339C064-48CB-48FC-ACF1-CF18A6729E0B}"/>
    <cellStyle name="20% - Accent1 3 6 5" xfId="27661" xr:uid="{9E5FF1E5-4E66-41CF-96EE-882B99DF70B2}"/>
    <cellStyle name="20% - Accent1 3 7" xfId="5547" xr:uid="{00000000-0005-0000-0000-000099030000}"/>
    <cellStyle name="20% - Accent1 3 7 2" xfId="13531" xr:uid="{00000000-0005-0000-0000-00009A030000}"/>
    <cellStyle name="20% - Accent1 3 7 2 2" xfId="37375" xr:uid="{AB5ECCD7-D020-4935-A4E1-CD19B355CA8C}"/>
    <cellStyle name="20% - Accent1 3 7 3" xfId="21479" xr:uid="{00000000-0005-0000-0000-00009B030000}"/>
    <cellStyle name="20% - Accent1 3 7 3 2" xfId="45312" xr:uid="{71164AB0-2BC7-4CEC-A445-64B2931850F9}"/>
    <cellStyle name="20% - Accent1 3 7 4" xfId="29434" xr:uid="{70ED2111-C423-43ED-967C-4A106C55886B}"/>
    <cellStyle name="20% - Accent1 3 8" xfId="9100" xr:uid="{00000000-0005-0000-0000-00009C030000}"/>
    <cellStyle name="20% - Accent1 3 8 2" xfId="17058" xr:uid="{00000000-0005-0000-0000-00009D030000}"/>
    <cellStyle name="20% - Accent1 3 8 2 2" xfId="40899" xr:uid="{A1E52D98-DAD0-4BB9-91B7-3BE85016004E}"/>
    <cellStyle name="20% - Accent1 3 8 3" xfId="25002" xr:uid="{00000000-0005-0000-0000-00009E030000}"/>
    <cellStyle name="20% - Accent1 3 8 3 2" xfId="48835" xr:uid="{B784C314-F880-487E-A062-79232B052F9C}"/>
    <cellStyle name="20% - Accent1 3 8 4" xfId="32958" xr:uid="{154302D5-6512-43A9-B997-6F7EE9D965E9}"/>
    <cellStyle name="20% - Accent1 3 9" xfId="9996" xr:uid="{00000000-0005-0000-0000-00009F030000}"/>
    <cellStyle name="20% - Accent1 3 9 2" xfId="33846" xr:uid="{D25C04AA-E2A9-4220-8523-8380E905D897}"/>
    <cellStyle name="20% - Accent1 3_Exh G" xfId="1993" xr:uid="{00000000-0005-0000-0000-0000A0030000}"/>
    <cellStyle name="20% - Accent1 4" xfId="52" xr:uid="{00000000-0005-0000-0000-0000A1030000}"/>
    <cellStyle name="20% - Accent1 4 10" xfId="17955" xr:uid="{00000000-0005-0000-0000-0000A2030000}"/>
    <cellStyle name="20% - Accent1 4 10 2" xfId="41788" xr:uid="{6474D9C7-A57B-4DBB-807F-D3D80F064553}"/>
    <cellStyle name="20% - Accent1 4 11" xfId="25908" xr:uid="{6505CDA7-8076-493B-AEAA-6BBB17C582B3}"/>
    <cellStyle name="20% - Accent1 4 2" xfId="53" xr:uid="{00000000-0005-0000-0000-0000A3030000}"/>
    <cellStyle name="20% - Accent1 4 2 10" xfId="25909" xr:uid="{03B5FE28-20CF-492B-A896-AF4DD4996885}"/>
    <cellStyle name="20% - Accent1 4 2 2" xfId="54" xr:uid="{00000000-0005-0000-0000-0000A4030000}"/>
    <cellStyle name="20% - Accent1 4 2 2 2" xfId="1082" xr:uid="{00000000-0005-0000-0000-0000A5030000}"/>
    <cellStyle name="20% - Accent1 4 2 2 2 2" xfId="4612" xr:uid="{00000000-0005-0000-0000-0000A6030000}"/>
    <cellStyle name="20% - Accent1 4 2 2 2 2 2" xfId="8203" xr:uid="{00000000-0005-0000-0000-0000A7030000}"/>
    <cellStyle name="20% - Accent1 4 2 2 2 2 2 2" xfId="16174" xr:uid="{00000000-0005-0000-0000-0000A8030000}"/>
    <cellStyle name="20% - Accent1 4 2 2 2 2 2 2 2" xfId="40017" xr:uid="{434BB06B-155E-46D3-9015-035604A8D82A}"/>
    <cellStyle name="20% - Accent1 4 2 2 2 2 2 3" xfId="24120" xr:uid="{00000000-0005-0000-0000-0000A9030000}"/>
    <cellStyle name="20% - Accent1 4 2 2 2 2 2 3 2" xfId="47953" xr:uid="{709969E9-3CA0-4307-AA94-D15498B44F9B}"/>
    <cellStyle name="20% - Accent1 4 2 2 2 2 2 4" xfId="32076" xr:uid="{2A3DC031-7E71-411A-846A-AA542113EF52}"/>
    <cellStyle name="20% - Accent1 4 2 2 2 2 3" xfId="12636" xr:uid="{00000000-0005-0000-0000-0000AA030000}"/>
    <cellStyle name="20% - Accent1 4 2 2 2 2 3 2" xfId="36486" xr:uid="{3AD94DC9-CCE8-4E9E-9702-4B71625B4C29}"/>
    <cellStyle name="20% - Accent1 4 2 2 2 2 4" xfId="20591" xr:uid="{00000000-0005-0000-0000-0000AB030000}"/>
    <cellStyle name="20% - Accent1 4 2 2 2 2 4 2" xfId="44424" xr:uid="{F1BE4CEA-64D9-4551-A6FB-302FE70AF8F2}"/>
    <cellStyle name="20% - Accent1 4 2 2 2 2 5" xfId="28545" xr:uid="{989575C5-FF98-4DD6-AEED-1412A8A2C193}"/>
    <cellStyle name="20% - Accent1 4 2 2 2 3" xfId="6444" xr:uid="{00000000-0005-0000-0000-0000AC030000}"/>
    <cellStyle name="20% - Accent1 4 2 2 2 3 2" xfId="14416" xr:uid="{00000000-0005-0000-0000-0000AD030000}"/>
    <cellStyle name="20% - Accent1 4 2 2 2 3 2 2" xfId="38259" xr:uid="{DEF48242-607E-4F2C-864C-440CB37C8A5E}"/>
    <cellStyle name="20% - Accent1 4 2 2 2 3 3" xfId="22363" xr:uid="{00000000-0005-0000-0000-0000AE030000}"/>
    <cellStyle name="20% - Accent1 4 2 2 2 3 3 2" xfId="46196" xr:uid="{DC2D59DF-DCAC-48A7-A14A-2BD8A1D5987B}"/>
    <cellStyle name="20% - Accent1 4 2 2 2 3 4" xfId="30318" xr:uid="{5D306287-9376-4A78-B3E0-D347942EB46C}"/>
    <cellStyle name="20% - Accent1 4 2 2 2 4" xfId="10880" xr:uid="{00000000-0005-0000-0000-0000AF030000}"/>
    <cellStyle name="20% - Accent1 4 2 2 2 4 2" xfId="34730" xr:uid="{B35E978C-19A6-49F0-8C38-6042356D3332}"/>
    <cellStyle name="20% - Accent1 4 2 2 2 5" xfId="18835" xr:uid="{00000000-0005-0000-0000-0000B0030000}"/>
    <cellStyle name="20% - Accent1 4 2 2 2 5 2" xfId="42668" xr:uid="{9511EF87-9127-4CEA-AA9E-5764BF85DC68}"/>
    <cellStyle name="20% - Accent1 4 2 2 2 6" xfId="26788" xr:uid="{836D1EC6-012E-4164-89BE-733A8172572C}"/>
    <cellStyle name="20% - Accent1 4 2 2 2_Exh G" xfId="2008" xr:uid="{00000000-0005-0000-0000-0000B1030000}"/>
    <cellStyle name="20% - Accent1 4 2 2 3" xfId="3733" xr:uid="{00000000-0005-0000-0000-0000B2030000}"/>
    <cellStyle name="20% - Accent1 4 2 2 3 2" xfId="7325" xr:uid="{00000000-0005-0000-0000-0000B3030000}"/>
    <cellStyle name="20% - Accent1 4 2 2 3 2 2" xfId="15296" xr:uid="{00000000-0005-0000-0000-0000B4030000}"/>
    <cellStyle name="20% - Accent1 4 2 2 3 2 2 2" xfId="39139" xr:uid="{4E375514-7858-47EB-BD38-62268F95F480}"/>
    <cellStyle name="20% - Accent1 4 2 2 3 2 3" xfId="23242" xr:uid="{00000000-0005-0000-0000-0000B5030000}"/>
    <cellStyle name="20% - Accent1 4 2 2 3 2 3 2" xfId="47075" xr:uid="{110C621D-A965-4196-8D93-26993072A081}"/>
    <cellStyle name="20% - Accent1 4 2 2 3 2 4" xfId="31198" xr:uid="{C5FAD9D7-58BD-47FF-9858-492745777D3A}"/>
    <cellStyle name="20% - Accent1 4 2 2 3 3" xfId="11758" xr:uid="{00000000-0005-0000-0000-0000B6030000}"/>
    <cellStyle name="20% - Accent1 4 2 2 3 3 2" xfId="35608" xr:uid="{5290E820-DF0E-4472-B666-FA283E557D6A}"/>
    <cellStyle name="20% - Accent1 4 2 2 3 4" xfId="19713" xr:uid="{00000000-0005-0000-0000-0000B7030000}"/>
    <cellStyle name="20% - Accent1 4 2 2 3 4 2" xfId="43546" xr:uid="{AF91B6D1-BF9D-4717-A8D5-1EC850B1AD75}"/>
    <cellStyle name="20% - Accent1 4 2 2 3 5" xfId="27667" xr:uid="{FF9BEA9E-9200-4D8C-A9FE-4905326B63E5}"/>
    <cellStyle name="20% - Accent1 4 2 2 4" xfId="5553" xr:uid="{00000000-0005-0000-0000-0000B8030000}"/>
    <cellStyle name="20% - Accent1 4 2 2 4 2" xfId="13537" xr:uid="{00000000-0005-0000-0000-0000B9030000}"/>
    <cellStyle name="20% - Accent1 4 2 2 4 2 2" xfId="37381" xr:uid="{B9902AA7-1E11-4FBC-9F1C-5EB4A356BB55}"/>
    <cellStyle name="20% - Accent1 4 2 2 4 3" xfId="21485" xr:uid="{00000000-0005-0000-0000-0000BA030000}"/>
    <cellStyle name="20% - Accent1 4 2 2 4 3 2" xfId="45318" xr:uid="{1086C3C2-43E8-436F-BA5D-4C1166ADF0DF}"/>
    <cellStyle name="20% - Accent1 4 2 2 4 4" xfId="29440" xr:uid="{7515FD4C-99FE-431E-B93F-368465638750}"/>
    <cellStyle name="20% - Accent1 4 2 2 5" xfId="9106" xr:uid="{00000000-0005-0000-0000-0000BB030000}"/>
    <cellStyle name="20% - Accent1 4 2 2 5 2" xfId="17064" xr:uid="{00000000-0005-0000-0000-0000BC030000}"/>
    <cellStyle name="20% - Accent1 4 2 2 5 2 2" xfId="40905" xr:uid="{116A595A-D9A9-4150-9E26-98406C9D3321}"/>
    <cellStyle name="20% - Accent1 4 2 2 5 3" xfId="25008" xr:uid="{00000000-0005-0000-0000-0000BD030000}"/>
    <cellStyle name="20% - Accent1 4 2 2 5 3 2" xfId="48841" xr:uid="{E644AFF8-C00E-4287-A781-95FC4D20EFA1}"/>
    <cellStyle name="20% - Accent1 4 2 2 5 4" xfId="32964" xr:uid="{EBCB41DD-B01F-4B9C-84F6-FD69D685AEB7}"/>
    <cellStyle name="20% - Accent1 4 2 2 6" xfId="10002" xr:uid="{00000000-0005-0000-0000-0000BE030000}"/>
    <cellStyle name="20% - Accent1 4 2 2 6 2" xfId="33852" xr:uid="{4D44CD4D-2C3D-4889-A423-96638CF983A7}"/>
    <cellStyle name="20% - Accent1 4 2 2 7" xfId="17957" xr:uid="{00000000-0005-0000-0000-0000BF030000}"/>
    <cellStyle name="20% - Accent1 4 2 2 7 2" xfId="41790" xr:uid="{B4E087BD-AD59-46C9-B9CC-2413D79ED809}"/>
    <cellStyle name="20% - Accent1 4 2 2 8" xfId="25910" xr:uid="{8F632A79-B66A-4FF8-8301-4BE636A9AFEE}"/>
    <cellStyle name="20% - Accent1 4 2 2_Exh G" xfId="2007" xr:uid="{00000000-0005-0000-0000-0000C0030000}"/>
    <cellStyle name="20% - Accent1 4 2 3" xfId="868" xr:uid="{00000000-0005-0000-0000-0000C1030000}"/>
    <cellStyle name="20% - Accent1 4 2 3 2" xfId="1804" xr:uid="{00000000-0005-0000-0000-0000C2030000}"/>
    <cellStyle name="20% - Accent1 4 2 3 2 2" xfId="5322" xr:uid="{00000000-0005-0000-0000-0000C3030000}"/>
    <cellStyle name="20% - Accent1 4 2 3 2 2 2" xfId="8913" xr:uid="{00000000-0005-0000-0000-0000C4030000}"/>
    <cellStyle name="20% - Accent1 4 2 3 2 2 2 2" xfId="16884" xr:uid="{00000000-0005-0000-0000-0000C5030000}"/>
    <cellStyle name="20% - Accent1 4 2 3 2 2 2 2 2" xfId="40727" xr:uid="{5DE7EBD1-2AE7-4CDF-916A-834256ABEBB2}"/>
    <cellStyle name="20% - Accent1 4 2 3 2 2 2 3" xfId="24830" xr:uid="{00000000-0005-0000-0000-0000C6030000}"/>
    <cellStyle name="20% - Accent1 4 2 3 2 2 2 3 2" xfId="48663" xr:uid="{F0E8241A-BBD8-4CB3-AC18-CC36817E97A9}"/>
    <cellStyle name="20% - Accent1 4 2 3 2 2 2 4" xfId="32786" xr:uid="{57BFB0A4-C31C-42FC-9746-25BBB8D30B2E}"/>
    <cellStyle name="20% - Accent1 4 2 3 2 2 3" xfId="13346" xr:uid="{00000000-0005-0000-0000-0000C7030000}"/>
    <cellStyle name="20% - Accent1 4 2 3 2 2 3 2" xfId="37196" xr:uid="{6FFD4340-6352-4305-8DED-26DC4768D71C}"/>
    <cellStyle name="20% - Accent1 4 2 3 2 2 4" xfId="21301" xr:uid="{00000000-0005-0000-0000-0000C8030000}"/>
    <cellStyle name="20% - Accent1 4 2 3 2 2 4 2" xfId="45134" xr:uid="{56F6F6D8-3527-46E1-874A-9BBCE140CF23}"/>
    <cellStyle name="20% - Accent1 4 2 3 2 2 5" xfId="29255" xr:uid="{A47957DE-AAD2-474D-8AEA-E5D40FCCF915}"/>
    <cellStyle name="20% - Accent1 4 2 3 2 3" xfId="7154" xr:uid="{00000000-0005-0000-0000-0000C9030000}"/>
    <cellStyle name="20% - Accent1 4 2 3 2 3 2" xfId="15126" xr:uid="{00000000-0005-0000-0000-0000CA030000}"/>
    <cellStyle name="20% - Accent1 4 2 3 2 3 2 2" xfId="38969" xr:uid="{83AF8898-7CFC-4C5F-98FF-9914D4588920}"/>
    <cellStyle name="20% - Accent1 4 2 3 2 3 3" xfId="23073" xr:uid="{00000000-0005-0000-0000-0000CB030000}"/>
    <cellStyle name="20% - Accent1 4 2 3 2 3 3 2" xfId="46906" xr:uid="{DB95B0FE-6D66-467F-A0D5-B55B4F4492A4}"/>
    <cellStyle name="20% - Accent1 4 2 3 2 3 4" xfId="31028" xr:uid="{4EBCE8D7-D24E-485D-843C-2BC7C72452E8}"/>
    <cellStyle name="20% - Accent1 4 2 3 2 4" xfId="11590" xr:uid="{00000000-0005-0000-0000-0000CC030000}"/>
    <cellStyle name="20% - Accent1 4 2 3 2 4 2" xfId="35440" xr:uid="{068BEE01-713B-45A2-92FA-60D1D1D45B6F}"/>
    <cellStyle name="20% - Accent1 4 2 3 2 5" xfId="19545" xr:uid="{00000000-0005-0000-0000-0000CD030000}"/>
    <cellStyle name="20% - Accent1 4 2 3 2 5 2" xfId="43378" xr:uid="{4003E3DC-E1EF-4CE0-A5F4-F611F86F211E}"/>
    <cellStyle name="20% - Accent1 4 2 3 2 6" xfId="27498" xr:uid="{F8338F6E-60CB-489B-AFA0-76FF97892083}"/>
    <cellStyle name="20% - Accent1 4 2 3 2_Exh G" xfId="2010" xr:uid="{00000000-0005-0000-0000-0000CE030000}"/>
    <cellStyle name="20% - Accent1 4 2 3 3" xfId="4443" xr:uid="{00000000-0005-0000-0000-0000CF030000}"/>
    <cellStyle name="20% - Accent1 4 2 3 3 2" xfId="8035" xr:uid="{00000000-0005-0000-0000-0000D0030000}"/>
    <cellStyle name="20% - Accent1 4 2 3 3 2 2" xfId="16006" xr:uid="{00000000-0005-0000-0000-0000D1030000}"/>
    <cellStyle name="20% - Accent1 4 2 3 3 2 2 2" xfId="39849" xr:uid="{F21CBCA6-B622-4F9E-8992-2E17DF01A579}"/>
    <cellStyle name="20% - Accent1 4 2 3 3 2 3" xfId="23952" xr:uid="{00000000-0005-0000-0000-0000D2030000}"/>
    <cellStyle name="20% - Accent1 4 2 3 3 2 3 2" xfId="47785" xr:uid="{6D45D4FA-F619-4BD3-9406-AC7F1B47CA57}"/>
    <cellStyle name="20% - Accent1 4 2 3 3 2 4" xfId="31908" xr:uid="{A48A2EFC-9CB5-4E63-A896-49C3441C1535}"/>
    <cellStyle name="20% - Accent1 4 2 3 3 3" xfId="12468" xr:uid="{00000000-0005-0000-0000-0000D3030000}"/>
    <cellStyle name="20% - Accent1 4 2 3 3 3 2" xfId="36318" xr:uid="{7E73E070-E62A-466D-9283-14E70149DB57}"/>
    <cellStyle name="20% - Accent1 4 2 3 3 4" xfId="20423" xr:uid="{00000000-0005-0000-0000-0000D4030000}"/>
    <cellStyle name="20% - Accent1 4 2 3 3 4 2" xfId="44256" xr:uid="{8C8EF353-0901-4E04-A73E-D18DCA196736}"/>
    <cellStyle name="20% - Accent1 4 2 3 3 5" xfId="28377" xr:uid="{B519550D-2B38-47CF-A1DF-80013510DF10}"/>
    <cellStyle name="20% - Accent1 4 2 3 4" xfId="6273" xr:uid="{00000000-0005-0000-0000-0000D5030000}"/>
    <cellStyle name="20% - Accent1 4 2 3 4 2" xfId="14248" xr:uid="{00000000-0005-0000-0000-0000D6030000}"/>
    <cellStyle name="20% - Accent1 4 2 3 4 2 2" xfId="38091" xr:uid="{67B4CCDB-410C-446A-AC47-7D9C035A0457}"/>
    <cellStyle name="20% - Accent1 4 2 3 4 3" xfId="22195" xr:uid="{00000000-0005-0000-0000-0000D7030000}"/>
    <cellStyle name="20% - Accent1 4 2 3 4 3 2" xfId="46028" xr:uid="{1523FF43-7719-4892-9869-DC24E156F345}"/>
    <cellStyle name="20% - Accent1 4 2 3 4 4" xfId="30150" xr:uid="{578CB307-35DF-4A5B-9A87-270B6128A203}"/>
    <cellStyle name="20% - Accent1 4 2 3 5" xfId="9816" xr:uid="{00000000-0005-0000-0000-0000D8030000}"/>
    <cellStyle name="20% - Accent1 4 2 3 5 2" xfId="17774" xr:uid="{00000000-0005-0000-0000-0000D9030000}"/>
    <cellStyle name="20% - Accent1 4 2 3 5 2 2" xfId="41615" xr:uid="{43378DD5-697B-43A3-B939-0F5EAD439649}"/>
    <cellStyle name="20% - Accent1 4 2 3 5 3" xfId="25718" xr:uid="{00000000-0005-0000-0000-0000DA030000}"/>
    <cellStyle name="20% - Accent1 4 2 3 5 3 2" xfId="49551" xr:uid="{DCD32F15-1520-4471-A6C0-EE93ED5F8574}"/>
    <cellStyle name="20% - Accent1 4 2 3 5 4" xfId="33674" xr:uid="{6FB684EA-9ECE-42ED-8A75-69ADC57625A7}"/>
    <cellStyle name="20% - Accent1 4 2 3 6" xfId="10712" xr:uid="{00000000-0005-0000-0000-0000DB030000}"/>
    <cellStyle name="20% - Accent1 4 2 3 6 2" xfId="34562" xr:uid="{DAE6ED8E-CCA8-444A-8D76-DF70A3E8B0D8}"/>
    <cellStyle name="20% - Accent1 4 2 3 7" xfId="18667" xr:uid="{00000000-0005-0000-0000-0000DC030000}"/>
    <cellStyle name="20% - Accent1 4 2 3 7 2" xfId="42500" xr:uid="{FA121EF6-A47A-4E1A-9025-375BC38BF689}"/>
    <cellStyle name="20% - Accent1 4 2 3 8" xfId="26620" xr:uid="{7572C061-BB22-4105-807E-D4771002F20E}"/>
    <cellStyle name="20% - Accent1 4 2 3_Exh G" xfId="2009" xr:uid="{00000000-0005-0000-0000-0000DD030000}"/>
    <cellStyle name="20% - Accent1 4 2 4" xfId="1081" xr:uid="{00000000-0005-0000-0000-0000DE030000}"/>
    <cellStyle name="20% - Accent1 4 2 4 2" xfId="4611" xr:uid="{00000000-0005-0000-0000-0000DF030000}"/>
    <cellStyle name="20% - Accent1 4 2 4 2 2" xfId="8202" xr:uid="{00000000-0005-0000-0000-0000E0030000}"/>
    <cellStyle name="20% - Accent1 4 2 4 2 2 2" xfId="16173" xr:uid="{00000000-0005-0000-0000-0000E1030000}"/>
    <cellStyle name="20% - Accent1 4 2 4 2 2 2 2" xfId="40016" xr:uid="{0DD6E7A0-29EA-4696-A66A-9A79C58D526D}"/>
    <cellStyle name="20% - Accent1 4 2 4 2 2 3" xfId="24119" xr:uid="{00000000-0005-0000-0000-0000E2030000}"/>
    <cellStyle name="20% - Accent1 4 2 4 2 2 3 2" xfId="47952" xr:uid="{BA6817B0-F2AF-4C1B-BEB1-5FA0A7045C90}"/>
    <cellStyle name="20% - Accent1 4 2 4 2 2 4" xfId="32075" xr:uid="{7EB90C30-60DD-456B-AB84-3F8457B27041}"/>
    <cellStyle name="20% - Accent1 4 2 4 2 3" xfId="12635" xr:uid="{00000000-0005-0000-0000-0000E3030000}"/>
    <cellStyle name="20% - Accent1 4 2 4 2 3 2" xfId="36485" xr:uid="{42B3F5B0-10B9-4D9A-97A9-D79E40D96735}"/>
    <cellStyle name="20% - Accent1 4 2 4 2 4" xfId="20590" xr:uid="{00000000-0005-0000-0000-0000E4030000}"/>
    <cellStyle name="20% - Accent1 4 2 4 2 4 2" xfId="44423" xr:uid="{558E351C-7FE2-4C29-B727-68A0535B2120}"/>
    <cellStyle name="20% - Accent1 4 2 4 2 5" xfId="28544" xr:uid="{9AA03507-9CFD-4B95-BAD4-A2D71268334A}"/>
    <cellStyle name="20% - Accent1 4 2 4 3" xfId="6443" xr:uid="{00000000-0005-0000-0000-0000E5030000}"/>
    <cellStyle name="20% - Accent1 4 2 4 3 2" xfId="14415" xr:uid="{00000000-0005-0000-0000-0000E6030000}"/>
    <cellStyle name="20% - Accent1 4 2 4 3 2 2" xfId="38258" xr:uid="{B8282176-DA0B-484E-8F20-FD67A8750795}"/>
    <cellStyle name="20% - Accent1 4 2 4 3 3" xfId="22362" xr:uid="{00000000-0005-0000-0000-0000E7030000}"/>
    <cellStyle name="20% - Accent1 4 2 4 3 3 2" xfId="46195" xr:uid="{1DCD6FA9-5C17-4CA4-ACAE-AF09FAA2D8D6}"/>
    <cellStyle name="20% - Accent1 4 2 4 3 4" xfId="30317" xr:uid="{47D7D536-65F7-46E8-B3FD-3EF823F66010}"/>
    <cellStyle name="20% - Accent1 4 2 4 4" xfId="10879" xr:uid="{00000000-0005-0000-0000-0000E8030000}"/>
    <cellStyle name="20% - Accent1 4 2 4 4 2" xfId="34729" xr:uid="{D22ED052-8AD5-412F-96B1-9A7188F48510}"/>
    <cellStyle name="20% - Accent1 4 2 4 5" xfId="18834" xr:uid="{00000000-0005-0000-0000-0000E9030000}"/>
    <cellStyle name="20% - Accent1 4 2 4 5 2" xfId="42667" xr:uid="{75DF9A58-927D-4964-BB26-76A98D4322DF}"/>
    <cellStyle name="20% - Accent1 4 2 4 6" xfId="26787" xr:uid="{08B123D4-C346-4235-8FC2-09B5132479EA}"/>
    <cellStyle name="20% - Accent1 4 2 4_Exh G" xfId="2011" xr:uid="{00000000-0005-0000-0000-0000EA030000}"/>
    <cellStyle name="20% - Accent1 4 2 5" xfId="3732" xr:uid="{00000000-0005-0000-0000-0000EB030000}"/>
    <cellStyle name="20% - Accent1 4 2 5 2" xfId="7324" xr:uid="{00000000-0005-0000-0000-0000EC030000}"/>
    <cellStyle name="20% - Accent1 4 2 5 2 2" xfId="15295" xr:uid="{00000000-0005-0000-0000-0000ED030000}"/>
    <cellStyle name="20% - Accent1 4 2 5 2 2 2" xfId="39138" xr:uid="{66F82BF7-3980-44E2-9DDD-1D69B8FBF8D0}"/>
    <cellStyle name="20% - Accent1 4 2 5 2 3" xfId="23241" xr:uid="{00000000-0005-0000-0000-0000EE030000}"/>
    <cellStyle name="20% - Accent1 4 2 5 2 3 2" xfId="47074" xr:uid="{DC24C7F2-7727-41F3-B86D-DD9FA0F919ED}"/>
    <cellStyle name="20% - Accent1 4 2 5 2 4" xfId="31197" xr:uid="{7E3B676E-712E-4AC9-9107-C53BB8380238}"/>
    <cellStyle name="20% - Accent1 4 2 5 3" xfId="11757" xr:uid="{00000000-0005-0000-0000-0000EF030000}"/>
    <cellStyle name="20% - Accent1 4 2 5 3 2" xfId="35607" xr:uid="{21847302-C405-4684-B133-B3F02D2AE54D}"/>
    <cellStyle name="20% - Accent1 4 2 5 4" xfId="19712" xr:uid="{00000000-0005-0000-0000-0000F0030000}"/>
    <cellStyle name="20% - Accent1 4 2 5 4 2" xfId="43545" xr:uid="{7C048FEC-8DF1-4DC9-BE78-81C523FB85F0}"/>
    <cellStyle name="20% - Accent1 4 2 5 5" xfId="27666" xr:uid="{5E43CC61-2271-4CB9-9005-18FD54A625A9}"/>
    <cellStyle name="20% - Accent1 4 2 6" xfId="5552" xr:uid="{00000000-0005-0000-0000-0000F1030000}"/>
    <cellStyle name="20% - Accent1 4 2 6 2" xfId="13536" xr:uid="{00000000-0005-0000-0000-0000F2030000}"/>
    <cellStyle name="20% - Accent1 4 2 6 2 2" xfId="37380" xr:uid="{ACA0B41F-0B1F-4265-B3C3-58C0711EEF4A}"/>
    <cellStyle name="20% - Accent1 4 2 6 3" xfId="21484" xr:uid="{00000000-0005-0000-0000-0000F3030000}"/>
    <cellStyle name="20% - Accent1 4 2 6 3 2" xfId="45317" xr:uid="{BD842D7A-2E2E-40DC-824A-75463B25F1E3}"/>
    <cellStyle name="20% - Accent1 4 2 6 4" xfId="29439" xr:uid="{0222D965-44BC-491B-AF10-8A56718B4BF4}"/>
    <cellStyle name="20% - Accent1 4 2 7" xfId="9105" xr:uid="{00000000-0005-0000-0000-0000F4030000}"/>
    <cellStyle name="20% - Accent1 4 2 7 2" xfId="17063" xr:uid="{00000000-0005-0000-0000-0000F5030000}"/>
    <cellStyle name="20% - Accent1 4 2 7 2 2" xfId="40904" xr:uid="{BEC9A633-1C6F-458A-9382-AA2DD861798C}"/>
    <cellStyle name="20% - Accent1 4 2 7 3" xfId="25007" xr:uid="{00000000-0005-0000-0000-0000F6030000}"/>
    <cellStyle name="20% - Accent1 4 2 7 3 2" xfId="48840" xr:uid="{74C00115-41FE-4AA5-8C0A-9AD8CCF192F7}"/>
    <cellStyle name="20% - Accent1 4 2 7 4" xfId="32963" xr:uid="{1D311224-7DAE-4656-B917-4934E6A00C61}"/>
    <cellStyle name="20% - Accent1 4 2 8" xfId="10001" xr:uid="{00000000-0005-0000-0000-0000F7030000}"/>
    <cellStyle name="20% - Accent1 4 2 8 2" xfId="33851" xr:uid="{0F8F12E4-BDB7-4038-AD1C-F71222E06839}"/>
    <cellStyle name="20% - Accent1 4 2 9" xfId="17956" xr:uid="{00000000-0005-0000-0000-0000F8030000}"/>
    <cellStyle name="20% - Accent1 4 2 9 2" xfId="41789" xr:uid="{4F03407B-C9BE-4D73-A01E-62E802F75AE0}"/>
    <cellStyle name="20% - Accent1 4 2_Exh G" xfId="2006" xr:uid="{00000000-0005-0000-0000-0000F9030000}"/>
    <cellStyle name="20% - Accent1 4 3" xfId="55" xr:uid="{00000000-0005-0000-0000-0000FA030000}"/>
    <cellStyle name="20% - Accent1 4 3 2" xfId="1083" xr:uid="{00000000-0005-0000-0000-0000FB030000}"/>
    <cellStyle name="20% - Accent1 4 3 2 2" xfId="4613" xr:uid="{00000000-0005-0000-0000-0000FC030000}"/>
    <cellStyle name="20% - Accent1 4 3 2 2 2" xfId="8204" xr:uid="{00000000-0005-0000-0000-0000FD030000}"/>
    <cellStyle name="20% - Accent1 4 3 2 2 2 2" xfId="16175" xr:uid="{00000000-0005-0000-0000-0000FE030000}"/>
    <cellStyle name="20% - Accent1 4 3 2 2 2 2 2" xfId="40018" xr:uid="{4B35221E-18FF-48C9-A356-72821DDE7E11}"/>
    <cellStyle name="20% - Accent1 4 3 2 2 2 3" xfId="24121" xr:uid="{00000000-0005-0000-0000-0000FF030000}"/>
    <cellStyle name="20% - Accent1 4 3 2 2 2 3 2" xfId="47954" xr:uid="{4B9F2669-A985-4055-B91C-B44BA48EFB68}"/>
    <cellStyle name="20% - Accent1 4 3 2 2 2 4" xfId="32077" xr:uid="{751FB8FB-5C45-4459-9DB4-57E001210681}"/>
    <cellStyle name="20% - Accent1 4 3 2 2 3" xfId="12637" xr:uid="{00000000-0005-0000-0000-000000040000}"/>
    <cellStyle name="20% - Accent1 4 3 2 2 3 2" xfId="36487" xr:uid="{D344EA7F-2561-42FE-B7BF-DE14E546A3C7}"/>
    <cellStyle name="20% - Accent1 4 3 2 2 4" xfId="20592" xr:uid="{00000000-0005-0000-0000-000001040000}"/>
    <cellStyle name="20% - Accent1 4 3 2 2 4 2" xfId="44425" xr:uid="{6968D1A0-9747-43C7-B7F5-92D6C6756EFE}"/>
    <cellStyle name="20% - Accent1 4 3 2 2 5" xfId="28546" xr:uid="{D238D41C-3C64-4026-8FC3-7A37018194E3}"/>
    <cellStyle name="20% - Accent1 4 3 2 3" xfId="6445" xr:uid="{00000000-0005-0000-0000-000002040000}"/>
    <cellStyle name="20% - Accent1 4 3 2 3 2" xfId="14417" xr:uid="{00000000-0005-0000-0000-000003040000}"/>
    <cellStyle name="20% - Accent1 4 3 2 3 2 2" xfId="38260" xr:uid="{C0BEB7A6-8255-4F6E-9624-127057087968}"/>
    <cellStyle name="20% - Accent1 4 3 2 3 3" xfId="22364" xr:uid="{00000000-0005-0000-0000-000004040000}"/>
    <cellStyle name="20% - Accent1 4 3 2 3 3 2" xfId="46197" xr:uid="{2652E3C1-ABA8-4DA2-957F-11AAA47C0D10}"/>
    <cellStyle name="20% - Accent1 4 3 2 3 4" xfId="30319" xr:uid="{CC4854DD-DF1E-4167-B8BA-A86BECD75146}"/>
    <cellStyle name="20% - Accent1 4 3 2 4" xfId="10881" xr:uid="{00000000-0005-0000-0000-000005040000}"/>
    <cellStyle name="20% - Accent1 4 3 2 4 2" xfId="34731" xr:uid="{8C5EDF61-EF4C-48FE-9EE9-5148798CFE89}"/>
    <cellStyle name="20% - Accent1 4 3 2 5" xfId="18836" xr:uid="{00000000-0005-0000-0000-000006040000}"/>
    <cellStyle name="20% - Accent1 4 3 2 5 2" xfId="42669" xr:uid="{F9FD81D9-243E-4985-A0D1-58BC7B1F4608}"/>
    <cellStyle name="20% - Accent1 4 3 2 6" xfId="26789" xr:uid="{7184779F-37A0-4C01-873D-661BCA92BC1E}"/>
    <cellStyle name="20% - Accent1 4 3 2_Exh G" xfId="2013" xr:uid="{00000000-0005-0000-0000-000007040000}"/>
    <cellStyle name="20% - Accent1 4 3 3" xfId="3734" xr:uid="{00000000-0005-0000-0000-000008040000}"/>
    <cellStyle name="20% - Accent1 4 3 3 2" xfId="7326" xr:uid="{00000000-0005-0000-0000-000009040000}"/>
    <cellStyle name="20% - Accent1 4 3 3 2 2" xfId="15297" xr:uid="{00000000-0005-0000-0000-00000A040000}"/>
    <cellStyle name="20% - Accent1 4 3 3 2 2 2" xfId="39140" xr:uid="{DD57C441-0D21-47EE-93AC-852B29E6DD4F}"/>
    <cellStyle name="20% - Accent1 4 3 3 2 3" xfId="23243" xr:uid="{00000000-0005-0000-0000-00000B040000}"/>
    <cellStyle name="20% - Accent1 4 3 3 2 3 2" xfId="47076" xr:uid="{7EA61BA7-BF23-490C-ACCA-31501932CDF9}"/>
    <cellStyle name="20% - Accent1 4 3 3 2 4" xfId="31199" xr:uid="{BA5DC846-33C3-4ADB-8B14-28187B2F9442}"/>
    <cellStyle name="20% - Accent1 4 3 3 3" xfId="11759" xr:uid="{00000000-0005-0000-0000-00000C040000}"/>
    <cellStyle name="20% - Accent1 4 3 3 3 2" xfId="35609" xr:uid="{9A1FBE60-C93C-4E3D-89C0-A746626CA683}"/>
    <cellStyle name="20% - Accent1 4 3 3 4" xfId="19714" xr:uid="{00000000-0005-0000-0000-00000D040000}"/>
    <cellStyle name="20% - Accent1 4 3 3 4 2" xfId="43547" xr:uid="{3A15A7FB-4FB8-44B3-8582-F666E2F46FCE}"/>
    <cellStyle name="20% - Accent1 4 3 3 5" xfId="27668" xr:uid="{7B94CC94-B40C-49DA-970A-551840235A4A}"/>
    <cellStyle name="20% - Accent1 4 3 4" xfId="5554" xr:uid="{00000000-0005-0000-0000-00000E040000}"/>
    <cellStyle name="20% - Accent1 4 3 4 2" xfId="13538" xr:uid="{00000000-0005-0000-0000-00000F040000}"/>
    <cellStyle name="20% - Accent1 4 3 4 2 2" xfId="37382" xr:uid="{6C77DA09-3ABF-4914-B8D1-EC91D53D65DD}"/>
    <cellStyle name="20% - Accent1 4 3 4 3" xfId="21486" xr:uid="{00000000-0005-0000-0000-000010040000}"/>
    <cellStyle name="20% - Accent1 4 3 4 3 2" xfId="45319" xr:uid="{2C8EE6F1-C93A-465D-AAF7-485C36CE0492}"/>
    <cellStyle name="20% - Accent1 4 3 4 4" xfId="29441" xr:uid="{FEC49EAD-2DC4-4B79-94E0-79DD5D664403}"/>
    <cellStyle name="20% - Accent1 4 3 5" xfId="9107" xr:uid="{00000000-0005-0000-0000-000011040000}"/>
    <cellStyle name="20% - Accent1 4 3 5 2" xfId="17065" xr:uid="{00000000-0005-0000-0000-000012040000}"/>
    <cellStyle name="20% - Accent1 4 3 5 2 2" xfId="40906" xr:uid="{E85541FB-483F-47E6-A755-C430FB755A2E}"/>
    <cellStyle name="20% - Accent1 4 3 5 3" xfId="25009" xr:uid="{00000000-0005-0000-0000-000013040000}"/>
    <cellStyle name="20% - Accent1 4 3 5 3 2" xfId="48842" xr:uid="{C2F8B4FE-A4C3-46A9-8D95-F10857D126B9}"/>
    <cellStyle name="20% - Accent1 4 3 5 4" xfId="32965" xr:uid="{788052F5-4F8E-4969-818C-5F57E32C5592}"/>
    <cellStyle name="20% - Accent1 4 3 6" xfId="10003" xr:uid="{00000000-0005-0000-0000-000014040000}"/>
    <cellStyle name="20% - Accent1 4 3 6 2" xfId="33853" xr:uid="{1BE74164-E081-4E6A-B3E6-57BCF3C14B07}"/>
    <cellStyle name="20% - Accent1 4 3 7" xfId="17958" xr:uid="{00000000-0005-0000-0000-000015040000}"/>
    <cellStyle name="20% - Accent1 4 3 7 2" xfId="41791" xr:uid="{0F57D90F-1ED8-4FA9-BB4F-D06440EE7E0C}"/>
    <cellStyle name="20% - Accent1 4 3 8" xfId="25911" xr:uid="{0A740EE4-3BBB-45EA-937D-19928EA17374}"/>
    <cellStyle name="20% - Accent1 4 3_Exh G" xfId="2012" xr:uid="{00000000-0005-0000-0000-000016040000}"/>
    <cellStyle name="20% - Accent1 4 4" xfId="867" xr:uid="{00000000-0005-0000-0000-000017040000}"/>
    <cellStyle name="20% - Accent1 4 4 2" xfId="1803" xr:uid="{00000000-0005-0000-0000-000018040000}"/>
    <cellStyle name="20% - Accent1 4 4 2 2" xfId="5321" xr:uid="{00000000-0005-0000-0000-000019040000}"/>
    <cellStyle name="20% - Accent1 4 4 2 2 2" xfId="8912" xr:uid="{00000000-0005-0000-0000-00001A040000}"/>
    <cellStyle name="20% - Accent1 4 4 2 2 2 2" xfId="16883" xr:uid="{00000000-0005-0000-0000-00001B040000}"/>
    <cellStyle name="20% - Accent1 4 4 2 2 2 2 2" xfId="40726" xr:uid="{A4EA2F53-CB07-4257-AB7E-8C9E793B4B92}"/>
    <cellStyle name="20% - Accent1 4 4 2 2 2 3" xfId="24829" xr:uid="{00000000-0005-0000-0000-00001C040000}"/>
    <cellStyle name="20% - Accent1 4 4 2 2 2 3 2" xfId="48662" xr:uid="{ACD7910A-5E97-4653-8407-9731304196DC}"/>
    <cellStyle name="20% - Accent1 4 4 2 2 2 4" xfId="32785" xr:uid="{FF7D5ED6-2F93-4C85-883E-42D19BDDD9CC}"/>
    <cellStyle name="20% - Accent1 4 4 2 2 3" xfId="13345" xr:uid="{00000000-0005-0000-0000-00001D040000}"/>
    <cellStyle name="20% - Accent1 4 4 2 2 3 2" xfId="37195" xr:uid="{F82781A6-475E-4A65-B037-53D7E9270657}"/>
    <cellStyle name="20% - Accent1 4 4 2 2 4" xfId="21300" xr:uid="{00000000-0005-0000-0000-00001E040000}"/>
    <cellStyle name="20% - Accent1 4 4 2 2 4 2" xfId="45133" xr:uid="{C95A775E-B376-4F44-A1A6-3BAAC0FFB31D}"/>
    <cellStyle name="20% - Accent1 4 4 2 2 5" xfId="29254" xr:uid="{92FE9F6A-AF2E-4948-B69D-7C3D3C501A1B}"/>
    <cellStyle name="20% - Accent1 4 4 2 3" xfId="7153" xr:uid="{00000000-0005-0000-0000-00001F040000}"/>
    <cellStyle name="20% - Accent1 4 4 2 3 2" xfId="15125" xr:uid="{00000000-0005-0000-0000-000020040000}"/>
    <cellStyle name="20% - Accent1 4 4 2 3 2 2" xfId="38968" xr:uid="{8FB92D08-8529-48A4-94A0-63BCC4EBE9EA}"/>
    <cellStyle name="20% - Accent1 4 4 2 3 3" xfId="23072" xr:uid="{00000000-0005-0000-0000-000021040000}"/>
    <cellStyle name="20% - Accent1 4 4 2 3 3 2" xfId="46905" xr:uid="{2A2E222B-0F3A-419B-A4E6-40BB92D72C05}"/>
    <cellStyle name="20% - Accent1 4 4 2 3 4" xfId="31027" xr:uid="{164C706C-83E4-4A64-A8CB-46CBA3B356A7}"/>
    <cellStyle name="20% - Accent1 4 4 2 4" xfId="11589" xr:uid="{00000000-0005-0000-0000-000022040000}"/>
    <cellStyle name="20% - Accent1 4 4 2 4 2" xfId="35439" xr:uid="{4C7D6264-DAD6-4806-BFC7-09AA5B109A9F}"/>
    <cellStyle name="20% - Accent1 4 4 2 5" xfId="19544" xr:uid="{00000000-0005-0000-0000-000023040000}"/>
    <cellStyle name="20% - Accent1 4 4 2 5 2" xfId="43377" xr:uid="{17F1A6E6-03BF-474B-BCA3-9504E8150F59}"/>
    <cellStyle name="20% - Accent1 4 4 2 6" xfId="27497" xr:uid="{C6FB96C4-FB43-45EA-B4BD-5DA82F1DCA25}"/>
    <cellStyle name="20% - Accent1 4 4 2_Exh G" xfId="2015" xr:uid="{00000000-0005-0000-0000-000024040000}"/>
    <cellStyle name="20% - Accent1 4 4 3" xfId="4442" xr:uid="{00000000-0005-0000-0000-000025040000}"/>
    <cellStyle name="20% - Accent1 4 4 3 2" xfId="8034" xr:uid="{00000000-0005-0000-0000-000026040000}"/>
    <cellStyle name="20% - Accent1 4 4 3 2 2" xfId="16005" xr:uid="{00000000-0005-0000-0000-000027040000}"/>
    <cellStyle name="20% - Accent1 4 4 3 2 2 2" xfId="39848" xr:uid="{C686B233-6AFA-498F-B7FC-AB778C956C63}"/>
    <cellStyle name="20% - Accent1 4 4 3 2 3" xfId="23951" xr:uid="{00000000-0005-0000-0000-000028040000}"/>
    <cellStyle name="20% - Accent1 4 4 3 2 3 2" xfId="47784" xr:uid="{7F1374F2-1547-4A52-B15B-E3C1B2E29177}"/>
    <cellStyle name="20% - Accent1 4 4 3 2 4" xfId="31907" xr:uid="{8BBB225E-6D9A-41E9-B163-830A2CC00924}"/>
    <cellStyle name="20% - Accent1 4 4 3 3" xfId="12467" xr:uid="{00000000-0005-0000-0000-000029040000}"/>
    <cellStyle name="20% - Accent1 4 4 3 3 2" xfId="36317" xr:uid="{74ABB6C5-E49E-4DDF-B8F5-B12B4CDD8A0B}"/>
    <cellStyle name="20% - Accent1 4 4 3 4" xfId="20422" xr:uid="{00000000-0005-0000-0000-00002A040000}"/>
    <cellStyle name="20% - Accent1 4 4 3 4 2" xfId="44255" xr:uid="{E3C8C4E0-7756-47ED-B8C7-290D79E53B1C}"/>
    <cellStyle name="20% - Accent1 4 4 3 5" xfId="28376" xr:uid="{8A59B48F-630B-4141-849B-ABB13CE7D271}"/>
    <cellStyle name="20% - Accent1 4 4 4" xfId="6272" xr:uid="{00000000-0005-0000-0000-00002B040000}"/>
    <cellStyle name="20% - Accent1 4 4 4 2" xfId="14247" xr:uid="{00000000-0005-0000-0000-00002C040000}"/>
    <cellStyle name="20% - Accent1 4 4 4 2 2" xfId="38090" xr:uid="{C63D9412-6B60-403F-B906-281DB053BDAE}"/>
    <cellStyle name="20% - Accent1 4 4 4 3" xfId="22194" xr:uid="{00000000-0005-0000-0000-00002D040000}"/>
    <cellStyle name="20% - Accent1 4 4 4 3 2" xfId="46027" xr:uid="{557E8482-4643-4339-8C1F-7802E62D11E3}"/>
    <cellStyle name="20% - Accent1 4 4 4 4" xfId="30149" xr:uid="{75BF4FB5-4DD1-4241-95E7-03D76DFB4B4F}"/>
    <cellStyle name="20% - Accent1 4 4 5" xfId="9815" xr:uid="{00000000-0005-0000-0000-00002E040000}"/>
    <cellStyle name="20% - Accent1 4 4 5 2" xfId="17773" xr:uid="{00000000-0005-0000-0000-00002F040000}"/>
    <cellStyle name="20% - Accent1 4 4 5 2 2" xfId="41614" xr:uid="{4A3B72E9-63C0-4B27-BB6D-D3594FD24ACB}"/>
    <cellStyle name="20% - Accent1 4 4 5 3" xfId="25717" xr:uid="{00000000-0005-0000-0000-000030040000}"/>
    <cellStyle name="20% - Accent1 4 4 5 3 2" xfId="49550" xr:uid="{D590A902-E8DF-4EA2-9AF5-9C69469AB362}"/>
    <cellStyle name="20% - Accent1 4 4 5 4" xfId="33673" xr:uid="{0A7C5558-4DA6-4570-B662-D669E8C29708}"/>
    <cellStyle name="20% - Accent1 4 4 6" xfId="10711" xr:uid="{00000000-0005-0000-0000-000031040000}"/>
    <cellStyle name="20% - Accent1 4 4 6 2" xfId="34561" xr:uid="{D6FE8200-5AE9-47F5-A8EF-D2B269C6F3F4}"/>
    <cellStyle name="20% - Accent1 4 4 7" xfId="18666" xr:uid="{00000000-0005-0000-0000-000032040000}"/>
    <cellStyle name="20% - Accent1 4 4 7 2" xfId="42499" xr:uid="{0E8ADED1-77C5-4F14-9747-EADA5C7E92C7}"/>
    <cellStyle name="20% - Accent1 4 4 8" xfId="26619" xr:uid="{8BB50315-1772-4D5C-A624-C07CB520282B}"/>
    <cellStyle name="20% - Accent1 4 4_Exh G" xfId="2014" xr:uid="{00000000-0005-0000-0000-000033040000}"/>
    <cellStyle name="20% - Accent1 4 5" xfId="1080" xr:uid="{00000000-0005-0000-0000-000034040000}"/>
    <cellStyle name="20% - Accent1 4 5 2" xfId="4610" xr:uid="{00000000-0005-0000-0000-000035040000}"/>
    <cellStyle name="20% - Accent1 4 5 2 2" xfId="8201" xr:uid="{00000000-0005-0000-0000-000036040000}"/>
    <cellStyle name="20% - Accent1 4 5 2 2 2" xfId="16172" xr:uid="{00000000-0005-0000-0000-000037040000}"/>
    <cellStyle name="20% - Accent1 4 5 2 2 2 2" xfId="40015" xr:uid="{EF797894-35EF-4CB4-9752-ECD673772F25}"/>
    <cellStyle name="20% - Accent1 4 5 2 2 3" xfId="24118" xr:uid="{00000000-0005-0000-0000-000038040000}"/>
    <cellStyle name="20% - Accent1 4 5 2 2 3 2" xfId="47951" xr:uid="{A9A41AD2-F2CB-4593-A51C-E8A6CB3ECDB8}"/>
    <cellStyle name="20% - Accent1 4 5 2 2 4" xfId="32074" xr:uid="{43A2305E-C7EE-4FF7-81F1-351FAA39104E}"/>
    <cellStyle name="20% - Accent1 4 5 2 3" xfId="12634" xr:uid="{00000000-0005-0000-0000-000039040000}"/>
    <cellStyle name="20% - Accent1 4 5 2 3 2" xfId="36484" xr:uid="{EE5BE65E-9AEB-4455-A26D-5B31B72DB7C5}"/>
    <cellStyle name="20% - Accent1 4 5 2 4" xfId="20589" xr:uid="{00000000-0005-0000-0000-00003A040000}"/>
    <cellStyle name="20% - Accent1 4 5 2 4 2" xfId="44422" xr:uid="{5FBBA7AD-D715-4DBA-B926-71DD30BA26F2}"/>
    <cellStyle name="20% - Accent1 4 5 2 5" xfId="28543" xr:uid="{2F81118D-6E8A-4221-9FBB-64F4B9503E5E}"/>
    <cellStyle name="20% - Accent1 4 5 3" xfId="6442" xr:uid="{00000000-0005-0000-0000-00003B040000}"/>
    <cellStyle name="20% - Accent1 4 5 3 2" xfId="14414" xr:uid="{00000000-0005-0000-0000-00003C040000}"/>
    <cellStyle name="20% - Accent1 4 5 3 2 2" xfId="38257" xr:uid="{FE8A58FF-5D16-44B7-825D-4434D8826D39}"/>
    <cellStyle name="20% - Accent1 4 5 3 3" xfId="22361" xr:uid="{00000000-0005-0000-0000-00003D040000}"/>
    <cellStyle name="20% - Accent1 4 5 3 3 2" xfId="46194" xr:uid="{14B9AB73-55B7-4200-A986-26ABA898CAAC}"/>
    <cellStyle name="20% - Accent1 4 5 3 4" xfId="30316" xr:uid="{A532B539-7475-44CF-985C-BF4A844A7485}"/>
    <cellStyle name="20% - Accent1 4 5 4" xfId="10878" xr:uid="{00000000-0005-0000-0000-00003E040000}"/>
    <cellStyle name="20% - Accent1 4 5 4 2" xfId="34728" xr:uid="{EE0CB0CB-4927-420A-BDBA-6E8C0F87D508}"/>
    <cellStyle name="20% - Accent1 4 5 5" xfId="18833" xr:uid="{00000000-0005-0000-0000-00003F040000}"/>
    <cellStyle name="20% - Accent1 4 5 5 2" xfId="42666" xr:uid="{AFBBFA4F-A579-46A7-A4F9-E049B462BC5F}"/>
    <cellStyle name="20% - Accent1 4 5 6" xfId="26786" xr:uid="{76DAB1AD-91C6-4DD5-AA9D-43E08F2E6848}"/>
    <cellStyle name="20% - Accent1 4 5_Exh G" xfId="2016" xr:uid="{00000000-0005-0000-0000-000040040000}"/>
    <cellStyle name="20% - Accent1 4 6" xfId="3731" xr:uid="{00000000-0005-0000-0000-000041040000}"/>
    <cellStyle name="20% - Accent1 4 6 2" xfId="7323" xr:uid="{00000000-0005-0000-0000-000042040000}"/>
    <cellStyle name="20% - Accent1 4 6 2 2" xfId="15294" xr:uid="{00000000-0005-0000-0000-000043040000}"/>
    <cellStyle name="20% - Accent1 4 6 2 2 2" xfId="39137" xr:uid="{A98B7972-EB65-4BA5-83E8-A54786183883}"/>
    <cellStyle name="20% - Accent1 4 6 2 3" xfId="23240" xr:uid="{00000000-0005-0000-0000-000044040000}"/>
    <cellStyle name="20% - Accent1 4 6 2 3 2" xfId="47073" xr:uid="{6AB90CB8-1FC2-4F03-AA70-901FF503B8EB}"/>
    <cellStyle name="20% - Accent1 4 6 2 4" xfId="31196" xr:uid="{C677D359-EA44-4DDC-88B6-12D5233EF3F7}"/>
    <cellStyle name="20% - Accent1 4 6 3" xfId="11756" xr:uid="{00000000-0005-0000-0000-000045040000}"/>
    <cellStyle name="20% - Accent1 4 6 3 2" xfId="35606" xr:uid="{E6147067-EBC3-4F82-B5F1-28EBE49649C7}"/>
    <cellStyle name="20% - Accent1 4 6 4" xfId="19711" xr:uid="{00000000-0005-0000-0000-000046040000}"/>
    <cellStyle name="20% - Accent1 4 6 4 2" xfId="43544" xr:uid="{631A4D3B-C008-4B41-A86F-10D10E5E27E8}"/>
    <cellStyle name="20% - Accent1 4 6 5" xfId="27665" xr:uid="{44E11D0D-7C43-4231-9FE8-8EFBE8855C22}"/>
    <cellStyle name="20% - Accent1 4 7" xfId="5551" xr:uid="{00000000-0005-0000-0000-000047040000}"/>
    <cellStyle name="20% - Accent1 4 7 2" xfId="13535" xr:uid="{00000000-0005-0000-0000-000048040000}"/>
    <cellStyle name="20% - Accent1 4 7 2 2" xfId="37379" xr:uid="{3C48896D-6769-44F1-844B-2C0C59DDACD3}"/>
    <cellStyle name="20% - Accent1 4 7 3" xfId="21483" xr:uid="{00000000-0005-0000-0000-000049040000}"/>
    <cellStyle name="20% - Accent1 4 7 3 2" xfId="45316" xr:uid="{87D9B8A1-D41C-4CCD-B87A-ED7772C67576}"/>
    <cellStyle name="20% - Accent1 4 7 4" xfId="29438" xr:uid="{D36DFFAE-04EA-4675-9831-34BD46488403}"/>
    <cellStyle name="20% - Accent1 4 8" xfId="9104" xr:uid="{00000000-0005-0000-0000-00004A040000}"/>
    <cellStyle name="20% - Accent1 4 8 2" xfId="17062" xr:uid="{00000000-0005-0000-0000-00004B040000}"/>
    <cellStyle name="20% - Accent1 4 8 2 2" xfId="40903" xr:uid="{92B7D993-03D9-4162-B7DB-7F2A5AA3A2CA}"/>
    <cellStyle name="20% - Accent1 4 8 3" xfId="25006" xr:uid="{00000000-0005-0000-0000-00004C040000}"/>
    <cellStyle name="20% - Accent1 4 8 3 2" xfId="48839" xr:uid="{476F9066-AB1B-49E2-BABD-1C02954C0966}"/>
    <cellStyle name="20% - Accent1 4 8 4" xfId="32962" xr:uid="{3E603D4C-63DE-4C67-9DC8-1FE090B64EB6}"/>
    <cellStyle name="20% - Accent1 4 9" xfId="10000" xr:uid="{00000000-0005-0000-0000-00004D040000}"/>
    <cellStyle name="20% - Accent1 4 9 2" xfId="33850" xr:uid="{0043F419-0471-4E1F-8E0C-828DECF4F1C5}"/>
    <cellStyle name="20% - Accent1 4_Exh G" xfId="2005" xr:uid="{00000000-0005-0000-0000-00004E040000}"/>
    <cellStyle name="20% - Accent1 5" xfId="56" xr:uid="{00000000-0005-0000-0000-00004F040000}"/>
    <cellStyle name="20% - Accent1 5 10" xfId="17959" xr:uid="{00000000-0005-0000-0000-000050040000}"/>
    <cellStyle name="20% - Accent1 5 10 2" xfId="41792" xr:uid="{482C0A4E-2DD6-40D1-9CA8-A7356F021B69}"/>
    <cellStyle name="20% - Accent1 5 11" xfId="25912" xr:uid="{3210EE92-A1F8-4DE1-8060-34C3AC16DF62}"/>
    <cellStyle name="20% - Accent1 5 2" xfId="57" xr:uid="{00000000-0005-0000-0000-000051040000}"/>
    <cellStyle name="20% - Accent1 5 2 2" xfId="58" xr:uid="{00000000-0005-0000-0000-000052040000}"/>
    <cellStyle name="20% - Accent1 5 2 2 2" xfId="1086" xr:uid="{00000000-0005-0000-0000-000053040000}"/>
    <cellStyle name="20% - Accent1 5 2 2 2 2" xfId="4616" xr:uid="{00000000-0005-0000-0000-000054040000}"/>
    <cellStyle name="20% - Accent1 5 2 2 2 2 2" xfId="8207" xr:uid="{00000000-0005-0000-0000-000055040000}"/>
    <cellStyle name="20% - Accent1 5 2 2 2 2 2 2" xfId="16178" xr:uid="{00000000-0005-0000-0000-000056040000}"/>
    <cellStyle name="20% - Accent1 5 2 2 2 2 2 2 2" xfId="40021" xr:uid="{1FB30947-ACCD-4B0B-A5B4-D23017804AC3}"/>
    <cellStyle name="20% - Accent1 5 2 2 2 2 2 3" xfId="24124" xr:uid="{00000000-0005-0000-0000-000057040000}"/>
    <cellStyle name="20% - Accent1 5 2 2 2 2 2 3 2" xfId="47957" xr:uid="{E0086609-7F53-49F3-95A7-A8C83BAEDA40}"/>
    <cellStyle name="20% - Accent1 5 2 2 2 2 2 4" xfId="32080" xr:uid="{2A361906-8B62-4902-9130-E55FEFEF6CA0}"/>
    <cellStyle name="20% - Accent1 5 2 2 2 2 3" xfId="12640" xr:uid="{00000000-0005-0000-0000-000058040000}"/>
    <cellStyle name="20% - Accent1 5 2 2 2 2 3 2" xfId="36490" xr:uid="{ACC01F26-04E8-48CF-81A2-EC1D48CA2074}"/>
    <cellStyle name="20% - Accent1 5 2 2 2 2 4" xfId="20595" xr:uid="{00000000-0005-0000-0000-000059040000}"/>
    <cellStyle name="20% - Accent1 5 2 2 2 2 4 2" xfId="44428" xr:uid="{58221819-88ED-4F66-BCB1-0DD7BB3C2541}"/>
    <cellStyle name="20% - Accent1 5 2 2 2 2 5" xfId="28549" xr:uid="{4F6F1C1E-E350-4864-8F03-12D0342DDE12}"/>
    <cellStyle name="20% - Accent1 5 2 2 2 3" xfId="6448" xr:uid="{00000000-0005-0000-0000-00005A040000}"/>
    <cellStyle name="20% - Accent1 5 2 2 2 3 2" xfId="14420" xr:uid="{00000000-0005-0000-0000-00005B040000}"/>
    <cellStyle name="20% - Accent1 5 2 2 2 3 2 2" xfId="38263" xr:uid="{77A8F44A-38B6-45D5-9203-49BC830997B6}"/>
    <cellStyle name="20% - Accent1 5 2 2 2 3 3" xfId="22367" xr:uid="{00000000-0005-0000-0000-00005C040000}"/>
    <cellStyle name="20% - Accent1 5 2 2 2 3 3 2" xfId="46200" xr:uid="{C2597512-B8D7-4DA7-AC00-58344ED85D3E}"/>
    <cellStyle name="20% - Accent1 5 2 2 2 3 4" xfId="30322" xr:uid="{A895C421-9E6D-4A67-AFEC-F4F8063D6584}"/>
    <cellStyle name="20% - Accent1 5 2 2 2 4" xfId="10884" xr:uid="{00000000-0005-0000-0000-00005D040000}"/>
    <cellStyle name="20% - Accent1 5 2 2 2 4 2" xfId="34734" xr:uid="{46915221-AD7C-4383-81A8-7A3DDA374B7D}"/>
    <cellStyle name="20% - Accent1 5 2 2 2 5" xfId="18839" xr:uid="{00000000-0005-0000-0000-00005E040000}"/>
    <cellStyle name="20% - Accent1 5 2 2 2 5 2" xfId="42672" xr:uid="{058634F8-F554-4ADF-BA24-4445BBC5F6F0}"/>
    <cellStyle name="20% - Accent1 5 2 2 2 6" xfId="26792" xr:uid="{3CACD9F9-7933-4BD0-ACAE-B448E89AB0BF}"/>
    <cellStyle name="20% - Accent1 5 2 2 2_Exh G" xfId="2020" xr:uid="{00000000-0005-0000-0000-00005F040000}"/>
    <cellStyle name="20% - Accent1 5 2 2 3" xfId="3737" xr:uid="{00000000-0005-0000-0000-000060040000}"/>
    <cellStyle name="20% - Accent1 5 2 2 3 2" xfId="7329" xr:uid="{00000000-0005-0000-0000-000061040000}"/>
    <cellStyle name="20% - Accent1 5 2 2 3 2 2" xfId="15300" xr:uid="{00000000-0005-0000-0000-000062040000}"/>
    <cellStyle name="20% - Accent1 5 2 2 3 2 2 2" xfId="39143" xr:uid="{1EC2EA25-17FE-42AE-A6BD-71AE4710A111}"/>
    <cellStyle name="20% - Accent1 5 2 2 3 2 3" xfId="23246" xr:uid="{00000000-0005-0000-0000-000063040000}"/>
    <cellStyle name="20% - Accent1 5 2 2 3 2 3 2" xfId="47079" xr:uid="{488C076A-82F4-4DE6-B32E-6BEA4C19EF5E}"/>
    <cellStyle name="20% - Accent1 5 2 2 3 2 4" xfId="31202" xr:uid="{93860A2C-B692-4D67-9EA2-98663B6D2DD7}"/>
    <cellStyle name="20% - Accent1 5 2 2 3 3" xfId="11762" xr:uid="{00000000-0005-0000-0000-000064040000}"/>
    <cellStyle name="20% - Accent1 5 2 2 3 3 2" xfId="35612" xr:uid="{584D8AB0-0D87-4F64-B124-0D3271776C99}"/>
    <cellStyle name="20% - Accent1 5 2 2 3 4" xfId="19717" xr:uid="{00000000-0005-0000-0000-000065040000}"/>
    <cellStyle name="20% - Accent1 5 2 2 3 4 2" xfId="43550" xr:uid="{8F420DC6-F8DF-4A1C-A732-818539A97966}"/>
    <cellStyle name="20% - Accent1 5 2 2 3 5" xfId="27671" xr:uid="{DFFD3B46-A1A1-4655-A0B7-819AAA89AFCA}"/>
    <cellStyle name="20% - Accent1 5 2 2 4" xfId="5557" xr:uid="{00000000-0005-0000-0000-000066040000}"/>
    <cellStyle name="20% - Accent1 5 2 2 4 2" xfId="13541" xr:uid="{00000000-0005-0000-0000-000067040000}"/>
    <cellStyle name="20% - Accent1 5 2 2 4 2 2" xfId="37385" xr:uid="{8C502D8A-1C46-4579-A11A-9DB87AD8EF3C}"/>
    <cellStyle name="20% - Accent1 5 2 2 4 3" xfId="21489" xr:uid="{00000000-0005-0000-0000-000068040000}"/>
    <cellStyle name="20% - Accent1 5 2 2 4 3 2" xfId="45322" xr:uid="{CFE0F8B5-9194-40F8-BF33-FEB7AD1CA08E}"/>
    <cellStyle name="20% - Accent1 5 2 2 4 4" xfId="29444" xr:uid="{717F3129-A991-4A4A-ABAE-730DC6F68BFB}"/>
    <cellStyle name="20% - Accent1 5 2 2 5" xfId="9110" xr:uid="{00000000-0005-0000-0000-000069040000}"/>
    <cellStyle name="20% - Accent1 5 2 2 5 2" xfId="17068" xr:uid="{00000000-0005-0000-0000-00006A040000}"/>
    <cellStyle name="20% - Accent1 5 2 2 5 2 2" xfId="40909" xr:uid="{69F0E454-ECF3-4893-9554-BD3D2B6CB9EF}"/>
    <cellStyle name="20% - Accent1 5 2 2 5 3" xfId="25012" xr:uid="{00000000-0005-0000-0000-00006B040000}"/>
    <cellStyle name="20% - Accent1 5 2 2 5 3 2" xfId="48845" xr:uid="{D79431BB-F9B8-4A65-8C2A-CE3EDC777008}"/>
    <cellStyle name="20% - Accent1 5 2 2 5 4" xfId="32968" xr:uid="{0CE1D041-1E4F-49C8-8C9C-79AB698D22AA}"/>
    <cellStyle name="20% - Accent1 5 2 2 6" xfId="10006" xr:uid="{00000000-0005-0000-0000-00006C040000}"/>
    <cellStyle name="20% - Accent1 5 2 2 6 2" xfId="33856" xr:uid="{08D86ED4-D693-4951-B40C-90D8D2AD0D9E}"/>
    <cellStyle name="20% - Accent1 5 2 2 7" xfId="17961" xr:uid="{00000000-0005-0000-0000-00006D040000}"/>
    <cellStyle name="20% - Accent1 5 2 2 7 2" xfId="41794" xr:uid="{DA54AF9E-D116-4CEC-9F24-1AB6564235B1}"/>
    <cellStyle name="20% - Accent1 5 2 2 8" xfId="25914" xr:uid="{85E892EC-259A-4254-89C0-CDF845046C95}"/>
    <cellStyle name="20% - Accent1 5 2 2_Exh G" xfId="2019" xr:uid="{00000000-0005-0000-0000-00006E040000}"/>
    <cellStyle name="20% - Accent1 5 2 3" xfId="1085" xr:uid="{00000000-0005-0000-0000-00006F040000}"/>
    <cellStyle name="20% - Accent1 5 2 3 2" xfId="4615" xr:uid="{00000000-0005-0000-0000-000070040000}"/>
    <cellStyle name="20% - Accent1 5 2 3 2 2" xfId="8206" xr:uid="{00000000-0005-0000-0000-000071040000}"/>
    <cellStyle name="20% - Accent1 5 2 3 2 2 2" xfId="16177" xr:uid="{00000000-0005-0000-0000-000072040000}"/>
    <cellStyle name="20% - Accent1 5 2 3 2 2 2 2" xfId="40020" xr:uid="{5011183F-A816-4673-AC9A-27E57665D756}"/>
    <cellStyle name="20% - Accent1 5 2 3 2 2 3" xfId="24123" xr:uid="{00000000-0005-0000-0000-000073040000}"/>
    <cellStyle name="20% - Accent1 5 2 3 2 2 3 2" xfId="47956" xr:uid="{19944F0D-DEE3-461F-A77D-FBF0E7BDE5CD}"/>
    <cellStyle name="20% - Accent1 5 2 3 2 2 4" xfId="32079" xr:uid="{75588D5B-B339-4804-9169-C6BE9405FFAF}"/>
    <cellStyle name="20% - Accent1 5 2 3 2 3" xfId="12639" xr:uid="{00000000-0005-0000-0000-000074040000}"/>
    <cellStyle name="20% - Accent1 5 2 3 2 3 2" xfId="36489" xr:uid="{FE301CAB-C2B0-49B2-8DC0-E0ADBD569008}"/>
    <cellStyle name="20% - Accent1 5 2 3 2 4" xfId="20594" xr:uid="{00000000-0005-0000-0000-000075040000}"/>
    <cellStyle name="20% - Accent1 5 2 3 2 4 2" xfId="44427" xr:uid="{239E496B-B782-40F3-AB21-AF3C00629864}"/>
    <cellStyle name="20% - Accent1 5 2 3 2 5" xfId="28548" xr:uid="{FF1DA90B-0F77-4824-A426-7B97A774D578}"/>
    <cellStyle name="20% - Accent1 5 2 3 3" xfId="6447" xr:uid="{00000000-0005-0000-0000-000076040000}"/>
    <cellStyle name="20% - Accent1 5 2 3 3 2" xfId="14419" xr:uid="{00000000-0005-0000-0000-000077040000}"/>
    <cellStyle name="20% - Accent1 5 2 3 3 2 2" xfId="38262" xr:uid="{3D4F392D-E9AA-4589-B66F-5AE7C7AD1F92}"/>
    <cellStyle name="20% - Accent1 5 2 3 3 3" xfId="22366" xr:uid="{00000000-0005-0000-0000-000078040000}"/>
    <cellStyle name="20% - Accent1 5 2 3 3 3 2" xfId="46199" xr:uid="{FFC8F70F-B89E-4C45-92A4-0DAA92D88E4A}"/>
    <cellStyle name="20% - Accent1 5 2 3 3 4" xfId="30321" xr:uid="{DFAE93FE-986A-48DD-83EC-DC80AB79A5D1}"/>
    <cellStyle name="20% - Accent1 5 2 3 4" xfId="10883" xr:uid="{00000000-0005-0000-0000-000079040000}"/>
    <cellStyle name="20% - Accent1 5 2 3 4 2" xfId="34733" xr:uid="{75F2A41F-F511-4831-9077-3117CFBCEBF7}"/>
    <cellStyle name="20% - Accent1 5 2 3 5" xfId="18838" xr:uid="{00000000-0005-0000-0000-00007A040000}"/>
    <cellStyle name="20% - Accent1 5 2 3 5 2" xfId="42671" xr:uid="{FAB342FF-FD40-4930-9177-165F64F5C2AC}"/>
    <cellStyle name="20% - Accent1 5 2 3 6" xfId="26791" xr:uid="{B7DA0558-04F5-4605-8D4C-80454413585F}"/>
    <cellStyle name="20% - Accent1 5 2 3_Exh G" xfId="2021" xr:uid="{00000000-0005-0000-0000-00007B040000}"/>
    <cellStyle name="20% - Accent1 5 2 4" xfId="3736" xr:uid="{00000000-0005-0000-0000-00007C040000}"/>
    <cellStyle name="20% - Accent1 5 2 4 2" xfId="7328" xr:uid="{00000000-0005-0000-0000-00007D040000}"/>
    <cellStyle name="20% - Accent1 5 2 4 2 2" xfId="15299" xr:uid="{00000000-0005-0000-0000-00007E040000}"/>
    <cellStyle name="20% - Accent1 5 2 4 2 2 2" xfId="39142" xr:uid="{9E867F34-8816-496E-A47B-6CB6F27AC0CB}"/>
    <cellStyle name="20% - Accent1 5 2 4 2 3" xfId="23245" xr:uid="{00000000-0005-0000-0000-00007F040000}"/>
    <cellStyle name="20% - Accent1 5 2 4 2 3 2" xfId="47078" xr:uid="{7FC43C44-F82C-4400-BE97-3632D26B2179}"/>
    <cellStyle name="20% - Accent1 5 2 4 2 4" xfId="31201" xr:uid="{9B7CA664-25FA-4FE8-B572-2748D066C207}"/>
    <cellStyle name="20% - Accent1 5 2 4 3" xfId="11761" xr:uid="{00000000-0005-0000-0000-000080040000}"/>
    <cellStyle name="20% - Accent1 5 2 4 3 2" xfId="35611" xr:uid="{3EA91033-21A2-43A6-93E4-F1BFF12909D4}"/>
    <cellStyle name="20% - Accent1 5 2 4 4" xfId="19716" xr:uid="{00000000-0005-0000-0000-000081040000}"/>
    <cellStyle name="20% - Accent1 5 2 4 4 2" xfId="43549" xr:uid="{AD15A1B1-5445-43BE-B237-C3E34C29BF47}"/>
    <cellStyle name="20% - Accent1 5 2 4 5" xfId="27670" xr:uid="{BB5CE6EE-FB98-462B-8BEF-E61FEC3D8649}"/>
    <cellStyle name="20% - Accent1 5 2 5" xfId="5556" xr:uid="{00000000-0005-0000-0000-000082040000}"/>
    <cellStyle name="20% - Accent1 5 2 5 2" xfId="13540" xr:uid="{00000000-0005-0000-0000-000083040000}"/>
    <cellStyle name="20% - Accent1 5 2 5 2 2" xfId="37384" xr:uid="{8E58A7AE-04A0-4A04-B6D4-5AE999C3534F}"/>
    <cellStyle name="20% - Accent1 5 2 5 3" xfId="21488" xr:uid="{00000000-0005-0000-0000-000084040000}"/>
    <cellStyle name="20% - Accent1 5 2 5 3 2" xfId="45321" xr:uid="{288E22A7-B26C-4939-A9BD-C4F7D1ABD3BA}"/>
    <cellStyle name="20% - Accent1 5 2 5 4" xfId="29443" xr:uid="{206D1D88-05D3-4FE4-9FFC-2787DA8F0A88}"/>
    <cellStyle name="20% - Accent1 5 2 6" xfId="9109" xr:uid="{00000000-0005-0000-0000-000085040000}"/>
    <cellStyle name="20% - Accent1 5 2 6 2" xfId="17067" xr:uid="{00000000-0005-0000-0000-000086040000}"/>
    <cellStyle name="20% - Accent1 5 2 6 2 2" xfId="40908" xr:uid="{67473E6E-C9FA-4DC8-98FD-1002F29A9075}"/>
    <cellStyle name="20% - Accent1 5 2 6 3" xfId="25011" xr:uid="{00000000-0005-0000-0000-000087040000}"/>
    <cellStyle name="20% - Accent1 5 2 6 3 2" xfId="48844" xr:uid="{9480A8E2-C409-4333-91F3-9D6292929C0C}"/>
    <cellStyle name="20% - Accent1 5 2 6 4" xfId="32967" xr:uid="{F85D86F2-E1AD-4446-835D-4DF3BE9F1E6F}"/>
    <cellStyle name="20% - Accent1 5 2 7" xfId="10005" xr:uid="{00000000-0005-0000-0000-000088040000}"/>
    <cellStyle name="20% - Accent1 5 2 7 2" xfId="33855" xr:uid="{8135C8D2-C9C9-4287-999B-5019851DDB5D}"/>
    <cellStyle name="20% - Accent1 5 2 8" xfId="17960" xr:uid="{00000000-0005-0000-0000-000089040000}"/>
    <cellStyle name="20% - Accent1 5 2 8 2" xfId="41793" xr:uid="{CC3E2841-2C6C-4800-8D91-432021ED1EDD}"/>
    <cellStyle name="20% - Accent1 5 2 9" xfId="25913" xr:uid="{4B0E7E89-D3E8-4BA4-870F-74B69C25783E}"/>
    <cellStyle name="20% - Accent1 5 2_Exh G" xfId="2018" xr:uid="{00000000-0005-0000-0000-00008A040000}"/>
    <cellStyle name="20% - Accent1 5 3" xfId="59" xr:uid="{00000000-0005-0000-0000-00008B040000}"/>
    <cellStyle name="20% - Accent1 5 3 2" xfId="1087" xr:uid="{00000000-0005-0000-0000-00008C040000}"/>
    <cellStyle name="20% - Accent1 5 3 2 2" xfId="4617" xr:uid="{00000000-0005-0000-0000-00008D040000}"/>
    <cellStyle name="20% - Accent1 5 3 2 2 2" xfId="8208" xr:uid="{00000000-0005-0000-0000-00008E040000}"/>
    <cellStyle name="20% - Accent1 5 3 2 2 2 2" xfId="16179" xr:uid="{00000000-0005-0000-0000-00008F040000}"/>
    <cellStyle name="20% - Accent1 5 3 2 2 2 2 2" xfId="40022" xr:uid="{F08CCDD5-56A5-4549-ABAE-2689106B4792}"/>
    <cellStyle name="20% - Accent1 5 3 2 2 2 3" xfId="24125" xr:uid="{00000000-0005-0000-0000-000090040000}"/>
    <cellStyle name="20% - Accent1 5 3 2 2 2 3 2" xfId="47958" xr:uid="{4BDB2B27-536E-48E2-B528-A5A3F180330E}"/>
    <cellStyle name="20% - Accent1 5 3 2 2 2 4" xfId="32081" xr:uid="{E55E2DAC-9E7D-4D81-9692-BAE59E933B9C}"/>
    <cellStyle name="20% - Accent1 5 3 2 2 3" xfId="12641" xr:uid="{00000000-0005-0000-0000-000091040000}"/>
    <cellStyle name="20% - Accent1 5 3 2 2 3 2" xfId="36491" xr:uid="{A7D6E4F3-E84E-4955-80D8-FC1BE5ED56EF}"/>
    <cellStyle name="20% - Accent1 5 3 2 2 4" xfId="20596" xr:uid="{00000000-0005-0000-0000-000092040000}"/>
    <cellStyle name="20% - Accent1 5 3 2 2 4 2" xfId="44429" xr:uid="{0AFF52CD-95A7-4204-957E-F4E29242505F}"/>
    <cellStyle name="20% - Accent1 5 3 2 2 5" xfId="28550" xr:uid="{82C759B6-640B-4A58-B2E8-55265F7ED425}"/>
    <cellStyle name="20% - Accent1 5 3 2 3" xfId="6449" xr:uid="{00000000-0005-0000-0000-000093040000}"/>
    <cellStyle name="20% - Accent1 5 3 2 3 2" xfId="14421" xr:uid="{00000000-0005-0000-0000-000094040000}"/>
    <cellStyle name="20% - Accent1 5 3 2 3 2 2" xfId="38264" xr:uid="{2B024D11-BFDE-490E-9197-C2357B1E3E26}"/>
    <cellStyle name="20% - Accent1 5 3 2 3 3" xfId="22368" xr:uid="{00000000-0005-0000-0000-000095040000}"/>
    <cellStyle name="20% - Accent1 5 3 2 3 3 2" xfId="46201" xr:uid="{75A8A483-AEE9-4F57-ABDD-C2CC3CB059CA}"/>
    <cellStyle name="20% - Accent1 5 3 2 3 4" xfId="30323" xr:uid="{3CD74A07-5348-40F9-8EEF-D1945CDBF7CC}"/>
    <cellStyle name="20% - Accent1 5 3 2 4" xfId="10885" xr:uid="{00000000-0005-0000-0000-000096040000}"/>
    <cellStyle name="20% - Accent1 5 3 2 4 2" xfId="34735" xr:uid="{956C571B-60BF-43B2-8523-F2B310D50109}"/>
    <cellStyle name="20% - Accent1 5 3 2 5" xfId="18840" xr:uid="{00000000-0005-0000-0000-000097040000}"/>
    <cellStyle name="20% - Accent1 5 3 2 5 2" xfId="42673" xr:uid="{A2644565-72A5-4D16-A69B-96255433DE42}"/>
    <cellStyle name="20% - Accent1 5 3 2 6" xfId="26793" xr:uid="{7DB88823-2DAF-4F7E-ADBC-50C9B9415FE1}"/>
    <cellStyle name="20% - Accent1 5 3 2_Exh G" xfId="2023" xr:uid="{00000000-0005-0000-0000-000098040000}"/>
    <cellStyle name="20% - Accent1 5 3 3" xfId="3738" xr:uid="{00000000-0005-0000-0000-000099040000}"/>
    <cellStyle name="20% - Accent1 5 3 3 2" xfId="7330" xr:uid="{00000000-0005-0000-0000-00009A040000}"/>
    <cellStyle name="20% - Accent1 5 3 3 2 2" xfId="15301" xr:uid="{00000000-0005-0000-0000-00009B040000}"/>
    <cellStyle name="20% - Accent1 5 3 3 2 2 2" xfId="39144" xr:uid="{03734250-CBBB-4604-9E21-CAD8BF7056DF}"/>
    <cellStyle name="20% - Accent1 5 3 3 2 3" xfId="23247" xr:uid="{00000000-0005-0000-0000-00009C040000}"/>
    <cellStyle name="20% - Accent1 5 3 3 2 3 2" xfId="47080" xr:uid="{2EA64550-E2EB-4C3E-96F6-B33E03C0ED12}"/>
    <cellStyle name="20% - Accent1 5 3 3 2 4" xfId="31203" xr:uid="{10CD8100-4EDD-4259-BDF0-6007697005EB}"/>
    <cellStyle name="20% - Accent1 5 3 3 3" xfId="11763" xr:uid="{00000000-0005-0000-0000-00009D040000}"/>
    <cellStyle name="20% - Accent1 5 3 3 3 2" xfId="35613" xr:uid="{73D6A267-2D09-4E05-9975-9A018E1FAD28}"/>
    <cellStyle name="20% - Accent1 5 3 3 4" xfId="19718" xr:uid="{00000000-0005-0000-0000-00009E040000}"/>
    <cellStyle name="20% - Accent1 5 3 3 4 2" xfId="43551" xr:uid="{918432DC-B5E9-40FD-81F2-8427C2E8CF06}"/>
    <cellStyle name="20% - Accent1 5 3 3 5" xfId="27672" xr:uid="{A998D3DD-1899-4FC3-B986-10E6D3074E90}"/>
    <cellStyle name="20% - Accent1 5 3 4" xfId="5558" xr:uid="{00000000-0005-0000-0000-00009F040000}"/>
    <cellStyle name="20% - Accent1 5 3 4 2" xfId="13542" xr:uid="{00000000-0005-0000-0000-0000A0040000}"/>
    <cellStyle name="20% - Accent1 5 3 4 2 2" xfId="37386" xr:uid="{E8650D23-5028-47CB-92ED-7B5EEDDB901E}"/>
    <cellStyle name="20% - Accent1 5 3 4 3" xfId="21490" xr:uid="{00000000-0005-0000-0000-0000A1040000}"/>
    <cellStyle name="20% - Accent1 5 3 4 3 2" xfId="45323" xr:uid="{62FBE206-AE10-4F9E-A9B4-59E77B16BC04}"/>
    <cellStyle name="20% - Accent1 5 3 4 4" xfId="29445" xr:uid="{E0AAA59C-AA63-482B-9943-0298067BF962}"/>
    <cellStyle name="20% - Accent1 5 3 5" xfId="9111" xr:uid="{00000000-0005-0000-0000-0000A2040000}"/>
    <cellStyle name="20% - Accent1 5 3 5 2" xfId="17069" xr:uid="{00000000-0005-0000-0000-0000A3040000}"/>
    <cellStyle name="20% - Accent1 5 3 5 2 2" xfId="40910" xr:uid="{5697EBBF-5A1B-41AC-BC2B-60F6902ADFB0}"/>
    <cellStyle name="20% - Accent1 5 3 5 3" xfId="25013" xr:uid="{00000000-0005-0000-0000-0000A4040000}"/>
    <cellStyle name="20% - Accent1 5 3 5 3 2" xfId="48846" xr:uid="{E37CF504-B411-4157-B373-B407452A1766}"/>
    <cellStyle name="20% - Accent1 5 3 5 4" xfId="32969" xr:uid="{66AD854B-AC97-4202-B590-0B92CB3C88C6}"/>
    <cellStyle name="20% - Accent1 5 3 6" xfId="10007" xr:uid="{00000000-0005-0000-0000-0000A5040000}"/>
    <cellStyle name="20% - Accent1 5 3 6 2" xfId="33857" xr:uid="{E38EEC08-5277-4226-B309-4DB19452B87B}"/>
    <cellStyle name="20% - Accent1 5 3 7" xfId="17962" xr:uid="{00000000-0005-0000-0000-0000A6040000}"/>
    <cellStyle name="20% - Accent1 5 3 7 2" xfId="41795" xr:uid="{27CD00E9-7743-4CF9-B5C0-A7593A641A83}"/>
    <cellStyle name="20% - Accent1 5 3 8" xfId="25915" xr:uid="{1460AFB6-17C5-41D0-AB69-AB79F6CA6627}"/>
    <cellStyle name="20% - Accent1 5 3_Exh G" xfId="2022" xr:uid="{00000000-0005-0000-0000-0000A7040000}"/>
    <cellStyle name="20% - Accent1 5 4" xfId="869" xr:uid="{00000000-0005-0000-0000-0000A8040000}"/>
    <cellStyle name="20% - Accent1 5 5" xfId="1084" xr:uid="{00000000-0005-0000-0000-0000A9040000}"/>
    <cellStyle name="20% - Accent1 5 5 2" xfId="4614" xr:uid="{00000000-0005-0000-0000-0000AA040000}"/>
    <cellStyle name="20% - Accent1 5 5 2 2" xfId="8205" xr:uid="{00000000-0005-0000-0000-0000AB040000}"/>
    <cellStyle name="20% - Accent1 5 5 2 2 2" xfId="16176" xr:uid="{00000000-0005-0000-0000-0000AC040000}"/>
    <cellStyle name="20% - Accent1 5 5 2 2 2 2" xfId="40019" xr:uid="{DD27EDC3-40C3-4211-B519-05060A803642}"/>
    <cellStyle name="20% - Accent1 5 5 2 2 3" xfId="24122" xr:uid="{00000000-0005-0000-0000-0000AD040000}"/>
    <cellStyle name="20% - Accent1 5 5 2 2 3 2" xfId="47955" xr:uid="{0F00C9B9-8CDE-4DF6-A2F6-FC6C599075A2}"/>
    <cellStyle name="20% - Accent1 5 5 2 2 4" xfId="32078" xr:uid="{A7A03810-24AE-4E88-BBED-F3F0B5B508A6}"/>
    <cellStyle name="20% - Accent1 5 5 2 3" xfId="12638" xr:uid="{00000000-0005-0000-0000-0000AE040000}"/>
    <cellStyle name="20% - Accent1 5 5 2 3 2" xfId="36488" xr:uid="{3A36FF4B-8693-477C-911C-33A98476D6FC}"/>
    <cellStyle name="20% - Accent1 5 5 2 4" xfId="20593" xr:uid="{00000000-0005-0000-0000-0000AF040000}"/>
    <cellStyle name="20% - Accent1 5 5 2 4 2" xfId="44426" xr:uid="{80F90C2E-CD85-4426-A0BA-EB9F5BB4D43E}"/>
    <cellStyle name="20% - Accent1 5 5 2 5" xfId="28547" xr:uid="{091CE833-E238-4323-B167-5A0CCC8723B4}"/>
    <cellStyle name="20% - Accent1 5 5 3" xfId="6446" xr:uid="{00000000-0005-0000-0000-0000B0040000}"/>
    <cellStyle name="20% - Accent1 5 5 3 2" xfId="14418" xr:uid="{00000000-0005-0000-0000-0000B1040000}"/>
    <cellStyle name="20% - Accent1 5 5 3 2 2" xfId="38261" xr:uid="{76742A1B-46E9-4C14-8867-1330364C1340}"/>
    <cellStyle name="20% - Accent1 5 5 3 3" xfId="22365" xr:uid="{00000000-0005-0000-0000-0000B2040000}"/>
    <cellStyle name="20% - Accent1 5 5 3 3 2" xfId="46198" xr:uid="{C9E8A2F5-E05B-4BBF-A66A-5D0405593A2D}"/>
    <cellStyle name="20% - Accent1 5 5 3 4" xfId="30320" xr:uid="{F670458A-3F29-4663-AFDF-F8EB1FF38527}"/>
    <cellStyle name="20% - Accent1 5 5 4" xfId="10882" xr:uid="{00000000-0005-0000-0000-0000B3040000}"/>
    <cellStyle name="20% - Accent1 5 5 4 2" xfId="34732" xr:uid="{6E54E53D-2459-4515-B787-F94CF090A1DC}"/>
    <cellStyle name="20% - Accent1 5 5 5" xfId="18837" xr:uid="{00000000-0005-0000-0000-0000B4040000}"/>
    <cellStyle name="20% - Accent1 5 5 5 2" xfId="42670" xr:uid="{2BD097C4-70E5-45F6-A3A6-E3E685EE828D}"/>
    <cellStyle name="20% - Accent1 5 5 6" xfId="26790" xr:uid="{8D6BBB48-9105-4AEC-A425-20EA2BE08562}"/>
    <cellStyle name="20% - Accent1 5 5_Exh G" xfId="2024" xr:uid="{00000000-0005-0000-0000-0000B5040000}"/>
    <cellStyle name="20% - Accent1 5 6" xfId="3735" xr:uid="{00000000-0005-0000-0000-0000B6040000}"/>
    <cellStyle name="20% - Accent1 5 6 2" xfId="7327" xr:uid="{00000000-0005-0000-0000-0000B7040000}"/>
    <cellStyle name="20% - Accent1 5 6 2 2" xfId="15298" xr:uid="{00000000-0005-0000-0000-0000B8040000}"/>
    <cellStyle name="20% - Accent1 5 6 2 2 2" xfId="39141" xr:uid="{3C51F6F4-EA54-4EDD-BAB0-09CA5C897592}"/>
    <cellStyle name="20% - Accent1 5 6 2 3" xfId="23244" xr:uid="{00000000-0005-0000-0000-0000B9040000}"/>
    <cellStyle name="20% - Accent1 5 6 2 3 2" xfId="47077" xr:uid="{67AB152F-7A9E-4A73-B940-77DB9C8E2DF0}"/>
    <cellStyle name="20% - Accent1 5 6 2 4" xfId="31200" xr:uid="{C112B511-90AB-4C1C-AE57-C2C0F640119E}"/>
    <cellStyle name="20% - Accent1 5 6 3" xfId="11760" xr:uid="{00000000-0005-0000-0000-0000BA040000}"/>
    <cellStyle name="20% - Accent1 5 6 3 2" xfId="35610" xr:uid="{49153733-0DF4-41EA-AC15-A8D113467B2C}"/>
    <cellStyle name="20% - Accent1 5 6 4" xfId="19715" xr:uid="{00000000-0005-0000-0000-0000BB040000}"/>
    <cellStyle name="20% - Accent1 5 6 4 2" xfId="43548" xr:uid="{815EA913-D242-475F-9A2F-3C51BE3F0E91}"/>
    <cellStyle name="20% - Accent1 5 6 5" xfId="27669" xr:uid="{D029DFAA-FC46-4C21-9F3A-6D662C6D2BE2}"/>
    <cellStyle name="20% - Accent1 5 7" xfId="5555" xr:uid="{00000000-0005-0000-0000-0000BC040000}"/>
    <cellStyle name="20% - Accent1 5 7 2" xfId="13539" xr:uid="{00000000-0005-0000-0000-0000BD040000}"/>
    <cellStyle name="20% - Accent1 5 7 2 2" xfId="37383" xr:uid="{4163B7B0-C1B4-42DF-AED3-39CCC9E63EDF}"/>
    <cellStyle name="20% - Accent1 5 7 3" xfId="21487" xr:uid="{00000000-0005-0000-0000-0000BE040000}"/>
    <cellStyle name="20% - Accent1 5 7 3 2" xfId="45320" xr:uid="{3AE469ED-282C-43E6-8F0F-18B5C45528EF}"/>
    <cellStyle name="20% - Accent1 5 7 4" xfId="29442" xr:uid="{B6008E50-8C4C-4618-8EFF-0B7B0CB11DBC}"/>
    <cellStyle name="20% - Accent1 5 8" xfId="9108" xr:uid="{00000000-0005-0000-0000-0000BF040000}"/>
    <cellStyle name="20% - Accent1 5 8 2" xfId="17066" xr:uid="{00000000-0005-0000-0000-0000C0040000}"/>
    <cellStyle name="20% - Accent1 5 8 2 2" xfId="40907" xr:uid="{D7941557-1DD9-4E71-9A75-12E9EA3CBD55}"/>
    <cellStyle name="20% - Accent1 5 8 3" xfId="25010" xr:uid="{00000000-0005-0000-0000-0000C1040000}"/>
    <cellStyle name="20% - Accent1 5 8 3 2" xfId="48843" xr:uid="{5EF407CF-D2C8-406D-8421-AA54ACB30534}"/>
    <cellStyle name="20% - Accent1 5 8 4" xfId="32966" xr:uid="{F94C5EF2-4B03-45F0-A3FD-E5D7398B6E87}"/>
    <cellStyle name="20% - Accent1 5 9" xfId="10004" xr:uid="{00000000-0005-0000-0000-0000C2040000}"/>
    <cellStyle name="20% - Accent1 5 9 2" xfId="33854" xr:uid="{E87D3A85-3E22-4777-BA02-E0AA446E845F}"/>
    <cellStyle name="20% - Accent1 5_Exh G" xfId="2017" xr:uid="{00000000-0005-0000-0000-0000C3040000}"/>
    <cellStyle name="20% - Accent1 6" xfId="60" xr:uid="{00000000-0005-0000-0000-0000C4040000}"/>
    <cellStyle name="20% - Accent1 6 10" xfId="17963" xr:uid="{00000000-0005-0000-0000-0000C5040000}"/>
    <cellStyle name="20% - Accent1 6 10 2" xfId="41796" xr:uid="{4788B29F-2148-4B5C-8610-A58EBEACE047}"/>
    <cellStyle name="20% - Accent1 6 11" xfId="25916" xr:uid="{CA3A8E8E-7E08-40A3-859B-8D39757C5A1F}"/>
    <cellStyle name="20% - Accent1 6 2" xfId="61" xr:uid="{00000000-0005-0000-0000-0000C6040000}"/>
    <cellStyle name="20% - Accent1 6 2 2" xfId="62" xr:uid="{00000000-0005-0000-0000-0000C7040000}"/>
    <cellStyle name="20% - Accent1 6 2 2 2" xfId="1090" xr:uid="{00000000-0005-0000-0000-0000C8040000}"/>
    <cellStyle name="20% - Accent1 6 2 2 2 2" xfId="4620" xr:uid="{00000000-0005-0000-0000-0000C9040000}"/>
    <cellStyle name="20% - Accent1 6 2 2 2 2 2" xfId="8211" xr:uid="{00000000-0005-0000-0000-0000CA040000}"/>
    <cellStyle name="20% - Accent1 6 2 2 2 2 2 2" xfId="16182" xr:uid="{00000000-0005-0000-0000-0000CB040000}"/>
    <cellStyle name="20% - Accent1 6 2 2 2 2 2 2 2" xfId="40025" xr:uid="{121106BE-DE92-4573-A410-13A542BBAD8D}"/>
    <cellStyle name="20% - Accent1 6 2 2 2 2 2 3" xfId="24128" xr:uid="{00000000-0005-0000-0000-0000CC040000}"/>
    <cellStyle name="20% - Accent1 6 2 2 2 2 2 3 2" xfId="47961" xr:uid="{413DC427-828C-4EB9-896B-0699FFE29010}"/>
    <cellStyle name="20% - Accent1 6 2 2 2 2 2 4" xfId="32084" xr:uid="{F59AE39F-421A-4CC9-8BF4-E75914FBC5A7}"/>
    <cellStyle name="20% - Accent1 6 2 2 2 2 3" xfId="12644" xr:uid="{00000000-0005-0000-0000-0000CD040000}"/>
    <cellStyle name="20% - Accent1 6 2 2 2 2 3 2" xfId="36494" xr:uid="{FA058BF7-06A3-45A0-8DF3-C6442E0A7B18}"/>
    <cellStyle name="20% - Accent1 6 2 2 2 2 4" xfId="20599" xr:uid="{00000000-0005-0000-0000-0000CE040000}"/>
    <cellStyle name="20% - Accent1 6 2 2 2 2 4 2" xfId="44432" xr:uid="{D94CF75B-0A4C-4208-9FEE-AD1FFC90176D}"/>
    <cellStyle name="20% - Accent1 6 2 2 2 2 5" xfId="28553" xr:uid="{F285F552-721F-4D19-B616-F184F4CF46A0}"/>
    <cellStyle name="20% - Accent1 6 2 2 2 3" xfId="6452" xr:uid="{00000000-0005-0000-0000-0000CF040000}"/>
    <cellStyle name="20% - Accent1 6 2 2 2 3 2" xfId="14424" xr:uid="{00000000-0005-0000-0000-0000D0040000}"/>
    <cellStyle name="20% - Accent1 6 2 2 2 3 2 2" xfId="38267" xr:uid="{9C758B0B-08D7-4FF1-B199-0E18876325A4}"/>
    <cellStyle name="20% - Accent1 6 2 2 2 3 3" xfId="22371" xr:uid="{00000000-0005-0000-0000-0000D1040000}"/>
    <cellStyle name="20% - Accent1 6 2 2 2 3 3 2" xfId="46204" xr:uid="{657A81DF-5493-4BC1-8225-20CC68E17C60}"/>
    <cellStyle name="20% - Accent1 6 2 2 2 3 4" xfId="30326" xr:uid="{A5FD32C3-AD3F-4AA5-BCA6-A5E97A3514E6}"/>
    <cellStyle name="20% - Accent1 6 2 2 2 4" xfId="10888" xr:uid="{00000000-0005-0000-0000-0000D2040000}"/>
    <cellStyle name="20% - Accent1 6 2 2 2 4 2" xfId="34738" xr:uid="{8A631525-34AA-450A-B50E-F7D38E0FFCFF}"/>
    <cellStyle name="20% - Accent1 6 2 2 2 5" xfId="18843" xr:uid="{00000000-0005-0000-0000-0000D3040000}"/>
    <cellStyle name="20% - Accent1 6 2 2 2 5 2" xfId="42676" xr:uid="{68C400D8-3627-413D-88E3-F99764FAD90A}"/>
    <cellStyle name="20% - Accent1 6 2 2 2 6" xfId="26796" xr:uid="{BEE8B1BE-5903-4CA5-933D-BB8AC8888037}"/>
    <cellStyle name="20% - Accent1 6 2 2 2_Exh G" xfId="2028" xr:uid="{00000000-0005-0000-0000-0000D4040000}"/>
    <cellStyle name="20% - Accent1 6 2 2 3" xfId="3741" xr:uid="{00000000-0005-0000-0000-0000D5040000}"/>
    <cellStyle name="20% - Accent1 6 2 2 3 2" xfId="7333" xr:uid="{00000000-0005-0000-0000-0000D6040000}"/>
    <cellStyle name="20% - Accent1 6 2 2 3 2 2" xfId="15304" xr:uid="{00000000-0005-0000-0000-0000D7040000}"/>
    <cellStyle name="20% - Accent1 6 2 2 3 2 2 2" xfId="39147" xr:uid="{ADD4C3E5-8087-422E-901C-F119E355A251}"/>
    <cellStyle name="20% - Accent1 6 2 2 3 2 3" xfId="23250" xr:uid="{00000000-0005-0000-0000-0000D8040000}"/>
    <cellStyle name="20% - Accent1 6 2 2 3 2 3 2" xfId="47083" xr:uid="{EB343287-C415-4D64-9D0B-497C21FF4324}"/>
    <cellStyle name="20% - Accent1 6 2 2 3 2 4" xfId="31206" xr:uid="{F4BB7852-05A5-4308-8675-7FC5E17C95D4}"/>
    <cellStyle name="20% - Accent1 6 2 2 3 3" xfId="11766" xr:uid="{00000000-0005-0000-0000-0000D9040000}"/>
    <cellStyle name="20% - Accent1 6 2 2 3 3 2" xfId="35616" xr:uid="{FAAE959F-D840-43FE-B7B7-6B6D7954F6BD}"/>
    <cellStyle name="20% - Accent1 6 2 2 3 4" xfId="19721" xr:uid="{00000000-0005-0000-0000-0000DA040000}"/>
    <cellStyle name="20% - Accent1 6 2 2 3 4 2" xfId="43554" xr:uid="{D2B322CD-7597-4C89-8773-EE0E387E69F8}"/>
    <cellStyle name="20% - Accent1 6 2 2 3 5" xfId="27675" xr:uid="{B91D6249-A05C-4268-91E0-244903546460}"/>
    <cellStyle name="20% - Accent1 6 2 2 4" xfId="5561" xr:uid="{00000000-0005-0000-0000-0000DB040000}"/>
    <cellStyle name="20% - Accent1 6 2 2 4 2" xfId="13545" xr:uid="{00000000-0005-0000-0000-0000DC040000}"/>
    <cellStyle name="20% - Accent1 6 2 2 4 2 2" xfId="37389" xr:uid="{6B523D39-76A4-490F-AB4F-E0FF920E2A11}"/>
    <cellStyle name="20% - Accent1 6 2 2 4 3" xfId="21493" xr:uid="{00000000-0005-0000-0000-0000DD040000}"/>
    <cellStyle name="20% - Accent1 6 2 2 4 3 2" xfId="45326" xr:uid="{C4C85B04-2B2A-4D1D-B504-8B15FA5E3F09}"/>
    <cellStyle name="20% - Accent1 6 2 2 4 4" xfId="29448" xr:uid="{B871CF50-2D81-4484-8685-8708101952BE}"/>
    <cellStyle name="20% - Accent1 6 2 2 5" xfId="9114" xr:uid="{00000000-0005-0000-0000-0000DE040000}"/>
    <cellStyle name="20% - Accent1 6 2 2 5 2" xfId="17072" xr:uid="{00000000-0005-0000-0000-0000DF040000}"/>
    <cellStyle name="20% - Accent1 6 2 2 5 2 2" xfId="40913" xr:uid="{2F6ED56F-9F7C-484C-9940-313249C912E5}"/>
    <cellStyle name="20% - Accent1 6 2 2 5 3" xfId="25016" xr:uid="{00000000-0005-0000-0000-0000E0040000}"/>
    <cellStyle name="20% - Accent1 6 2 2 5 3 2" xfId="48849" xr:uid="{17460A9A-9719-4F8D-9791-E3FE2561C958}"/>
    <cellStyle name="20% - Accent1 6 2 2 5 4" xfId="32972" xr:uid="{DB3623F1-C57C-4985-8212-6B0BE18D54F9}"/>
    <cellStyle name="20% - Accent1 6 2 2 6" xfId="10010" xr:uid="{00000000-0005-0000-0000-0000E1040000}"/>
    <cellStyle name="20% - Accent1 6 2 2 6 2" xfId="33860" xr:uid="{11B41BD2-DC65-43AE-872D-9C627F87310E}"/>
    <cellStyle name="20% - Accent1 6 2 2 7" xfId="17965" xr:uid="{00000000-0005-0000-0000-0000E2040000}"/>
    <cellStyle name="20% - Accent1 6 2 2 7 2" xfId="41798" xr:uid="{E995E6F3-C299-4199-A143-C69319013789}"/>
    <cellStyle name="20% - Accent1 6 2 2 8" xfId="25918" xr:uid="{B73358EC-0763-4A3D-A4DE-4E00D4DD3608}"/>
    <cellStyle name="20% - Accent1 6 2 2_Exh G" xfId="2027" xr:uid="{00000000-0005-0000-0000-0000E3040000}"/>
    <cellStyle name="20% - Accent1 6 2 3" xfId="1089" xr:uid="{00000000-0005-0000-0000-0000E4040000}"/>
    <cellStyle name="20% - Accent1 6 2 3 2" xfId="4619" xr:uid="{00000000-0005-0000-0000-0000E5040000}"/>
    <cellStyle name="20% - Accent1 6 2 3 2 2" xfId="8210" xr:uid="{00000000-0005-0000-0000-0000E6040000}"/>
    <cellStyle name="20% - Accent1 6 2 3 2 2 2" xfId="16181" xr:uid="{00000000-0005-0000-0000-0000E7040000}"/>
    <cellStyle name="20% - Accent1 6 2 3 2 2 2 2" xfId="40024" xr:uid="{DB1B6CF0-A4CA-48E3-AABA-EDBECD12E17B}"/>
    <cellStyle name="20% - Accent1 6 2 3 2 2 3" xfId="24127" xr:uid="{00000000-0005-0000-0000-0000E8040000}"/>
    <cellStyle name="20% - Accent1 6 2 3 2 2 3 2" xfId="47960" xr:uid="{E9762E69-7DDD-45C2-9EAE-3FBF242BC93C}"/>
    <cellStyle name="20% - Accent1 6 2 3 2 2 4" xfId="32083" xr:uid="{B15C6747-9FDE-4BFF-A74E-F25E6DC2BF1C}"/>
    <cellStyle name="20% - Accent1 6 2 3 2 3" xfId="12643" xr:uid="{00000000-0005-0000-0000-0000E9040000}"/>
    <cellStyle name="20% - Accent1 6 2 3 2 3 2" xfId="36493" xr:uid="{2CB51025-F38D-4592-8DAE-0DCBF8EC6677}"/>
    <cellStyle name="20% - Accent1 6 2 3 2 4" xfId="20598" xr:uid="{00000000-0005-0000-0000-0000EA040000}"/>
    <cellStyle name="20% - Accent1 6 2 3 2 4 2" xfId="44431" xr:uid="{AD6A1B52-5277-42F3-9C19-21F3DBF6FFC0}"/>
    <cellStyle name="20% - Accent1 6 2 3 2 5" xfId="28552" xr:uid="{FF4643AE-FAF5-424F-88EB-9F2E37B3F6E2}"/>
    <cellStyle name="20% - Accent1 6 2 3 3" xfId="6451" xr:uid="{00000000-0005-0000-0000-0000EB040000}"/>
    <cellStyle name="20% - Accent1 6 2 3 3 2" xfId="14423" xr:uid="{00000000-0005-0000-0000-0000EC040000}"/>
    <cellStyle name="20% - Accent1 6 2 3 3 2 2" xfId="38266" xr:uid="{9312977E-33B8-4F8F-B228-5E419B4FA39D}"/>
    <cellStyle name="20% - Accent1 6 2 3 3 3" xfId="22370" xr:uid="{00000000-0005-0000-0000-0000ED040000}"/>
    <cellStyle name="20% - Accent1 6 2 3 3 3 2" xfId="46203" xr:uid="{3CC51FDC-4B31-46CF-BA70-76A590B7CCA4}"/>
    <cellStyle name="20% - Accent1 6 2 3 3 4" xfId="30325" xr:uid="{5EB38D3D-C200-4B2B-88D3-E970544083A1}"/>
    <cellStyle name="20% - Accent1 6 2 3 4" xfId="10887" xr:uid="{00000000-0005-0000-0000-0000EE040000}"/>
    <cellStyle name="20% - Accent1 6 2 3 4 2" xfId="34737" xr:uid="{131929CD-9E35-448F-AB02-5E7314982F98}"/>
    <cellStyle name="20% - Accent1 6 2 3 5" xfId="18842" xr:uid="{00000000-0005-0000-0000-0000EF040000}"/>
    <cellStyle name="20% - Accent1 6 2 3 5 2" xfId="42675" xr:uid="{FF9A087C-CE7A-4BD3-920A-000C30E64CD5}"/>
    <cellStyle name="20% - Accent1 6 2 3 6" xfId="26795" xr:uid="{E0DC989B-D067-4B8A-8A6C-85AA02029417}"/>
    <cellStyle name="20% - Accent1 6 2 3_Exh G" xfId="2029" xr:uid="{00000000-0005-0000-0000-0000F0040000}"/>
    <cellStyle name="20% - Accent1 6 2 4" xfId="3740" xr:uid="{00000000-0005-0000-0000-0000F1040000}"/>
    <cellStyle name="20% - Accent1 6 2 4 2" xfId="7332" xr:uid="{00000000-0005-0000-0000-0000F2040000}"/>
    <cellStyle name="20% - Accent1 6 2 4 2 2" xfId="15303" xr:uid="{00000000-0005-0000-0000-0000F3040000}"/>
    <cellStyle name="20% - Accent1 6 2 4 2 2 2" xfId="39146" xr:uid="{14005DC6-89FB-4B96-9726-AFE05811C892}"/>
    <cellStyle name="20% - Accent1 6 2 4 2 3" xfId="23249" xr:uid="{00000000-0005-0000-0000-0000F4040000}"/>
    <cellStyle name="20% - Accent1 6 2 4 2 3 2" xfId="47082" xr:uid="{5CD85B39-9614-475C-B26E-D3D29ED6B739}"/>
    <cellStyle name="20% - Accent1 6 2 4 2 4" xfId="31205" xr:uid="{A1B2AE71-7382-4192-9F25-9D8C178C6AD2}"/>
    <cellStyle name="20% - Accent1 6 2 4 3" xfId="11765" xr:uid="{00000000-0005-0000-0000-0000F5040000}"/>
    <cellStyle name="20% - Accent1 6 2 4 3 2" xfId="35615" xr:uid="{FD0B58C0-5B35-4859-809B-CF3F3E644DDD}"/>
    <cellStyle name="20% - Accent1 6 2 4 4" xfId="19720" xr:uid="{00000000-0005-0000-0000-0000F6040000}"/>
    <cellStyle name="20% - Accent1 6 2 4 4 2" xfId="43553" xr:uid="{BD854898-A0FC-4681-8C1D-78A12B25EEA5}"/>
    <cellStyle name="20% - Accent1 6 2 4 5" xfId="27674" xr:uid="{C52DA349-80B1-460E-80E2-2935B1CF31BC}"/>
    <cellStyle name="20% - Accent1 6 2 5" xfId="5560" xr:uid="{00000000-0005-0000-0000-0000F7040000}"/>
    <cellStyle name="20% - Accent1 6 2 5 2" xfId="13544" xr:uid="{00000000-0005-0000-0000-0000F8040000}"/>
    <cellStyle name="20% - Accent1 6 2 5 2 2" xfId="37388" xr:uid="{D906DE04-6586-4237-BD3F-35DEB3F459BF}"/>
    <cellStyle name="20% - Accent1 6 2 5 3" xfId="21492" xr:uid="{00000000-0005-0000-0000-0000F9040000}"/>
    <cellStyle name="20% - Accent1 6 2 5 3 2" xfId="45325" xr:uid="{1B6FE87D-A195-4323-A269-25F7F8745CF0}"/>
    <cellStyle name="20% - Accent1 6 2 5 4" xfId="29447" xr:uid="{7DED9949-1CEF-463E-B2CE-24D9EA5D40AF}"/>
    <cellStyle name="20% - Accent1 6 2 6" xfId="9113" xr:uid="{00000000-0005-0000-0000-0000FA040000}"/>
    <cellStyle name="20% - Accent1 6 2 6 2" xfId="17071" xr:uid="{00000000-0005-0000-0000-0000FB040000}"/>
    <cellStyle name="20% - Accent1 6 2 6 2 2" xfId="40912" xr:uid="{727C94C4-8AD0-4BD4-B706-2AC7BF509174}"/>
    <cellStyle name="20% - Accent1 6 2 6 3" xfId="25015" xr:uid="{00000000-0005-0000-0000-0000FC040000}"/>
    <cellStyle name="20% - Accent1 6 2 6 3 2" xfId="48848" xr:uid="{97670F16-103F-48A0-8EB1-E80F39A7A4ED}"/>
    <cellStyle name="20% - Accent1 6 2 6 4" xfId="32971" xr:uid="{4198A4EB-F320-4BD4-86E6-13FC7202FE3F}"/>
    <cellStyle name="20% - Accent1 6 2 7" xfId="10009" xr:uid="{00000000-0005-0000-0000-0000FD040000}"/>
    <cellStyle name="20% - Accent1 6 2 7 2" xfId="33859" xr:uid="{19F13A6B-B2DC-4764-A45E-0152B0E4F35C}"/>
    <cellStyle name="20% - Accent1 6 2 8" xfId="17964" xr:uid="{00000000-0005-0000-0000-0000FE040000}"/>
    <cellStyle name="20% - Accent1 6 2 8 2" xfId="41797" xr:uid="{3B974FDD-90C9-409A-876A-91D0575E89BA}"/>
    <cellStyle name="20% - Accent1 6 2 9" xfId="25917" xr:uid="{BDAA64EE-5BC7-4FE0-8E3C-272E02CC7E94}"/>
    <cellStyle name="20% - Accent1 6 2_Exh G" xfId="2026" xr:uid="{00000000-0005-0000-0000-0000FF040000}"/>
    <cellStyle name="20% - Accent1 6 3" xfId="63" xr:uid="{00000000-0005-0000-0000-000000050000}"/>
    <cellStyle name="20% - Accent1 6 3 2" xfId="1091" xr:uid="{00000000-0005-0000-0000-000001050000}"/>
    <cellStyle name="20% - Accent1 6 3 2 2" xfId="4621" xr:uid="{00000000-0005-0000-0000-000002050000}"/>
    <cellStyle name="20% - Accent1 6 3 2 2 2" xfId="8212" xr:uid="{00000000-0005-0000-0000-000003050000}"/>
    <cellStyle name="20% - Accent1 6 3 2 2 2 2" xfId="16183" xr:uid="{00000000-0005-0000-0000-000004050000}"/>
    <cellStyle name="20% - Accent1 6 3 2 2 2 2 2" xfId="40026" xr:uid="{74E93227-C828-4A22-8F3A-96C9896BF28A}"/>
    <cellStyle name="20% - Accent1 6 3 2 2 2 3" xfId="24129" xr:uid="{00000000-0005-0000-0000-000005050000}"/>
    <cellStyle name="20% - Accent1 6 3 2 2 2 3 2" xfId="47962" xr:uid="{D6F9C19E-4A77-4726-9AA7-FE4097C15658}"/>
    <cellStyle name="20% - Accent1 6 3 2 2 2 4" xfId="32085" xr:uid="{E805C6D7-990B-48E7-BEF8-D7F751DA5225}"/>
    <cellStyle name="20% - Accent1 6 3 2 2 3" xfId="12645" xr:uid="{00000000-0005-0000-0000-000006050000}"/>
    <cellStyle name="20% - Accent1 6 3 2 2 3 2" xfId="36495" xr:uid="{A0E538E8-94D2-4BF0-BDD1-D3113D639E74}"/>
    <cellStyle name="20% - Accent1 6 3 2 2 4" xfId="20600" xr:uid="{00000000-0005-0000-0000-000007050000}"/>
    <cellStyle name="20% - Accent1 6 3 2 2 4 2" xfId="44433" xr:uid="{F68913E0-4DA1-40C4-AE61-16FBEB882C21}"/>
    <cellStyle name="20% - Accent1 6 3 2 2 5" xfId="28554" xr:uid="{DB168239-88CF-47EF-934D-0F0EC52365D1}"/>
    <cellStyle name="20% - Accent1 6 3 2 3" xfId="6453" xr:uid="{00000000-0005-0000-0000-000008050000}"/>
    <cellStyle name="20% - Accent1 6 3 2 3 2" xfId="14425" xr:uid="{00000000-0005-0000-0000-000009050000}"/>
    <cellStyle name="20% - Accent1 6 3 2 3 2 2" xfId="38268" xr:uid="{D29549F4-8A38-4F2E-9A96-C8E9C298A5FC}"/>
    <cellStyle name="20% - Accent1 6 3 2 3 3" xfId="22372" xr:uid="{00000000-0005-0000-0000-00000A050000}"/>
    <cellStyle name="20% - Accent1 6 3 2 3 3 2" xfId="46205" xr:uid="{A8BC24A7-41E5-4B2C-8C8A-27955CBC97EF}"/>
    <cellStyle name="20% - Accent1 6 3 2 3 4" xfId="30327" xr:uid="{6DB68CFC-4C26-41E3-81FB-63701C86DEF2}"/>
    <cellStyle name="20% - Accent1 6 3 2 4" xfId="10889" xr:uid="{00000000-0005-0000-0000-00000B050000}"/>
    <cellStyle name="20% - Accent1 6 3 2 4 2" xfId="34739" xr:uid="{DC5BB02A-629A-446C-9CCA-F4BC14722AAB}"/>
    <cellStyle name="20% - Accent1 6 3 2 5" xfId="18844" xr:uid="{00000000-0005-0000-0000-00000C050000}"/>
    <cellStyle name="20% - Accent1 6 3 2 5 2" xfId="42677" xr:uid="{F732EE61-708F-4109-A4DB-2E1E0D77F05B}"/>
    <cellStyle name="20% - Accent1 6 3 2 6" xfId="26797" xr:uid="{62FC7374-C269-4508-BB66-7A3D3BF6EEB8}"/>
    <cellStyle name="20% - Accent1 6 3 2_Exh G" xfId="2031" xr:uid="{00000000-0005-0000-0000-00000D050000}"/>
    <cellStyle name="20% - Accent1 6 3 3" xfId="3742" xr:uid="{00000000-0005-0000-0000-00000E050000}"/>
    <cellStyle name="20% - Accent1 6 3 3 2" xfId="7334" xr:uid="{00000000-0005-0000-0000-00000F050000}"/>
    <cellStyle name="20% - Accent1 6 3 3 2 2" xfId="15305" xr:uid="{00000000-0005-0000-0000-000010050000}"/>
    <cellStyle name="20% - Accent1 6 3 3 2 2 2" xfId="39148" xr:uid="{D8D692A4-15B7-4A70-9542-71FF2DD1BD1A}"/>
    <cellStyle name="20% - Accent1 6 3 3 2 3" xfId="23251" xr:uid="{00000000-0005-0000-0000-000011050000}"/>
    <cellStyle name="20% - Accent1 6 3 3 2 3 2" xfId="47084" xr:uid="{DB1A561A-89C9-41C0-96A8-64455DF550F0}"/>
    <cellStyle name="20% - Accent1 6 3 3 2 4" xfId="31207" xr:uid="{E46658A3-BB1B-4811-B424-57F6CD73409A}"/>
    <cellStyle name="20% - Accent1 6 3 3 3" xfId="11767" xr:uid="{00000000-0005-0000-0000-000012050000}"/>
    <cellStyle name="20% - Accent1 6 3 3 3 2" xfId="35617" xr:uid="{C80471A4-9825-4BAC-A7D9-9225C462D7E2}"/>
    <cellStyle name="20% - Accent1 6 3 3 4" xfId="19722" xr:uid="{00000000-0005-0000-0000-000013050000}"/>
    <cellStyle name="20% - Accent1 6 3 3 4 2" xfId="43555" xr:uid="{6DB0D1D4-4159-4307-BC91-CDBC06FC7F0D}"/>
    <cellStyle name="20% - Accent1 6 3 3 5" xfId="27676" xr:uid="{98D00B67-D960-483C-877C-60EAE4AF89DC}"/>
    <cellStyle name="20% - Accent1 6 3 4" xfId="5562" xr:uid="{00000000-0005-0000-0000-000014050000}"/>
    <cellStyle name="20% - Accent1 6 3 4 2" xfId="13546" xr:uid="{00000000-0005-0000-0000-000015050000}"/>
    <cellStyle name="20% - Accent1 6 3 4 2 2" xfId="37390" xr:uid="{03F8197D-E460-4E17-B65F-756CA0B0F642}"/>
    <cellStyle name="20% - Accent1 6 3 4 3" xfId="21494" xr:uid="{00000000-0005-0000-0000-000016050000}"/>
    <cellStyle name="20% - Accent1 6 3 4 3 2" xfId="45327" xr:uid="{E73A6EA0-5F5C-4F63-82DD-E6F6CE17DD92}"/>
    <cellStyle name="20% - Accent1 6 3 4 4" xfId="29449" xr:uid="{A317D0AE-3395-4404-8103-DBE90CDC1AAC}"/>
    <cellStyle name="20% - Accent1 6 3 5" xfId="9115" xr:uid="{00000000-0005-0000-0000-000017050000}"/>
    <cellStyle name="20% - Accent1 6 3 5 2" xfId="17073" xr:uid="{00000000-0005-0000-0000-000018050000}"/>
    <cellStyle name="20% - Accent1 6 3 5 2 2" xfId="40914" xr:uid="{B6774F5E-8299-4606-AA15-474A78AAD7B5}"/>
    <cellStyle name="20% - Accent1 6 3 5 3" xfId="25017" xr:uid="{00000000-0005-0000-0000-000019050000}"/>
    <cellStyle name="20% - Accent1 6 3 5 3 2" xfId="48850" xr:uid="{E15220E7-201B-4483-8A87-B673507D6E80}"/>
    <cellStyle name="20% - Accent1 6 3 5 4" xfId="32973" xr:uid="{1DC1ED29-A483-4837-B79B-61840F80A707}"/>
    <cellStyle name="20% - Accent1 6 3 6" xfId="10011" xr:uid="{00000000-0005-0000-0000-00001A050000}"/>
    <cellStyle name="20% - Accent1 6 3 6 2" xfId="33861" xr:uid="{A2286E3C-9CB5-48DB-B48E-F27E6C2E895E}"/>
    <cellStyle name="20% - Accent1 6 3 7" xfId="17966" xr:uid="{00000000-0005-0000-0000-00001B050000}"/>
    <cellStyle name="20% - Accent1 6 3 7 2" xfId="41799" xr:uid="{2CC59398-86A1-4EBC-B5A7-7CBE04876E3A}"/>
    <cellStyle name="20% - Accent1 6 3 8" xfId="25919" xr:uid="{673B31FF-3094-40AF-9823-F08F01F4F32A}"/>
    <cellStyle name="20% - Accent1 6 3_Exh G" xfId="2030" xr:uid="{00000000-0005-0000-0000-00001C050000}"/>
    <cellStyle name="20% - Accent1 6 4" xfId="870" xr:uid="{00000000-0005-0000-0000-00001D050000}"/>
    <cellStyle name="20% - Accent1 6 4 2" xfId="1805" xr:uid="{00000000-0005-0000-0000-00001E050000}"/>
    <cellStyle name="20% - Accent1 6 4 2 2" xfId="5323" xr:uid="{00000000-0005-0000-0000-00001F050000}"/>
    <cellStyle name="20% - Accent1 6 4 2 2 2" xfId="8914" xr:uid="{00000000-0005-0000-0000-000020050000}"/>
    <cellStyle name="20% - Accent1 6 4 2 2 2 2" xfId="16885" xr:uid="{00000000-0005-0000-0000-000021050000}"/>
    <cellStyle name="20% - Accent1 6 4 2 2 2 2 2" xfId="40728" xr:uid="{C9F02C90-DD3A-43FB-9D3E-B889E6D234D4}"/>
    <cellStyle name="20% - Accent1 6 4 2 2 2 3" xfId="24831" xr:uid="{00000000-0005-0000-0000-000022050000}"/>
    <cellStyle name="20% - Accent1 6 4 2 2 2 3 2" xfId="48664" xr:uid="{974B600A-C743-49A8-BD8A-BA5C9A9BA51F}"/>
    <cellStyle name="20% - Accent1 6 4 2 2 2 4" xfId="32787" xr:uid="{FE60570C-2CD0-44D9-A45C-49C3AA91770F}"/>
    <cellStyle name="20% - Accent1 6 4 2 2 3" xfId="13347" xr:uid="{00000000-0005-0000-0000-000023050000}"/>
    <cellStyle name="20% - Accent1 6 4 2 2 3 2" xfId="37197" xr:uid="{FFC01E1B-EB33-4BF1-B64F-4D9CECAC671D}"/>
    <cellStyle name="20% - Accent1 6 4 2 2 4" xfId="21302" xr:uid="{00000000-0005-0000-0000-000024050000}"/>
    <cellStyle name="20% - Accent1 6 4 2 2 4 2" xfId="45135" xr:uid="{D615F874-674C-4C28-A765-E3D2FBA1050B}"/>
    <cellStyle name="20% - Accent1 6 4 2 2 5" xfId="29256" xr:uid="{943F36FF-7769-49E6-9508-0B1B176952D8}"/>
    <cellStyle name="20% - Accent1 6 4 2 3" xfId="7155" xr:uid="{00000000-0005-0000-0000-000025050000}"/>
    <cellStyle name="20% - Accent1 6 4 2 3 2" xfId="15127" xr:uid="{00000000-0005-0000-0000-000026050000}"/>
    <cellStyle name="20% - Accent1 6 4 2 3 2 2" xfId="38970" xr:uid="{8D1B8EF8-9B72-48D2-BF47-FB72AED7A93B}"/>
    <cellStyle name="20% - Accent1 6 4 2 3 3" xfId="23074" xr:uid="{00000000-0005-0000-0000-000027050000}"/>
    <cellStyle name="20% - Accent1 6 4 2 3 3 2" xfId="46907" xr:uid="{B5C0C674-E1FE-49AF-AB83-D15F36C8EB47}"/>
    <cellStyle name="20% - Accent1 6 4 2 3 4" xfId="31029" xr:uid="{681E79C7-6E31-43CB-9F69-5CB008BE7129}"/>
    <cellStyle name="20% - Accent1 6 4 2 4" xfId="11591" xr:uid="{00000000-0005-0000-0000-000028050000}"/>
    <cellStyle name="20% - Accent1 6 4 2 4 2" xfId="35441" xr:uid="{48FD0F83-9C2A-469F-A19B-0D5855CD5D9B}"/>
    <cellStyle name="20% - Accent1 6 4 2 5" xfId="19546" xr:uid="{00000000-0005-0000-0000-000029050000}"/>
    <cellStyle name="20% - Accent1 6 4 2 5 2" xfId="43379" xr:uid="{CFE1D558-8014-452D-A389-6A52D853B9E0}"/>
    <cellStyle name="20% - Accent1 6 4 2 6" xfId="27499" xr:uid="{20F061E6-082D-4CF0-8EF9-86680AD1487C}"/>
    <cellStyle name="20% - Accent1 6 4 2_Exh G" xfId="2033" xr:uid="{00000000-0005-0000-0000-00002A050000}"/>
    <cellStyle name="20% - Accent1 6 4 3" xfId="4444" xr:uid="{00000000-0005-0000-0000-00002B050000}"/>
    <cellStyle name="20% - Accent1 6 4 3 2" xfId="8036" xr:uid="{00000000-0005-0000-0000-00002C050000}"/>
    <cellStyle name="20% - Accent1 6 4 3 2 2" xfId="16007" xr:uid="{00000000-0005-0000-0000-00002D050000}"/>
    <cellStyle name="20% - Accent1 6 4 3 2 2 2" xfId="39850" xr:uid="{FF727CCB-6BFB-4F16-8425-4620C3155516}"/>
    <cellStyle name="20% - Accent1 6 4 3 2 3" xfId="23953" xr:uid="{00000000-0005-0000-0000-00002E050000}"/>
    <cellStyle name="20% - Accent1 6 4 3 2 3 2" xfId="47786" xr:uid="{27B9F405-A520-484C-B7BE-AF15A2677ED5}"/>
    <cellStyle name="20% - Accent1 6 4 3 2 4" xfId="31909" xr:uid="{0F864DA6-107C-420E-A8CD-C857EC561EB8}"/>
    <cellStyle name="20% - Accent1 6 4 3 3" xfId="12469" xr:uid="{00000000-0005-0000-0000-00002F050000}"/>
    <cellStyle name="20% - Accent1 6 4 3 3 2" xfId="36319" xr:uid="{8D4C52B2-A51A-43E4-A5A1-C0F296066E6A}"/>
    <cellStyle name="20% - Accent1 6 4 3 4" xfId="20424" xr:uid="{00000000-0005-0000-0000-000030050000}"/>
    <cellStyle name="20% - Accent1 6 4 3 4 2" xfId="44257" xr:uid="{AA33B711-E4BC-46FE-B741-F7FF476AB602}"/>
    <cellStyle name="20% - Accent1 6 4 3 5" xfId="28378" xr:uid="{651EE5F2-786B-400F-B3F3-0D10AC8102EB}"/>
    <cellStyle name="20% - Accent1 6 4 4" xfId="6274" xr:uid="{00000000-0005-0000-0000-000031050000}"/>
    <cellStyle name="20% - Accent1 6 4 4 2" xfId="14249" xr:uid="{00000000-0005-0000-0000-000032050000}"/>
    <cellStyle name="20% - Accent1 6 4 4 2 2" xfId="38092" xr:uid="{60072F02-C11D-4CD6-BB63-30AB6FBF3E10}"/>
    <cellStyle name="20% - Accent1 6 4 4 3" xfId="22196" xr:uid="{00000000-0005-0000-0000-000033050000}"/>
    <cellStyle name="20% - Accent1 6 4 4 3 2" xfId="46029" xr:uid="{B60C8615-20CD-4D9C-A3CF-C2D98014CB67}"/>
    <cellStyle name="20% - Accent1 6 4 4 4" xfId="30151" xr:uid="{B9F32D4D-D63D-4B64-B14E-DBC9C2934830}"/>
    <cellStyle name="20% - Accent1 6 4 5" xfId="9817" xr:uid="{00000000-0005-0000-0000-000034050000}"/>
    <cellStyle name="20% - Accent1 6 4 5 2" xfId="17775" xr:uid="{00000000-0005-0000-0000-000035050000}"/>
    <cellStyle name="20% - Accent1 6 4 5 2 2" xfId="41616" xr:uid="{D405D149-B08B-442D-B4A1-0D83024540AB}"/>
    <cellStyle name="20% - Accent1 6 4 5 3" xfId="25719" xr:uid="{00000000-0005-0000-0000-000036050000}"/>
    <cellStyle name="20% - Accent1 6 4 5 3 2" xfId="49552" xr:uid="{11AB410C-11DD-45BC-BE8A-2C64B1BC110D}"/>
    <cellStyle name="20% - Accent1 6 4 5 4" xfId="33675" xr:uid="{180D1618-46F4-43E9-87F6-2717AC411B21}"/>
    <cellStyle name="20% - Accent1 6 4 6" xfId="10713" xr:uid="{00000000-0005-0000-0000-000037050000}"/>
    <cellStyle name="20% - Accent1 6 4 6 2" xfId="34563" xr:uid="{64949127-F8A1-4E7C-A9E6-0D3B7693A34F}"/>
    <cellStyle name="20% - Accent1 6 4 7" xfId="18668" xr:uid="{00000000-0005-0000-0000-000038050000}"/>
    <cellStyle name="20% - Accent1 6 4 7 2" xfId="42501" xr:uid="{DC1AEDB9-31FE-4B56-B5E0-07D1D3B93D72}"/>
    <cellStyle name="20% - Accent1 6 4 8" xfId="26621" xr:uid="{96A451DF-8406-4FE1-82AB-137C041BA632}"/>
    <cellStyle name="20% - Accent1 6 4_Exh G" xfId="2032" xr:uid="{00000000-0005-0000-0000-000039050000}"/>
    <cellStyle name="20% - Accent1 6 5" xfId="1088" xr:uid="{00000000-0005-0000-0000-00003A050000}"/>
    <cellStyle name="20% - Accent1 6 5 2" xfId="4618" xr:uid="{00000000-0005-0000-0000-00003B050000}"/>
    <cellStyle name="20% - Accent1 6 5 2 2" xfId="8209" xr:uid="{00000000-0005-0000-0000-00003C050000}"/>
    <cellStyle name="20% - Accent1 6 5 2 2 2" xfId="16180" xr:uid="{00000000-0005-0000-0000-00003D050000}"/>
    <cellStyle name="20% - Accent1 6 5 2 2 2 2" xfId="40023" xr:uid="{60B7BF0A-C5DF-4C8C-A7D7-4CCA8886F5F0}"/>
    <cellStyle name="20% - Accent1 6 5 2 2 3" xfId="24126" xr:uid="{00000000-0005-0000-0000-00003E050000}"/>
    <cellStyle name="20% - Accent1 6 5 2 2 3 2" xfId="47959" xr:uid="{01D4C5AC-EA8E-491D-A111-72A989855C05}"/>
    <cellStyle name="20% - Accent1 6 5 2 2 4" xfId="32082" xr:uid="{F70E0A4F-27A6-439C-BA97-5391B0BA1933}"/>
    <cellStyle name="20% - Accent1 6 5 2 3" xfId="12642" xr:uid="{00000000-0005-0000-0000-00003F050000}"/>
    <cellStyle name="20% - Accent1 6 5 2 3 2" xfId="36492" xr:uid="{26FA8079-E882-40ED-A900-CAF2476DCC07}"/>
    <cellStyle name="20% - Accent1 6 5 2 4" xfId="20597" xr:uid="{00000000-0005-0000-0000-000040050000}"/>
    <cellStyle name="20% - Accent1 6 5 2 4 2" xfId="44430" xr:uid="{44BB7740-B6ED-4561-A56A-2E3F2C89BD3D}"/>
    <cellStyle name="20% - Accent1 6 5 2 5" xfId="28551" xr:uid="{5002FBAA-6704-4190-B6BE-832B9DFB53FB}"/>
    <cellStyle name="20% - Accent1 6 5 3" xfId="6450" xr:uid="{00000000-0005-0000-0000-000041050000}"/>
    <cellStyle name="20% - Accent1 6 5 3 2" xfId="14422" xr:uid="{00000000-0005-0000-0000-000042050000}"/>
    <cellStyle name="20% - Accent1 6 5 3 2 2" xfId="38265" xr:uid="{15F138D1-331D-411C-B9E8-45ED31D4D029}"/>
    <cellStyle name="20% - Accent1 6 5 3 3" xfId="22369" xr:uid="{00000000-0005-0000-0000-000043050000}"/>
    <cellStyle name="20% - Accent1 6 5 3 3 2" xfId="46202" xr:uid="{EF6E85AA-29A6-4395-A0C7-805000573696}"/>
    <cellStyle name="20% - Accent1 6 5 3 4" xfId="30324" xr:uid="{0A2555EB-3D17-4B6B-84DD-2E594C271919}"/>
    <cellStyle name="20% - Accent1 6 5 4" xfId="10886" xr:uid="{00000000-0005-0000-0000-000044050000}"/>
    <cellStyle name="20% - Accent1 6 5 4 2" xfId="34736" xr:uid="{67E5A86C-B02A-4FEB-99D0-5488E622460E}"/>
    <cellStyle name="20% - Accent1 6 5 5" xfId="18841" xr:uid="{00000000-0005-0000-0000-000045050000}"/>
    <cellStyle name="20% - Accent1 6 5 5 2" xfId="42674" xr:uid="{28CCBA72-0D39-435D-B3D7-8317E21C67EB}"/>
    <cellStyle name="20% - Accent1 6 5 6" xfId="26794" xr:uid="{35FBC418-337D-45BC-9ADF-402E6B7AB7F5}"/>
    <cellStyle name="20% - Accent1 6 5_Exh G" xfId="2034" xr:uid="{00000000-0005-0000-0000-000046050000}"/>
    <cellStyle name="20% - Accent1 6 6" xfId="3739" xr:uid="{00000000-0005-0000-0000-000047050000}"/>
    <cellStyle name="20% - Accent1 6 6 2" xfId="7331" xr:uid="{00000000-0005-0000-0000-000048050000}"/>
    <cellStyle name="20% - Accent1 6 6 2 2" xfId="15302" xr:uid="{00000000-0005-0000-0000-000049050000}"/>
    <cellStyle name="20% - Accent1 6 6 2 2 2" xfId="39145" xr:uid="{1837D8EF-87E1-4CBD-8C8E-E2B81DF678FF}"/>
    <cellStyle name="20% - Accent1 6 6 2 3" xfId="23248" xr:uid="{00000000-0005-0000-0000-00004A050000}"/>
    <cellStyle name="20% - Accent1 6 6 2 3 2" xfId="47081" xr:uid="{A24C30E7-3C9D-4EF1-8B68-954F87A8468D}"/>
    <cellStyle name="20% - Accent1 6 6 2 4" xfId="31204" xr:uid="{9D0307E9-23EA-4357-B6D6-C8253D75862F}"/>
    <cellStyle name="20% - Accent1 6 6 3" xfId="11764" xr:uid="{00000000-0005-0000-0000-00004B050000}"/>
    <cellStyle name="20% - Accent1 6 6 3 2" xfId="35614" xr:uid="{BD3E1FBE-E4E6-4B8A-85D4-8E2042870751}"/>
    <cellStyle name="20% - Accent1 6 6 4" xfId="19719" xr:uid="{00000000-0005-0000-0000-00004C050000}"/>
    <cellStyle name="20% - Accent1 6 6 4 2" xfId="43552" xr:uid="{D964ABB5-8736-499B-9738-4AC032634A8D}"/>
    <cellStyle name="20% - Accent1 6 6 5" xfId="27673" xr:uid="{7C4680C7-DFE4-47D2-A1B9-79F57358265D}"/>
    <cellStyle name="20% - Accent1 6 7" xfId="5559" xr:uid="{00000000-0005-0000-0000-00004D050000}"/>
    <cellStyle name="20% - Accent1 6 7 2" xfId="13543" xr:uid="{00000000-0005-0000-0000-00004E050000}"/>
    <cellStyle name="20% - Accent1 6 7 2 2" xfId="37387" xr:uid="{DBB53BEF-8D7E-450C-A12A-963AB78FC41F}"/>
    <cellStyle name="20% - Accent1 6 7 3" xfId="21491" xr:uid="{00000000-0005-0000-0000-00004F050000}"/>
    <cellStyle name="20% - Accent1 6 7 3 2" xfId="45324" xr:uid="{2203B1EC-F84B-401E-922D-5B46168BEEB1}"/>
    <cellStyle name="20% - Accent1 6 7 4" xfId="29446" xr:uid="{55342719-6510-41D5-A650-2337AEA00E58}"/>
    <cellStyle name="20% - Accent1 6 8" xfId="9112" xr:uid="{00000000-0005-0000-0000-000050050000}"/>
    <cellStyle name="20% - Accent1 6 8 2" xfId="17070" xr:uid="{00000000-0005-0000-0000-000051050000}"/>
    <cellStyle name="20% - Accent1 6 8 2 2" xfId="40911" xr:uid="{5CB91D21-885B-473B-99B6-27549E6C29C4}"/>
    <cellStyle name="20% - Accent1 6 8 3" xfId="25014" xr:uid="{00000000-0005-0000-0000-000052050000}"/>
    <cellStyle name="20% - Accent1 6 8 3 2" xfId="48847" xr:uid="{193CAD32-A5A1-4BEE-873E-DFCEC7D8D29D}"/>
    <cellStyle name="20% - Accent1 6 8 4" xfId="32970" xr:uid="{453D3794-DA61-4021-A2E0-B511A11B7CCB}"/>
    <cellStyle name="20% - Accent1 6 9" xfId="10008" xr:uid="{00000000-0005-0000-0000-000053050000}"/>
    <cellStyle name="20% - Accent1 6 9 2" xfId="33858" xr:uid="{DE339D2F-444F-4BEC-9D28-A467A33A89C9}"/>
    <cellStyle name="20% - Accent1 6_Exh G" xfId="2025" xr:uid="{00000000-0005-0000-0000-000054050000}"/>
    <cellStyle name="20% - Accent1 7" xfId="64" xr:uid="{00000000-0005-0000-0000-000055050000}"/>
    <cellStyle name="20% - Accent1 7 10" xfId="17967" xr:uid="{00000000-0005-0000-0000-000056050000}"/>
    <cellStyle name="20% - Accent1 7 10 2" xfId="41800" xr:uid="{3DAF4ECD-00B4-4C79-9929-6BD1071E2642}"/>
    <cellStyle name="20% - Accent1 7 11" xfId="25920" xr:uid="{B04A4F37-4E49-4E2D-AEB4-E8B68B44F479}"/>
    <cellStyle name="20% - Accent1 7 2" xfId="65" xr:uid="{00000000-0005-0000-0000-000057050000}"/>
    <cellStyle name="20% - Accent1 7 2 2" xfId="66" xr:uid="{00000000-0005-0000-0000-000058050000}"/>
    <cellStyle name="20% - Accent1 7 2 2 2" xfId="1094" xr:uid="{00000000-0005-0000-0000-000059050000}"/>
    <cellStyle name="20% - Accent1 7 2 2 2 2" xfId="4624" xr:uid="{00000000-0005-0000-0000-00005A050000}"/>
    <cellStyle name="20% - Accent1 7 2 2 2 2 2" xfId="8215" xr:uid="{00000000-0005-0000-0000-00005B050000}"/>
    <cellStyle name="20% - Accent1 7 2 2 2 2 2 2" xfId="16186" xr:uid="{00000000-0005-0000-0000-00005C050000}"/>
    <cellStyle name="20% - Accent1 7 2 2 2 2 2 2 2" xfId="40029" xr:uid="{235B89B8-AD64-43B5-8586-358A07CBB5AF}"/>
    <cellStyle name="20% - Accent1 7 2 2 2 2 2 3" xfId="24132" xr:uid="{00000000-0005-0000-0000-00005D050000}"/>
    <cellStyle name="20% - Accent1 7 2 2 2 2 2 3 2" xfId="47965" xr:uid="{83850D41-9017-4729-AD78-A552E6E948B4}"/>
    <cellStyle name="20% - Accent1 7 2 2 2 2 2 4" xfId="32088" xr:uid="{330F38C9-55B9-485A-B204-01AE6C4E4650}"/>
    <cellStyle name="20% - Accent1 7 2 2 2 2 3" xfId="12648" xr:uid="{00000000-0005-0000-0000-00005E050000}"/>
    <cellStyle name="20% - Accent1 7 2 2 2 2 3 2" xfId="36498" xr:uid="{E27974EA-08CB-4169-A225-559FCED9465E}"/>
    <cellStyle name="20% - Accent1 7 2 2 2 2 4" xfId="20603" xr:uid="{00000000-0005-0000-0000-00005F050000}"/>
    <cellStyle name="20% - Accent1 7 2 2 2 2 4 2" xfId="44436" xr:uid="{79037BA4-494C-4FB0-B047-A0D69ADD76CB}"/>
    <cellStyle name="20% - Accent1 7 2 2 2 2 5" xfId="28557" xr:uid="{BA8C5F31-9824-47E4-A46B-CC748D1F4085}"/>
    <cellStyle name="20% - Accent1 7 2 2 2 3" xfId="6456" xr:uid="{00000000-0005-0000-0000-000060050000}"/>
    <cellStyle name="20% - Accent1 7 2 2 2 3 2" xfId="14428" xr:uid="{00000000-0005-0000-0000-000061050000}"/>
    <cellStyle name="20% - Accent1 7 2 2 2 3 2 2" xfId="38271" xr:uid="{48C8820A-AF2E-441C-B892-A9BBC7B34586}"/>
    <cellStyle name="20% - Accent1 7 2 2 2 3 3" xfId="22375" xr:uid="{00000000-0005-0000-0000-000062050000}"/>
    <cellStyle name="20% - Accent1 7 2 2 2 3 3 2" xfId="46208" xr:uid="{A22DF508-728C-4856-BE1A-3CB54CBE82BB}"/>
    <cellStyle name="20% - Accent1 7 2 2 2 3 4" xfId="30330" xr:uid="{32F84566-D02A-4650-969F-583A17D4ED4A}"/>
    <cellStyle name="20% - Accent1 7 2 2 2 4" xfId="10892" xr:uid="{00000000-0005-0000-0000-000063050000}"/>
    <cellStyle name="20% - Accent1 7 2 2 2 4 2" xfId="34742" xr:uid="{2B987909-7D37-4F31-B8E5-A616CBC38605}"/>
    <cellStyle name="20% - Accent1 7 2 2 2 5" xfId="18847" xr:uid="{00000000-0005-0000-0000-000064050000}"/>
    <cellStyle name="20% - Accent1 7 2 2 2 5 2" xfId="42680" xr:uid="{AE2808F2-B135-4A93-93FC-8309588C2A43}"/>
    <cellStyle name="20% - Accent1 7 2 2 2 6" xfId="26800" xr:uid="{2CE6B1FC-DB37-4B01-BAA7-6A8C6714AA38}"/>
    <cellStyle name="20% - Accent1 7 2 2 2_Exh G" xfId="2038" xr:uid="{00000000-0005-0000-0000-000065050000}"/>
    <cellStyle name="20% - Accent1 7 2 2 3" xfId="3745" xr:uid="{00000000-0005-0000-0000-000066050000}"/>
    <cellStyle name="20% - Accent1 7 2 2 3 2" xfId="7337" xr:uid="{00000000-0005-0000-0000-000067050000}"/>
    <cellStyle name="20% - Accent1 7 2 2 3 2 2" xfId="15308" xr:uid="{00000000-0005-0000-0000-000068050000}"/>
    <cellStyle name="20% - Accent1 7 2 2 3 2 2 2" xfId="39151" xr:uid="{B3A165DF-8F3A-4D89-9559-9FB1E29022D9}"/>
    <cellStyle name="20% - Accent1 7 2 2 3 2 3" xfId="23254" xr:uid="{00000000-0005-0000-0000-000069050000}"/>
    <cellStyle name="20% - Accent1 7 2 2 3 2 3 2" xfId="47087" xr:uid="{FED8F07E-935E-426C-B9C5-73C26FF6670D}"/>
    <cellStyle name="20% - Accent1 7 2 2 3 2 4" xfId="31210" xr:uid="{B3838AC9-A274-427C-A41E-026C73AFC73D}"/>
    <cellStyle name="20% - Accent1 7 2 2 3 3" xfId="11770" xr:uid="{00000000-0005-0000-0000-00006A050000}"/>
    <cellStyle name="20% - Accent1 7 2 2 3 3 2" xfId="35620" xr:uid="{0D93EAA9-EF10-410F-A6C7-946DE7A96F50}"/>
    <cellStyle name="20% - Accent1 7 2 2 3 4" xfId="19725" xr:uid="{00000000-0005-0000-0000-00006B050000}"/>
    <cellStyle name="20% - Accent1 7 2 2 3 4 2" xfId="43558" xr:uid="{966958FC-2F30-4883-B560-7C9DB7E86B76}"/>
    <cellStyle name="20% - Accent1 7 2 2 3 5" xfId="27679" xr:uid="{3F79D44F-E33A-4DF8-B84A-376F02F458B0}"/>
    <cellStyle name="20% - Accent1 7 2 2 4" xfId="5565" xr:uid="{00000000-0005-0000-0000-00006C050000}"/>
    <cellStyle name="20% - Accent1 7 2 2 4 2" xfId="13549" xr:uid="{00000000-0005-0000-0000-00006D050000}"/>
    <cellStyle name="20% - Accent1 7 2 2 4 2 2" xfId="37393" xr:uid="{40DDD2CE-B67F-41D2-B35D-872C81DEFA43}"/>
    <cellStyle name="20% - Accent1 7 2 2 4 3" xfId="21497" xr:uid="{00000000-0005-0000-0000-00006E050000}"/>
    <cellStyle name="20% - Accent1 7 2 2 4 3 2" xfId="45330" xr:uid="{4100C6CF-8066-4FFA-8403-6B2821EB5A72}"/>
    <cellStyle name="20% - Accent1 7 2 2 4 4" xfId="29452" xr:uid="{418B7269-4687-444D-9DE8-DB8A4DCE0CB7}"/>
    <cellStyle name="20% - Accent1 7 2 2 5" xfId="9118" xr:uid="{00000000-0005-0000-0000-00006F050000}"/>
    <cellStyle name="20% - Accent1 7 2 2 5 2" xfId="17076" xr:uid="{00000000-0005-0000-0000-000070050000}"/>
    <cellStyle name="20% - Accent1 7 2 2 5 2 2" xfId="40917" xr:uid="{3CEF470C-2CB0-4C23-A000-50CB58CF4034}"/>
    <cellStyle name="20% - Accent1 7 2 2 5 3" xfId="25020" xr:uid="{00000000-0005-0000-0000-000071050000}"/>
    <cellStyle name="20% - Accent1 7 2 2 5 3 2" xfId="48853" xr:uid="{68E8F644-201D-465D-B21E-91A622A45C04}"/>
    <cellStyle name="20% - Accent1 7 2 2 5 4" xfId="32976" xr:uid="{1F64FB03-8252-4726-8D21-E0F8206429C3}"/>
    <cellStyle name="20% - Accent1 7 2 2 6" xfId="10014" xr:uid="{00000000-0005-0000-0000-000072050000}"/>
    <cellStyle name="20% - Accent1 7 2 2 6 2" xfId="33864" xr:uid="{2B79F55C-ADDC-4DF6-9A89-E93A21B52E78}"/>
    <cellStyle name="20% - Accent1 7 2 2 7" xfId="17969" xr:uid="{00000000-0005-0000-0000-000073050000}"/>
    <cellStyle name="20% - Accent1 7 2 2 7 2" xfId="41802" xr:uid="{49D79A73-C9F2-4217-8825-E86A52B5E2B9}"/>
    <cellStyle name="20% - Accent1 7 2 2 8" xfId="25922" xr:uid="{0627E2E6-B6BA-44DB-99F5-2F892AE103E2}"/>
    <cellStyle name="20% - Accent1 7 2 2_Exh G" xfId="2037" xr:uid="{00000000-0005-0000-0000-000074050000}"/>
    <cellStyle name="20% - Accent1 7 2 3" xfId="1093" xr:uid="{00000000-0005-0000-0000-000075050000}"/>
    <cellStyle name="20% - Accent1 7 2 3 2" xfId="4623" xr:uid="{00000000-0005-0000-0000-000076050000}"/>
    <cellStyle name="20% - Accent1 7 2 3 2 2" xfId="8214" xr:uid="{00000000-0005-0000-0000-000077050000}"/>
    <cellStyle name="20% - Accent1 7 2 3 2 2 2" xfId="16185" xr:uid="{00000000-0005-0000-0000-000078050000}"/>
    <cellStyle name="20% - Accent1 7 2 3 2 2 2 2" xfId="40028" xr:uid="{70208DD3-182D-4E07-9BA3-28CC3B0C22E6}"/>
    <cellStyle name="20% - Accent1 7 2 3 2 2 3" xfId="24131" xr:uid="{00000000-0005-0000-0000-000079050000}"/>
    <cellStyle name="20% - Accent1 7 2 3 2 2 3 2" xfId="47964" xr:uid="{F013BC0F-7647-4D5D-8668-DEE95364E5EF}"/>
    <cellStyle name="20% - Accent1 7 2 3 2 2 4" xfId="32087" xr:uid="{496E5154-A30F-4037-808A-CE3FA1DD9E23}"/>
    <cellStyle name="20% - Accent1 7 2 3 2 3" xfId="12647" xr:uid="{00000000-0005-0000-0000-00007A050000}"/>
    <cellStyle name="20% - Accent1 7 2 3 2 3 2" xfId="36497" xr:uid="{E1151261-BEB0-44B6-A35F-17D5241C4CDB}"/>
    <cellStyle name="20% - Accent1 7 2 3 2 4" xfId="20602" xr:uid="{00000000-0005-0000-0000-00007B050000}"/>
    <cellStyle name="20% - Accent1 7 2 3 2 4 2" xfId="44435" xr:uid="{F7611A65-FAA5-45B2-B13C-84148A31A67E}"/>
    <cellStyle name="20% - Accent1 7 2 3 2 5" xfId="28556" xr:uid="{88ADEF5E-3809-4A72-98F5-98D38A98B2B6}"/>
    <cellStyle name="20% - Accent1 7 2 3 3" xfId="6455" xr:uid="{00000000-0005-0000-0000-00007C050000}"/>
    <cellStyle name="20% - Accent1 7 2 3 3 2" xfId="14427" xr:uid="{00000000-0005-0000-0000-00007D050000}"/>
    <cellStyle name="20% - Accent1 7 2 3 3 2 2" xfId="38270" xr:uid="{B48DB7C3-C01A-4E69-9FDE-786BA8020950}"/>
    <cellStyle name="20% - Accent1 7 2 3 3 3" xfId="22374" xr:uid="{00000000-0005-0000-0000-00007E050000}"/>
    <cellStyle name="20% - Accent1 7 2 3 3 3 2" xfId="46207" xr:uid="{096B44EA-F132-47CF-BF0B-B031542FF3AB}"/>
    <cellStyle name="20% - Accent1 7 2 3 3 4" xfId="30329" xr:uid="{1A13C17B-FEAC-4B9D-9230-EC96C220B9AC}"/>
    <cellStyle name="20% - Accent1 7 2 3 4" xfId="10891" xr:uid="{00000000-0005-0000-0000-00007F050000}"/>
    <cellStyle name="20% - Accent1 7 2 3 4 2" xfId="34741" xr:uid="{A7B3E1EE-8AFD-465F-8A18-E08C89434DD0}"/>
    <cellStyle name="20% - Accent1 7 2 3 5" xfId="18846" xr:uid="{00000000-0005-0000-0000-000080050000}"/>
    <cellStyle name="20% - Accent1 7 2 3 5 2" xfId="42679" xr:uid="{23C074E5-C78C-42E1-A353-1600AE209E82}"/>
    <cellStyle name="20% - Accent1 7 2 3 6" xfId="26799" xr:uid="{0A3CDDF3-8CDD-4EC6-8EE5-96D4501BBFFA}"/>
    <cellStyle name="20% - Accent1 7 2 3_Exh G" xfId="2039" xr:uid="{00000000-0005-0000-0000-000081050000}"/>
    <cellStyle name="20% - Accent1 7 2 4" xfId="3744" xr:uid="{00000000-0005-0000-0000-000082050000}"/>
    <cellStyle name="20% - Accent1 7 2 4 2" xfId="7336" xr:uid="{00000000-0005-0000-0000-000083050000}"/>
    <cellStyle name="20% - Accent1 7 2 4 2 2" xfId="15307" xr:uid="{00000000-0005-0000-0000-000084050000}"/>
    <cellStyle name="20% - Accent1 7 2 4 2 2 2" xfId="39150" xr:uid="{3C5D9053-8CE3-4DF7-BA61-9DDB84A747CB}"/>
    <cellStyle name="20% - Accent1 7 2 4 2 3" xfId="23253" xr:uid="{00000000-0005-0000-0000-000085050000}"/>
    <cellStyle name="20% - Accent1 7 2 4 2 3 2" xfId="47086" xr:uid="{50DAB1FC-E943-4D5A-8F95-A957FC690BFA}"/>
    <cellStyle name="20% - Accent1 7 2 4 2 4" xfId="31209" xr:uid="{7D1FC7F9-FD83-44F2-9003-1FF2C86BBE27}"/>
    <cellStyle name="20% - Accent1 7 2 4 3" xfId="11769" xr:uid="{00000000-0005-0000-0000-000086050000}"/>
    <cellStyle name="20% - Accent1 7 2 4 3 2" xfId="35619" xr:uid="{7C08C354-1C45-4603-BA0B-5AE126CD5466}"/>
    <cellStyle name="20% - Accent1 7 2 4 4" xfId="19724" xr:uid="{00000000-0005-0000-0000-000087050000}"/>
    <cellStyle name="20% - Accent1 7 2 4 4 2" xfId="43557" xr:uid="{1C24B0E1-177B-47DC-B42B-D152E177AE71}"/>
    <cellStyle name="20% - Accent1 7 2 4 5" xfId="27678" xr:uid="{AB82D1B2-4FFC-40D1-9503-255FFFF28471}"/>
    <cellStyle name="20% - Accent1 7 2 5" xfId="5564" xr:uid="{00000000-0005-0000-0000-000088050000}"/>
    <cellStyle name="20% - Accent1 7 2 5 2" xfId="13548" xr:uid="{00000000-0005-0000-0000-000089050000}"/>
    <cellStyle name="20% - Accent1 7 2 5 2 2" xfId="37392" xr:uid="{929244F7-E500-44B9-8772-184830AD1AE2}"/>
    <cellStyle name="20% - Accent1 7 2 5 3" xfId="21496" xr:uid="{00000000-0005-0000-0000-00008A050000}"/>
    <cellStyle name="20% - Accent1 7 2 5 3 2" xfId="45329" xr:uid="{59E85C0A-C6B5-4F07-B6B1-DE4CB2CD5BA5}"/>
    <cellStyle name="20% - Accent1 7 2 5 4" xfId="29451" xr:uid="{9FA112D4-99EA-486D-83AA-4A1046A7C855}"/>
    <cellStyle name="20% - Accent1 7 2 6" xfId="9117" xr:uid="{00000000-0005-0000-0000-00008B050000}"/>
    <cellStyle name="20% - Accent1 7 2 6 2" xfId="17075" xr:uid="{00000000-0005-0000-0000-00008C050000}"/>
    <cellStyle name="20% - Accent1 7 2 6 2 2" xfId="40916" xr:uid="{E8A9917F-BEC9-4700-B597-9CECD6842300}"/>
    <cellStyle name="20% - Accent1 7 2 6 3" xfId="25019" xr:uid="{00000000-0005-0000-0000-00008D050000}"/>
    <cellStyle name="20% - Accent1 7 2 6 3 2" xfId="48852" xr:uid="{BCDC63D0-3BAE-4651-8B99-59156A0FDC0C}"/>
    <cellStyle name="20% - Accent1 7 2 6 4" xfId="32975" xr:uid="{184DAFC1-AA58-4B4A-8B83-CC82521DF32E}"/>
    <cellStyle name="20% - Accent1 7 2 7" xfId="10013" xr:uid="{00000000-0005-0000-0000-00008E050000}"/>
    <cellStyle name="20% - Accent1 7 2 7 2" xfId="33863" xr:uid="{318F9FD9-CF5D-4D8D-BAAE-803984F9CB3B}"/>
    <cellStyle name="20% - Accent1 7 2 8" xfId="17968" xr:uid="{00000000-0005-0000-0000-00008F050000}"/>
    <cellStyle name="20% - Accent1 7 2 8 2" xfId="41801" xr:uid="{B9554AA9-45E0-46F8-83F2-CD37EBC30D95}"/>
    <cellStyle name="20% - Accent1 7 2 9" xfId="25921" xr:uid="{2FE0E174-15B5-4655-8E2B-B0B89141EC1E}"/>
    <cellStyle name="20% - Accent1 7 2_Exh G" xfId="2036" xr:uid="{00000000-0005-0000-0000-000090050000}"/>
    <cellStyle name="20% - Accent1 7 3" xfId="67" xr:uid="{00000000-0005-0000-0000-000091050000}"/>
    <cellStyle name="20% - Accent1 7 3 2" xfId="1095" xr:uid="{00000000-0005-0000-0000-000092050000}"/>
    <cellStyle name="20% - Accent1 7 3 2 2" xfId="4625" xr:uid="{00000000-0005-0000-0000-000093050000}"/>
    <cellStyle name="20% - Accent1 7 3 2 2 2" xfId="8216" xr:uid="{00000000-0005-0000-0000-000094050000}"/>
    <cellStyle name="20% - Accent1 7 3 2 2 2 2" xfId="16187" xr:uid="{00000000-0005-0000-0000-000095050000}"/>
    <cellStyle name="20% - Accent1 7 3 2 2 2 2 2" xfId="40030" xr:uid="{5035B860-B7FA-41D9-A464-C79D88171255}"/>
    <cellStyle name="20% - Accent1 7 3 2 2 2 3" xfId="24133" xr:uid="{00000000-0005-0000-0000-000096050000}"/>
    <cellStyle name="20% - Accent1 7 3 2 2 2 3 2" xfId="47966" xr:uid="{50F87558-E1A8-43D3-A937-5539885ECC17}"/>
    <cellStyle name="20% - Accent1 7 3 2 2 2 4" xfId="32089" xr:uid="{90E89667-DD1E-47D8-AAA5-72C34B08B0B8}"/>
    <cellStyle name="20% - Accent1 7 3 2 2 3" xfId="12649" xr:uid="{00000000-0005-0000-0000-000097050000}"/>
    <cellStyle name="20% - Accent1 7 3 2 2 3 2" xfId="36499" xr:uid="{FB4BDBD9-C0A7-447A-AB56-A0BB57F9EC82}"/>
    <cellStyle name="20% - Accent1 7 3 2 2 4" xfId="20604" xr:uid="{00000000-0005-0000-0000-000098050000}"/>
    <cellStyle name="20% - Accent1 7 3 2 2 4 2" xfId="44437" xr:uid="{88CA0F0D-7934-4FDF-870E-136DBEC05A94}"/>
    <cellStyle name="20% - Accent1 7 3 2 2 5" xfId="28558" xr:uid="{4138F003-643D-4BEF-97C3-109240159DEA}"/>
    <cellStyle name="20% - Accent1 7 3 2 3" xfId="6457" xr:uid="{00000000-0005-0000-0000-000099050000}"/>
    <cellStyle name="20% - Accent1 7 3 2 3 2" xfId="14429" xr:uid="{00000000-0005-0000-0000-00009A050000}"/>
    <cellStyle name="20% - Accent1 7 3 2 3 2 2" xfId="38272" xr:uid="{746B4850-A6A9-4EC8-B5AE-1235BC554472}"/>
    <cellStyle name="20% - Accent1 7 3 2 3 3" xfId="22376" xr:uid="{00000000-0005-0000-0000-00009B050000}"/>
    <cellStyle name="20% - Accent1 7 3 2 3 3 2" xfId="46209" xr:uid="{0D8F87E3-173F-448C-BC20-122244137B24}"/>
    <cellStyle name="20% - Accent1 7 3 2 3 4" xfId="30331" xr:uid="{502AC651-1E1D-4BE4-8F3A-B83FDD3355A4}"/>
    <cellStyle name="20% - Accent1 7 3 2 4" xfId="10893" xr:uid="{00000000-0005-0000-0000-00009C050000}"/>
    <cellStyle name="20% - Accent1 7 3 2 4 2" xfId="34743" xr:uid="{8FC42DBA-DB7E-4C1A-8E0B-A0581FD022D1}"/>
    <cellStyle name="20% - Accent1 7 3 2 5" xfId="18848" xr:uid="{00000000-0005-0000-0000-00009D050000}"/>
    <cellStyle name="20% - Accent1 7 3 2 5 2" xfId="42681" xr:uid="{D74136A3-40B7-4EF3-9807-EF2D3999C427}"/>
    <cellStyle name="20% - Accent1 7 3 2 6" xfId="26801" xr:uid="{3536AB26-4ED7-4601-8A2A-23E6E0B77A90}"/>
    <cellStyle name="20% - Accent1 7 3 2_Exh G" xfId="2041" xr:uid="{00000000-0005-0000-0000-00009E050000}"/>
    <cellStyle name="20% - Accent1 7 3 3" xfId="3746" xr:uid="{00000000-0005-0000-0000-00009F050000}"/>
    <cellStyle name="20% - Accent1 7 3 3 2" xfId="7338" xr:uid="{00000000-0005-0000-0000-0000A0050000}"/>
    <cellStyle name="20% - Accent1 7 3 3 2 2" xfId="15309" xr:uid="{00000000-0005-0000-0000-0000A1050000}"/>
    <cellStyle name="20% - Accent1 7 3 3 2 2 2" xfId="39152" xr:uid="{2FBB0673-3E1D-4D29-8AD2-E307FFD9CDDD}"/>
    <cellStyle name="20% - Accent1 7 3 3 2 3" xfId="23255" xr:uid="{00000000-0005-0000-0000-0000A2050000}"/>
    <cellStyle name="20% - Accent1 7 3 3 2 3 2" xfId="47088" xr:uid="{7524B194-9A43-4DB8-9F19-BAD76F6C3F0A}"/>
    <cellStyle name="20% - Accent1 7 3 3 2 4" xfId="31211" xr:uid="{DC39E6EA-761F-4462-B26B-C3B23843F17B}"/>
    <cellStyle name="20% - Accent1 7 3 3 3" xfId="11771" xr:uid="{00000000-0005-0000-0000-0000A3050000}"/>
    <cellStyle name="20% - Accent1 7 3 3 3 2" xfId="35621" xr:uid="{61DF6CF5-FD8C-4070-96D9-6D9453F45CED}"/>
    <cellStyle name="20% - Accent1 7 3 3 4" xfId="19726" xr:uid="{00000000-0005-0000-0000-0000A4050000}"/>
    <cellStyle name="20% - Accent1 7 3 3 4 2" xfId="43559" xr:uid="{6D9D7713-D642-4CF3-BB3A-76981CC524C0}"/>
    <cellStyle name="20% - Accent1 7 3 3 5" xfId="27680" xr:uid="{64B75575-AC99-463F-81C2-A1E5179B1AD3}"/>
    <cellStyle name="20% - Accent1 7 3 4" xfId="5566" xr:uid="{00000000-0005-0000-0000-0000A5050000}"/>
    <cellStyle name="20% - Accent1 7 3 4 2" xfId="13550" xr:uid="{00000000-0005-0000-0000-0000A6050000}"/>
    <cellStyle name="20% - Accent1 7 3 4 2 2" xfId="37394" xr:uid="{44CB2B9A-9CB0-459F-B1C3-07B36E07FC58}"/>
    <cellStyle name="20% - Accent1 7 3 4 3" xfId="21498" xr:uid="{00000000-0005-0000-0000-0000A7050000}"/>
    <cellStyle name="20% - Accent1 7 3 4 3 2" xfId="45331" xr:uid="{E90650A6-C6F7-41D4-AF92-A0557C4D45E6}"/>
    <cellStyle name="20% - Accent1 7 3 4 4" xfId="29453" xr:uid="{17EAA695-2991-4E4F-83A2-D36591994AE9}"/>
    <cellStyle name="20% - Accent1 7 3 5" xfId="9119" xr:uid="{00000000-0005-0000-0000-0000A8050000}"/>
    <cellStyle name="20% - Accent1 7 3 5 2" xfId="17077" xr:uid="{00000000-0005-0000-0000-0000A9050000}"/>
    <cellStyle name="20% - Accent1 7 3 5 2 2" xfId="40918" xr:uid="{5FF4242C-2702-49BF-9958-E86C9EA671EE}"/>
    <cellStyle name="20% - Accent1 7 3 5 3" xfId="25021" xr:uid="{00000000-0005-0000-0000-0000AA050000}"/>
    <cellStyle name="20% - Accent1 7 3 5 3 2" xfId="48854" xr:uid="{F85543E7-820A-4847-B936-A3D753CE7012}"/>
    <cellStyle name="20% - Accent1 7 3 5 4" xfId="32977" xr:uid="{D7A59A2C-6A31-4D70-86CF-3C7F6F6658A9}"/>
    <cellStyle name="20% - Accent1 7 3 6" xfId="10015" xr:uid="{00000000-0005-0000-0000-0000AB050000}"/>
    <cellStyle name="20% - Accent1 7 3 6 2" xfId="33865" xr:uid="{046B05AE-FB6A-400F-9BF4-E57D71EDD764}"/>
    <cellStyle name="20% - Accent1 7 3 7" xfId="17970" xr:uid="{00000000-0005-0000-0000-0000AC050000}"/>
    <cellStyle name="20% - Accent1 7 3 7 2" xfId="41803" xr:uid="{CDB77A6B-ACF0-44DD-ACD9-BB42B2F0D267}"/>
    <cellStyle name="20% - Accent1 7 3 8" xfId="25923" xr:uid="{24585076-58F3-4C39-B7B8-16B0387AE13E}"/>
    <cellStyle name="20% - Accent1 7 3_Exh G" xfId="2040" xr:uid="{00000000-0005-0000-0000-0000AD050000}"/>
    <cellStyle name="20% - Accent1 7 4" xfId="871" xr:uid="{00000000-0005-0000-0000-0000AE050000}"/>
    <cellStyle name="20% - Accent1 7 4 2" xfId="1806" xr:uid="{00000000-0005-0000-0000-0000AF050000}"/>
    <cellStyle name="20% - Accent1 7 4 2 2" xfId="5324" xr:uid="{00000000-0005-0000-0000-0000B0050000}"/>
    <cellStyle name="20% - Accent1 7 4 2 2 2" xfId="8915" xr:uid="{00000000-0005-0000-0000-0000B1050000}"/>
    <cellStyle name="20% - Accent1 7 4 2 2 2 2" xfId="16886" xr:uid="{00000000-0005-0000-0000-0000B2050000}"/>
    <cellStyle name="20% - Accent1 7 4 2 2 2 2 2" xfId="40729" xr:uid="{C3C87369-6ABC-472E-A2E8-C247CB4F0E94}"/>
    <cellStyle name="20% - Accent1 7 4 2 2 2 3" xfId="24832" xr:uid="{00000000-0005-0000-0000-0000B3050000}"/>
    <cellStyle name="20% - Accent1 7 4 2 2 2 3 2" xfId="48665" xr:uid="{200AC4EE-2DF7-4874-B987-6B60FB0BA46A}"/>
    <cellStyle name="20% - Accent1 7 4 2 2 2 4" xfId="32788" xr:uid="{70D050C6-AA0C-4E24-AA2E-E8711AE18481}"/>
    <cellStyle name="20% - Accent1 7 4 2 2 3" xfId="13348" xr:uid="{00000000-0005-0000-0000-0000B4050000}"/>
    <cellStyle name="20% - Accent1 7 4 2 2 3 2" xfId="37198" xr:uid="{D5A2EF55-89FD-4953-9F38-B2D406BF5F78}"/>
    <cellStyle name="20% - Accent1 7 4 2 2 4" xfId="21303" xr:uid="{00000000-0005-0000-0000-0000B5050000}"/>
    <cellStyle name="20% - Accent1 7 4 2 2 4 2" xfId="45136" xr:uid="{AB9571CE-DD70-4D9C-AD6E-BC16563B3182}"/>
    <cellStyle name="20% - Accent1 7 4 2 2 5" xfId="29257" xr:uid="{2C03D433-9EAC-414D-8718-8664779F1DDC}"/>
    <cellStyle name="20% - Accent1 7 4 2 3" xfId="7156" xr:uid="{00000000-0005-0000-0000-0000B6050000}"/>
    <cellStyle name="20% - Accent1 7 4 2 3 2" xfId="15128" xr:uid="{00000000-0005-0000-0000-0000B7050000}"/>
    <cellStyle name="20% - Accent1 7 4 2 3 2 2" xfId="38971" xr:uid="{B992A01B-DF40-4775-A229-4B8833B0A9D8}"/>
    <cellStyle name="20% - Accent1 7 4 2 3 3" xfId="23075" xr:uid="{00000000-0005-0000-0000-0000B8050000}"/>
    <cellStyle name="20% - Accent1 7 4 2 3 3 2" xfId="46908" xr:uid="{9CAA4A18-532E-4077-8768-BDB13905E78B}"/>
    <cellStyle name="20% - Accent1 7 4 2 3 4" xfId="31030" xr:uid="{18017CC2-0BAA-45BA-ABF9-CBDE4BFC0011}"/>
    <cellStyle name="20% - Accent1 7 4 2 4" xfId="11592" xr:uid="{00000000-0005-0000-0000-0000B9050000}"/>
    <cellStyle name="20% - Accent1 7 4 2 4 2" xfId="35442" xr:uid="{455B7AB2-D006-4A7E-9458-2C10FFD3EE29}"/>
    <cellStyle name="20% - Accent1 7 4 2 5" xfId="19547" xr:uid="{00000000-0005-0000-0000-0000BA050000}"/>
    <cellStyle name="20% - Accent1 7 4 2 5 2" xfId="43380" xr:uid="{4368DA8D-2805-4A0F-8F18-64BBEAFFE706}"/>
    <cellStyle name="20% - Accent1 7 4 2 6" xfId="27500" xr:uid="{D3E4A228-1879-4FAB-B44E-09A96AFEDB68}"/>
    <cellStyle name="20% - Accent1 7 4 2_Exh G" xfId="2043" xr:uid="{00000000-0005-0000-0000-0000BB050000}"/>
    <cellStyle name="20% - Accent1 7 4 3" xfId="4445" xr:uid="{00000000-0005-0000-0000-0000BC050000}"/>
    <cellStyle name="20% - Accent1 7 4 3 2" xfId="8037" xr:uid="{00000000-0005-0000-0000-0000BD050000}"/>
    <cellStyle name="20% - Accent1 7 4 3 2 2" xfId="16008" xr:uid="{00000000-0005-0000-0000-0000BE050000}"/>
    <cellStyle name="20% - Accent1 7 4 3 2 2 2" xfId="39851" xr:uid="{37C97DE4-EDC0-445B-9C4A-234C95E1D8FC}"/>
    <cellStyle name="20% - Accent1 7 4 3 2 3" xfId="23954" xr:uid="{00000000-0005-0000-0000-0000BF050000}"/>
    <cellStyle name="20% - Accent1 7 4 3 2 3 2" xfId="47787" xr:uid="{43817613-679F-4FA9-81CB-555B432DAC30}"/>
    <cellStyle name="20% - Accent1 7 4 3 2 4" xfId="31910" xr:uid="{2BA61701-A41D-44F6-AFB5-762B07B194A4}"/>
    <cellStyle name="20% - Accent1 7 4 3 3" xfId="12470" xr:uid="{00000000-0005-0000-0000-0000C0050000}"/>
    <cellStyle name="20% - Accent1 7 4 3 3 2" xfId="36320" xr:uid="{6300B145-BBA9-4A55-83F3-75C487F9E867}"/>
    <cellStyle name="20% - Accent1 7 4 3 4" xfId="20425" xr:uid="{00000000-0005-0000-0000-0000C1050000}"/>
    <cellStyle name="20% - Accent1 7 4 3 4 2" xfId="44258" xr:uid="{832D5CB2-EEC7-4645-8539-0B728672D529}"/>
    <cellStyle name="20% - Accent1 7 4 3 5" xfId="28379" xr:uid="{39142F21-B42B-423C-99E1-BECCDFE70B60}"/>
    <cellStyle name="20% - Accent1 7 4 4" xfId="6275" xr:uid="{00000000-0005-0000-0000-0000C2050000}"/>
    <cellStyle name="20% - Accent1 7 4 4 2" xfId="14250" xr:uid="{00000000-0005-0000-0000-0000C3050000}"/>
    <cellStyle name="20% - Accent1 7 4 4 2 2" xfId="38093" xr:uid="{2502BF44-8B90-48A0-83F8-85B7D1912546}"/>
    <cellStyle name="20% - Accent1 7 4 4 3" xfId="22197" xr:uid="{00000000-0005-0000-0000-0000C4050000}"/>
    <cellStyle name="20% - Accent1 7 4 4 3 2" xfId="46030" xr:uid="{B380364C-097E-4248-9D7C-D407469AD2C0}"/>
    <cellStyle name="20% - Accent1 7 4 4 4" xfId="30152" xr:uid="{7350A542-5AEA-4909-8B4C-47238274DC89}"/>
    <cellStyle name="20% - Accent1 7 4 5" xfId="9818" xr:uid="{00000000-0005-0000-0000-0000C5050000}"/>
    <cellStyle name="20% - Accent1 7 4 5 2" xfId="17776" xr:uid="{00000000-0005-0000-0000-0000C6050000}"/>
    <cellStyle name="20% - Accent1 7 4 5 2 2" xfId="41617" xr:uid="{386D5691-E5B3-4551-9E26-0E66F3EF7C36}"/>
    <cellStyle name="20% - Accent1 7 4 5 3" xfId="25720" xr:uid="{00000000-0005-0000-0000-0000C7050000}"/>
    <cellStyle name="20% - Accent1 7 4 5 3 2" xfId="49553" xr:uid="{D3A899A3-5361-407E-BF80-AAEAA4937031}"/>
    <cellStyle name="20% - Accent1 7 4 5 4" xfId="33676" xr:uid="{119E6E6F-DBE9-47D6-9A07-9E924E57ED08}"/>
    <cellStyle name="20% - Accent1 7 4 6" xfId="10714" xr:uid="{00000000-0005-0000-0000-0000C8050000}"/>
    <cellStyle name="20% - Accent1 7 4 6 2" xfId="34564" xr:uid="{2AD0CC5E-129D-4756-AB31-D7B9F623A7C1}"/>
    <cellStyle name="20% - Accent1 7 4 7" xfId="18669" xr:uid="{00000000-0005-0000-0000-0000C9050000}"/>
    <cellStyle name="20% - Accent1 7 4 7 2" xfId="42502" xr:uid="{62576700-7ED8-4CC7-8690-AA86C0774267}"/>
    <cellStyle name="20% - Accent1 7 4 8" xfId="26622" xr:uid="{08DBA767-AD08-4879-A00D-9E797AC71549}"/>
    <cellStyle name="20% - Accent1 7 4_Exh G" xfId="2042" xr:uid="{00000000-0005-0000-0000-0000CA050000}"/>
    <cellStyle name="20% - Accent1 7 5" xfId="1092" xr:uid="{00000000-0005-0000-0000-0000CB050000}"/>
    <cellStyle name="20% - Accent1 7 5 2" xfId="4622" xr:uid="{00000000-0005-0000-0000-0000CC050000}"/>
    <cellStyle name="20% - Accent1 7 5 2 2" xfId="8213" xr:uid="{00000000-0005-0000-0000-0000CD050000}"/>
    <cellStyle name="20% - Accent1 7 5 2 2 2" xfId="16184" xr:uid="{00000000-0005-0000-0000-0000CE050000}"/>
    <cellStyle name="20% - Accent1 7 5 2 2 2 2" xfId="40027" xr:uid="{42517C97-7A72-408F-8035-0ADA5A829CB6}"/>
    <cellStyle name="20% - Accent1 7 5 2 2 3" xfId="24130" xr:uid="{00000000-0005-0000-0000-0000CF050000}"/>
    <cellStyle name="20% - Accent1 7 5 2 2 3 2" xfId="47963" xr:uid="{F654229E-FBB8-4F92-8015-3F204143A9C4}"/>
    <cellStyle name="20% - Accent1 7 5 2 2 4" xfId="32086" xr:uid="{0599B620-3297-413C-B9F2-C1360925A033}"/>
    <cellStyle name="20% - Accent1 7 5 2 3" xfId="12646" xr:uid="{00000000-0005-0000-0000-0000D0050000}"/>
    <cellStyle name="20% - Accent1 7 5 2 3 2" xfId="36496" xr:uid="{34834540-5B24-4B2D-B1F9-2B2F32BEFF29}"/>
    <cellStyle name="20% - Accent1 7 5 2 4" xfId="20601" xr:uid="{00000000-0005-0000-0000-0000D1050000}"/>
    <cellStyle name="20% - Accent1 7 5 2 4 2" xfId="44434" xr:uid="{07F1BE1C-AA29-4728-B07F-92814E5DB99F}"/>
    <cellStyle name="20% - Accent1 7 5 2 5" xfId="28555" xr:uid="{067AECF2-7CD0-457D-BB0E-C5869BFC51DA}"/>
    <cellStyle name="20% - Accent1 7 5 3" xfId="6454" xr:uid="{00000000-0005-0000-0000-0000D2050000}"/>
    <cellStyle name="20% - Accent1 7 5 3 2" xfId="14426" xr:uid="{00000000-0005-0000-0000-0000D3050000}"/>
    <cellStyle name="20% - Accent1 7 5 3 2 2" xfId="38269" xr:uid="{F8A53409-A59E-41F8-A15E-AC44229BA366}"/>
    <cellStyle name="20% - Accent1 7 5 3 3" xfId="22373" xr:uid="{00000000-0005-0000-0000-0000D4050000}"/>
    <cellStyle name="20% - Accent1 7 5 3 3 2" xfId="46206" xr:uid="{0C150667-D690-423E-B115-C1225DD67FA0}"/>
    <cellStyle name="20% - Accent1 7 5 3 4" xfId="30328" xr:uid="{5E578A47-3118-4372-A1F8-14DD644F4999}"/>
    <cellStyle name="20% - Accent1 7 5 4" xfId="10890" xr:uid="{00000000-0005-0000-0000-0000D5050000}"/>
    <cellStyle name="20% - Accent1 7 5 4 2" xfId="34740" xr:uid="{94DB0F71-54F0-4F38-B8EF-D321DF18C67F}"/>
    <cellStyle name="20% - Accent1 7 5 5" xfId="18845" xr:uid="{00000000-0005-0000-0000-0000D6050000}"/>
    <cellStyle name="20% - Accent1 7 5 5 2" xfId="42678" xr:uid="{79A52A4E-EE05-4E50-9D3C-5E9783479405}"/>
    <cellStyle name="20% - Accent1 7 5 6" xfId="26798" xr:uid="{8EFD029C-1511-4C09-A513-4AE1267BECD7}"/>
    <cellStyle name="20% - Accent1 7 5_Exh G" xfId="2044" xr:uid="{00000000-0005-0000-0000-0000D7050000}"/>
    <cellStyle name="20% - Accent1 7 6" xfId="3743" xr:uid="{00000000-0005-0000-0000-0000D8050000}"/>
    <cellStyle name="20% - Accent1 7 6 2" xfId="7335" xr:uid="{00000000-0005-0000-0000-0000D9050000}"/>
    <cellStyle name="20% - Accent1 7 6 2 2" xfId="15306" xr:uid="{00000000-0005-0000-0000-0000DA050000}"/>
    <cellStyle name="20% - Accent1 7 6 2 2 2" xfId="39149" xr:uid="{9CFD8489-D16F-4EDF-A45F-C5D72ECE9F61}"/>
    <cellStyle name="20% - Accent1 7 6 2 3" xfId="23252" xr:uid="{00000000-0005-0000-0000-0000DB050000}"/>
    <cellStyle name="20% - Accent1 7 6 2 3 2" xfId="47085" xr:uid="{F04576A7-EE1E-407F-BB40-B7AA589F0889}"/>
    <cellStyle name="20% - Accent1 7 6 2 4" xfId="31208" xr:uid="{77418B58-C7DB-4B73-AFA3-2D07DE79D984}"/>
    <cellStyle name="20% - Accent1 7 6 3" xfId="11768" xr:uid="{00000000-0005-0000-0000-0000DC050000}"/>
    <cellStyle name="20% - Accent1 7 6 3 2" xfId="35618" xr:uid="{6B9B14FB-64CA-4ACB-8EC5-72C7FB176C98}"/>
    <cellStyle name="20% - Accent1 7 6 4" xfId="19723" xr:uid="{00000000-0005-0000-0000-0000DD050000}"/>
    <cellStyle name="20% - Accent1 7 6 4 2" xfId="43556" xr:uid="{63FB8229-5DA9-45B7-B8E9-7696F66AE044}"/>
    <cellStyle name="20% - Accent1 7 6 5" xfId="27677" xr:uid="{9EF8AA9A-F72F-481B-BE3C-13280D78EDAC}"/>
    <cellStyle name="20% - Accent1 7 7" xfId="5563" xr:uid="{00000000-0005-0000-0000-0000DE050000}"/>
    <cellStyle name="20% - Accent1 7 7 2" xfId="13547" xr:uid="{00000000-0005-0000-0000-0000DF050000}"/>
    <cellStyle name="20% - Accent1 7 7 2 2" xfId="37391" xr:uid="{93D26076-E302-4C9B-99DB-F61A49A2F110}"/>
    <cellStyle name="20% - Accent1 7 7 3" xfId="21495" xr:uid="{00000000-0005-0000-0000-0000E0050000}"/>
    <cellStyle name="20% - Accent1 7 7 3 2" xfId="45328" xr:uid="{8B0F5E70-D723-4D30-9F5B-1CC1D09450B2}"/>
    <cellStyle name="20% - Accent1 7 7 4" xfId="29450" xr:uid="{FBBE3211-6B2B-4283-B276-CB170D34B5F1}"/>
    <cellStyle name="20% - Accent1 7 8" xfId="9116" xr:uid="{00000000-0005-0000-0000-0000E1050000}"/>
    <cellStyle name="20% - Accent1 7 8 2" xfId="17074" xr:uid="{00000000-0005-0000-0000-0000E2050000}"/>
    <cellStyle name="20% - Accent1 7 8 2 2" xfId="40915" xr:uid="{BD008684-5A8C-41BE-96D4-1843A5167572}"/>
    <cellStyle name="20% - Accent1 7 8 3" xfId="25018" xr:uid="{00000000-0005-0000-0000-0000E3050000}"/>
    <cellStyle name="20% - Accent1 7 8 3 2" xfId="48851" xr:uid="{E9175A57-C9AC-409B-8118-740BC25DE1AC}"/>
    <cellStyle name="20% - Accent1 7 8 4" xfId="32974" xr:uid="{B69DBA2F-447F-47A7-9B51-0FC7246A2BC0}"/>
    <cellStyle name="20% - Accent1 7 9" xfId="10012" xr:uid="{00000000-0005-0000-0000-0000E4050000}"/>
    <cellStyle name="20% - Accent1 7 9 2" xfId="33862" xr:uid="{65A0D1A8-6E30-4642-A055-0E11DA1015B9}"/>
    <cellStyle name="20% - Accent1 7_Exh G" xfId="2035" xr:uid="{00000000-0005-0000-0000-0000E5050000}"/>
    <cellStyle name="20% - Accent1 8" xfId="68" xr:uid="{00000000-0005-0000-0000-0000E6050000}"/>
    <cellStyle name="20% - Accent1 8 10" xfId="17971" xr:uid="{00000000-0005-0000-0000-0000E7050000}"/>
    <cellStyle name="20% - Accent1 8 10 2" xfId="41804" xr:uid="{5E172279-3A1F-4876-947F-21703E6F7F44}"/>
    <cellStyle name="20% - Accent1 8 11" xfId="25924" xr:uid="{983E21EF-22F7-4C7D-82B7-EB029E8A97B8}"/>
    <cellStyle name="20% - Accent1 8 2" xfId="69" xr:uid="{00000000-0005-0000-0000-0000E8050000}"/>
    <cellStyle name="20% - Accent1 8 2 2" xfId="70" xr:uid="{00000000-0005-0000-0000-0000E9050000}"/>
    <cellStyle name="20% - Accent1 8 2 2 2" xfId="1098" xr:uid="{00000000-0005-0000-0000-0000EA050000}"/>
    <cellStyle name="20% - Accent1 8 2 2 2 2" xfId="4628" xr:uid="{00000000-0005-0000-0000-0000EB050000}"/>
    <cellStyle name="20% - Accent1 8 2 2 2 2 2" xfId="8219" xr:uid="{00000000-0005-0000-0000-0000EC050000}"/>
    <cellStyle name="20% - Accent1 8 2 2 2 2 2 2" xfId="16190" xr:uid="{00000000-0005-0000-0000-0000ED050000}"/>
    <cellStyle name="20% - Accent1 8 2 2 2 2 2 2 2" xfId="40033" xr:uid="{41C7C33F-24E4-46F1-919A-76DCC1A52435}"/>
    <cellStyle name="20% - Accent1 8 2 2 2 2 2 3" xfId="24136" xr:uid="{00000000-0005-0000-0000-0000EE050000}"/>
    <cellStyle name="20% - Accent1 8 2 2 2 2 2 3 2" xfId="47969" xr:uid="{51F31017-C870-4B90-87A3-7A88E454BB5D}"/>
    <cellStyle name="20% - Accent1 8 2 2 2 2 2 4" xfId="32092" xr:uid="{06034D46-C9C7-48E7-965E-E3DBA80CC29F}"/>
    <cellStyle name="20% - Accent1 8 2 2 2 2 3" xfId="12652" xr:uid="{00000000-0005-0000-0000-0000EF050000}"/>
    <cellStyle name="20% - Accent1 8 2 2 2 2 3 2" xfId="36502" xr:uid="{DBAC2121-F206-4F1C-A3DD-56D195B61950}"/>
    <cellStyle name="20% - Accent1 8 2 2 2 2 4" xfId="20607" xr:uid="{00000000-0005-0000-0000-0000F0050000}"/>
    <cellStyle name="20% - Accent1 8 2 2 2 2 4 2" xfId="44440" xr:uid="{139A6CC9-DF47-4DAE-BA58-95B8B0BA76A8}"/>
    <cellStyle name="20% - Accent1 8 2 2 2 2 5" xfId="28561" xr:uid="{1A3455E9-0DF4-4767-A452-8CFD48B76AF2}"/>
    <cellStyle name="20% - Accent1 8 2 2 2 3" xfId="6460" xr:uid="{00000000-0005-0000-0000-0000F1050000}"/>
    <cellStyle name="20% - Accent1 8 2 2 2 3 2" xfId="14432" xr:uid="{00000000-0005-0000-0000-0000F2050000}"/>
    <cellStyle name="20% - Accent1 8 2 2 2 3 2 2" xfId="38275" xr:uid="{4163B645-2454-4375-AB73-F01DD25A0326}"/>
    <cellStyle name="20% - Accent1 8 2 2 2 3 3" xfId="22379" xr:uid="{00000000-0005-0000-0000-0000F3050000}"/>
    <cellStyle name="20% - Accent1 8 2 2 2 3 3 2" xfId="46212" xr:uid="{4203C255-54AF-4B2F-8E09-AD51CD0F2734}"/>
    <cellStyle name="20% - Accent1 8 2 2 2 3 4" xfId="30334" xr:uid="{510CBD9C-FBAE-4D0E-A4DA-8D9F860FF629}"/>
    <cellStyle name="20% - Accent1 8 2 2 2 4" xfId="10896" xr:uid="{00000000-0005-0000-0000-0000F4050000}"/>
    <cellStyle name="20% - Accent1 8 2 2 2 4 2" xfId="34746" xr:uid="{32FBF6A0-8E34-4218-B2A6-7CDDC99D780B}"/>
    <cellStyle name="20% - Accent1 8 2 2 2 5" xfId="18851" xr:uid="{00000000-0005-0000-0000-0000F5050000}"/>
    <cellStyle name="20% - Accent1 8 2 2 2 5 2" xfId="42684" xr:uid="{488A6D4B-79EE-4C28-A671-A5138D125C63}"/>
    <cellStyle name="20% - Accent1 8 2 2 2 6" xfId="26804" xr:uid="{B4C5C29E-CFE3-4EA5-B141-6AC6F0954E08}"/>
    <cellStyle name="20% - Accent1 8 2 2 2_Exh G" xfId="2048" xr:uid="{00000000-0005-0000-0000-0000F6050000}"/>
    <cellStyle name="20% - Accent1 8 2 2 3" xfId="3749" xr:uid="{00000000-0005-0000-0000-0000F7050000}"/>
    <cellStyle name="20% - Accent1 8 2 2 3 2" xfId="7341" xr:uid="{00000000-0005-0000-0000-0000F8050000}"/>
    <cellStyle name="20% - Accent1 8 2 2 3 2 2" xfId="15312" xr:uid="{00000000-0005-0000-0000-0000F9050000}"/>
    <cellStyle name="20% - Accent1 8 2 2 3 2 2 2" xfId="39155" xr:uid="{155B72C1-D0AD-4510-B382-214A6172F221}"/>
    <cellStyle name="20% - Accent1 8 2 2 3 2 3" xfId="23258" xr:uid="{00000000-0005-0000-0000-0000FA050000}"/>
    <cellStyle name="20% - Accent1 8 2 2 3 2 3 2" xfId="47091" xr:uid="{A752F173-0196-4A92-BD5B-103EA7B7951C}"/>
    <cellStyle name="20% - Accent1 8 2 2 3 2 4" xfId="31214" xr:uid="{B4FDBB69-9D8A-42A9-ADFE-660D6F3B5347}"/>
    <cellStyle name="20% - Accent1 8 2 2 3 3" xfId="11774" xr:uid="{00000000-0005-0000-0000-0000FB050000}"/>
    <cellStyle name="20% - Accent1 8 2 2 3 3 2" xfId="35624" xr:uid="{9AA4C35A-BFF0-46E3-988A-71105C01657A}"/>
    <cellStyle name="20% - Accent1 8 2 2 3 4" xfId="19729" xr:uid="{00000000-0005-0000-0000-0000FC050000}"/>
    <cellStyle name="20% - Accent1 8 2 2 3 4 2" xfId="43562" xr:uid="{2A0B3619-B59C-444F-BB5D-F26E0CB90B90}"/>
    <cellStyle name="20% - Accent1 8 2 2 3 5" xfId="27683" xr:uid="{F14696C8-0BDD-4A92-812C-AF00BA7C826B}"/>
    <cellStyle name="20% - Accent1 8 2 2 4" xfId="5569" xr:uid="{00000000-0005-0000-0000-0000FD050000}"/>
    <cellStyle name="20% - Accent1 8 2 2 4 2" xfId="13553" xr:uid="{00000000-0005-0000-0000-0000FE050000}"/>
    <cellStyle name="20% - Accent1 8 2 2 4 2 2" xfId="37397" xr:uid="{54E8D3D3-6D54-4150-8EC3-9012E2C6AD89}"/>
    <cellStyle name="20% - Accent1 8 2 2 4 3" xfId="21501" xr:uid="{00000000-0005-0000-0000-0000FF050000}"/>
    <cellStyle name="20% - Accent1 8 2 2 4 3 2" xfId="45334" xr:uid="{38280551-7A6B-4F9A-8AD6-BFDF3AED9636}"/>
    <cellStyle name="20% - Accent1 8 2 2 4 4" xfId="29456" xr:uid="{F50A6415-F321-45E7-945F-71E2C9B0ADF4}"/>
    <cellStyle name="20% - Accent1 8 2 2 5" xfId="9122" xr:uid="{00000000-0005-0000-0000-000000060000}"/>
    <cellStyle name="20% - Accent1 8 2 2 5 2" xfId="17080" xr:uid="{00000000-0005-0000-0000-000001060000}"/>
    <cellStyle name="20% - Accent1 8 2 2 5 2 2" xfId="40921" xr:uid="{6CB5A510-5E4F-46A7-AAF6-9216425860DA}"/>
    <cellStyle name="20% - Accent1 8 2 2 5 3" xfId="25024" xr:uid="{00000000-0005-0000-0000-000002060000}"/>
    <cellStyle name="20% - Accent1 8 2 2 5 3 2" xfId="48857" xr:uid="{8C935992-567C-4909-8889-51DA804E5915}"/>
    <cellStyle name="20% - Accent1 8 2 2 5 4" xfId="32980" xr:uid="{C67CD7E2-2B84-4807-A9EC-18CD1A35B8A3}"/>
    <cellStyle name="20% - Accent1 8 2 2 6" xfId="10018" xr:uid="{00000000-0005-0000-0000-000003060000}"/>
    <cellStyle name="20% - Accent1 8 2 2 6 2" xfId="33868" xr:uid="{AB9FA0D6-5CCC-43EC-8213-6F4EDB536BB2}"/>
    <cellStyle name="20% - Accent1 8 2 2 7" xfId="17973" xr:uid="{00000000-0005-0000-0000-000004060000}"/>
    <cellStyle name="20% - Accent1 8 2 2 7 2" xfId="41806" xr:uid="{C5BAE61D-F246-4C0A-9DC9-AB928DF7FFA5}"/>
    <cellStyle name="20% - Accent1 8 2 2 8" xfId="25926" xr:uid="{50483BA2-1F26-45AA-8D27-13BD711F78E5}"/>
    <cellStyle name="20% - Accent1 8 2 2_Exh G" xfId="2047" xr:uid="{00000000-0005-0000-0000-000005060000}"/>
    <cellStyle name="20% - Accent1 8 2 3" xfId="1097" xr:uid="{00000000-0005-0000-0000-000006060000}"/>
    <cellStyle name="20% - Accent1 8 2 3 2" xfId="4627" xr:uid="{00000000-0005-0000-0000-000007060000}"/>
    <cellStyle name="20% - Accent1 8 2 3 2 2" xfId="8218" xr:uid="{00000000-0005-0000-0000-000008060000}"/>
    <cellStyle name="20% - Accent1 8 2 3 2 2 2" xfId="16189" xr:uid="{00000000-0005-0000-0000-000009060000}"/>
    <cellStyle name="20% - Accent1 8 2 3 2 2 2 2" xfId="40032" xr:uid="{FF64A4D6-67F0-48AB-9C0A-9D237931B589}"/>
    <cellStyle name="20% - Accent1 8 2 3 2 2 3" xfId="24135" xr:uid="{00000000-0005-0000-0000-00000A060000}"/>
    <cellStyle name="20% - Accent1 8 2 3 2 2 3 2" xfId="47968" xr:uid="{8EC5003E-661F-491F-AD4B-1278A21AFEA1}"/>
    <cellStyle name="20% - Accent1 8 2 3 2 2 4" xfId="32091" xr:uid="{A1337A20-A4CC-4144-A751-17566E46AD46}"/>
    <cellStyle name="20% - Accent1 8 2 3 2 3" xfId="12651" xr:uid="{00000000-0005-0000-0000-00000B060000}"/>
    <cellStyle name="20% - Accent1 8 2 3 2 3 2" xfId="36501" xr:uid="{D2C80419-AD79-4334-8C4E-D3B44E860940}"/>
    <cellStyle name="20% - Accent1 8 2 3 2 4" xfId="20606" xr:uid="{00000000-0005-0000-0000-00000C060000}"/>
    <cellStyle name="20% - Accent1 8 2 3 2 4 2" xfId="44439" xr:uid="{743588EC-811E-473D-88C3-815CB9A227AD}"/>
    <cellStyle name="20% - Accent1 8 2 3 2 5" xfId="28560" xr:uid="{4720EF00-7A06-478F-B65E-E23E391B38A9}"/>
    <cellStyle name="20% - Accent1 8 2 3 3" xfId="6459" xr:uid="{00000000-0005-0000-0000-00000D060000}"/>
    <cellStyle name="20% - Accent1 8 2 3 3 2" xfId="14431" xr:uid="{00000000-0005-0000-0000-00000E060000}"/>
    <cellStyle name="20% - Accent1 8 2 3 3 2 2" xfId="38274" xr:uid="{8C31725B-D06B-4424-9A96-7AF466014529}"/>
    <cellStyle name="20% - Accent1 8 2 3 3 3" xfId="22378" xr:uid="{00000000-0005-0000-0000-00000F060000}"/>
    <cellStyle name="20% - Accent1 8 2 3 3 3 2" xfId="46211" xr:uid="{82F4C01F-9EBC-4D04-A478-EC99BF4CF1F3}"/>
    <cellStyle name="20% - Accent1 8 2 3 3 4" xfId="30333" xr:uid="{2B3A6271-5D70-40F2-86A5-7AABB546A425}"/>
    <cellStyle name="20% - Accent1 8 2 3 4" xfId="10895" xr:uid="{00000000-0005-0000-0000-000010060000}"/>
    <cellStyle name="20% - Accent1 8 2 3 4 2" xfId="34745" xr:uid="{0642DB2E-16F3-4716-A0F2-8BEC7C1D704C}"/>
    <cellStyle name="20% - Accent1 8 2 3 5" xfId="18850" xr:uid="{00000000-0005-0000-0000-000011060000}"/>
    <cellStyle name="20% - Accent1 8 2 3 5 2" xfId="42683" xr:uid="{2DBA7F05-C5D3-4D41-B825-BBA94AC47B78}"/>
    <cellStyle name="20% - Accent1 8 2 3 6" xfId="26803" xr:uid="{9E3A4E29-BDA7-466A-B3C5-E84A82025A09}"/>
    <cellStyle name="20% - Accent1 8 2 3_Exh G" xfId="2049" xr:uid="{00000000-0005-0000-0000-000012060000}"/>
    <cellStyle name="20% - Accent1 8 2 4" xfId="3748" xr:uid="{00000000-0005-0000-0000-000013060000}"/>
    <cellStyle name="20% - Accent1 8 2 4 2" xfId="7340" xr:uid="{00000000-0005-0000-0000-000014060000}"/>
    <cellStyle name="20% - Accent1 8 2 4 2 2" xfId="15311" xr:uid="{00000000-0005-0000-0000-000015060000}"/>
    <cellStyle name="20% - Accent1 8 2 4 2 2 2" xfId="39154" xr:uid="{B41DE2F4-CEFA-4462-A90B-AF0AA5E33536}"/>
    <cellStyle name="20% - Accent1 8 2 4 2 3" xfId="23257" xr:uid="{00000000-0005-0000-0000-000016060000}"/>
    <cellStyle name="20% - Accent1 8 2 4 2 3 2" xfId="47090" xr:uid="{C9AD24B5-3B0D-46E6-91A4-E2C521186277}"/>
    <cellStyle name="20% - Accent1 8 2 4 2 4" xfId="31213" xr:uid="{AC8BE8EA-C64F-4467-8B6B-0FC3388CFD7E}"/>
    <cellStyle name="20% - Accent1 8 2 4 3" xfId="11773" xr:uid="{00000000-0005-0000-0000-000017060000}"/>
    <cellStyle name="20% - Accent1 8 2 4 3 2" xfId="35623" xr:uid="{F9970EC5-8181-4078-A274-2FBDBE5DDB10}"/>
    <cellStyle name="20% - Accent1 8 2 4 4" xfId="19728" xr:uid="{00000000-0005-0000-0000-000018060000}"/>
    <cellStyle name="20% - Accent1 8 2 4 4 2" xfId="43561" xr:uid="{5B64AEF9-CD2C-4064-9FAA-D0A3FAB90747}"/>
    <cellStyle name="20% - Accent1 8 2 4 5" xfId="27682" xr:uid="{73B15E26-1832-4346-B2D0-7546B7CE0C3A}"/>
    <cellStyle name="20% - Accent1 8 2 5" xfId="5568" xr:uid="{00000000-0005-0000-0000-000019060000}"/>
    <cellStyle name="20% - Accent1 8 2 5 2" xfId="13552" xr:uid="{00000000-0005-0000-0000-00001A060000}"/>
    <cellStyle name="20% - Accent1 8 2 5 2 2" xfId="37396" xr:uid="{1FEA7AA4-DBEC-4746-999D-E6E52A0F4CB8}"/>
    <cellStyle name="20% - Accent1 8 2 5 3" xfId="21500" xr:uid="{00000000-0005-0000-0000-00001B060000}"/>
    <cellStyle name="20% - Accent1 8 2 5 3 2" xfId="45333" xr:uid="{839A5C0E-87E8-4190-AD9A-875BA7264E04}"/>
    <cellStyle name="20% - Accent1 8 2 5 4" xfId="29455" xr:uid="{5B47A3B9-64BA-4FD9-BE05-5D0FA175AE61}"/>
    <cellStyle name="20% - Accent1 8 2 6" xfId="9121" xr:uid="{00000000-0005-0000-0000-00001C060000}"/>
    <cellStyle name="20% - Accent1 8 2 6 2" xfId="17079" xr:uid="{00000000-0005-0000-0000-00001D060000}"/>
    <cellStyle name="20% - Accent1 8 2 6 2 2" xfId="40920" xr:uid="{51905035-DD8E-46A0-929D-1E0D2A8C0D2E}"/>
    <cellStyle name="20% - Accent1 8 2 6 3" xfId="25023" xr:uid="{00000000-0005-0000-0000-00001E060000}"/>
    <cellStyle name="20% - Accent1 8 2 6 3 2" xfId="48856" xr:uid="{5F353729-16FE-4B8C-9F61-2C22BB6B550E}"/>
    <cellStyle name="20% - Accent1 8 2 6 4" xfId="32979" xr:uid="{45199DA5-C87F-4A2C-BAAB-BD3029F422EE}"/>
    <cellStyle name="20% - Accent1 8 2 7" xfId="10017" xr:uid="{00000000-0005-0000-0000-00001F060000}"/>
    <cellStyle name="20% - Accent1 8 2 7 2" xfId="33867" xr:uid="{CC61F0BE-459B-4912-907D-16580D20D088}"/>
    <cellStyle name="20% - Accent1 8 2 8" xfId="17972" xr:uid="{00000000-0005-0000-0000-000020060000}"/>
    <cellStyle name="20% - Accent1 8 2 8 2" xfId="41805" xr:uid="{F102DE52-70AB-40B4-BDED-ABE9CA154D8D}"/>
    <cellStyle name="20% - Accent1 8 2 9" xfId="25925" xr:uid="{5839C61A-4276-4F05-946D-957405BB95BE}"/>
    <cellStyle name="20% - Accent1 8 2_Exh G" xfId="2046" xr:uid="{00000000-0005-0000-0000-000021060000}"/>
    <cellStyle name="20% - Accent1 8 3" xfId="71" xr:uid="{00000000-0005-0000-0000-000022060000}"/>
    <cellStyle name="20% - Accent1 8 3 2" xfId="1099" xr:uid="{00000000-0005-0000-0000-000023060000}"/>
    <cellStyle name="20% - Accent1 8 3 2 2" xfId="4629" xr:uid="{00000000-0005-0000-0000-000024060000}"/>
    <cellStyle name="20% - Accent1 8 3 2 2 2" xfId="8220" xr:uid="{00000000-0005-0000-0000-000025060000}"/>
    <cellStyle name="20% - Accent1 8 3 2 2 2 2" xfId="16191" xr:uid="{00000000-0005-0000-0000-000026060000}"/>
    <cellStyle name="20% - Accent1 8 3 2 2 2 2 2" xfId="40034" xr:uid="{576E0DA6-461C-4758-8E77-0D5CE904F9B3}"/>
    <cellStyle name="20% - Accent1 8 3 2 2 2 3" xfId="24137" xr:uid="{00000000-0005-0000-0000-000027060000}"/>
    <cellStyle name="20% - Accent1 8 3 2 2 2 3 2" xfId="47970" xr:uid="{ED266B81-0378-4EB5-9518-4A017595BDB2}"/>
    <cellStyle name="20% - Accent1 8 3 2 2 2 4" xfId="32093" xr:uid="{0B2E4255-DF7A-46AF-9018-82C85071D678}"/>
    <cellStyle name="20% - Accent1 8 3 2 2 3" xfId="12653" xr:uid="{00000000-0005-0000-0000-000028060000}"/>
    <cellStyle name="20% - Accent1 8 3 2 2 3 2" xfId="36503" xr:uid="{B1B95754-6916-411E-9C87-AA401E7E9EFA}"/>
    <cellStyle name="20% - Accent1 8 3 2 2 4" xfId="20608" xr:uid="{00000000-0005-0000-0000-000029060000}"/>
    <cellStyle name="20% - Accent1 8 3 2 2 4 2" xfId="44441" xr:uid="{A44CBA14-FB79-4FC0-BA4D-D1C5C33D79FC}"/>
    <cellStyle name="20% - Accent1 8 3 2 2 5" xfId="28562" xr:uid="{9B52D2EF-655B-41DF-B615-B3E4254D0BEA}"/>
    <cellStyle name="20% - Accent1 8 3 2 3" xfId="6461" xr:uid="{00000000-0005-0000-0000-00002A060000}"/>
    <cellStyle name="20% - Accent1 8 3 2 3 2" xfId="14433" xr:uid="{00000000-0005-0000-0000-00002B060000}"/>
    <cellStyle name="20% - Accent1 8 3 2 3 2 2" xfId="38276" xr:uid="{62E37ABD-55B6-44C8-A844-EAB620048D88}"/>
    <cellStyle name="20% - Accent1 8 3 2 3 3" xfId="22380" xr:uid="{00000000-0005-0000-0000-00002C060000}"/>
    <cellStyle name="20% - Accent1 8 3 2 3 3 2" xfId="46213" xr:uid="{62854326-825D-40C7-B6F3-4601A8B793F9}"/>
    <cellStyle name="20% - Accent1 8 3 2 3 4" xfId="30335" xr:uid="{1B723C7A-81E5-48FC-AFEA-61258FE3F5C6}"/>
    <cellStyle name="20% - Accent1 8 3 2 4" xfId="10897" xr:uid="{00000000-0005-0000-0000-00002D060000}"/>
    <cellStyle name="20% - Accent1 8 3 2 4 2" xfId="34747" xr:uid="{454C8DA4-E7F6-4C1A-B648-9FCD604E1F0B}"/>
    <cellStyle name="20% - Accent1 8 3 2 5" xfId="18852" xr:uid="{00000000-0005-0000-0000-00002E060000}"/>
    <cellStyle name="20% - Accent1 8 3 2 5 2" xfId="42685" xr:uid="{DC0EF1B0-EFA7-44C5-9640-504F79B7F02A}"/>
    <cellStyle name="20% - Accent1 8 3 2 6" xfId="26805" xr:uid="{57042850-1DF5-47CA-B7F9-5B2391DDA261}"/>
    <cellStyle name="20% - Accent1 8 3 2_Exh G" xfId="2051" xr:uid="{00000000-0005-0000-0000-00002F060000}"/>
    <cellStyle name="20% - Accent1 8 3 3" xfId="3750" xr:uid="{00000000-0005-0000-0000-000030060000}"/>
    <cellStyle name="20% - Accent1 8 3 3 2" xfId="7342" xr:uid="{00000000-0005-0000-0000-000031060000}"/>
    <cellStyle name="20% - Accent1 8 3 3 2 2" xfId="15313" xr:uid="{00000000-0005-0000-0000-000032060000}"/>
    <cellStyle name="20% - Accent1 8 3 3 2 2 2" xfId="39156" xr:uid="{DFF6A0B3-025D-42D0-B2E0-E6DE926949A5}"/>
    <cellStyle name="20% - Accent1 8 3 3 2 3" xfId="23259" xr:uid="{00000000-0005-0000-0000-000033060000}"/>
    <cellStyle name="20% - Accent1 8 3 3 2 3 2" xfId="47092" xr:uid="{2BB33D47-64F4-4742-94E0-37E6E83961B0}"/>
    <cellStyle name="20% - Accent1 8 3 3 2 4" xfId="31215" xr:uid="{F2BB6851-8E5D-4E85-9BE7-83E1F06F0603}"/>
    <cellStyle name="20% - Accent1 8 3 3 3" xfId="11775" xr:uid="{00000000-0005-0000-0000-000034060000}"/>
    <cellStyle name="20% - Accent1 8 3 3 3 2" xfId="35625" xr:uid="{8229586F-BFB8-4791-A7F8-EE7AC989AA23}"/>
    <cellStyle name="20% - Accent1 8 3 3 4" xfId="19730" xr:uid="{00000000-0005-0000-0000-000035060000}"/>
    <cellStyle name="20% - Accent1 8 3 3 4 2" xfId="43563" xr:uid="{175CBB00-AEBC-4668-B181-1C307B913CFE}"/>
    <cellStyle name="20% - Accent1 8 3 3 5" xfId="27684" xr:uid="{45E11451-DA44-4F92-900D-1FE23825DE8B}"/>
    <cellStyle name="20% - Accent1 8 3 4" xfId="5570" xr:uid="{00000000-0005-0000-0000-000036060000}"/>
    <cellStyle name="20% - Accent1 8 3 4 2" xfId="13554" xr:uid="{00000000-0005-0000-0000-000037060000}"/>
    <cellStyle name="20% - Accent1 8 3 4 2 2" xfId="37398" xr:uid="{DF3340DB-69FA-4024-9107-4F518A5B9C35}"/>
    <cellStyle name="20% - Accent1 8 3 4 3" xfId="21502" xr:uid="{00000000-0005-0000-0000-000038060000}"/>
    <cellStyle name="20% - Accent1 8 3 4 3 2" xfId="45335" xr:uid="{051DDFA3-FD9C-4CEC-8154-244F4CAE22C1}"/>
    <cellStyle name="20% - Accent1 8 3 4 4" xfId="29457" xr:uid="{E744E6D8-ED15-4763-A9B4-04B78C3DCC78}"/>
    <cellStyle name="20% - Accent1 8 3 5" xfId="9123" xr:uid="{00000000-0005-0000-0000-000039060000}"/>
    <cellStyle name="20% - Accent1 8 3 5 2" xfId="17081" xr:uid="{00000000-0005-0000-0000-00003A060000}"/>
    <cellStyle name="20% - Accent1 8 3 5 2 2" xfId="40922" xr:uid="{59EA337D-A7C7-4793-88EF-A9397CC50D27}"/>
    <cellStyle name="20% - Accent1 8 3 5 3" xfId="25025" xr:uid="{00000000-0005-0000-0000-00003B060000}"/>
    <cellStyle name="20% - Accent1 8 3 5 3 2" xfId="48858" xr:uid="{8D495EA2-8EB5-4A9F-ABD2-420D1607F85F}"/>
    <cellStyle name="20% - Accent1 8 3 5 4" xfId="32981" xr:uid="{29D46C98-8417-466C-914D-F735E461CA30}"/>
    <cellStyle name="20% - Accent1 8 3 6" xfId="10019" xr:uid="{00000000-0005-0000-0000-00003C060000}"/>
    <cellStyle name="20% - Accent1 8 3 6 2" xfId="33869" xr:uid="{AF4BF050-823D-4D2E-BFA6-6A64C1D570C7}"/>
    <cellStyle name="20% - Accent1 8 3 7" xfId="17974" xr:uid="{00000000-0005-0000-0000-00003D060000}"/>
    <cellStyle name="20% - Accent1 8 3 7 2" xfId="41807" xr:uid="{FF02CAA9-056E-45DF-AB2D-EDB040BE1BB3}"/>
    <cellStyle name="20% - Accent1 8 3 8" xfId="25927" xr:uid="{B88032D5-E361-4DC6-93BE-2BB02973DDB4}"/>
    <cellStyle name="20% - Accent1 8 3_Exh G" xfId="2050" xr:uid="{00000000-0005-0000-0000-00003E060000}"/>
    <cellStyle name="20% - Accent1 8 4" xfId="872" xr:uid="{00000000-0005-0000-0000-00003F060000}"/>
    <cellStyle name="20% - Accent1 8 4 2" xfId="1807" xr:uid="{00000000-0005-0000-0000-000040060000}"/>
    <cellStyle name="20% - Accent1 8 4 2 2" xfId="5325" xr:uid="{00000000-0005-0000-0000-000041060000}"/>
    <cellStyle name="20% - Accent1 8 4 2 2 2" xfId="8916" xr:uid="{00000000-0005-0000-0000-000042060000}"/>
    <cellStyle name="20% - Accent1 8 4 2 2 2 2" xfId="16887" xr:uid="{00000000-0005-0000-0000-000043060000}"/>
    <cellStyle name="20% - Accent1 8 4 2 2 2 2 2" xfId="40730" xr:uid="{D8D89ED9-27FD-41CA-A369-F28403CA0445}"/>
    <cellStyle name="20% - Accent1 8 4 2 2 2 3" xfId="24833" xr:uid="{00000000-0005-0000-0000-000044060000}"/>
    <cellStyle name="20% - Accent1 8 4 2 2 2 3 2" xfId="48666" xr:uid="{E9A928E5-11EE-44A9-A7F4-C9CBCB941909}"/>
    <cellStyle name="20% - Accent1 8 4 2 2 2 4" xfId="32789" xr:uid="{3A4884D0-397A-4690-87BD-0AA5CD25A945}"/>
    <cellStyle name="20% - Accent1 8 4 2 2 3" xfId="13349" xr:uid="{00000000-0005-0000-0000-000045060000}"/>
    <cellStyle name="20% - Accent1 8 4 2 2 3 2" xfId="37199" xr:uid="{1A67A57D-764B-4E18-AF29-F548C772B687}"/>
    <cellStyle name="20% - Accent1 8 4 2 2 4" xfId="21304" xr:uid="{00000000-0005-0000-0000-000046060000}"/>
    <cellStyle name="20% - Accent1 8 4 2 2 4 2" xfId="45137" xr:uid="{19587CE1-11C3-4711-AB79-6C0171E76D49}"/>
    <cellStyle name="20% - Accent1 8 4 2 2 5" xfId="29258" xr:uid="{DCEA6DEB-B8B1-4E81-BCD9-10C731DE4A16}"/>
    <cellStyle name="20% - Accent1 8 4 2 3" xfId="7157" xr:uid="{00000000-0005-0000-0000-000047060000}"/>
    <cellStyle name="20% - Accent1 8 4 2 3 2" xfId="15129" xr:uid="{00000000-0005-0000-0000-000048060000}"/>
    <cellStyle name="20% - Accent1 8 4 2 3 2 2" xfId="38972" xr:uid="{8350DB27-116E-423E-A269-CFA5541F1CDF}"/>
    <cellStyle name="20% - Accent1 8 4 2 3 3" xfId="23076" xr:uid="{00000000-0005-0000-0000-000049060000}"/>
    <cellStyle name="20% - Accent1 8 4 2 3 3 2" xfId="46909" xr:uid="{7A8ED615-FBA5-4702-A48A-9763D7B54832}"/>
    <cellStyle name="20% - Accent1 8 4 2 3 4" xfId="31031" xr:uid="{943C7A20-0F55-4F82-BC69-F98587B61434}"/>
    <cellStyle name="20% - Accent1 8 4 2 4" xfId="11593" xr:uid="{00000000-0005-0000-0000-00004A060000}"/>
    <cellStyle name="20% - Accent1 8 4 2 4 2" xfId="35443" xr:uid="{9F49BA60-5A2D-44B4-B74E-692136434AF9}"/>
    <cellStyle name="20% - Accent1 8 4 2 5" xfId="19548" xr:uid="{00000000-0005-0000-0000-00004B060000}"/>
    <cellStyle name="20% - Accent1 8 4 2 5 2" xfId="43381" xr:uid="{F43D9041-B95D-4653-94B5-F82FA72B05BF}"/>
    <cellStyle name="20% - Accent1 8 4 2 6" xfId="27501" xr:uid="{266BCBA4-992C-4711-8411-C68C5015D4ED}"/>
    <cellStyle name="20% - Accent1 8 4 2_Exh G" xfId="2053" xr:uid="{00000000-0005-0000-0000-00004C060000}"/>
    <cellStyle name="20% - Accent1 8 4 3" xfId="4446" xr:uid="{00000000-0005-0000-0000-00004D060000}"/>
    <cellStyle name="20% - Accent1 8 4 3 2" xfId="8038" xr:uid="{00000000-0005-0000-0000-00004E060000}"/>
    <cellStyle name="20% - Accent1 8 4 3 2 2" xfId="16009" xr:uid="{00000000-0005-0000-0000-00004F060000}"/>
    <cellStyle name="20% - Accent1 8 4 3 2 2 2" xfId="39852" xr:uid="{5CFFD6D9-D14F-419A-988E-51A36A6AB931}"/>
    <cellStyle name="20% - Accent1 8 4 3 2 3" xfId="23955" xr:uid="{00000000-0005-0000-0000-000050060000}"/>
    <cellStyle name="20% - Accent1 8 4 3 2 3 2" xfId="47788" xr:uid="{38B3C01E-B2AD-40A9-8363-8BFCDF47FFA9}"/>
    <cellStyle name="20% - Accent1 8 4 3 2 4" xfId="31911" xr:uid="{906D6FE6-D6D9-4EE6-BD22-6A6EF398A691}"/>
    <cellStyle name="20% - Accent1 8 4 3 3" xfId="12471" xr:uid="{00000000-0005-0000-0000-000051060000}"/>
    <cellStyle name="20% - Accent1 8 4 3 3 2" xfId="36321" xr:uid="{C508EC42-FCBD-4C47-901C-0D20F1165DDA}"/>
    <cellStyle name="20% - Accent1 8 4 3 4" xfId="20426" xr:uid="{00000000-0005-0000-0000-000052060000}"/>
    <cellStyle name="20% - Accent1 8 4 3 4 2" xfId="44259" xr:uid="{57FD4E82-DA2D-45A4-A5F0-04C23D79594D}"/>
    <cellStyle name="20% - Accent1 8 4 3 5" xfId="28380" xr:uid="{D1F332AC-5FFB-49FC-ABB1-E2E9C7BAAA61}"/>
    <cellStyle name="20% - Accent1 8 4 4" xfId="6276" xr:uid="{00000000-0005-0000-0000-000053060000}"/>
    <cellStyle name="20% - Accent1 8 4 4 2" xfId="14251" xr:uid="{00000000-0005-0000-0000-000054060000}"/>
    <cellStyle name="20% - Accent1 8 4 4 2 2" xfId="38094" xr:uid="{5DE01CC9-6F1A-427F-A136-114D9CB24B32}"/>
    <cellStyle name="20% - Accent1 8 4 4 3" xfId="22198" xr:uid="{00000000-0005-0000-0000-000055060000}"/>
    <cellStyle name="20% - Accent1 8 4 4 3 2" xfId="46031" xr:uid="{A121F175-3B36-401C-B8AE-25E914AF9499}"/>
    <cellStyle name="20% - Accent1 8 4 4 4" xfId="30153" xr:uid="{EC699838-34C9-4727-AAB7-9054FBB9DBAF}"/>
    <cellStyle name="20% - Accent1 8 4 5" xfId="9819" xr:uid="{00000000-0005-0000-0000-000056060000}"/>
    <cellStyle name="20% - Accent1 8 4 5 2" xfId="17777" xr:uid="{00000000-0005-0000-0000-000057060000}"/>
    <cellStyle name="20% - Accent1 8 4 5 2 2" xfId="41618" xr:uid="{95BEFB51-E06A-4321-A794-A70C0D2E0465}"/>
    <cellStyle name="20% - Accent1 8 4 5 3" xfId="25721" xr:uid="{00000000-0005-0000-0000-000058060000}"/>
    <cellStyle name="20% - Accent1 8 4 5 3 2" xfId="49554" xr:uid="{E92DD9E1-98BD-4974-BF7B-D825DE2D8A30}"/>
    <cellStyle name="20% - Accent1 8 4 5 4" xfId="33677" xr:uid="{D748B27D-088C-49CD-A938-D15594B46B27}"/>
    <cellStyle name="20% - Accent1 8 4 6" xfId="10715" xr:uid="{00000000-0005-0000-0000-000059060000}"/>
    <cellStyle name="20% - Accent1 8 4 6 2" xfId="34565" xr:uid="{0E725316-F345-462C-BC07-B81D546799F4}"/>
    <cellStyle name="20% - Accent1 8 4 7" xfId="18670" xr:uid="{00000000-0005-0000-0000-00005A060000}"/>
    <cellStyle name="20% - Accent1 8 4 7 2" xfId="42503" xr:uid="{3280B4EF-558F-408E-A4F6-658B1F236A64}"/>
    <cellStyle name="20% - Accent1 8 4 8" xfId="26623" xr:uid="{CC018903-AEF1-4661-8880-E88BFD870CCE}"/>
    <cellStyle name="20% - Accent1 8 4_Exh G" xfId="2052" xr:uid="{00000000-0005-0000-0000-00005B060000}"/>
    <cellStyle name="20% - Accent1 8 5" xfId="1096" xr:uid="{00000000-0005-0000-0000-00005C060000}"/>
    <cellStyle name="20% - Accent1 8 5 2" xfId="4626" xr:uid="{00000000-0005-0000-0000-00005D060000}"/>
    <cellStyle name="20% - Accent1 8 5 2 2" xfId="8217" xr:uid="{00000000-0005-0000-0000-00005E060000}"/>
    <cellStyle name="20% - Accent1 8 5 2 2 2" xfId="16188" xr:uid="{00000000-0005-0000-0000-00005F060000}"/>
    <cellStyle name="20% - Accent1 8 5 2 2 2 2" xfId="40031" xr:uid="{497A12D5-2CD5-4CC1-9E30-47B7050BA174}"/>
    <cellStyle name="20% - Accent1 8 5 2 2 3" xfId="24134" xr:uid="{00000000-0005-0000-0000-000060060000}"/>
    <cellStyle name="20% - Accent1 8 5 2 2 3 2" xfId="47967" xr:uid="{02247130-879C-4D05-91FB-DE7B87C9D5AD}"/>
    <cellStyle name="20% - Accent1 8 5 2 2 4" xfId="32090" xr:uid="{6BD9406F-0C38-413E-8FB2-31CA71EADDD2}"/>
    <cellStyle name="20% - Accent1 8 5 2 3" xfId="12650" xr:uid="{00000000-0005-0000-0000-000061060000}"/>
    <cellStyle name="20% - Accent1 8 5 2 3 2" xfId="36500" xr:uid="{C1EB4040-D2E2-4B83-9FC4-F07FF81C0E81}"/>
    <cellStyle name="20% - Accent1 8 5 2 4" xfId="20605" xr:uid="{00000000-0005-0000-0000-000062060000}"/>
    <cellStyle name="20% - Accent1 8 5 2 4 2" xfId="44438" xr:uid="{C8F4788D-3855-486E-840A-7D6EF1E2B4E8}"/>
    <cellStyle name="20% - Accent1 8 5 2 5" xfId="28559" xr:uid="{CEB2FC98-EEA8-4922-9474-F0308470741C}"/>
    <cellStyle name="20% - Accent1 8 5 3" xfId="6458" xr:uid="{00000000-0005-0000-0000-000063060000}"/>
    <cellStyle name="20% - Accent1 8 5 3 2" xfId="14430" xr:uid="{00000000-0005-0000-0000-000064060000}"/>
    <cellStyle name="20% - Accent1 8 5 3 2 2" xfId="38273" xr:uid="{EB6935E7-3925-4C49-BA8D-F4598E2C4E05}"/>
    <cellStyle name="20% - Accent1 8 5 3 3" xfId="22377" xr:uid="{00000000-0005-0000-0000-000065060000}"/>
    <cellStyle name="20% - Accent1 8 5 3 3 2" xfId="46210" xr:uid="{5A70BEE2-E1D5-4D3F-9D9D-C88328C1CC72}"/>
    <cellStyle name="20% - Accent1 8 5 3 4" xfId="30332" xr:uid="{A05DC744-9830-4FE4-B2F2-1F55689A6E12}"/>
    <cellStyle name="20% - Accent1 8 5 4" xfId="10894" xr:uid="{00000000-0005-0000-0000-000066060000}"/>
    <cellStyle name="20% - Accent1 8 5 4 2" xfId="34744" xr:uid="{786F5E45-A54F-46BA-BA1E-213F60E04339}"/>
    <cellStyle name="20% - Accent1 8 5 5" xfId="18849" xr:uid="{00000000-0005-0000-0000-000067060000}"/>
    <cellStyle name="20% - Accent1 8 5 5 2" xfId="42682" xr:uid="{6504672E-C639-4A92-83B3-2B7F922990D4}"/>
    <cellStyle name="20% - Accent1 8 5 6" xfId="26802" xr:uid="{D249A901-A2A5-4136-93E6-19EAA015411C}"/>
    <cellStyle name="20% - Accent1 8 5_Exh G" xfId="2054" xr:uid="{00000000-0005-0000-0000-000068060000}"/>
    <cellStyle name="20% - Accent1 8 6" xfId="3747" xr:uid="{00000000-0005-0000-0000-000069060000}"/>
    <cellStyle name="20% - Accent1 8 6 2" xfId="7339" xr:uid="{00000000-0005-0000-0000-00006A060000}"/>
    <cellStyle name="20% - Accent1 8 6 2 2" xfId="15310" xr:uid="{00000000-0005-0000-0000-00006B060000}"/>
    <cellStyle name="20% - Accent1 8 6 2 2 2" xfId="39153" xr:uid="{ABBCD24B-B882-4206-9334-CB591C4F46C3}"/>
    <cellStyle name="20% - Accent1 8 6 2 3" xfId="23256" xr:uid="{00000000-0005-0000-0000-00006C060000}"/>
    <cellStyle name="20% - Accent1 8 6 2 3 2" xfId="47089" xr:uid="{1F84B77D-9679-4241-8D25-DEB5FC4B6E97}"/>
    <cellStyle name="20% - Accent1 8 6 2 4" xfId="31212" xr:uid="{649BA497-83EB-43FE-99AB-AE08B7770AC8}"/>
    <cellStyle name="20% - Accent1 8 6 3" xfId="11772" xr:uid="{00000000-0005-0000-0000-00006D060000}"/>
    <cellStyle name="20% - Accent1 8 6 3 2" xfId="35622" xr:uid="{94D9FFA5-48F8-4EFB-973A-52C7ACFA6C32}"/>
    <cellStyle name="20% - Accent1 8 6 4" xfId="19727" xr:uid="{00000000-0005-0000-0000-00006E060000}"/>
    <cellStyle name="20% - Accent1 8 6 4 2" xfId="43560" xr:uid="{7019F636-1263-4558-A827-F1D65193F886}"/>
    <cellStyle name="20% - Accent1 8 6 5" xfId="27681" xr:uid="{11001278-EF6D-41EE-92AE-64BF0A02A4B1}"/>
    <cellStyle name="20% - Accent1 8 7" xfId="5567" xr:uid="{00000000-0005-0000-0000-00006F060000}"/>
    <cellStyle name="20% - Accent1 8 7 2" xfId="13551" xr:uid="{00000000-0005-0000-0000-000070060000}"/>
    <cellStyle name="20% - Accent1 8 7 2 2" xfId="37395" xr:uid="{C5279F98-B470-48D1-A960-495F604BAD28}"/>
    <cellStyle name="20% - Accent1 8 7 3" xfId="21499" xr:uid="{00000000-0005-0000-0000-000071060000}"/>
    <cellStyle name="20% - Accent1 8 7 3 2" xfId="45332" xr:uid="{E7F0A5E5-1407-47E9-B18E-349B2023E25D}"/>
    <cellStyle name="20% - Accent1 8 7 4" xfId="29454" xr:uid="{EA65AAC9-024A-4C1E-B29A-EEFEE7DC8F78}"/>
    <cellStyle name="20% - Accent1 8 8" xfId="9120" xr:uid="{00000000-0005-0000-0000-000072060000}"/>
    <cellStyle name="20% - Accent1 8 8 2" xfId="17078" xr:uid="{00000000-0005-0000-0000-000073060000}"/>
    <cellStyle name="20% - Accent1 8 8 2 2" xfId="40919" xr:uid="{2F2D751A-AA4D-4DA5-8B17-49ED7108CA37}"/>
    <cellStyle name="20% - Accent1 8 8 3" xfId="25022" xr:uid="{00000000-0005-0000-0000-000074060000}"/>
    <cellStyle name="20% - Accent1 8 8 3 2" xfId="48855" xr:uid="{8F027CA9-2589-4A93-B4AF-02BB6EE8114F}"/>
    <cellStyle name="20% - Accent1 8 8 4" xfId="32978" xr:uid="{D992764E-D7E4-465C-886E-12A44D53F860}"/>
    <cellStyle name="20% - Accent1 8 9" xfId="10016" xr:uid="{00000000-0005-0000-0000-000075060000}"/>
    <cellStyle name="20% - Accent1 8 9 2" xfId="33866" xr:uid="{37421DFB-BDA7-4C12-B68E-A7479BE533B5}"/>
    <cellStyle name="20% - Accent1 8_Exh G" xfId="2045" xr:uid="{00000000-0005-0000-0000-000076060000}"/>
    <cellStyle name="20% - Accent1 9" xfId="72" xr:uid="{00000000-0005-0000-0000-000077060000}"/>
    <cellStyle name="20% - Accent1 9 10" xfId="17975" xr:uid="{00000000-0005-0000-0000-000078060000}"/>
    <cellStyle name="20% - Accent1 9 10 2" xfId="41808" xr:uid="{5CE264C7-3DF7-4FF8-A9B0-22D899F39C4B}"/>
    <cellStyle name="20% - Accent1 9 11" xfId="25928" xr:uid="{D00EF97B-6AE7-476E-B426-429FBB85C80F}"/>
    <cellStyle name="20% - Accent1 9 2" xfId="73" xr:uid="{00000000-0005-0000-0000-000079060000}"/>
    <cellStyle name="20% - Accent1 9 2 2" xfId="74" xr:uid="{00000000-0005-0000-0000-00007A060000}"/>
    <cellStyle name="20% - Accent1 9 2 2 2" xfId="1102" xr:uid="{00000000-0005-0000-0000-00007B060000}"/>
    <cellStyle name="20% - Accent1 9 2 2 2 2" xfId="4632" xr:uid="{00000000-0005-0000-0000-00007C060000}"/>
    <cellStyle name="20% - Accent1 9 2 2 2 2 2" xfId="8223" xr:uid="{00000000-0005-0000-0000-00007D060000}"/>
    <cellStyle name="20% - Accent1 9 2 2 2 2 2 2" xfId="16194" xr:uid="{00000000-0005-0000-0000-00007E060000}"/>
    <cellStyle name="20% - Accent1 9 2 2 2 2 2 2 2" xfId="40037" xr:uid="{055E963F-21F5-433F-931D-EBE8F69F3AFB}"/>
    <cellStyle name="20% - Accent1 9 2 2 2 2 2 3" xfId="24140" xr:uid="{00000000-0005-0000-0000-00007F060000}"/>
    <cellStyle name="20% - Accent1 9 2 2 2 2 2 3 2" xfId="47973" xr:uid="{FFB1A735-300A-4871-BF3F-ABB6E0DF188F}"/>
    <cellStyle name="20% - Accent1 9 2 2 2 2 2 4" xfId="32096" xr:uid="{B3B6E932-AB1E-4787-973D-1D38A0BC3C55}"/>
    <cellStyle name="20% - Accent1 9 2 2 2 2 3" xfId="12656" xr:uid="{00000000-0005-0000-0000-000080060000}"/>
    <cellStyle name="20% - Accent1 9 2 2 2 2 3 2" xfId="36506" xr:uid="{F30B7A51-D640-4BD8-9F05-B041540828B2}"/>
    <cellStyle name="20% - Accent1 9 2 2 2 2 4" xfId="20611" xr:uid="{00000000-0005-0000-0000-000081060000}"/>
    <cellStyle name="20% - Accent1 9 2 2 2 2 4 2" xfId="44444" xr:uid="{794CB63B-5A57-45DD-B473-16211CE49041}"/>
    <cellStyle name="20% - Accent1 9 2 2 2 2 5" xfId="28565" xr:uid="{7EBE9250-103F-4D8D-8803-7D41B1E6E822}"/>
    <cellStyle name="20% - Accent1 9 2 2 2 3" xfId="6464" xr:uid="{00000000-0005-0000-0000-000082060000}"/>
    <cellStyle name="20% - Accent1 9 2 2 2 3 2" xfId="14436" xr:uid="{00000000-0005-0000-0000-000083060000}"/>
    <cellStyle name="20% - Accent1 9 2 2 2 3 2 2" xfId="38279" xr:uid="{F1427B12-7797-4554-8F54-8BB29359A025}"/>
    <cellStyle name="20% - Accent1 9 2 2 2 3 3" xfId="22383" xr:uid="{00000000-0005-0000-0000-000084060000}"/>
    <cellStyle name="20% - Accent1 9 2 2 2 3 3 2" xfId="46216" xr:uid="{2DC968A0-8BE4-4248-A094-AF5B87478A7F}"/>
    <cellStyle name="20% - Accent1 9 2 2 2 3 4" xfId="30338" xr:uid="{5585E1ED-85C9-474C-A72E-60D9FF854E10}"/>
    <cellStyle name="20% - Accent1 9 2 2 2 4" xfId="10900" xr:uid="{00000000-0005-0000-0000-000085060000}"/>
    <cellStyle name="20% - Accent1 9 2 2 2 4 2" xfId="34750" xr:uid="{8A20BF14-CC3A-4E22-8773-9DD01A400EAE}"/>
    <cellStyle name="20% - Accent1 9 2 2 2 5" xfId="18855" xr:uid="{00000000-0005-0000-0000-000086060000}"/>
    <cellStyle name="20% - Accent1 9 2 2 2 5 2" xfId="42688" xr:uid="{C23C65B3-8057-4E24-B57F-3280945472A2}"/>
    <cellStyle name="20% - Accent1 9 2 2 2 6" xfId="26808" xr:uid="{AAA41650-24F7-4B1C-B620-128CEB028C00}"/>
    <cellStyle name="20% - Accent1 9 2 2 2_Exh G" xfId="2058" xr:uid="{00000000-0005-0000-0000-000087060000}"/>
    <cellStyle name="20% - Accent1 9 2 2 3" xfId="3753" xr:uid="{00000000-0005-0000-0000-000088060000}"/>
    <cellStyle name="20% - Accent1 9 2 2 3 2" xfId="7345" xr:uid="{00000000-0005-0000-0000-000089060000}"/>
    <cellStyle name="20% - Accent1 9 2 2 3 2 2" xfId="15316" xr:uid="{00000000-0005-0000-0000-00008A060000}"/>
    <cellStyle name="20% - Accent1 9 2 2 3 2 2 2" xfId="39159" xr:uid="{8788B1F1-1AD0-49FB-A936-90AF9B02E221}"/>
    <cellStyle name="20% - Accent1 9 2 2 3 2 3" xfId="23262" xr:uid="{00000000-0005-0000-0000-00008B060000}"/>
    <cellStyle name="20% - Accent1 9 2 2 3 2 3 2" xfId="47095" xr:uid="{9E067F77-D929-4B3E-BA6B-1F4C361470D6}"/>
    <cellStyle name="20% - Accent1 9 2 2 3 2 4" xfId="31218" xr:uid="{80CB9B7F-C8F9-4F03-BB23-0B7374FEB8D0}"/>
    <cellStyle name="20% - Accent1 9 2 2 3 3" xfId="11778" xr:uid="{00000000-0005-0000-0000-00008C060000}"/>
    <cellStyle name="20% - Accent1 9 2 2 3 3 2" xfId="35628" xr:uid="{952EFE71-9C53-4ADB-89A3-B56B26406DF0}"/>
    <cellStyle name="20% - Accent1 9 2 2 3 4" xfId="19733" xr:uid="{00000000-0005-0000-0000-00008D060000}"/>
    <cellStyle name="20% - Accent1 9 2 2 3 4 2" xfId="43566" xr:uid="{10BEF184-C797-429A-AB21-982651D53CC6}"/>
    <cellStyle name="20% - Accent1 9 2 2 3 5" xfId="27687" xr:uid="{6D390BC5-B206-4F4F-91A7-19915D97A5E2}"/>
    <cellStyle name="20% - Accent1 9 2 2 4" xfId="5573" xr:uid="{00000000-0005-0000-0000-00008E060000}"/>
    <cellStyle name="20% - Accent1 9 2 2 4 2" xfId="13557" xr:uid="{00000000-0005-0000-0000-00008F060000}"/>
    <cellStyle name="20% - Accent1 9 2 2 4 2 2" xfId="37401" xr:uid="{6A2C420D-110F-4EF8-B991-B4FD74CBDC26}"/>
    <cellStyle name="20% - Accent1 9 2 2 4 3" xfId="21505" xr:uid="{00000000-0005-0000-0000-000090060000}"/>
    <cellStyle name="20% - Accent1 9 2 2 4 3 2" xfId="45338" xr:uid="{95633E1B-D3AF-4968-89F3-4BB4603EE578}"/>
    <cellStyle name="20% - Accent1 9 2 2 4 4" xfId="29460" xr:uid="{4E56B6DD-E80E-4E2B-9695-9FC2E3ABD7BE}"/>
    <cellStyle name="20% - Accent1 9 2 2 5" xfId="9126" xr:uid="{00000000-0005-0000-0000-000091060000}"/>
    <cellStyle name="20% - Accent1 9 2 2 5 2" xfId="17084" xr:uid="{00000000-0005-0000-0000-000092060000}"/>
    <cellStyle name="20% - Accent1 9 2 2 5 2 2" xfId="40925" xr:uid="{716FA175-8858-4FE6-BB3C-8A132DE67EC5}"/>
    <cellStyle name="20% - Accent1 9 2 2 5 3" xfId="25028" xr:uid="{00000000-0005-0000-0000-000093060000}"/>
    <cellStyle name="20% - Accent1 9 2 2 5 3 2" xfId="48861" xr:uid="{3B3F9620-BA57-4CCD-B91E-812A3CE709D8}"/>
    <cellStyle name="20% - Accent1 9 2 2 5 4" xfId="32984" xr:uid="{3A3CEB89-3291-43AB-A6B1-5F80DD4F36A3}"/>
    <cellStyle name="20% - Accent1 9 2 2 6" xfId="10022" xr:uid="{00000000-0005-0000-0000-000094060000}"/>
    <cellStyle name="20% - Accent1 9 2 2 6 2" xfId="33872" xr:uid="{F00B2DA2-DBE8-45FE-AE34-E0B7E1423A8B}"/>
    <cellStyle name="20% - Accent1 9 2 2 7" xfId="17977" xr:uid="{00000000-0005-0000-0000-000095060000}"/>
    <cellStyle name="20% - Accent1 9 2 2 7 2" xfId="41810" xr:uid="{EAB607C9-BBFE-4E15-AB7C-C1F8563E12DE}"/>
    <cellStyle name="20% - Accent1 9 2 2 8" xfId="25930" xr:uid="{5BCADB13-D912-42B3-B594-32557F3BB983}"/>
    <cellStyle name="20% - Accent1 9 2 2_Exh G" xfId="2057" xr:uid="{00000000-0005-0000-0000-000096060000}"/>
    <cellStyle name="20% - Accent1 9 2 3" xfId="1101" xr:uid="{00000000-0005-0000-0000-000097060000}"/>
    <cellStyle name="20% - Accent1 9 2 3 2" xfId="4631" xr:uid="{00000000-0005-0000-0000-000098060000}"/>
    <cellStyle name="20% - Accent1 9 2 3 2 2" xfId="8222" xr:uid="{00000000-0005-0000-0000-000099060000}"/>
    <cellStyle name="20% - Accent1 9 2 3 2 2 2" xfId="16193" xr:uid="{00000000-0005-0000-0000-00009A060000}"/>
    <cellStyle name="20% - Accent1 9 2 3 2 2 2 2" xfId="40036" xr:uid="{8D6E7FAC-FEF8-445D-97D0-D3CE1B7AC195}"/>
    <cellStyle name="20% - Accent1 9 2 3 2 2 3" xfId="24139" xr:uid="{00000000-0005-0000-0000-00009B060000}"/>
    <cellStyle name="20% - Accent1 9 2 3 2 2 3 2" xfId="47972" xr:uid="{37B50C3D-20B2-4A7B-AE2D-D98CEF84B560}"/>
    <cellStyle name="20% - Accent1 9 2 3 2 2 4" xfId="32095" xr:uid="{365F5058-7F2B-44BA-8147-A36944BE82C9}"/>
    <cellStyle name="20% - Accent1 9 2 3 2 3" xfId="12655" xr:uid="{00000000-0005-0000-0000-00009C060000}"/>
    <cellStyle name="20% - Accent1 9 2 3 2 3 2" xfId="36505" xr:uid="{723DF72D-B384-41C5-A9DD-2694C261F86F}"/>
    <cellStyle name="20% - Accent1 9 2 3 2 4" xfId="20610" xr:uid="{00000000-0005-0000-0000-00009D060000}"/>
    <cellStyle name="20% - Accent1 9 2 3 2 4 2" xfId="44443" xr:uid="{D3C82303-D265-4536-8384-7B596353FD76}"/>
    <cellStyle name="20% - Accent1 9 2 3 2 5" xfId="28564" xr:uid="{C82DC239-A627-4443-BCE5-E89804235BF2}"/>
    <cellStyle name="20% - Accent1 9 2 3 3" xfId="6463" xr:uid="{00000000-0005-0000-0000-00009E060000}"/>
    <cellStyle name="20% - Accent1 9 2 3 3 2" xfId="14435" xr:uid="{00000000-0005-0000-0000-00009F060000}"/>
    <cellStyle name="20% - Accent1 9 2 3 3 2 2" xfId="38278" xr:uid="{F432C1D6-8F2F-4EBB-BF7E-7C5D524CDD2B}"/>
    <cellStyle name="20% - Accent1 9 2 3 3 3" xfId="22382" xr:uid="{00000000-0005-0000-0000-0000A0060000}"/>
    <cellStyle name="20% - Accent1 9 2 3 3 3 2" xfId="46215" xr:uid="{42D1A948-74E1-483B-9FC2-D351944F83C7}"/>
    <cellStyle name="20% - Accent1 9 2 3 3 4" xfId="30337" xr:uid="{B8DBFE2C-FB05-410C-A9FD-597BA7556AA5}"/>
    <cellStyle name="20% - Accent1 9 2 3 4" xfId="10899" xr:uid="{00000000-0005-0000-0000-0000A1060000}"/>
    <cellStyle name="20% - Accent1 9 2 3 4 2" xfId="34749" xr:uid="{F5CBAFCA-9EC9-43CF-8930-8CE006386327}"/>
    <cellStyle name="20% - Accent1 9 2 3 5" xfId="18854" xr:uid="{00000000-0005-0000-0000-0000A2060000}"/>
    <cellStyle name="20% - Accent1 9 2 3 5 2" xfId="42687" xr:uid="{07741977-4B9E-4C04-9707-8FB7511C0AF3}"/>
    <cellStyle name="20% - Accent1 9 2 3 6" xfId="26807" xr:uid="{F839F7BD-D6F4-41EB-B11B-F8B0E1C8E92A}"/>
    <cellStyle name="20% - Accent1 9 2 3_Exh G" xfId="2059" xr:uid="{00000000-0005-0000-0000-0000A3060000}"/>
    <cellStyle name="20% - Accent1 9 2 4" xfId="3752" xr:uid="{00000000-0005-0000-0000-0000A4060000}"/>
    <cellStyle name="20% - Accent1 9 2 4 2" xfId="7344" xr:uid="{00000000-0005-0000-0000-0000A5060000}"/>
    <cellStyle name="20% - Accent1 9 2 4 2 2" xfId="15315" xr:uid="{00000000-0005-0000-0000-0000A6060000}"/>
    <cellStyle name="20% - Accent1 9 2 4 2 2 2" xfId="39158" xr:uid="{67920D1E-2343-44AC-BF76-80D94D460FC6}"/>
    <cellStyle name="20% - Accent1 9 2 4 2 3" xfId="23261" xr:uid="{00000000-0005-0000-0000-0000A7060000}"/>
    <cellStyle name="20% - Accent1 9 2 4 2 3 2" xfId="47094" xr:uid="{F367FDDB-7C0C-485C-85F1-BE9FFA579011}"/>
    <cellStyle name="20% - Accent1 9 2 4 2 4" xfId="31217" xr:uid="{63591028-EB5B-49AC-A539-3DF05AB22329}"/>
    <cellStyle name="20% - Accent1 9 2 4 3" xfId="11777" xr:uid="{00000000-0005-0000-0000-0000A8060000}"/>
    <cellStyle name="20% - Accent1 9 2 4 3 2" xfId="35627" xr:uid="{7E6B2F2C-6056-428D-8955-BCFD7091C484}"/>
    <cellStyle name="20% - Accent1 9 2 4 4" xfId="19732" xr:uid="{00000000-0005-0000-0000-0000A9060000}"/>
    <cellStyle name="20% - Accent1 9 2 4 4 2" xfId="43565" xr:uid="{4BF2B86C-0F7D-4FCD-A0EE-0BE0EDB19644}"/>
    <cellStyle name="20% - Accent1 9 2 4 5" xfId="27686" xr:uid="{C3C4E179-17CC-442D-A6B3-7C7BD3ECD175}"/>
    <cellStyle name="20% - Accent1 9 2 5" xfId="5572" xr:uid="{00000000-0005-0000-0000-0000AA060000}"/>
    <cellStyle name="20% - Accent1 9 2 5 2" xfId="13556" xr:uid="{00000000-0005-0000-0000-0000AB060000}"/>
    <cellStyle name="20% - Accent1 9 2 5 2 2" xfId="37400" xr:uid="{0EE8ADA5-8EF9-4278-B2F0-37B64E0CFC19}"/>
    <cellStyle name="20% - Accent1 9 2 5 3" xfId="21504" xr:uid="{00000000-0005-0000-0000-0000AC060000}"/>
    <cellStyle name="20% - Accent1 9 2 5 3 2" xfId="45337" xr:uid="{F8C25512-965B-4ECF-8977-419EFA68B98A}"/>
    <cellStyle name="20% - Accent1 9 2 5 4" xfId="29459" xr:uid="{7AAC9A57-3D05-47EC-9054-DFBE250DED1C}"/>
    <cellStyle name="20% - Accent1 9 2 6" xfId="9125" xr:uid="{00000000-0005-0000-0000-0000AD060000}"/>
    <cellStyle name="20% - Accent1 9 2 6 2" xfId="17083" xr:uid="{00000000-0005-0000-0000-0000AE060000}"/>
    <cellStyle name="20% - Accent1 9 2 6 2 2" xfId="40924" xr:uid="{24EF1745-0051-4AB8-99EC-A66CD1BBF851}"/>
    <cellStyle name="20% - Accent1 9 2 6 3" xfId="25027" xr:uid="{00000000-0005-0000-0000-0000AF060000}"/>
    <cellStyle name="20% - Accent1 9 2 6 3 2" xfId="48860" xr:uid="{F696BCC6-E8D5-438A-93C6-9EA39C0A1A62}"/>
    <cellStyle name="20% - Accent1 9 2 6 4" xfId="32983" xr:uid="{B62A7E3F-28B6-492C-9134-2D19815642B6}"/>
    <cellStyle name="20% - Accent1 9 2 7" xfId="10021" xr:uid="{00000000-0005-0000-0000-0000B0060000}"/>
    <cellStyle name="20% - Accent1 9 2 7 2" xfId="33871" xr:uid="{BC7716EF-6A5B-4ACD-ACAA-ECF871AB44E7}"/>
    <cellStyle name="20% - Accent1 9 2 8" xfId="17976" xr:uid="{00000000-0005-0000-0000-0000B1060000}"/>
    <cellStyle name="20% - Accent1 9 2 8 2" xfId="41809" xr:uid="{99BB3050-CA32-43B6-A099-CD22AC1092E8}"/>
    <cellStyle name="20% - Accent1 9 2 9" xfId="25929" xr:uid="{DFECE31F-2E6E-4FE9-B4DE-9FC445E5385B}"/>
    <cellStyle name="20% - Accent1 9 2_Exh G" xfId="2056" xr:uid="{00000000-0005-0000-0000-0000B2060000}"/>
    <cellStyle name="20% - Accent1 9 3" xfId="75" xr:uid="{00000000-0005-0000-0000-0000B3060000}"/>
    <cellStyle name="20% - Accent1 9 3 2" xfId="1103" xr:uid="{00000000-0005-0000-0000-0000B4060000}"/>
    <cellStyle name="20% - Accent1 9 3 2 2" xfId="4633" xr:uid="{00000000-0005-0000-0000-0000B5060000}"/>
    <cellStyle name="20% - Accent1 9 3 2 2 2" xfId="8224" xr:uid="{00000000-0005-0000-0000-0000B6060000}"/>
    <cellStyle name="20% - Accent1 9 3 2 2 2 2" xfId="16195" xr:uid="{00000000-0005-0000-0000-0000B7060000}"/>
    <cellStyle name="20% - Accent1 9 3 2 2 2 2 2" xfId="40038" xr:uid="{1C285B62-4BBA-48A4-92D7-853248C7B4BA}"/>
    <cellStyle name="20% - Accent1 9 3 2 2 2 3" xfId="24141" xr:uid="{00000000-0005-0000-0000-0000B8060000}"/>
    <cellStyle name="20% - Accent1 9 3 2 2 2 3 2" xfId="47974" xr:uid="{4007ABC5-9229-4700-927E-5B06F7D2F72F}"/>
    <cellStyle name="20% - Accent1 9 3 2 2 2 4" xfId="32097" xr:uid="{9EA59C6F-57E7-439C-B62E-2EB8D080E450}"/>
    <cellStyle name="20% - Accent1 9 3 2 2 3" xfId="12657" xr:uid="{00000000-0005-0000-0000-0000B9060000}"/>
    <cellStyle name="20% - Accent1 9 3 2 2 3 2" xfId="36507" xr:uid="{F4B844DE-A186-4F9E-BCAF-F988060C79B5}"/>
    <cellStyle name="20% - Accent1 9 3 2 2 4" xfId="20612" xr:uid="{00000000-0005-0000-0000-0000BA060000}"/>
    <cellStyle name="20% - Accent1 9 3 2 2 4 2" xfId="44445" xr:uid="{88DCBBC8-76A4-4FC7-A237-7AF9A51EA96F}"/>
    <cellStyle name="20% - Accent1 9 3 2 2 5" xfId="28566" xr:uid="{18828389-70C4-485C-9D66-C170EE87749A}"/>
    <cellStyle name="20% - Accent1 9 3 2 3" xfId="6465" xr:uid="{00000000-0005-0000-0000-0000BB060000}"/>
    <cellStyle name="20% - Accent1 9 3 2 3 2" xfId="14437" xr:uid="{00000000-0005-0000-0000-0000BC060000}"/>
    <cellStyle name="20% - Accent1 9 3 2 3 2 2" xfId="38280" xr:uid="{956A05F9-7299-4171-BE0F-ED53BCFEC25B}"/>
    <cellStyle name="20% - Accent1 9 3 2 3 3" xfId="22384" xr:uid="{00000000-0005-0000-0000-0000BD060000}"/>
    <cellStyle name="20% - Accent1 9 3 2 3 3 2" xfId="46217" xr:uid="{D0952827-D206-4AE0-A080-F1A0AA0452CC}"/>
    <cellStyle name="20% - Accent1 9 3 2 3 4" xfId="30339" xr:uid="{B15E0BCF-E92E-4DE7-B1C5-EF54F3BCBBAB}"/>
    <cellStyle name="20% - Accent1 9 3 2 4" xfId="10901" xr:uid="{00000000-0005-0000-0000-0000BE060000}"/>
    <cellStyle name="20% - Accent1 9 3 2 4 2" xfId="34751" xr:uid="{D6328596-41EA-43ED-8AF0-5A8583D786C5}"/>
    <cellStyle name="20% - Accent1 9 3 2 5" xfId="18856" xr:uid="{00000000-0005-0000-0000-0000BF060000}"/>
    <cellStyle name="20% - Accent1 9 3 2 5 2" xfId="42689" xr:uid="{F6D4D74E-3252-4BB1-AC76-D4F58F76A0F3}"/>
    <cellStyle name="20% - Accent1 9 3 2 6" xfId="26809" xr:uid="{41D0F5E3-6B25-41E9-9004-18153D970B30}"/>
    <cellStyle name="20% - Accent1 9 3 2_Exh G" xfId="2061" xr:uid="{00000000-0005-0000-0000-0000C0060000}"/>
    <cellStyle name="20% - Accent1 9 3 3" xfId="3754" xr:uid="{00000000-0005-0000-0000-0000C1060000}"/>
    <cellStyle name="20% - Accent1 9 3 3 2" xfId="7346" xr:uid="{00000000-0005-0000-0000-0000C2060000}"/>
    <cellStyle name="20% - Accent1 9 3 3 2 2" xfId="15317" xr:uid="{00000000-0005-0000-0000-0000C3060000}"/>
    <cellStyle name="20% - Accent1 9 3 3 2 2 2" xfId="39160" xr:uid="{7B586D59-D362-4186-ADB5-20D6BB2C1B7E}"/>
    <cellStyle name="20% - Accent1 9 3 3 2 3" xfId="23263" xr:uid="{00000000-0005-0000-0000-0000C4060000}"/>
    <cellStyle name="20% - Accent1 9 3 3 2 3 2" xfId="47096" xr:uid="{A212BC75-440A-469F-9D57-604C25372A31}"/>
    <cellStyle name="20% - Accent1 9 3 3 2 4" xfId="31219" xr:uid="{E2C2AFEA-59E9-4457-B865-6B06CAFBA91C}"/>
    <cellStyle name="20% - Accent1 9 3 3 3" xfId="11779" xr:uid="{00000000-0005-0000-0000-0000C5060000}"/>
    <cellStyle name="20% - Accent1 9 3 3 3 2" xfId="35629" xr:uid="{F0398D94-658B-4953-AAC7-5E8153AA0927}"/>
    <cellStyle name="20% - Accent1 9 3 3 4" xfId="19734" xr:uid="{00000000-0005-0000-0000-0000C6060000}"/>
    <cellStyle name="20% - Accent1 9 3 3 4 2" xfId="43567" xr:uid="{0B0DF2A6-ADEC-4F19-B2BA-78CBDD12C833}"/>
    <cellStyle name="20% - Accent1 9 3 3 5" xfId="27688" xr:uid="{A3496501-6F0A-4976-B6A8-F93C9D368B9D}"/>
    <cellStyle name="20% - Accent1 9 3 4" xfId="5574" xr:uid="{00000000-0005-0000-0000-0000C7060000}"/>
    <cellStyle name="20% - Accent1 9 3 4 2" xfId="13558" xr:uid="{00000000-0005-0000-0000-0000C8060000}"/>
    <cellStyle name="20% - Accent1 9 3 4 2 2" xfId="37402" xr:uid="{0EEEC193-ACC8-4DD9-83DE-65BE79822CE9}"/>
    <cellStyle name="20% - Accent1 9 3 4 3" xfId="21506" xr:uid="{00000000-0005-0000-0000-0000C9060000}"/>
    <cellStyle name="20% - Accent1 9 3 4 3 2" xfId="45339" xr:uid="{747301F3-295B-4615-AEBF-354787CD5F1D}"/>
    <cellStyle name="20% - Accent1 9 3 4 4" xfId="29461" xr:uid="{B6B4D32F-1A05-4DE3-B377-918C62472DEC}"/>
    <cellStyle name="20% - Accent1 9 3 5" xfId="9127" xr:uid="{00000000-0005-0000-0000-0000CA060000}"/>
    <cellStyle name="20% - Accent1 9 3 5 2" xfId="17085" xr:uid="{00000000-0005-0000-0000-0000CB060000}"/>
    <cellStyle name="20% - Accent1 9 3 5 2 2" xfId="40926" xr:uid="{F4F513B7-43C8-4B2F-A29F-E9AB01A14361}"/>
    <cellStyle name="20% - Accent1 9 3 5 3" xfId="25029" xr:uid="{00000000-0005-0000-0000-0000CC060000}"/>
    <cellStyle name="20% - Accent1 9 3 5 3 2" xfId="48862" xr:uid="{C58D1745-D581-44E7-9AE8-3F9E2483F64D}"/>
    <cellStyle name="20% - Accent1 9 3 5 4" xfId="32985" xr:uid="{7C1B6E0E-6723-4340-955F-B60C9F44215B}"/>
    <cellStyle name="20% - Accent1 9 3 6" xfId="10023" xr:uid="{00000000-0005-0000-0000-0000CD060000}"/>
    <cellStyle name="20% - Accent1 9 3 6 2" xfId="33873" xr:uid="{80D0243A-D17E-4B54-B903-2B736B38A438}"/>
    <cellStyle name="20% - Accent1 9 3 7" xfId="17978" xr:uid="{00000000-0005-0000-0000-0000CE060000}"/>
    <cellStyle name="20% - Accent1 9 3 7 2" xfId="41811" xr:uid="{AAAA000D-EDAA-4371-8EC8-3165266636D9}"/>
    <cellStyle name="20% - Accent1 9 3 8" xfId="25931" xr:uid="{D54BD04D-1FC1-4061-BF89-2A9573A2252A}"/>
    <cellStyle name="20% - Accent1 9 3_Exh G" xfId="2060" xr:uid="{00000000-0005-0000-0000-0000CF060000}"/>
    <cellStyle name="20% - Accent1 9 4" xfId="873" xr:uid="{00000000-0005-0000-0000-0000D0060000}"/>
    <cellStyle name="20% - Accent1 9 4 2" xfId="1808" xr:uid="{00000000-0005-0000-0000-0000D1060000}"/>
    <cellStyle name="20% - Accent1 9 4 2 2" xfId="5326" xr:uid="{00000000-0005-0000-0000-0000D2060000}"/>
    <cellStyle name="20% - Accent1 9 4 2 2 2" xfId="8917" xr:uid="{00000000-0005-0000-0000-0000D3060000}"/>
    <cellStyle name="20% - Accent1 9 4 2 2 2 2" xfId="16888" xr:uid="{00000000-0005-0000-0000-0000D4060000}"/>
    <cellStyle name="20% - Accent1 9 4 2 2 2 2 2" xfId="40731" xr:uid="{98E47717-731A-4394-A906-9403C60CA285}"/>
    <cellStyle name="20% - Accent1 9 4 2 2 2 3" xfId="24834" xr:uid="{00000000-0005-0000-0000-0000D5060000}"/>
    <cellStyle name="20% - Accent1 9 4 2 2 2 3 2" xfId="48667" xr:uid="{012ECB60-71A7-417D-8ABF-6859036C9C45}"/>
    <cellStyle name="20% - Accent1 9 4 2 2 2 4" xfId="32790" xr:uid="{11AB9524-1F51-42EE-B7BB-0372E286FBBC}"/>
    <cellStyle name="20% - Accent1 9 4 2 2 3" xfId="13350" xr:uid="{00000000-0005-0000-0000-0000D6060000}"/>
    <cellStyle name="20% - Accent1 9 4 2 2 3 2" xfId="37200" xr:uid="{F5555320-8A1C-4D00-B9ED-16F76B35426A}"/>
    <cellStyle name="20% - Accent1 9 4 2 2 4" xfId="21305" xr:uid="{00000000-0005-0000-0000-0000D7060000}"/>
    <cellStyle name="20% - Accent1 9 4 2 2 4 2" xfId="45138" xr:uid="{60398728-7322-4B0E-AF28-E67B2AC50B5F}"/>
    <cellStyle name="20% - Accent1 9 4 2 2 5" xfId="29259" xr:uid="{316BDC73-CAF3-4402-B229-D2B8C51E9CE8}"/>
    <cellStyle name="20% - Accent1 9 4 2 3" xfId="7158" xr:uid="{00000000-0005-0000-0000-0000D8060000}"/>
    <cellStyle name="20% - Accent1 9 4 2 3 2" xfId="15130" xr:uid="{00000000-0005-0000-0000-0000D9060000}"/>
    <cellStyle name="20% - Accent1 9 4 2 3 2 2" xfId="38973" xr:uid="{DAF20204-968A-42FA-A0B4-817A3A308DB9}"/>
    <cellStyle name="20% - Accent1 9 4 2 3 3" xfId="23077" xr:uid="{00000000-0005-0000-0000-0000DA060000}"/>
    <cellStyle name="20% - Accent1 9 4 2 3 3 2" xfId="46910" xr:uid="{C45D9EB7-DCDE-443A-AD84-644F56C08BD7}"/>
    <cellStyle name="20% - Accent1 9 4 2 3 4" xfId="31032" xr:uid="{B1BA71AA-8429-4789-99D8-2AD05C293315}"/>
    <cellStyle name="20% - Accent1 9 4 2 4" xfId="11594" xr:uid="{00000000-0005-0000-0000-0000DB060000}"/>
    <cellStyle name="20% - Accent1 9 4 2 4 2" xfId="35444" xr:uid="{CFD489A9-D87A-4D60-A29C-68B40449147F}"/>
    <cellStyle name="20% - Accent1 9 4 2 5" xfId="19549" xr:uid="{00000000-0005-0000-0000-0000DC060000}"/>
    <cellStyle name="20% - Accent1 9 4 2 5 2" xfId="43382" xr:uid="{74ED6920-D85F-4107-81D4-7BA92EFF96F1}"/>
    <cellStyle name="20% - Accent1 9 4 2 6" xfId="27502" xr:uid="{5BF3B362-DF70-4EBA-8BC7-18827CDD9B8F}"/>
    <cellStyle name="20% - Accent1 9 4 2_Exh G" xfId="2063" xr:uid="{00000000-0005-0000-0000-0000DD060000}"/>
    <cellStyle name="20% - Accent1 9 4 3" xfId="4447" xr:uid="{00000000-0005-0000-0000-0000DE060000}"/>
    <cellStyle name="20% - Accent1 9 4 3 2" xfId="8039" xr:uid="{00000000-0005-0000-0000-0000DF060000}"/>
    <cellStyle name="20% - Accent1 9 4 3 2 2" xfId="16010" xr:uid="{00000000-0005-0000-0000-0000E0060000}"/>
    <cellStyle name="20% - Accent1 9 4 3 2 2 2" xfId="39853" xr:uid="{7FD20639-989C-490B-A15F-B2BE7BE20C3D}"/>
    <cellStyle name="20% - Accent1 9 4 3 2 3" xfId="23956" xr:uid="{00000000-0005-0000-0000-0000E1060000}"/>
    <cellStyle name="20% - Accent1 9 4 3 2 3 2" xfId="47789" xr:uid="{9F99FE83-AD1D-49E6-8B06-76EE7A7E56A4}"/>
    <cellStyle name="20% - Accent1 9 4 3 2 4" xfId="31912" xr:uid="{AD6BBA3E-1000-4DC0-A15E-21F5B47023C3}"/>
    <cellStyle name="20% - Accent1 9 4 3 3" xfId="12472" xr:uid="{00000000-0005-0000-0000-0000E2060000}"/>
    <cellStyle name="20% - Accent1 9 4 3 3 2" xfId="36322" xr:uid="{8FC422C4-C0F0-4982-97A4-0D8158600CFE}"/>
    <cellStyle name="20% - Accent1 9 4 3 4" xfId="20427" xr:uid="{00000000-0005-0000-0000-0000E3060000}"/>
    <cellStyle name="20% - Accent1 9 4 3 4 2" xfId="44260" xr:uid="{F4D37FBE-B81A-4057-B52F-102917EB1534}"/>
    <cellStyle name="20% - Accent1 9 4 3 5" xfId="28381" xr:uid="{24B12E27-817E-4E08-A764-66D1BB6557AA}"/>
    <cellStyle name="20% - Accent1 9 4 4" xfId="6277" xr:uid="{00000000-0005-0000-0000-0000E4060000}"/>
    <cellStyle name="20% - Accent1 9 4 4 2" xfId="14252" xr:uid="{00000000-0005-0000-0000-0000E5060000}"/>
    <cellStyle name="20% - Accent1 9 4 4 2 2" xfId="38095" xr:uid="{C9FA761E-CB2B-4188-ABB4-E7ECDAE2C217}"/>
    <cellStyle name="20% - Accent1 9 4 4 3" xfId="22199" xr:uid="{00000000-0005-0000-0000-0000E6060000}"/>
    <cellStyle name="20% - Accent1 9 4 4 3 2" xfId="46032" xr:uid="{995C580F-AF38-46B6-933C-629DE04CD8D6}"/>
    <cellStyle name="20% - Accent1 9 4 4 4" xfId="30154" xr:uid="{C25D8EA1-5D77-42A8-BCA6-D70EE88EDB2A}"/>
    <cellStyle name="20% - Accent1 9 4 5" xfId="9820" xr:uid="{00000000-0005-0000-0000-0000E7060000}"/>
    <cellStyle name="20% - Accent1 9 4 5 2" xfId="17778" xr:uid="{00000000-0005-0000-0000-0000E8060000}"/>
    <cellStyle name="20% - Accent1 9 4 5 2 2" xfId="41619" xr:uid="{FA64B08D-ADB9-4C40-BBF9-6DEEBF69D28D}"/>
    <cellStyle name="20% - Accent1 9 4 5 3" xfId="25722" xr:uid="{00000000-0005-0000-0000-0000E9060000}"/>
    <cellStyle name="20% - Accent1 9 4 5 3 2" xfId="49555" xr:uid="{8C1B0B7C-4B07-4DD0-A80E-2A560530A34E}"/>
    <cellStyle name="20% - Accent1 9 4 5 4" xfId="33678" xr:uid="{B40A4BC3-B30A-47C9-8583-8CFFF09C9839}"/>
    <cellStyle name="20% - Accent1 9 4 6" xfId="10716" xr:uid="{00000000-0005-0000-0000-0000EA060000}"/>
    <cellStyle name="20% - Accent1 9 4 6 2" xfId="34566" xr:uid="{35A964A0-A65E-4506-98C6-B9420CCC491A}"/>
    <cellStyle name="20% - Accent1 9 4 7" xfId="18671" xr:uid="{00000000-0005-0000-0000-0000EB060000}"/>
    <cellStyle name="20% - Accent1 9 4 7 2" xfId="42504" xr:uid="{05FA5ADA-EEFC-4248-B80F-8F7C1CCEC174}"/>
    <cellStyle name="20% - Accent1 9 4 8" xfId="26624" xr:uid="{B950427B-75DF-42F5-98A2-C63304A2A444}"/>
    <cellStyle name="20% - Accent1 9 4_Exh G" xfId="2062" xr:uid="{00000000-0005-0000-0000-0000EC060000}"/>
    <cellStyle name="20% - Accent1 9 5" xfId="1100" xr:uid="{00000000-0005-0000-0000-0000ED060000}"/>
    <cellStyle name="20% - Accent1 9 5 2" xfId="4630" xr:uid="{00000000-0005-0000-0000-0000EE060000}"/>
    <cellStyle name="20% - Accent1 9 5 2 2" xfId="8221" xr:uid="{00000000-0005-0000-0000-0000EF060000}"/>
    <cellStyle name="20% - Accent1 9 5 2 2 2" xfId="16192" xr:uid="{00000000-0005-0000-0000-0000F0060000}"/>
    <cellStyle name="20% - Accent1 9 5 2 2 2 2" xfId="40035" xr:uid="{2C3225DA-5E51-4F64-9684-F3F77613CE66}"/>
    <cellStyle name="20% - Accent1 9 5 2 2 3" xfId="24138" xr:uid="{00000000-0005-0000-0000-0000F1060000}"/>
    <cellStyle name="20% - Accent1 9 5 2 2 3 2" xfId="47971" xr:uid="{BBC319A9-D3B7-4836-9F6D-E0FE80D48B83}"/>
    <cellStyle name="20% - Accent1 9 5 2 2 4" xfId="32094" xr:uid="{1FE37605-CE73-4A3F-A2E4-2E191D7350AF}"/>
    <cellStyle name="20% - Accent1 9 5 2 3" xfId="12654" xr:uid="{00000000-0005-0000-0000-0000F2060000}"/>
    <cellStyle name="20% - Accent1 9 5 2 3 2" xfId="36504" xr:uid="{0C594072-1971-4A07-8104-F135133414B2}"/>
    <cellStyle name="20% - Accent1 9 5 2 4" xfId="20609" xr:uid="{00000000-0005-0000-0000-0000F3060000}"/>
    <cellStyle name="20% - Accent1 9 5 2 4 2" xfId="44442" xr:uid="{5F04E985-A7E3-4150-AA91-848270FEC2F0}"/>
    <cellStyle name="20% - Accent1 9 5 2 5" xfId="28563" xr:uid="{89C2E08A-579A-4EC9-9883-3DD297C9E9CD}"/>
    <cellStyle name="20% - Accent1 9 5 3" xfId="6462" xr:uid="{00000000-0005-0000-0000-0000F4060000}"/>
    <cellStyle name="20% - Accent1 9 5 3 2" xfId="14434" xr:uid="{00000000-0005-0000-0000-0000F5060000}"/>
    <cellStyle name="20% - Accent1 9 5 3 2 2" xfId="38277" xr:uid="{BE110A8D-6ABE-4B34-97DB-EB01C9DD98E0}"/>
    <cellStyle name="20% - Accent1 9 5 3 3" xfId="22381" xr:uid="{00000000-0005-0000-0000-0000F6060000}"/>
    <cellStyle name="20% - Accent1 9 5 3 3 2" xfId="46214" xr:uid="{34B0E8E0-D534-4E89-B028-C4AAEAD04E4D}"/>
    <cellStyle name="20% - Accent1 9 5 3 4" xfId="30336" xr:uid="{27FDE367-CE93-4E36-8F6B-F22B2AD8CDBE}"/>
    <cellStyle name="20% - Accent1 9 5 4" xfId="10898" xr:uid="{00000000-0005-0000-0000-0000F7060000}"/>
    <cellStyle name="20% - Accent1 9 5 4 2" xfId="34748" xr:uid="{C22D8A12-9A71-4018-A6DA-BBB60BE960FD}"/>
    <cellStyle name="20% - Accent1 9 5 5" xfId="18853" xr:uid="{00000000-0005-0000-0000-0000F8060000}"/>
    <cellStyle name="20% - Accent1 9 5 5 2" xfId="42686" xr:uid="{716D48C7-643B-4657-BFDB-E59874449F08}"/>
    <cellStyle name="20% - Accent1 9 5 6" xfId="26806" xr:uid="{D9C7DFFA-B1E4-4513-AB0A-919C109E5F7B}"/>
    <cellStyle name="20% - Accent1 9 5_Exh G" xfId="2064" xr:uid="{00000000-0005-0000-0000-0000F9060000}"/>
    <cellStyle name="20% - Accent1 9 6" xfId="3751" xr:uid="{00000000-0005-0000-0000-0000FA060000}"/>
    <cellStyle name="20% - Accent1 9 6 2" xfId="7343" xr:uid="{00000000-0005-0000-0000-0000FB060000}"/>
    <cellStyle name="20% - Accent1 9 6 2 2" xfId="15314" xr:uid="{00000000-0005-0000-0000-0000FC060000}"/>
    <cellStyle name="20% - Accent1 9 6 2 2 2" xfId="39157" xr:uid="{C7E6FE19-3137-45F5-AADE-B759D1F75BDA}"/>
    <cellStyle name="20% - Accent1 9 6 2 3" xfId="23260" xr:uid="{00000000-0005-0000-0000-0000FD060000}"/>
    <cellStyle name="20% - Accent1 9 6 2 3 2" xfId="47093" xr:uid="{7AE2A0A5-601B-424F-99C4-73CD6FD02A60}"/>
    <cellStyle name="20% - Accent1 9 6 2 4" xfId="31216" xr:uid="{ECFCA466-B43D-4F72-8984-7A8AAD06D3DD}"/>
    <cellStyle name="20% - Accent1 9 6 3" xfId="11776" xr:uid="{00000000-0005-0000-0000-0000FE060000}"/>
    <cellStyle name="20% - Accent1 9 6 3 2" xfId="35626" xr:uid="{CFA798A1-AAA9-422F-B47F-74A310280F4B}"/>
    <cellStyle name="20% - Accent1 9 6 4" xfId="19731" xr:uid="{00000000-0005-0000-0000-0000FF060000}"/>
    <cellStyle name="20% - Accent1 9 6 4 2" xfId="43564" xr:uid="{95D3FB8A-AAF7-4066-BB91-653536A2E860}"/>
    <cellStyle name="20% - Accent1 9 6 5" xfId="27685" xr:uid="{A475127F-990B-4A19-8A92-E1ACB117F641}"/>
    <cellStyle name="20% - Accent1 9 7" xfId="5571" xr:uid="{00000000-0005-0000-0000-000000070000}"/>
    <cellStyle name="20% - Accent1 9 7 2" xfId="13555" xr:uid="{00000000-0005-0000-0000-000001070000}"/>
    <cellStyle name="20% - Accent1 9 7 2 2" xfId="37399" xr:uid="{B5ECD730-CE3E-438E-9B38-74E3EDA63367}"/>
    <cellStyle name="20% - Accent1 9 7 3" xfId="21503" xr:uid="{00000000-0005-0000-0000-000002070000}"/>
    <cellStyle name="20% - Accent1 9 7 3 2" xfId="45336" xr:uid="{72BD08CF-D1A3-4F0F-B6EA-4DBB9F99B857}"/>
    <cellStyle name="20% - Accent1 9 7 4" xfId="29458" xr:uid="{A99BA08C-ED6B-4152-B376-141994A741FD}"/>
    <cellStyle name="20% - Accent1 9 8" xfId="9124" xr:uid="{00000000-0005-0000-0000-000003070000}"/>
    <cellStyle name="20% - Accent1 9 8 2" xfId="17082" xr:uid="{00000000-0005-0000-0000-000004070000}"/>
    <cellStyle name="20% - Accent1 9 8 2 2" xfId="40923" xr:uid="{15E53FF1-26AC-46CD-A0CB-11C5A5AF6323}"/>
    <cellStyle name="20% - Accent1 9 8 3" xfId="25026" xr:uid="{00000000-0005-0000-0000-000005070000}"/>
    <cellStyle name="20% - Accent1 9 8 3 2" xfId="48859" xr:uid="{3AD3557A-EDBE-4297-9035-DB07DB797FD5}"/>
    <cellStyle name="20% - Accent1 9 8 4" xfId="32982" xr:uid="{692BA542-4F52-4B64-858E-1FDC3AED6479}"/>
    <cellStyle name="20% - Accent1 9 9" xfId="10020" xr:uid="{00000000-0005-0000-0000-000006070000}"/>
    <cellStyle name="20% - Accent1 9 9 2" xfId="33870" xr:uid="{73B465AA-2900-459D-A5E6-836A4536287A}"/>
    <cellStyle name="20% - Accent1 9_Exh G" xfId="2055" xr:uid="{00000000-0005-0000-0000-000007070000}"/>
    <cellStyle name="20% - Accent2" xfId="49699" builtinId="34" customBuiltin="1"/>
    <cellStyle name="20% - Accent2 10" xfId="76" xr:uid="{00000000-0005-0000-0000-000008070000}"/>
    <cellStyle name="20% - Accent2 10 10" xfId="17979" xr:uid="{00000000-0005-0000-0000-000009070000}"/>
    <cellStyle name="20% - Accent2 10 10 2" xfId="41812" xr:uid="{69C9839A-0A72-4D59-A784-DFC4AE8B6D02}"/>
    <cellStyle name="20% - Accent2 10 11" xfId="25932" xr:uid="{4D4CDCFF-2F1F-4783-A533-1EF606B9A213}"/>
    <cellStyle name="20% - Accent2 10 2" xfId="77" xr:uid="{00000000-0005-0000-0000-00000A070000}"/>
    <cellStyle name="20% - Accent2 10 2 2" xfId="78" xr:uid="{00000000-0005-0000-0000-00000B070000}"/>
    <cellStyle name="20% - Accent2 10 2 2 2" xfId="1106" xr:uid="{00000000-0005-0000-0000-00000C070000}"/>
    <cellStyle name="20% - Accent2 10 2 2 2 2" xfId="4636" xr:uid="{00000000-0005-0000-0000-00000D070000}"/>
    <cellStyle name="20% - Accent2 10 2 2 2 2 2" xfId="8227" xr:uid="{00000000-0005-0000-0000-00000E070000}"/>
    <cellStyle name="20% - Accent2 10 2 2 2 2 2 2" xfId="16198" xr:uid="{00000000-0005-0000-0000-00000F070000}"/>
    <cellStyle name="20% - Accent2 10 2 2 2 2 2 2 2" xfId="40041" xr:uid="{ECAA5275-F1DD-4F65-905D-1BD2D7AA8F41}"/>
    <cellStyle name="20% - Accent2 10 2 2 2 2 2 3" xfId="24144" xr:uid="{00000000-0005-0000-0000-000010070000}"/>
    <cellStyle name="20% - Accent2 10 2 2 2 2 2 3 2" xfId="47977" xr:uid="{2A05A29E-2DBA-423E-8293-AC1FE252B565}"/>
    <cellStyle name="20% - Accent2 10 2 2 2 2 2 4" xfId="32100" xr:uid="{2B51E44E-D208-4914-BE42-36A04AFFFA39}"/>
    <cellStyle name="20% - Accent2 10 2 2 2 2 3" xfId="12660" xr:uid="{00000000-0005-0000-0000-000011070000}"/>
    <cellStyle name="20% - Accent2 10 2 2 2 2 3 2" xfId="36510" xr:uid="{688CFEE9-979C-4470-BDDC-6D4ED4D334B1}"/>
    <cellStyle name="20% - Accent2 10 2 2 2 2 4" xfId="20615" xr:uid="{00000000-0005-0000-0000-000012070000}"/>
    <cellStyle name="20% - Accent2 10 2 2 2 2 4 2" xfId="44448" xr:uid="{0F8D9686-E32B-4539-A206-7DAA69413ED4}"/>
    <cellStyle name="20% - Accent2 10 2 2 2 2 5" xfId="28569" xr:uid="{76B820BC-5579-49C1-9509-3E6D3CFE22A4}"/>
    <cellStyle name="20% - Accent2 10 2 2 2 3" xfId="6468" xr:uid="{00000000-0005-0000-0000-000013070000}"/>
    <cellStyle name="20% - Accent2 10 2 2 2 3 2" xfId="14440" xr:uid="{00000000-0005-0000-0000-000014070000}"/>
    <cellStyle name="20% - Accent2 10 2 2 2 3 2 2" xfId="38283" xr:uid="{85703F6C-1473-42D3-B741-EE7FC90BC837}"/>
    <cellStyle name="20% - Accent2 10 2 2 2 3 3" xfId="22387" xr:uid="{00000000-0005-0000-0000-000015070000}"/>
    <cellStyle name="20% - Accent2 10 2 2 2 3 3 2" xfId="46220" xr:uid="{8C620D93-DB56-4918-AD89-C9185B12D0EA}"/>
    <cellStyle name="20% - Accent2 10 2 2 2 3 4" xfId="30342" xr:uid="{A54FC5AF-1FF3-46D0-88BE-56E9833135AF}"/>
    <cellStyle name="20% - Accent2 10 2 2 2 4" xfId="10904" xr:uid="{00000000-0005-0000-0000-000016070000}"/>
    <cellStyle name="20% - Accent2 10 2 2 2 4 2" xfId="34754" xr:uid="{E2C90D92-62C9-4BD5-9703-6D1218C852CC}"/>
    <cellStyle name="20% - Accent2 10 2 2 2 5" xfId="18859" xr:uid="{00000000-0005-0000-0000-000017070000}"/>
    <cellStyle name="20% - Accent2 10 2 2 2 5 2" xfId="42692" xr:uid="{1B7B67E7-CCC7-4AC0-910B-6F5029191A2B}"/>
    <cellStyle name="20% - Accent2 10 2 2 2 6" xfId="26812" xr:uid="{254EA27D-88AA-439A-AE61-7D3B90690862}"/>
    <cellStyle name="20% - Accent2 10 2 2 2_Exh G" xfId="2068" xr:uid="{00000000-0005-0000-0000-000018070000}"/>
    <cellStyle name="20% - Accent2 10 2 2 3" xfId="3757" xr:uid="{00000000-0005-0000-0000-000019070000}"/>
    <cellStyle name="20% - Accent2 10 2 2 3 2" xfId="7349" xr:uid="{00000000-0005-0000-0000-00001A070000}"/>
    <cellStyle name="20% - Accent2 10 2 2 3 2 2" xfId="15320" xr:uid="{00000000-0005-0000-0000-00001B070000}"/>
    <cellStyle name="20% - Accent2 10 2 2 3 2 2 2" xfId="39163" xr:uid="{6B84D9AE-61A2-4F26-A0E2-EA55419D55E9}"/>
    <cellStyle name="20% - Accent2 10 2 2 3 2 3" xfId="23266" xr:uid="{00000000-0005-0000-0000-00001C070000}"/>
    <cellStyle name="20% - Accent2 10 2 2 3 2 3 2" xfId="47099" xr:uid="{967FEB6F-6093-4327-A5E7-310A9AF598B4}"/>
    <cellStyle name="20% - Accent2 10 2 2 3 2 4" xfId="31222" xr:uid="{3C5E7163-D138-43CB-9945-B1AD0F9E521C}"/>
    <cellStyle name="20% - Accent2 10 2 2 3 3" xfId="11782" xr:uid="{00000000-0005-0000-0000-00001D070000}"/>
    <cellStyle name="20% - Accent2 10 2 2 3 3 2" xfId="35632" xr:uid="{69409D6A-A32D-459A-BE1F-70E6E865C9C6}"/>
    <cellStyle name="20% - Accent2 10 2 2 3 4" xfId="19737" xr:uid="{00000000-0005-0000-0000-00001E070000}"/>
    <cellStyle name="20% - Accent2 10 2 2 3 4 2" xfId="43570" xr:uid="{42EF103C-7E70-4107-A787-07A1E2D5A991}"/>
    <cellStyle name="20% - Accent2 10 2 2 3 5" xfId="27691" xr:uid="{98728628-4974-420B-BFA6-4CBEBE75574D}"/>
    <cellStyle name="20% - Accent2 10 2 2 4" xfId="5577" xr:uid="{00000000-0005-0000-0000-00001F070000}"/>
    <cellStyle name="20% - Accent2 10 2 2 4 2" xfId="13561" xr:uid="{00000000-0005-0000-0000-000020070000}"/>
    <cellStyle name="20% - Accent2 10 2 2 4 2 2" xfId="37405" xr:uid="{9BF65781-FE72-469A-BCAC-575EEF413267}"/>
    <cellStyle name="20% - Accent2 10 2 2 4 3" xfId="21509" xr:uid="{00000000-0005-0000-0000-000021070000}"/>
    <cellStyle name="20% - Accent2 10 2 2 4 3 2" xfId="45342" xr:uid="{A41C1A87-FCF9-46C8-BB2E-12ECD147629E}"/>
    <cellStyle name="20% - Accent2 10 2 2 4 4" xfId="29464" xr:uid="{F6EA7B92-1236-4265-AEF5-A330509C984B}"/>
    <cellStyle name="20% - Accent2 10 2 2 5" xfId="9130" xr:uid="{00000000-0005-0000-0000-000022070000}"/>
    <cellStyle name="20% - Accent2 10 2 2 5 2" xfId="17088" xr:uid="{00000000-0005-0000-0000-000023070000}"/>
    <cellStyle name="20% - Accent2 10 2 2 5 2 2" xfId="40929" xr:uid="{B23CF43D-CEC7-4956-BA39-7B15B36BA895}"/>
    <cellStyle name="20% - Accent2 10 2 2 5 3" xfId="25032" xr:uid="{00000000-0005-0000-0000-000024070000}"/>
    <cellStyle name="20% - Accent2 10 2 2 5 3 2" xfId="48865" xr:uid="{2373E329-9623-48F9-953F-E7478ED99A2D}"/>
    <cellStyle name="20% - Accent2 10 2 2 5 4" xfId="32988" xr:uid="{86CFDB2F-82BD-486C-A904-0D3EA1809C7D}"/>
    <cellStyle name="20% - Accent2 10 2 2 6" xfId="10026" xr:uid="{00000000-0005-0000-0000-000025070000}"/>
    <cellStyle name="20% - Accent2 10 2 2 6 2" xfId="33876" xr:uid="{2E095DFF-3A75-4D8C-AD51-FF3F073E3236}"/>
    <cellStyle name="20% - Accent2 10 2 2 7" xfId="17981" xr:uid="{00000000-0005-0000-0000-000026070000}"/>
    <cellStyle name="20% - Accent2 10 2 2 7 2" xfId="41814" xr:uid="{6992944E-3024-49E5-8FB2-4DB6C82CCBAC}"/>
    <cellStyle name="20% - Accent2 10 2 2 8" xfId="25934" xr:uid="{57D54106-9804-405F-A5B3-AAF06B874CDA}"/>
    <cellStyle name="20% - Accent2 10 2 2_Exh G" xfId="2067" xr:uid="{00000000-0005-0000-0000-000027070000}"/>
    <cellStyle name="20% - Accent2 10 2 3" xfId="1105" xr:uid="{00000000-0005-0000-0000-000028070000}"/>
    <cellStyle name="20% - Accent2 10 2 3 2" xfId="4635" xr:uid="{00000000-0005-0000-0000-000029070000}"/>
    <cellStyle name="20% - Accent2 10 2 3 2 2" xfId="8226" xr:uid="{00000000-0005-0000-0000-00002A070000}"/>
    <cellStyle name="20% - Accent2 10 2 3 2 2 2" xfId="16197" xr:uid="{00000000-0005-0000-0000-00002B070000}"/>
    <cellStyle name="20% - Accent2 10 2 3 2 2 2 2" xfId="40040" xr:uid="{987E9A95-BAC0-494E-B324-9213C2E89835}"/>
    <cellStyle name="20% - Accent2 10 2 3 2 2 3" xfId="24143" xr:uid="{00000000-0005-0000-0000-00002C070000}"/>
    <cellStyle name="20% - Accent2 10 2 3 2 2 3 2" xfId="47976" xr:uid="{DF136430-3FE2-47F4-B86D-8FCA183FBD1E}"/>
    <cellStyle name="20% - Accent2 10 2 3 2 2 4" xfId="32099" xr:uid="{59131B2B-25FE-454F-B34D-C24BCFFC6CC3}"/>
    <cellStyle name="20% - Accent2 10 2 3 2 3" xfId="12659" xr:uid="{00000000-0005-0000-0000-00002D070000}"/>
    <cellStyle name="20% - Accent2 10 2 3 2 3 2" xfId="36509" xr:uid="{5C6FC0FB-6F3D-4E9F-A891-DB3A5A94B340}"/>
    <cellStyle name="20% - Accent2 10 2 3 2 4" xfId="20614" xr:uid="{00000000-0005-0000-0000-00002E070000}"/>
    <cellStyle name="20% - Accent2 10 2 3 2 4 2" xfId="44447" xr:uid="{6F1C50A1-E90A-4DDD-A19F-85D50623E32F}"/>
    <cellStyle name="20% - Accent2 10 2 3 2 5" xfId="28568" xr:uid="{CC952F32-ACA7-4278-B475-F1C0BC26EBDE}"/>
    <cellStyle name="20% - Accent2 10 2 3 3" xfId="6467" xr:uid="{00000000-0005-0000-0000-00002F070000}"/>
    <cellStyle name="20% - Accent2 10 2 3 3 2" xfId="14439" xr:uid="{00000000-0005-0000-0000-000030070000}"/>
    <cellStyle name="20% - Accent2 10 2 3 3 2 2" xfId="38282" xr:uid="{8D02962B-0ABA-49E0-B4E7-9594B7D057FA}"/>
    <cellStyle name="20% - Accent2 10 2 3 3 3" xfId="22386" xr:uid="{00000000-0005-0000-0000-000031070000}"/>
    <cellStyle name="20% - Accent2 10 2 3 3 3 2" xfId="46219" xr:uid="{F5DE3824-95A6-4264-8B12-605C2795DFD6}"/>
    <cellStyle name="20% - Accent2 10 2 3 3 4" xfId="30341" xr:uid="{3655C210-F209-49E5-A371-4B9F03564B5E}"/>
    <cellStyle name="20% - Accent2 10 2 3 4" xfId="10903" xr:uid="{00000000-0005-0000-0000-000032070000}"/>
    <cellStyle name="20% - Accent2 10 2 3 4 2" xfId="34753" xr:uid="{BD1209AD-7F2C-45E9-AD6F-2F33D56CD457}"/>
    <cellStyle name="20% - Accent2 10 2 3 5" xfId="18858" xr:uid="{00000000-0005-0000-0000-000033070000}"/>
    <cellStyle name="20% - Accent2 10 2 3 5 2" xfId="42691" xr:uid="{84C7D83A-7DE8-466D-9CC6-68290CE1697F}"/>
    <cellStyle name="20% - Accent2 10 2 3 6" xfId="26811" xr:uid="{711E0AE3-7A04-43C1-84AF-64622FD2DECA}"/>
    <cellStyle name="20% - Accent2 10 2 3_Exh G" xfId="2069" xr:uid="{00000000-0005-0000-0000-000034070000}"/>
    <cellStyle name="20% - Accent2 10 2 4" xfId="3756" xr:uid="{00000000-0005-0000-0000-000035070000}"/>
    <cellStyle name="20% - Accent2 10 2 4 2" xfId="7348" xr:uid="{00000000-0005-0000-0000-000036070000}"/>
    <cellStyle name="20% - Accent2 10 2 4 2 2" xfId="15319" xr:uid="{00000000-0005-0000-0000-000037070000}"/>
    <cellStyle name="20% - Accent2 10 2 4 2 2 2" xfId="39162" xr:uid="{11645824-A201-4C31-9766-9AB6E691F865}"/>
    <cellStyle name="20% - Accent2 10 2 4 2 3" xfId="23265" xr:uid="{00000000-0005-0000-0000-000038070000}"/>
    <cellStyle name="20% - Accent2 10 2 4 2 3 2" xfId="47098" xr:uid="{2067AF19-F3E8-46F0-9740-B9297A745114}"/>
    <cellStyle name="20% - Accent2 10 2 4 2 4" xfId="31221" xr:uid="{30552F35-9534-4CE1-A3AF-B7D95A6E7CBB}"/>
    <cellStyle name="20% - Accent2 10 2 4 3" xfId="11781" xr:uid="{00000000-0005-0000-0000-000039070000}"/>
    <cellStyle name="20% - Accent2 10 2 4 3 2" xfId="35631" xr:uid="{B4C7035E-0B67-478C-B8E0-3A8CD80F1486}"/>
    <cellStyle name="20% - Accent2 10 2 4 4" xfId="19736" xr:uid="{00000000-0005-0000-0000-00003A070000}"/>
    <cellStyle name="20% - Accent2 10 2 4 4 2" xfId="43569" xr:uid="{DD0CFBEE-D383-4899-ACE4-5CE68EC221DD}"/>
    <cellStyle name="20% - Accent2 10 2 4 5" xfId="27690" xr:uid="{7DE0F90B-1474-4393-A1D4-B99E3C6E37A6}"/>
    <cellStyle name="20% - Accent2 10 2 5" xfId="5576" xr:uid="{00000000-0005-0000-0000-00003B070000}"/>
    <cellStyle name="20% - Accent2 10 2 5 2" xfId="13560" xr:uid="{00000000-0005-0000-0000-00003C070000}"/>
    <cellStyle name="20% - Accent2 10 2 5 2 2" xfId="37404" xr:uid="{8A39FF74-BF20-4C7F-AF67-68AD373ACAF4}"/>
    <cellStyle name="20% - Accent2 10 2 5 3" xfId="21508" xr:uid="{00000000-0005-0000-0000-00003D070000}"/>
    <cellStyle name="20% - Accent2 10 2 5 3 2" xfId="45341" xr:uid="{DE30677C-7632-4335-8822-F42529054845}"/>
    <cellStyle name="20% - Accent2 10 2 5 4" xfId="29463" xr:uid="{E0ED3C2E-D50B-461B-A893-0A0C14B59B9C}"/>
    <cellStyle name="20% - Accent2 10 2 6" xfId="9129" xr:uid="{00000000-0005-0000-0000-00003E070000}"/>
    <cellStyle name="20% - Accent2 10 2 6 2" xfId="17087" xr:uid="{00000000-0005-0000-0000-00003F070000}"/>
    <cellStyle name="20% - Accent2 10 2 6 2 2" xfId="40928" xr:uid="{4C2D49D0-D599-460C-8B64-B2464C537C07}"/>
    <cellStyle name="20% - Accent2 10 2 6 3" xfId="25031" xr:uid="{00000000-0005-0000-0000-000040070000}"/>
    <cellStyle name="20% - Accent2 10 2 6 3 2" xfId="48864" xr:uid="{0CD1CEEB-1BE1-4AC3-AF19-7280A576A64C}"/>
    <cellStyle name="20% - Accent2 10 2 6 4" xfId="32987" xr:uid="{F656F2BB-E138-4225-8765-CD9619462321}"/>
    <cellStyle name="20% - Accent2 10 2 7" xfId="10025" xr:uid="{00000000-0005-0000-0000-000041070000}"/>
    <cellStyle name="20% - Accent2 10 2 7 2" xfId="33875" xr:uid="{32D241B6-DEDD-4910-A5FE-9DFF3A1D3C95}"/>
    <cellStyle name="20% - Accent2 10 2 8" xfId="17980" xr:uid="{00000000-0005-0000-0000-000042070000}"/>
    <cellStyle name="20% - Accent2 10 2 8 2" xfId="41813" xr:uid="{3854A1FF-D3D6-4D4B-87A7-B102B5C9ED8C}"/>
    <cellStyle name="20% - Accent2 10 2 9" xfId="25933" xr:uid="{090DD8E8-53A3-46E5-B420-CFBFC85B063E}"/>
    <cellStyle name="20% - Accent2 10 2_Exh G" xfId="2066" xr:uid="{00000000-0005-0000-0000-000043070000}"/>
    <cellStyle name="20% - Accent2 10 3" xfId="79" xr:uid="{00000000-0005-0000-0000-000044070000}"/>
    <cellStyle name="20% - Accent2 10 3 2" xfId="1107" xr:uid="{00000000-0005-0000-0000-000045070000}"/>
    <cellStyle name="20% - Accent2 10 3 2 2" xfId="4637" xr:uid="{00000000-0005-0000-0000-000046070000}"/>
    <cellStyle name="20% - Accent2 10 3 2 2 2" xfId="8228" xr:uid="{00000000-0005-0000-0000-000047070000}"/>
    <cellStyle name="20% - Accent2 10 3 2 2 2 2" xfId="16199" xr:uid="{00000000-0005-0000-0000-000048070000}"/>
    <cellStyle name="20% - Accent2 10 3 2 2 2 2 2" xfId="40042" xr:uid="{74F22069-DEE9-44B9-820B-361A8D67A2CC}"/>
    <cellStyle name="20% - Accent2 10 3 2 2 2 3" xfId="24145" xr:uid="{00000000-0005-0000-0000-000049070000}"/>
    <cellStyle name="20% - Accent2 10 3 2 2 2 3 2" xfId="47978" xr:uid="{A62C7441-CD97-47AF-9CF8-25E7F4008A63}"/>
    <cellStyle name="20% - Accent2 10 3 2 2 2 4" xfId="32101" xr:uid="{39329C56-47D7-449C-BE82-C63F6E2B2ED2}"/>
    <cellStyle name="20% - Accent2 10 3 2 2 3" xfId="12661" xr:uid="{00000000-0005-0000-0000-00004A070000}"/>
    <cellStyle name="20% - Accent2 10 3 2 2 3 2" xfId="36511" xr:uid="{D6C48B43-DA5B-475E-BB0C-91A3D4ED2734}"/>
    <cellStyle name="20% - Accent2 10 3 2 2 4" xfId="20616" xr:uid="{00000000-0005-0000-0000-00004B070000}"/>
    <cellStyle name="20% - Accent2 10 3 2 2 4 2" xfId="44449" xr:uid="{12051B97-09CB-4E10-998D-818DCBB0AB87}"/>
    <cellStyle name="20% - Accent2 10 3 2 2 5" xfId="28570" xr:uid="{37B078D1-8DAE-4A28-BEF5-FA4AF8ABDB21}"/>
    <cellStyle name="20% - Accent2 10 3 2 3" xfId="6469" xr:uid="{00000000-0005-0000-0000-00004C070000}"/>
    <cellStyle name="20% - Accent2 10 3 2 3 2" xfId="14441" xr:uid="{00000000-0005-0000-0000-00004D070000}"/>
    <cellStyle name="20% - Accent2 10 3 2 3 2 2" xfId="38284" xr:uid="{E609EF29-6BE5-49E0-9B4B-08217CCC2C1F}"/>
    <cellStyle name="20% - Accent2 10 3 2 3 3" xfId="22388" xr:uid="{00000000-0005-0000-0000-00004E070000}"/>
    <cellStyle name="20% - Accent2 10 3 2 3 3 2" xfId="46221" xr:uid="{F73C7859-A699-44A6-8A76-B1C182891FC9}"/>
    <cellStyle name="20% - Accent2 10 3 2 3 4" xfId="30343" xr:uid="{9D89C7DF-EC5E-407E-ACF8-5F9F5F13F589}"/>
    <cellStyle name="20% - Accent2 10 3 2 4" xfId="10905" xr:uid="{00000000-0005-0000-0000-00004F070000}"/>
    <cellStyle name="20% - Accent2 10 3 2 4 2" xfId="34755" xr:uid="{2E7BA9C6-33DE-48CF-B6CE-810CF92678DB}"/>
    <cellStyle name="20% - Accent2 10 3 2 5" xfId="18860" xr:uid="{00000000-0005-0000-0000-000050070000}"/>
    <cellStyle name="20% - Accent2 10 3 2 5 2" xfId="42693" xr:uid="{B74B1692-6935-4D0B-A549-19E4EAF8A939}"/>
    <cellStyle name="20% - Accent2 10 3 2 6" xfId="26813" xr:uid="{2AA07F38-DB54-4D64-A175-7A2DD7DB7965}"/>
    <cellStyle name="20% - Accent2 10 3 2_Exh G" xfId="2071" xr:uid="{00000000-0005-0000-0000-000051070000}"/>
    <cellStyle name="20% - Accent2 10 3 3" xfId="3758" xr:uid="{00000000-0005-0000-0000-000052070000}"/>
    <cellStyle name="20% - Accent2 10 3 3 2" xfId="7350" xr:uid="{00000000-0005-0000-0000-000053070000}"/>
    <cellStyle name="20% - Accent2 10 3 3 2 2" xfId="15321" xr:uid="{00000000-0005-0000-0000-000054070000}"/>
    <cellStyle name="20% - Accent2 10 3 3 2 2 2" xfId="39164" xr:uid="{ECC36E1F-8844-47B0-89B3-33C46E760FB7}"/>
    <cellStyle name="20% - Accent2 10 3 3 2 3" xfId="23267" xr:uid="{00000000-0005-0000-0000-000055070000}"/>
    <cellStyle name="20% - Accent2 10 3 3 2 3 2" xfId="47100" xr:uid="{6359ADCC-B1E1-4572-83B1-B812A9A800D7}"/>
    <cellStyle name="20% - Accent2 10 3 3 2 4" xfId="31223" xr:uid="{7F43A1EF-BE80-4276-AE13-924764962B4E}"/>
    <cellStyle name="20% - Accent2 10 3 3 3" xfId="11783" xr:uid="{00000000-0005-0000-0000-000056070000}"/>
    <cellStyle name="20% - Accent2 10 3 3 3 2" xfId="35633" xr:uid="{B489E044-3EE2-4376-88BE-9C40E3F2CBB1}"/>
    <cellStyle name="20% - Accent2 10 3 3 4" xfId="19738" xr:uid="{00000000-0005-0000-0000-000057070000}"/>
    <cellStyle name="20% - Accent2 10 3 3 4 2" xfId="43571" xr:uid="{C0D5CBE6-9E32-49BA-ADC3-06606AF83C84}"/>
    <cellStyle name="20% - Accent2 10 3 3 5" xfId="27692" xr:uid="{EBFAD0A5-61A0-413C-88D6-A759602C9532}"/>
    <cellStyle name="20% - Accent2 10 3 4" xfId="5578" xr:uid="{00000000-0005-0000-0000-000058070000}"/>
    <cellStyle name="20% - Accent2 10 3 4 2" xfId="13562" xr:uid="{00000000-0005-0000-0000-000059070000}"/>
    <cellStyle name="20% - Accent2 10 3 4 2 2" xfId="37406" xr:uid="{58A21787-342F-4776-912E-9EBE6C23A115}"/>
    <cellStyle name="20% - Accent2 10 3 4 3" xfId="21510" xr:uid="{00000000-0005-0000-0000-00005A070000}"/>
    <cellStyle name="20% - Accent2 10 3 4 3 2" xfId="45343" xr:uid="{552667F4-7979-4AC1-A926-45F35160CA79}"/>
    <cellStyle name="20% - Accent2 10 3 4 4" xfId="29465" xr:uid="{BB0090D1-8422-4B2C-A837-0C83B8F93009}"/>
    <cellStyle name="20% - Accent2 10 3 5" xfId="9131" xr:uid="{00000000-0005-0000-0000-00005B070000}"/>
    <cellStyle name="20% - Accent2 10 3 5 2" xfId="17089" xr:uid="{00000000-0005-0000-0000-00005C070000}"/>
    <cellStyle name="20% - Accent2 10 3 5 2 2" xfId="40930" xr:uid="{D79B3228-78BD-4000-9A99-B0B4DE1E0CB6}"/>
    <cellStyle name="20% - Accent2 10 3 5 3" xfId="25033" xr:uid="{00000000-0005-0000-0000-00005D070000}"/>
    <cellStyle name="20% - Accent2 10 3 5 3 2" xfId="48866" xr:uid="{501617E7-2DBA-4009-BCCF-C4564864B3FC}"/>
    <cellStyle name="20% - Accent2 10 3 5 4" xfId="32989" xr:uid="{A29561AE-F590-472E-9AFB-CD72976F9EE7}"/>
    <cellStyle name="20% - Accent2 10 3 6" xfId="10027" xr:uid="{00000000-0005-0000-0000-00005E070000}"/>
    <cellStyle name="20% - Accent2 10 3 6 2" xfId="33877" xr:uid="{8044AFAA-E187-4258-ADA0-E21CAC7914DC}"/>
    <cellStyle name="20% - Accent2 10 3 7" xfId="17982" xr:uid="{00000000-0005-0000-0000-00005F070000}"/>
    <cellStyle name="20% - Accent2 10 3 7 2" xfId="41815" xr:uid="{40750E8B-9CEB-486C-A09C-D9DEFBC09889}"/>
    <cellStyle name="20% - Accent2 10 3 8" xfId="25935" xr:uid="{3BDAFDC6-305A-4EA4-BE68-92E6E5343660}"/>
    <cellStyle name="20% - Accent2 10 3_Exh G" xfId="2070" xr:uid="{00000000-0005-0000-0000-000060070000}"/>
    <cellStyle name="20% - Accent2 10 4" xfId="874" xr:uid="{00000000-0005-0000-0000-000061070000}"/>
    <cellStyle name="20% - Accent2 10 5" xfId="1104" xr:uid="{00000000-0005-0000-0000-000062070000}"/>
    <cellStyle name="20% - Accent2 10 5 2" xfId="4634" xr:uid="{00000000-0005-0000-0000-000063070000}"/>
    <cellStyle name="20% - Accent2 10 5 2 2" xfId="8225" xr:uid="{00000000-0005-0000-0000-000064070000}"/>
    <cellStyle name="20% - Accent2 10 5 2 2 2" xfId="16196" xr:uid="{00000000-0005-0000-0000-000065070000}"/>
    <cellStyle name="20% - Accent2 10 5 2 2 2 2" xfId="40039" xr:uid="{2852A212-3700-4A65-B06B-2A17034D6535}"/>
    <cellStyle name="20% - Accent2 10 5 2 2 3" xfId="24142" xr:uid="{00000000-0005-0000-0000-000066070000}"/>
    <cellStyle name="20% - Accent2 10 5 2 2 3 2" xfId="47975" xr:uid="{CD52D992-FC2A-48B7-BDB3-4DDFCA89C24E}"/>
    <cellStyle name="20% - Accent2 10 5 2 2 4" xfId="32098" xr:uid="{88915016-5C48-4AA2-8C21-4A6898F79F71}"/>
    <cellStyle name="20% - Accent2 10 5 2 3" xfId="12658" xr:uid="{00000000-0005-0000-0000-000067070000}"/>
    <cellStyle name="20% - Accent2 10 5 2 3 2" xfId="36508" xr:uid="{136C3F3B-7477-431F-8053-5C727F494354}"/>
    <cellStyle name="20% - Accent2 10 5 2 4" xfId="20613" xr:uid="{00000000-0005-0000-0000-000068070000}"/>
    <cellStyle name="20% - Accent2 10 5 2 4 2" xfId="44446" xr:uid="{9C9C9331-BFCF-4C38-B83D-E5042E688342}"/>
    <cellStyle name="20% - Accent2 10 5 2 5" xfId="28567" xr:uid="{3CE35814-3FAF-4437-9687-29E0411A510B}"/>
    <cellStyle name="20% - Accent2 10 5 3" xfId="6466" xr:uid="{00000000-0005-0000-0000-000069070000}"/>
    <cellStyle name="20% - Accent2 10 5 3 2" xfId="14438" xr:uid="{00000000-0005-0000-0000-00006A070000}"/>
    <cellStyle name="20% - Accent2 10 5 3 2 2" xfId="38281" xr:uid="{004650B3-25A3-490F-84B2-23B0B4BF295E}"/>
    <cellStyle name="20% - Accent2 10 5 3 3" xfId="22385" xr:uid="{00000000-0005-0000-0000-00006B070000}"/>
    <cellStyle name="20% - Accent2 10 5 3 3 2" xfId="46218" xr:uid="{A6377EF4-8B8A-43EB-96E2-B78E079E4DE6}"/>
    <cellStyle name="20% - Accent2 10 5 3 4" xfId="30340" xr:uid="{2472A4CB-0AA2-45B0-BE25-90875114F96B}"/>
    <cellStyle name="20% - Accent2 10 5 4" xfId="10902" xr:uid="{00000000-0005-0000-0000-00006C070000}"/>
    <cellStyle name="20% - Accent2 10 5 4 2" xfId="34752" xr:uid="{7E89CFB5-1575-4DF2-BCF3-C510CADC9ACD}"/>
    <cellStyle name="20% - Accent2 10 5 5" xfId="18857" xr:uid="{00000000-0005-0000-0000-00006D070000}"/>
    <cellStyle name="20% - Accent2 10 5 5 2" xfId="42690" xr:uid="{2432D45F-A95A-45FF-B151-6AD27D18400C}"/>
    <cellStyle name="20% - Accent2 10 5 6" xfId="26810" xr:uid="{6FE485D4-DB82-4950-B8B2-09723BEE1002}"/>
    <cellStyle name="20% - Accent2 10 5_Exh G" xfId="2072" xr:uid="{00000000-0005-0000-0000-00006E070000}"/>
    <cellStyle name="20% - Accent2 10 6" xfId="3755" xr:uid="{00000000-0005-0000-0000-00006F070000}"/>
    <cellStyle name="20% - Accent2 10 6 2" xfId="7347" xr:uid="{00000000-0005-0000-0000-000070070000}"/>
    <cellStyle name="20% - Accent2 10 6 2 2" xfId="15318" xr:uid="{00000000-0005-0000-0000-000071070000}"/>
    <cellStyle name="20% - Accent2 10 6 2 2 2" xfId="39161" xr:uid="{613C8DC9-F52A-47FD-92F7-1E517066A74C}"/>
    <cellStyle name="20% - Accent2 10 6 2 3" xfId="23264" xr:uid="{00000000-0005-0000-0000-000072070000}"/>
    <cellStyle name="20% - Accent2 10 6 2 3 2" xfId="47097" xr:uid="{F5E392F1-0F68-4DB9-9550-D0FA5B07A467}"/>
    <cellStyle name="20% - Accent2 10 6 2 4" xfId="31220" xr:uid="{35924FD8-9309-4097-A924-08A5184C609B}"/>
    <cellStyle name="20% - Accent2 10 6 3" xfId="11780" xr:uid="{00000000-0005-0000-0000-000073070000}"/>
    <cellStyle name="20% - Accent2 10 6 3 2" xfId="35630" xr:uid="{0D5575BB-16E5-460C-B4E4-2266933C249C}"/>
    <cellStyle name="20% - Accent2 10 6 4" xfId="19735" xr:uid="{00000000-0005-0000-0000-000074070000}"/>
    <cellStyle name="20% - Accent2 10 6 4 2" xfId="43568" xr:uid="{28C56133-6593-41D8-BED4-CDE17D3DA3EB}"/>
    <cellStyle name="20% - Accent2 10 6 5" xfId="27689" xr:uid="{4F6B3FB1-39BB-425D-9506-B4F34F3314F5}"/>
    <cellStyle name="20% - Accent2 10 7" xfId="5575" xr:uid="{00000000-0005-0000-0000-000075070000}"/>
    <cellStyle name="20% - Accent2 10 7 2" xfId="13559" xr:uid="{00000000-0005-0000-0000-000076070000}"/>
    <cellStyle name="20% - Accent2 10 7 2 2" xfId="37403" xr:uid="{B450000B-EC22-47E2-9D3A-2856D750CD67}"/>
    <cellStyle name="20% - Accent2 10 7 3" xfId="21507" xr:uid="{00000000-0005-0000-0000-000077070000}"/>
    <cellStyle name="20% - Accent2 10 7 3 2" xfId="45340" xr:uid="{29AB985B-CC36-49E8-ABD5-07D16D33CBED}"/>
    <cellStyle name="20% - Accent2 10 7 4" xfId="29462" xr:uid="{6DFB4AD9-34C7-4F67-B01F-5446CD238C24}"/>
    <cellStyle name="20% - Accent2 10 8" xfId="9128" xr:uid="{00000000-0005-0000-0000-000078070000}"/>
    <cellStyle name="20% - Accent2 10 8 2" xfId="17086" xr:uid="{00000000-0005-0000-0000-000079070000}"/>
    <cellStyle name="20% - Accent2 10 8 2 2" xfId="40927" xr:uid="{9A662306-BAE5-4B28-8C0A-599C3A90D48B}"/>
    <cellStyle name="20% - Accent2 10 8 3" xfId="25030" xr:uid="{00000000-0005-0000-0000-00007A070000}"/>
    <cellStyle name="20% - Accent2 10 8 3 2" xfId="48863" xr:uid="{F5978A84-0D75-4F35-9F45-2BD679CC9A0D}"/>
    <cellStyle name="20% - Accent2 10 8 4" xfId="32986" xr:uid="{75EEEDF7-C6B6-42F0-B7ED-8978D81CF052}"/>
    <cellStyle name="20% - Accent2 10 9" xfId="10024" xr:uid="{00000000-0005-0000-0000-00007B070000}"/>
    <cellStyle name="20% - Accent2 10 9 2" xfId="33874" xr:uid="{D89246AC-DEA7-42C0-834B-7951205665B6}"/>
    <cellStyle name="20% - Accent2 10_Exh G" xfId="2065" xr:uid="{00000000-0005-0000-0000-00007C070000}"/>
    <cellStyle name="20% - Accent2 11" xfId="80" xr:uid="{00000000-0005-0000-0000-00007D070000}"/>
    <cellStyle name="20% - Accent2 11 10" xfId="25936" xr:uid="{449FF441-0D71-4E4C-8371-1252FD9E8BE7}"/>
    <cellStyle name="20% - Accent2 11 2" xfId="81" xr:uid="{00000000-0005-0000-0000-00007E070000}"/>
    <cellStyle name="20% - Accent2 11 2 2" xfId="82" xr:uid="{00000000-0005-0000-0000-00007F070000}"/>
    <cellStyle name="20% - Accent2 11 2 2 2" xfId="1110" xr:uid="{00000000-0005-0000-0000-000080070000}"/>
    <cellStyle name="20% - Accent2 11 2 2 2 2" xfId="4640" xr:uid="{00000000-0005-0000-0000-000081070000}"/>
    <cellStyle name="20% - Accent2 11 2 2 2 2 2" xfId="8231" xr:uid="{00000000-0005-0000-0000-000082070000}"/>
    <cellStyle name="20% - Accent2 11 2 2 2 2 2 2" xfId="16202" xr:uid="{00000000-0005-0000-0000-000083070000}"/>
    <cellStyle name="20% - Accent2 11 2 2 2 2 2 2 2" xfId="40045" xr:uid="{C457D7EA-7C8D-4369-AA17-9A9E1696566C}"/>
    <cellStyle name="20% - Accent2 11 2 2 2 2 2 3" xfId="24148" xr:uid="{00000000-0005-0000-0000-000084070000}"/>
    <cellStyle name="20% - Accent2 11 2 2 2 2 2 3 2" xfId="47981" xr:uid="{E9E04251-24C7-4D3F-B7DC-7BD534136CAB}"/>
    <cellStyle name="20% - Accent2 11 2 2 2 2 2 4" xfId="32104" xr:uid="{B4CB7D0F-4415-4B1C-AE17-4A75AD3EBAA2}"/>
    <cellStyle name="20% - Accent2 11 2 2 2 2 3" xfId="12664" xr:uid="{00000000-0005-0000-0000-000085070000}"/>
    <cellStyle name="20% - Accent2 11 2 2 2 2 3 2" xfId="36514" xr:uid="{1E0FD7BF-5003-4736-9AF4-64B332C6BC0F}"/>
    <cellStyle name="20% - Accent2 11 2 2 2 2 4" xfId="20619" xr:uid="{00000000-0005-0000-0000-000086070000}"/>
    <cellStyle name="20% - Accent2 11 2 2 2 2 4 2" xfId="44452" xr:uid="{F646FBD8-0FCC-4626-94DA-4A1CFB174D7D}"/>
    <cellStyle name="20% - Accent2 11 2 2 2 2 5" xfId="28573" xr:uid="{10690D10-0C60-4E50-9C37-C44B777CC69E}"/>
    <cellStyle name="20% - Accent2 11 2 2 2 3" xfId="6472" xr:uid="{00000000-0005-0000-0000-000087070000}"/>
    <cellStyle name="20% - Accent2 11 2 2 2 3 2" xfId="14444" xr:uid="{00000000-0005-0000-0000-000088070000}"/>
    <cellStyle name="20% - Accent2 11 2 2 2 3 2 2" xfId="38287" xr:uid="{E4E70345-89A2-4C43-99CE-7A36E9A1CD96}"/>
    <cellStyle name="20% - Accent2 11 2 2 2 3 3" xfId="22391" xr:uid="{00000000-0005-0000-0000-000089070000}"/>
    <cellStyle name="20% - Accent2 11 2 2 2 3 3 2" xfId="46224" xr:uid="{AE9A109E-2137-43E9-9A12-C38259409A75}"/>
    <cellStyle name="20% - Accent2 11 2 2 2 3 4" xfId="30346" xr:uid="{32A59E4C-75B5-4D2D-B632-7A3B5114ADC4}"/>
    <cellStyle name="20% - Accent2 11 2 2 2 4" xfId="10908" xr:uid="{00000000-0005-0000-0000-00008A070000}"/>
    <cellStyle name="20% - Accent2 11 2 2 2 4 2" xfId="34758" xr:uid="{7DFE9F76-3CF0-49BD-8729-F058AAED0A54}"/>
    <cellStyle name="20% - Accent2 11 2 2 2 5" xfId="18863" xr:uid="{00000000-0005-0000-0000-00008B070000}"/>
    <cellStyle name="20% - Accent2 11 2 2 2 5 2" xfId="42696" xr:uid="{3231A7DB-D8A3-4CFF-90AB-E809D23255EF}"/>
    <cellStyle name="20% - Accent2 11 2 2 2 6" xfId="26816" xr:uid="{E43737DD-B900-4B5E-989A-900344C59B1F}"/>
    <cellStyle name="20% - Accent2 11 2 2 2_Exh G" xfId="2076" xr:uid="{00000000-0005-0000-0000-00008C070000}"/>
    <cellStyle name="20% - Accent2 11 2 2 3" xfId="3761" xr:uid="{00000000-0005-0000-0000-00008D070000}"/>
    <cellStyle name="20% - Accent2 11 2 2 3 2" xfId="7353" xr:uid="{00000000-0005-0000-0000-00008E070000}"/>
    <cellStyle name="20% - Accent2 11 2 2 3 2 2" xfId="15324" xr:uid="{00000000-0005-0000-0000-00008F070000}"/>
    <cellStyle name="20% - Accent2 11 2 2 3 2 2 2" xfId="39167" xr:uid="{625A2220-7A63-4040-B825-B16C577CF4DF}"/>
    <cellStyle name="20% - Accent2 11 2 2 3 2 3" xfId="23270" xr:uid="{00000000-0005-0000-0000-000090070000}"/>
    <cellStyle name="20% - Accent2 11 2 2 3 2 3 2" xfId="47103" xr:uid="{F2E868DA-E6EC-497B-9EFE-31269B4E78D9}"/>
    <cellStyle name="20% - Accent2 11 2 2 3 2 4" xfId="31226" xr:uid="{D8D3B81B-8326-4C2D-80BF-FF5EF9A9F078}"/>
    <cellStyle name="20% - Accent2 11 2 2 3 3" xfId="11786" xr:uid="{00000000-0005-0000-0000-000091070000}"/>
    <cellStyle name="20% - Accent2 11 2 2 3 3 2" xfId="35636" xr:uid="{E164739B-42AC-4981-A9AB-866F0CD15E7D}"/>
    <cellStyle name="20% - Accent2 11 2 2 3 4" xfId="19741" xr:uid="{00000000-0005-0000-0000-000092070000}"/>
    <cellStyle name="20% - Accent2 11 2 2 3 4 2" xfId="43574" xr:uid="{CE04FDBA-DC08-4B87-8CA8-8F93CEB8BF08}"/>
    <cellStyle name="20% - Accent2 11 2 2 3 5" xfId="27695" xr:uid="{AE3AD303-8633-496A-A81C-C685FCC8E4EE}"/>
    <cellStyle name="20% - Accent2 11 2 2 4" xfId="5581" xr:uid="{00000000-0005-0000-0000-000093070000}"/>
    <cellStyle name="20% - Accent2 11 2 2 4 2" xfId="13565" xr:uid="{00000000-0005-0000-0000-000094070000}"/>
    <cellStyle name="20% - Accent2 11 2 2 4 2 2" xfId="37409" xr:uid="{2FC82E29-DBA3-49D8-98BA-266EA0A98448}"/>
    <cellStyle name="20% - Accent2 11 2 2 4 3" xfId="21513" xr:uid="{00000000-0005-0000-0000-000095070000}"/>
    <cellStyle name="20% - Accent2 11 2 2 4 3 2" xfId="45346" xr:uid="{67CADB17-6AF3-4AC8-8113-D087D22381D3}"/>
    <cellStyle name="20% - Accent2 11 2 2 4 4" xfId="29468" xr:uid="{7F9B56D6-DD1F-4E50-861A-58BECA6CE8A4}"/>
    <cellStyle name="20% - Accent2 11 2 2 5" xfId="9134" xr:uid="{00000000-0005-0000-0000-000096070000}"/>
    <cellStyle name="20% - Accent2 11 2 2 5 2" xfId="17092" xr:uid="{00000000-0005-0000-0000-000097070000}"/>
    <cellStyle name="20% - Accent2 11 2 2 5 2 2" xfId="40933" xr:uid="{4A1BCED6-E245-4C8E-880E-AC5BA17E5DA8}"/>
    <cellStyle name="20% - Accent2 11 2 2 5 3" xfId="25036" xr:uid="{00000000-0005-0000-0000-000098070000}"/>
    <cellStyle name="20% - Accent2 11 2 2 5 3 2" xfId="48869" xr:uid="{BCBB6134-3368-489F-94A6-6E5F07D7D654}"/>
    <cellStyle name="20% - Accent2 11 2 2 5 4" xfId="32992" xr:uid="{655748E5-08B5-4226-9E6C-C1A497204084}"/>
    <cellStyle name="20% - Accent2 11 2 2 6" xfId="10030" xr:uid="{00000000-0005-0000-0000-000099070000}"/>
    <cellStyle name="20% - Accent2 11 2 2 6 2" xfId="33880" xr:uid="{F76893EC-A947-4671-8D63-2B316C447A64}"/>
    <cellStyle name="20% - Accent2 11 2 2 7" xfId="17985" xr:uid="{00000000-0005-0000-0000-00009A070000}"/>
    <cellStyle name="20% - Accent2 11 2 2 7 2" xfId="41818" xr:uid="{6BA4E3AC-7409-42C6-861C-EC446F6FC73B}"/>
    <cellStyle name="20% - Accent2 11 2 2 8" xfId="25938" xr:uid="{A16E3CEC-97CA-4054-89A7-55330ED1CE5B}"/>
    <cellStyle name="20% - Accent2 11 2 2_Exh G" xfId="2075" xr:uid="{00000000-0005-0000-0000-00009B070000}"/>
    <cellStyle name="20% - Accent2 11 2 3" xfId="1109" xr:uid="{00000000-0005-0000-0000-00009C070000}"/>
    <cellStyle name="20% - Accent2 11 2 3 2" xfId="4639" xr:uid="{00000000-0005-0000-0000-00009D070000}"/>
    <cellStyle name="20% - Accent2 11 2 3 2 2" xfId="8230" xr:uid="{00000000-0005-0000-0000-00009E070000}"/>
    <cellStyle name="20% - Accent2 11 2 3 2 2 2" xfId="16201" xr:uid="{00000000-0005-0000-0000-00009F070000}"/>
    <cellStyle name="20% - Accent2 11 2 3 2 2 2 2" xfId="40044" xr:uid="{108F5644-9E7B-44BD-8640-290F1D1BCEC9}"/>
    <cellStyle name="20% - Accent2 11 2 3 2 2 3" xfId="24147" xr:uid="{00000000-0005-0000-0000-0000A0070000}"/>
    <cellStyle name="20% - Accent2 11 2 3 2 2 3 2" xfId="47980" xr:uid="{029D68A7-3ED7-49B2-99F8-BD07448AB32C}"/>
    <cellStyle name="20% - Accent2 11 2 3 2 2 4" xfId="32103" xr:uid="{86DBB9A6-24FD-4825-A620-764B30491E81}"/>
    <cellStyle name="20% - Accent2 11 2 3 2 3" xfId="12663" xr:uid="{00000000-0005-0000-0000-0000A1070000}"/>
    <cellStyle name="20% - Accent2 11 2 3 2 3 2" xfId="36513" xr:uid="{C419CEFF-13A8-441D-814B-54EEEBA474D0}"/>
    <cellStyle name="20% - Accent2 11 2 3 2 4" xfId="20618" xr:uid="{00000000-0005-0000-0000-0000A2070000}"/>
    <cellStyle name="20% - Accent2 11 2 3 2 4 2" xfId="44451" xr:uid="{779F521D-10EB-48A9-929B-4D07EDA50067}"/>
    <cellStyle name="20% - Accent2 11 2 3 2 5" xfId="28572" xr:uid="{7E0F78F1-F36D-47C3-A30D-FE9CD387B15C}"/>
    <cellStyle name="20% - Accent2 11 2 3 3" xfId="6471" xr:uid="{00000000-0005-0000-0000-0000A3070000}"/>
    <cellStyle name="20% - Accent2 11 2 3 3 2" xfId="14443" xr:uid="{00000000-0005-0000-0000-0000A4070000}"/>
    <cellStyle name="20% - Accent2 11 2 3 3 2 2" xfId="38286" xr:uid="{CA2DA119-E122-42F0-ABF3-2783CA3163AF}"/>
    <cellStyle name="20% - Accent2 11 2 3 3 3" xfId="22390" xr:uid="{00000000-0005-0000-0000-0000A5070000}"/>
    <cellStyle name="20% - Accent2 11 2 3 3 3 2" xfId="46223" xr:uid="{3562CD54-71EC-4F6C-BE0E-11A33455B2E4}"/>
    <cellStyle name="20% - Accent2 11 2 3 3 4" xfId="30345" xr:uid="{35BA3E7E-AD85-4132-B01A-DAF47129AAF3}"/>
    <cellStyle name="20% - Accent2 11 2 3 4" xfId="10907" xr:uid="{00000000-0005-0000-0000-0000A6070000}"/>
    <cellStyle name="20% - Accent2 11 2 3 4 2" xfId="34757" xr:uid="{B19E4338-ADBC-47B6-8550-539281034C4D}"/>
    <cellStyle name="20% - Accent2 11 2 3 5" xfId="18862" xr:uid="{00000000-0005-0000-0000-0000A7070000}"/>
    <cellStyle name="20% - Accent2 11 2 3 5 2" xfId="42695" xr:uid="{127EA460-FD4A-4C37-83BB-8851CDF5C0D4}"/>
    <cellStyle name="20% - Accent2 11 2 3 6" xfId="26815" xr:uid="{58DD1D55-7177-447F-B17A-AADD3382CF29}"/>
    <cellStyle name="20% - Accent2 11 2 3_Exh G" xfId="2077" xr:uid="{00000000-0005-0000-0000-0000A8070000}"/>
    <cellStyle name="20% - Accent2 11 2 4" xfId="3760" xr:uid="{00000000-0005-0000-0000-0000A9070000}"/>
    <cellStyle name="20% - Accent2 11 2 4 2" xfId="7352" xr:uid="{00000000-0005-0000-0000-0000AA070000}"/>
    <cellStyle name="20% - Accent2 11 2 4 2 2" xfId="15323" xr:uid="{00000000-0005-0000-0000-0000AB070000}"/>
    <cellStyle name="20% - Accent2 11 2 4 2 2 2" xfId="39166" xr:uid="{DA29032E-A91E-41EF-9D67-B9B694B90922}"/>
    <cellStyle name="20% - Accent2 11 2 4 2 3" xfId="23269" xr:uid="{00000000-0005-0000-0000-0000AC070000}"/>
    <cellStyle name="20% - Accent2 11 2 4 2 3 2" xfId="47102" xr:uid="{25F174DA-481A-4998-BB76-FEE727811F33}"/>
    <cellStyle name="20% - Accent2 11 2 4 2 4" xfId="31225" xr:uid="{74E8EE03-0C2D-4DF9-BD62-4918DAA52E6F}"/>
    <cellStyle name="20% - Accent2 11 2 4 3" xfId="11785" xr:uid="{00000000-0005-0000-0000-0000AD070000}"/>
    <cellStyle name="20% - Accent2 11 2 4 3 2" xfId="35635" xr:uid="{DFF02E38-0C94-4489-BD58-CE6778137EEB}"/>
    <cellStyle name="20% - Accent2 11 2 4 4" xfId="19740" xr:uid="{00000000-0005-0000-0000-0000AE070000}"/>
    <cellStyle name="20% - Accent2 11 2 4 4 2" xfId="43573" xr:uid="{CAAECE05-5938-4945-B9C3-AB32216457F8}"/>
    <cellStyle name="20% - Accent2 11 2 4 5" xfId="27694" xr:uid="{5DCB1C21-9020-4005-B54D-0FCE9576334F}"/>
    <cellStyle name="20% - Accent2 11 2 5" xfId="5580" xr:uid="{00000000-0005-0000-0000-0000AF070000}"/>
    <cellStyle name="20% - Accent2 11 2 5 2" xfId="13564" xr:uid="{00000000-0005-0000-0000-0000B0070000}"/>
    <cellStyle name="20% - Accent2 11 2 5 2 2" xfId="37408" xr:uid="{64D25A7A-D097-4012-80E5-91B31FCBC2BD}"/>
    <cellStyle name="20% - Accent2 11 2 5 3" xfId="21512" xr:uid="{00000000-0005-0000-0000-0000B1070000}"/>
    <cellStyle name="20% - Accent2 11 2 5 3 2" xfId="45345" xr:uid="{05041630-70F6-403E-ABE1-603617C7A634}"/>
    <cellStyle name="20% - Accent2 11 2 5 4" xfId="29467" xr:uid="{ACF3298D-3DAE-4403-9B87-661C7A0F345C}"/>
    <cellStyle name="20% - Accent2 11 2 6" xfId="9133" xr:uid="{00000000-0005-0000-0000-0000B2070000}"/>
    <cellStyle name="20% - Accent2 11 2 6 2" xfId="17091" xr:uid="{00000000-0005-0000-0000-0000B3070000}"/>
    <cellStyle name="20% - Accent2 11 2 6 2 2" xfId="40932" xr:uid="{289D5429-5799-44E8-888C-0911FBE60769}"/>
    <cellStyle name="20% - Accent2 11 2 6 3" xfId="25035" xr:uid="{00000000-0005-0000-0000-0000B4070000}"/>
    <cellStyle name="20% - Accent2 11 2 6 3 2" xfId="48868" xr:uid="{0CD13BF2-1419-4D9E-963F-3F9C565CCA06}"/>
    <cellStyle name="20% - Accent2 11 2 6 4" xfId="32991" xr:uid="{3F1B77C6-36EF-41E3-9297-FF34B1616AEA}"/>
    <cellStyle name="20% - Accent2 11 2 7" xfId="10029" xr:uid="{00000000-0005-0000-0000-0000B5070000}"/>
    <cellStyle name="20% - Accent2 11 2 7 2" xfId="33879" xr:uid="{88A649DD-8352-4DED-AAFD-E6BDB6D00CF9}"/>
    <cellStyle name="20% - Accent2 11 2 8" xfId="17984" xr:uid="{00000000-0005-0000-0000-0000B6070000}"/>
    <cellStyle name="20% - Accent2 11 2 8 2" xfId="41817" xr:uid="{2C234D04-E2CD-4E41-854C-D76CBDF48048}"/>
    <cellStyle name="20% - Accent2 11 2 9" xfId="25937" xr:uid="{5D498C95-E466-4D01-9A39-32477C14F466}"/>
    <cellStyle name="20% - Accent2 11 2_Exh G" xfId="2074" xr:uid="{00000000-0005-0000-0000-0000B7070000}"/>
    <cellStyle name="20% - Accent2 11 3" xfId="83" xr:uid="{00000000-0005-0000-0000-0000B8070000}"/>
    <cellStyle name="20% - Accent2 11 3 2" xfId="1111" xr:uid="{00000000-0005-0000-0000-0000B9070000}"/>
    <cellStyle name="20% - Accent2 11 3 2 2" xfId="4641" xr:uid="{00000000-0005-0000-0000-0000BA070000}"/>
    <cellStyle name="20% - Accent2 11 3 2 2 2" xfId="8232" xr:uid="{00000000-0005-0000-0000-0000BB070000}"/>
    <cellStyle name="20% - Accent2 11 3 2 2 2 2" xfId="16203" xr:uid="{00000000-0005-0000-0000-0000BC070000}"/>
    <cellStyle name="20% - Accent2 11 3 2 2 2 2 2" xfId="40046" xr:uid="{B401285D-4294-4056-8D95-802F95295869}"/>
    <cellStyle name="20% - Accent2 11 3 2 2 2 3" xfId="24149" xr:uid="{00000000-0005-0000-0000-0000BD070000}"/>
    <cellStyle name="20% - Accent2 11 3 2 2 2 3 2" xfId="47982" xr:uid="{8713B703-FFAB-465A-83F5-F98744EAEBDA}"/>
    <cellStyle name="20% - Accent2 11 3 2 2 2 4" xfId="32105" xr:uid="{5F9EDFF4-806C-4A01-93B4-418CBDE470A5}"/>
    <cellStyle name="20% - Accent2 11 3 2 2 3" xfId="12665" xr:uid="{00000000-0005-0000-0000-0000BE070000}"/>
    <cellStyle name="20% - Accent2 11 3 2 2 3 2" xfId="36515" xr:uid="{B5E91A6D-0012-4840-8C4C-BE3BDF5F2D22}"/>
    <cellStyle name="20% - Accent2 11 3 2 2 4" xfId="20620" xr:uid="{00000000-0005-0000-0000-0000BF070000}"/>
    <cellStyle name="20% - Accent2 11 3 2 2 4 2" xfId="44453" xr:uid="{92727839-E7B3-4045-9D57-1E1B1743410B}"/>
    <cellStyle name="20% - Accent2 11 3 2 2 5" xfId="28574" xr:uid="{A7083473-5139-44A9-BE1D-0C50F362EA70}"/>
    <cellStyle name="20% - Accent2 11 3 2 3" xfId="6473" xr:uid="{00000000-0005-0000-0000-0000C0070000}"/>
    <cellStyle name="20% - Accent2 11 3 2 3 2" xfId="14445" xr:uid="{00000000-0005-0000-0000-0000C1070000}"/>
    <cellStyle name="20% - Accent2 11 3 2 3 2 2" xfId="38288" xr:uid="{6E3C938F-E8DA-4D23-B15E-59E164C111FD}"/>
    <cellStyle name="20% - Accent2 11 3 2 3 3" xfId="22392" xr:uid="{00000000-0005-0000-0000-0000C2070000}"/>
    <cellStyle name="20% - Accent2 11 3 2 3 3 2" xfId="46225" xr:uid="{08A5FC41-74E2-4E92-A251-FC2AA2A6AAEA}"/>
    <cellStyle name="20% - Accent2 11 3 2 3 4" xfId="30347" xr:uid="{212A1D1D-0259-4CD9-92F2-89108C448479}"/>
    <cellStyle name="20% - Accent2 11 3 2 4" xfId="10909" xr:uid="{00000000-0005-0000-0000-0000C3070000}"/>
    <cellStyle name="20% - Accent2 11 3 2 4 2" xfId="34759" xr:uid="{00363A4C-5B44-4E7F-9A93-4B237564BBDC}"/>
    <cellStyle name="20% - Accent2 11 3 2 5" xfId="18864" xr:uid="{00000000-0005-0000-0000-0000C4070000}"/>
    <cellStyle name="20% - Accent2 11 3 2 5 2" xfId="42697" xr:uid="{58E5FEE5-D3BF-4623-A730-1840031FB4F4}"/>
    <cellStyle name="20% - Accent2 11 3 2 6" xfId="26817" xr:uid="{5A544F6A-7D94-421C-9BBB-023EF0545A8B}"/>
    <cellStyle name="20% - Accent2 11 3 2_Exh G" xfId="2079" xr:uid="{00000000-0005-0000-0000-0000C5070000}"/>
    <cellStyle name="20% - Accent2 11 3 3" xfId="3762" xr:uid="{00000000-0005-0000-0000-0000C6070000}"/>
    <cellStyle name="20% - Accent2 11 3 3 2" xfId="7354" xr:uid="{00000000-0005-0000-0000-0000C7070000}"/>
    <cellStyle name="20% - Accent2 11 3 3 2 2" xfId="15325" xr:uid="{00000000-0005-0000-0000-0000C8070000}"/>
    <cellStyle name="20% - Accent2 11 3 3 2 2 2" xfId="39168" xr:uid="{B9D415D1-2564-4559-AF65-4A3B0C1A8271}"/>
    <cellStyle name="20% - Accent2 11 3 3 2 3" xfId="23271" xr:uid="{00000000-0005-0000-0000-0000C9070000}"/>
    <cellStyle name="20% - Accent2 11 3 3 2 3 2" xfId="47104" xr:uid="{E8DE9BA5-57A7-458B-AF1D-AE3CEB4B98CB}"/>
    <cellStyle name="20% - Accent2 11 3 3 2 4" xfId="31227" xr:uid="{75DF0CB5-2CA2-46B9-A77C-5001513DB39F}"/>
    <cellStyle name="20% - Accent2 11 3 3 3" xfId="11787" xr:uid="{00000000-0005-0000-0000-0000CA070000}"/>
    <cellStyle name="20% - Accent2 11 3 3 3 2" xfId="35637" xr:uid="{014E54D9-D6BF-4341-948C-CD0D3DC81166}"/>
    <cellStyle name="20% - Accent2 11 3 3 4" xfId="19742" xr:uid="{00000000-0005-0000-0000-0000CB070000}"/>
    <cellStyle name="20% - Accent2 11 3 3 4 2" xfId="43575" xr:uid="{6159D94A-9005-4EC3-8ABE-4BD8A23C8737}"/>
    <cellStyle name="20% - Accent2 11 3 3 5" xfId="27696" xr:uid="{CF02372D-2E06-49B5-931E-944310494BF6}"/>
    <cellStyle name="20% - Accent2 11 3 4" xfId="5582" xr:uid="{00000000-0005-0000-0000-0000CC070000}"/>
    <cellStyle name="20% - Accent2 11 3 4 2" xfId="13566" xr:uid="{00000000-0005-0000-0000-0000CD070000}"/>
    <cellStyle name="20% - Accent2 11 3 4 2 2" xfId="37410" xr:uid="{F9EA4F2E-9851-4DA2-937C-BF75F9880E8D}"/>
    <cellStyle name="20% - Accent2 11 3 4 3" xfId="21514" xr:uid="{00000000-0005-0000-0000-0000CE070000}"/>
    <cellStyle name="20% - Accent2 11 3 4 3 2" xfId="45347" xr:uid="{E5C59431-24E4-49CA-AED3-7E5AE69E23D5}"/>
    <cellStyle name="20% - Accent2 11 3 4 4" xfId="29469" xr:uid="{F9CF8104-9536-40BD-AC98-9715215DE448}"/>
    <cellStyle name="20% - Accent2 11 3 5" xfId="9135" xr:uid="{00000000-0005-0000-0000-0000CF070000}"/>
    <cellStyle name="20% - Accent2 11 3 5 2" xfId="17093" xr:uid="{00000000-0005-0000-0000-0000D0070000}"/>
    <cellStyle name="20% - Accent2 11 3 5 2 2" xfId="40934" xr:uid="{44D6747B-EDA6-4C52-9E8D-F8141119B3C2}"/>
    <cellStyle name="20% - Accent2 11 3 5 3" xfId="25037" xr:uid="{00000000-0005-0000-0000-0000D1070000}"/>
    <cellStyle name="20% - Accent2 11 3 5 3 2" xfId="48870" xr:uid="{EB0EDED5-D737-483E-ABF3-F604789580A8}"/>
    <cellStyle name="20% - Accent2 11 3 5 4" xfId="32993" xr:uid="{96148B68-B325-4BAE-890D-3AE08DF01771}"/>
    <cellStyle name="20% - Accent2 11 3 6" xfId="10031" xr:uid="{00000000-0005-0000-0000-0000D2070000}"/>
    <cellStyle name="20% - Accent2 11 3 6 2" xfId="33881" xr:uid="{BCEDB0A7-2A64-46E6-A6CE-3FDA4C086FBA}"/>
    <cellStyle name="20% - Accent2 11 3 7" xfId="17986" xr:uid="{00000000-0005-0000-0000-0000D3070000}"/>
    <cellStyle name="20% - Accent2 11 3 7 2" xfId="41819" xr:uid="{FBAB009D-81DC-4183-A1B7-768CB0914C72}"/>
    <cellStyle name="20% - Accent2 11 3 8" xfId="25939" xr:uid="{8788FE28-80AC-4748-AD14-2F7D22A96657}"/>
    <cellStyle name="20% - Accent2 11 3_Exh G" xfId="2078" xr:uid="{00000000-0005-0000-0000-0000D4070000}"/>
    <cellStyle name="20% - Accent2 11 4" xfId="1108" xr:uid="{00000000-0005-0000-0000-0000D5070000}"/>
    <cellStyle name="20% - Accent2 11 4 2" xfId="4638" xr:uid="{00000000-0005-0000-0000-0000D6070000}"/>
    <cellStyle name="20% - Accent2 11 4 2 2" xfId="8229" xr:uid="{00000000-0005-0000-0000-0000D7070000}"/>
    <cellStyle name="20% - Accent2 11 4 2 2 2" xfId="16200" xr:uid="{00000000-0005-0000-0000-0000D8070000}"/>
    <cellStyle name="20% - Accent2 11 4 2 2 2 2" xfId="40043" xr:uid="{C7E19D93-FFEC-4A20-B8FE-FF9A08393015}"/>
    <cellStyle name="20% - Accent2 11 4 2 2 3" xfId="24146" xr:uid="{00000000-0005-0000-0000-0000D9070000}"/>
    <cellStyle name="20% - Accent2 11 4 2 2 3 2" xfId="47979" xr:uid="{32EE202B-4D79-47D5-A586-85BA71E8CB60}"/>
    <cellStyle name="20% - Accent2 11 4 2 2 4" xfId="32102" xr:uid="{760DA7F1-0846-49A6-A287-0131347C9E60}"/>
    <cellStyle name="20% - Accent2 11 4 2 3" xfId="12662" xr:uid="{00000000-0005-0000-0000-0000DA070000}"/>
    <cellStyle name="20% - Accent2 11 4 2 3 2" xfId="36512" xr:uid="{90C16CDC-CA23-4BA3-958C-FE277215B737}"/>
    <cellStyle name="20% - Accent2 11 4 2 4" xfId="20617" xr:uid="{00000000-0005-0000-0000-0000DB070000}"/>
    <cellStyle name="20% - Accent2 11 4 2 4 2" xfId="44450" xr:uid="{9BA8635A-C710-4179-8E4C-A52108B5F321}"/>
    <cellStyle name="20% - Accent2 11 4 2 5" xfId="28571" xr:uid="{12B156BF-CA69-481B-8F4C-55E7BDF97926}"/>
    <cellStyle name="20% - Accent2 11 4 3" xfId="6470" xr:uid="{00000000-0005-0000-0000-0000DC070000}"/>
    <cellStyle name="20% - Accent2 11 4 3 2" xfId="14442" xr:uid="{00000000-0005-0000-0000-0000DD070000}"/>
    <cellStyle name="20% - Accent2 11 4 3 2 2" xfId="38285" xr:uid="{9E1C0D7C-F7B8-455C-8631-75DA5305DDFA}"/>
    <cellStyle name="20% - Accent2 11 4 3 3" xfId="22389" xr:uid="{00000000-0005-0000-0000-0000DE070000}"/>
    <cellStyle name="20% - Accent2 11 4 3 3 2" xfId="46222" xr:uid="{44B26313-899F-4165-BE45-166C34742D55}"/>
    <cellStyle name="20% - Accent2 11 4 3 4" xfId="30344" xr:uid="{FBB19154-EF02-40C7-95D6-F0EDA0560020}"/>
    <cellStyle name="20% - Accent2 11 4 4" xfId="10906" xr:uid="{00000000-0005-0000-0000-0000DF070000}"/>
    <cellStyle name="20% - Accent2 11 4 4 2" xfId="34756" xr:uid="{63BC194C-298A-45D3-8111-965FF265F03B}"/>
    <cellStyle name="20% - Accent2 11 4 5" xfId="18861" xr:uid="{00000000-0005-0000-0000-0000E0070000}"/>
    <cellStyle name="20% - Accent2 11 4 5 2" xfId="42694" xr:uid="{08A95A7F-E3B5-47E0-A69F-B52064FB2175}"/>
    <cellStyle name="20% - Accent2 11 4 6" xfId="26814" xr:uid="{19D94CE3-06E9-44E7-B170-1ED750AC729E}"/>
    <cellStyle name="20% - Accent2 11 4_Exh G" xfId="2080" xr:uid="{00000000-0005-0000-0000-0000E1070000}"/>
    <cellStyle name="20% - Accent2 11 5" xfId="3759" xr:uid="{00000000-0005-0000-0000-0000E2070000}"/>
    <cellStyle name="20% - Accent2 11 5 2" xfId="7351" xr:uid="{00000000-0005-0000-0000-0000E3070000}"/>
    <cellStyle name="20% - Accent2 11 5 2 2" xfId="15322" xr:uid="{00000000-0005-0000-0000-0000E4070000}"/>
    <cellStyle name="20% - Accent2 11 5 2 2 2" xfId="39165" xr:uid="{EF836533-7156-4C03-9ECB-9E900B628A93}"/>
    <cellStyle name="20% - Accent2 11 5 2 3" xfId="23268" xr:uid="{00000000-0005-0000-0000-0000E5070000}"/>
    <cellStyle name="20% - Accent2 11 5 2 3 2" xfId="47101" xr:uid="{015DA167-10B1-4B74-9F59-274A2C223F04}"/>
    <cellStyle name="20% - Accent2 11 5 2 4" xfId="31224" xr:uid="{D65D54AB-2943-40AF-AAC5-8B27E6389A92}"/>
    <cellStyle name="20% - Accent2 11 5 3" xfId="11784" xr:uid="{00000000-0005-0000-0000-0000E6070000}"/>
    <cellStyle name="20% - Accent2 11 5 3 2" xfId="35634" xr:uid="{D76A3886-402F-47EC-87EB-CCA613581446}"/>
    <cellStyle name="20% - Accent2 11 5 4" xfId="19739" xr:uid="{00000000-0005-0000-0000-0000E7070000}"/>
    <cellStyle name="20% - Accent2 11 5 4 2" xfId="43572" xr:uid="{9ACD6F8C-4D7F-4E0D-B64E-0FABFC88E519}"/>
    <cellStyle name="20% - Accent2 11 5 5" xfId="27693" xr:uid="{7D8E12DB-AF59-4495-9652-FAA9701EE2CC}"/>
    <cellStyle name="20% - Accent2 11 6" xfId="5579" xr:uid="{00000000-0005-0000-0000-0000E8070000}"/>
    <cellStyle name="20% - Accent2 11 6 2" xfId="13563" xr:uid="{00000000-0005-0000-0000-0000E9070000}"/>
    <cellStyle name="20% - Accent2 11 6 2 2" xfId="37407" xr:uid="{F27FD7DE-3D47-440F-A157-B41DFEA2CB8B}"/>
    <cellStyle name="20% - Accent2 11 6 3" xfId="21511" xr:uid="{00000000-0005-0000-0000-0000EA070000}"/>
    <cellStyle name="20% - Accent2 11 6 3 2" xfId="45344" xr:uid="{CD8117DD-9A86-4E6B-8371-BED2F696DD78}"/>
    <cellStyle name="20% - Accent2 11 6 4" xfId="29466" xr:uid="{0A360734-BB90-4FFF-9F1D-6E72E1D63B9A}"/>
    <cellStyle name="20% - Accent2 11 7" xfId="9132" xr:uid="{00000000-0005-0000-0000-0000EB070000}"/>
    <cellStyle name="20% - Accent2 11 7 2" xfId="17090" xr:uid="{00000000-0005-0000-0000-0000EC070000}"/>
    <cellStyle name="20% - Accent2 11 7 2 2" xfId="40931" xr:uid="{F2989880-8053-481C-A887-4985441377A4}"/>
    <cellStyle name="20% - Accent2 11 7 3" xfId="25034" xr:uid="{00000000-0005-0000-0000-0000ED070000}"/>
    <cellStyle name="20% - Accent2 11 7 3 2" xfId="48867" xr:uid="{70C2A6F4-DA69-4E67-8978-3F27BFC45DD1}"/>
    <cellStyle name="20% - Accent2 11 7 4" xfId="32990" xr:uid="{AB15E4FA-AEFB-458F-B332-8F114D59226D}"/>
    <cellStyle name="20% - Accent2 11 8" xfId="10028" xr:uid="{00000000-0005-0000-0000-0000EE070000}"/>
    <cellStyle name="20% - Accent2 11 8 2" xfId="33878" xr:uid="{F4D807B1-B7B4-40F9-B513-0568BC7077D5}"/>
    <cellStyle name="20% - Accent2 11 9" xfId="17983" xr:uid="{00000000-0005-0000-0000-0000EF070000}"/>
    <cellStyle name="20% - Accent2 11 9 2" xfId="41816" xr:uid="{0AFCB255-78BE-4FEB-B9B2-D5387EBD2BD5}"/>
    <cellStyle name="20% - Accent2 11_Exh G" xfId="2073" xr:uid="{00000000-0005-0000-0000-0000F0070000}"/>
    <cellStyle name="20% - Accent2 12" xfId="84" xr:uid="{00000000-0005-0000-0000-0000F1070000}"/>
    <cellStyle name="20% - Accent2 12 10" xfId="25940" xr:uid="{26AA032C-D1E9-4052-BA2B-21FC74D27CB6}"/>
    <cellStyle name="20% - Accent2 12 2" xfId="85" xr:uid="{00000000-0005-0000-0000-0000F2070000}"/>
    <cellStyle name="20% - Accent2 12 2 2" xfId="86" xr:uid="{00000000-0005-0000-0000-0000F3070000}"/>
    <cellStyle name="20% - Accent2 12 2 2 2" xfId="1114" xr:uid="{00000000-0005-0000-0000-0000F4070000}"/>
    <cellStyle name="20% - Accent2 12 2 2 2 2" xfId="4644" xr:uid="{00000000-0005-0000-0000-0000F5070000}"/>
    <cellStyle name="20% - Accent2 12 2 2 2 2 2" xfId="8235" xr:uid="{00000000-0005-0000-0000-0000F6070000}"/>
    <cellStyle name="20% - Accent2 12 2 2 2 2 2 2" xfId="16206" xr:uid="{00000000-0005-0000-0000-0000F7070000}"/>
    <cellStyle name="20% - Accent2 12 2 2 2 2 2 2 2" xfId="40049" xr:uid="{2C8B2577-1B25-4981-9E59-F28F9AA0E5A9}"/>
    <cellStyle name="20% - Accent2 12 2 2 2 2 2 3" xfId="24152" xr:uid="{00000000-0005-0000-0000-0000F8070000}"/>
    <cellStyle name="20% - Accent2 12 2 2 2 2 2 3 2" xfId="47985" xr:uid="{68298987-3E62-4A18-8A8D-104ABC762B88}"/>
    <cellStyle name="20% - Accent2 12 2 2 2 2 2 4" xfId="32108" xr:uid="{DEF90F9E-BA28-44E3-B3A7-6D46615FC433}"/>
    <cellStyle name="20% - Accent2 12 2 2 2 2 3" xfId="12668" xr:uid="{00000000-0005-0000-0000-0000F9070000}"/>
    <cellStyle name="20% - Accent2 12 2 2 2 2 3 2" xfId="36518" xr:uid="{B174219F-7769-4852-ACFF-BC3C832C4AD5}"/>
    <cellStyle name="20% - Accent2 12 2 2 2 2 4" xfId="20623" xr:uid="{00000000-0005-0000-0000-0000FA070000}"/>
    <cellStyle name="20% - Accent2 12 2 2 2 2 4 2" xfId="44456" xr:uid="{10573EA6-7235-427C-81D7-941F61372952}"/>
    <cellStyle name="20% - Accent2 12 2 2 2 2 5" xfId="28577" xr:uid="{AD305763-7E56-4234-A175-7FAF9CFDFC55}"/>
    <cellStyle name="20% - Accent2 12 2 2 2 3" xfId="6476" xr:uid="{00000000-0005-0000-0000-0000FB070000}"/>
    <cellStyle name="20% - Accent2 12 2 2 2 3 2" xfId="14448" xr:uid="{00000000-0005-0000-0000-0000FC070000}"/>
    <cellStyle name="20% - Accent2 12 2 2 2 3 2 2" xfId="38291" xr:uid="{C1CF7E3A-F457-4C46-A7F3-817D64F14398}"/>
    <cellStyle name="20% - Accent2 12 2 2 2 3 3" xfId="22395" xr:uid="{00000000-0005-0000-0000-0000FD070000}"/>
    <cellStyle name="20% - Accent2 12 2 2 2 3 3 2" xfId="46228" xr:uid="{DDC7F14A-DEE2-41E5-8D8C-205ACAAEC7FE}"/>
    <cellStyle name="20% - Accent2 12 2 2 2 3 4" xfId="30350" xr:uid="{89A2EF23-FF04-41E1-80F2-B1F3A1C3F6AD}"/>
    <cellStyle name="20% - Accent2 12 2 2 2 4" xfId="10912" xr:uid="{00000000-0005-0000-0000-0000FE070000}"/>
    <cellStyle name="20% - Accent2 12 2 2 2 4 2" xfId="34762" xr:uid="{A6F61EAD-A8F6-49C6-BC76-E185B3CF187B}"/>
    <cellStyle name="20% - Accent2 12 2 2 2 5" xfId="18867" xr:uid="{00000000-0005-0000-0000-0000FF070000}"/>
    <cellStyle name="20% - Accent2 12 2 2 2 5 2" xfId="42700" xr:uid="{CBB84A9F-0FFD-483B-A45B-800C30C29961}"/>
    <cellStyle name="20% - Accent2 12 2 2 2 6" xfId="26820" xr:uid="{3D573F71-ACCD-431D-A774-CA96FE2DFEB7}"/>
    <cellStyle name="20% - Accent2 12 2 2 2_Exh G" xfId="2084" xr:uid="{00000000-0005-0000-0000-000000080000}"/>
    <cellStyle name="20% - Accent2 12 2 2 3" xfId="3765" xr:uid="{00000000-0005-0000-0000-000001080000}"/>
    <cellStyle name="20% - Accent2 12 2 2 3 2" xfId="7357" xr:uid="{00000000-0005-0000-0000-000002080000}"/>
    <cellStyle name="20% - Accent2 12 2 2 3 2 2" xfId="15328" xr:uid="{00000000-0005-0000-0000-000003080000}"/>
    <cellStyle name="20% - Accent2 12 2 2 3 2 2 2" xfId="39171" xr:uid="{35F648D0-4859-4D5B-9540-71BCC0F450FB}"/>
    <cellStyle name="20% - Accent2 12 2 2 3 2 3" xfId="23274" xr:uid="{00000000-0005-0000-0000-000004080000}"/>
    <cellStyle name="20% - Accent2 12 2 2 3 2 3 2" xfId="47107" xr:uid="{12015781-211C-431A-A415-431EF635B968}"/>
    <cellStyle name="20% - Accent2 12 2 2 3 2 4" xfId="31230" xr:uid="{674A265C-59E1-426F-8284-718E1576FE4C}"/>
    <cellStyle name="20% - Accent2 12 2 2 3 3" xfId="11790" xr:uid="{00000000-0005-0000-0000-000005080000}"/>
    <cellStyle name="20% - Accent2 12 2 2 3 3 2" xfId="35640" xr:uid="{93935DFB-60FB-4292-8753-422ACB02342A}"/>
    <cellStyle name="20% - Accent2 12 2 2 3 4" xfId="19745" xr:uid="{00000000-0005-0000-0000-000006080000}"/>
    <cellStyle name="20% - Accent2 12 2 2 3 4 2" xfId="43578" xr:uid="{983992AA-D88C-4D18-A31B-865C554049C7}"/>
    <cellStyle name="20% - Accent2 12 2 2 3 5" xfId="27699" xr:uid="{27CF2DA4-E8A6-4A44-BCA0-35974D0567EF}"/>
    <cellStyle name="20% - Accent2 12 2 2 4" xfId="5585" xr:uid="{00000000-0005-0000-0000-000007080000}"/>
    <cellStyle name="20% - Accent2 12 2 2 4 2" xfId="13569" xr:uid="{00000000-0005-0000-0000-000008080000}"/>
    <cellStyle name="20% - Accent2 12 2 2 4 2 2" xfId="37413" xr:uid="{C11FE3AE-A856-4BB8-B7B2-71ED3769F391}"/>
    <cellStyle name="20% - Accent2 12 2 2 4 3" xfId="21517" xr:uid="{00000000-0005-0000-0000-000009080000}"/>
    <cellStyle name="20% - Accent2 12 2 2 4 3 2" xfId="45350" xr:uid="{2F263718-A4A2-4455-A4C2-EF54F32F725A}"/>
    <cellStyle name="20% - Accent2 12 2 2 4 4" xfId="29472" xr:uid="{1B9208EC-71C1-4F78-A7B2-D97B78504DCE}"/>
    <cellStyle name="20% - Accent2 12 2 2 5" xfId="9138" xr:uid="{00000000-0005-0000-0000-00000A080000}"/>
    <cellStyle name="20% - Accent2 12 2 2 5 2" xfId="17096" xr:uid="{00000000-0005-0000-0000-00000B080000}"/>
    <cellStyle name="20% - Accent2 12 2 2 5 2 2" xfId="40937" xr:uid="{2A687E19-C1CE-4482-BE2E-2E561D40ECAF}"/>
    <cellStyle name="20% - Accent2 12 2 2 5 3" xfId="25040" xr:uid="{00000000-0005-0000-0000-00000C080000}"/>
    <cellStyle name="20% - Accent2 12 2 2 5 3 2" xfId="48873" xr:uid="{8598D528-2DC8-4431-BD45-D9D7C20636EE}"/>
    <cellStyle name="20% - Accent2 12 2 2 5 4" xfId="32996" xr:uid="{64C89FF9-EFAE-4DAD-86EF-A16534C18825}"/>
    <cellStyle name="20% - Accent2 12 2 2 6" xfId="10034" xr:uid="{00000000-0005-0000-0000-00000D080000}"/>
    <cellStyle name="20% - Accent2 12 2 2 6 2" xfId="33884" xr:uid="{48AF8CED-2F00-4AAD-8362-EFB8EC59805A}"/>
    <cellStyle name="20% - Accent2 12 2 2 7" xfId="17989" xr:uid="{00000000-0005-0000-0000-00000E080000}"/>
    <cellStyle name="20% - Accent2 12 2 2 7 2" xfId="41822" xr:uid="{3CD37506-43CA-44AC-953C-57CEE2C42750}"/>
    <cellStyle name="20% - Accent2 12 2 2 8" xfId="25942" xr:uid="{65275631-843C-4C43-844C-B19F4470998A}"/>
    <cellStyle name="20% - Accent2 12 2 2_Exh G" xfId="2083" xr:uid="{00000000-0005-0000-0000-00000F080000}"/>
    <cellStyle name="20% - Accent2 12 2 3" xfId="1113" xr:uid="{00000000-0005-0000-0000-000010080000}"/>
    <cellStyle name="20% - Accent2 12 2 3 2" xfId="4643" xr:uid="{00000000-0005-0000-0000-000011080000}"/>
    <cellStyle name="20% - Accent2 12 2 3 2 2" xfId="8234" xr:uid="{00000000-0005-0000-0000-000012080000}"/>
    <cellStyle name="20% - Accent2 12 2 3 2 2 2" xfId="16205" xr:uid="{00000000-0005-0000-0000-000013080000}"/>
    <cellStyle name="20% - Accent2 12 2 3 2 2 2 2" xfId="40048" xr:uid="{C68A4417-9151-4DF4-8DC5-6F9AC83E2546}"/>
    <cellStyle name="20% - Accent2 12 2 3 2 2 3" xfId="24151" xr:uid="{00000000-0005-0000-0000-000014080000}"/>
    <cellStyle name="20% - Accent2 12 2 3 2 2 3 2" xfId="47984" xr:uid="{794C7F59-A767-49A0-8F9B-F0EE2611DB39}"/>
    <cellStyle name="20% - Accent2 12 2 3 2 2 4" xfId="32107" xr:uid="{6140CA86-A608-40CD-AE66-5AD18ED0B523}"/>
    <cellStyle name="20% - Accent2 12 2 3 2 3" xfId="12667" xr:uid="{00000000-0005-0000-0000-000015080000}"/>
    <cellStyle name="20% - Accent2 12 2 3 2 3 2" xfId="36517" xr:uid="{7905AEBA-4088-43F6-8D30-E7D4D6D5FC3A}"/>
    <cellStyle name="20% - Accent2 12 2 3 2 4" xfId="20622" xr:uid="{00000000-0005-0000-0000-000016080000}"/>
    <cellStyle name="20% - Accent2 12 2 3 2 4 2" xfId="44455" xr:uid="{F92B5C46-674D-4A61-94AF-962EC9F7830F}"/>
    <cellStyle name="20% - Accent2 12 2 3 2 5" xfId="28576" xr:uid="{6C9064A7-1BF7-4789-B30F-6E51C191525E}"/>
    <cellStyle name="20% - Accent2 12 2 3 3" xfId="6475" xr:uid="{00000000-0005-0000-0000-000017080000}"/>
    <cellStyle name="20% - Accent2 12 2 3 3 2" xfId="14447" xr:uid="{00000000-0005-0000-0000-000018080000}"/>
    <cellStyle name="20% - Accent2 12 2 3 3 2 2" xfId="38290" xr:uid="{E7903638-8AC1-4645-A911-88C8E117B3A4}"/>
    <cellStyle name="20% - Accent2 12 2 3 3 3" xfId="22394" xr:uid="{00000000-0005-0000-0000-000019080000}"/>
    <cellStyle name="20% - Accent2 12 2 3 3 3 2" xfId="46227" xr:uid="{A064F4D4-5E1A-49D2-AF17-1B595B43F217}"/>
    <cellStyle name="20% - Accent2 12 2 3 3 4" xfId="30349" xr:uid="{616B6908-FD13-4A6D-932E-10253F11FDAB}"/>
    <cellStyle name="20% - Accent2 12 2 3 4" xfId="10911" xr:uid="{00000000-0005-0000-0000-00001A080000}"/>
    <cellStyle name="20% - Accent2 12 2 3 4 2" xfId="34761" xr:uid="{86E61DC4-CC54-4242-84ED-409624659367}"/>
    <cellStyle name="20% - Accent2 12 2 3 5" xfId="18866" xr:uid="{00000000-0005-0000-0000-00001B080000}"/>
    <cellStyle name="20% - Accent2 12 2 3 5 2" xfId="42699" xr:uid="{E65058BD-0FE9-42DE-9481-1091A712F67A}"/>
    <cellStyle name="20% - Accent2 12 2 3 6" xfId="26819" xr:uid="{09399603-3B59-4FD2-BE52-8558901A19C6}"/>
    <cellStyle name="20% - Accent2 12 2 3_Exh G" xfId="2085" xr:uid="{00000000-0005-0000-0000-00001C080000}"/>
    <cellStyle name="20% - Accent2 12 2 4" xfId="3764" xr:uid="{00000000-0005-0000-0000-00001D080000}"/>
    <cellStyle name="20% - Accent2 12 2 4 2" xfId="7356" xr:uid="{00000000-0005-0000-0000-00001E080000}"/>
    <cellStyle name="20% - Accent2 12 2 4 2 2" xfId="15327" xr:uid="{00000000-0005-0000-0000-00001F080000}"/>
    <cellStyle name="20% - Accent2 12 2 4 2 2 2" xfId="39170" xr:uid="{068213F0-9E3A-462E-8671-6284EA02D729}"/>
    <cellStyle name="20% - Accent2 12 2 4 2 3" xfId="23273" xr:uid="{00000000-0005-0000-0000-000020080000}"/>
    <cellStyle name="20% - Accent2 12 2 4 2 3 2" xfId="47106" xr:uid="{306B5CA0-E919-4E27-9EA5-4DD393AF2480}"/>
    <cellStyle name="20% - Accent2 12 2 4 2 4" xfId="31229" xr:uid="{11C31DDB-69A8-48CF-BA7D-FAC5E5C484C2}"/>
    <cellStyle name="20% - Accent2 12 2 4 3" xfId="11789" xr:uid="{00000000-0005-0000-0000-000021080000}"/>
    <cellStyle name="20% - Accent2 12 2 4 3 2" xfId="35639" xr:uid="{A6127530-C392-4E41-B9D6-D271A4E7200F}"/>
    <cellStyle name="20% - Accent2 12 2 4 4" xfId="19744" xr:uid="{00000000-0005-0000-0000-000022080000}"/>
    <cellStyle name="20% - Accent2 12 2 4 4 2" xfId="43577" xr:uid="{24194FC3-D001-4868-82BC-1F02570B8197}"/>
    <cellStyle name="20% - Accent2 12 2 4 5" xfId="27698" xr:uid="{32F7449A-5C6A-4E14-8805-F520A4502F1D}"/>
    <cellStyle name="20% - Accent2 12 2 5" xfId="5584" xr:uid="{00000000-0005-0000-0000-000023080000}"/>
    <cellStyle name="20% - Accent2 12 2 5 2" xfId="13568" xr:uid="{00000000-0005-0000-0000-000024080000}"/>
    <cellStyle name="20% - Accent2 12 2 5 2 2" xfId="37412" xr:uid="{1FE70FB7-512E-4564-BA2D-181DCF388C1C}"/>
    <cellStyle name="20% - Accent2 12 2 5 3" xfId="21516" xr:uid="{00000000-0005-0000-0000-000025080000}"/>
    <cellStyle name="20% - Accent2 12 2 5 3 2" xfId="45349" xr:uid="{A92669EE-3598-47B7-B9E8-D15D6C82DF4D}"/>
    <cellStyle name="20% - Accent2 12 2 5 4" xfId="29471" xr:uid="{94F6385C-6C0D-4FD0-A3DA-7748410F31DA}"/>
    <cellStyle name="20% - Accent2 12 2 6" xfId="9137" xr:uid="{00000000-0005-0000-0000-000026080000}"/>
    <cellStyle name="20% - Accent2 12 2 6 2" xfId="17095" xr:uid="{00000000-0005-0000-0000-000027080000}"/>
    <cellStyle name="20% - Accent2 12 2 6 2 2" xfId="40936" xr:uid="{89A3DD7E-7D12-417A-A494-8DB32F8373E2}"/>
    <cellStyle name="20% - Accent2 12 2 6 3" xfId="25039" xr:uid="{00000000-0005-0000-0000-000028080000}"/>
    <cellStyle name="20% - Accent2 12 2 6 3 2" xfId="48872" xr:uid="{4DB9D488-E74F-4FF4-9244-595567BD8CE1}"/>
    <cellStyle name="20% - Accent2 12 2 6 4" xfId="32995" xr:uid="{D4E98A5C-D2E4-4477-9F5E-AFDAB6326A8D}"/>
    <cellStyle name="20% - Accent2 12 2 7" xfId="10033" xr:uid="{00000000-0005-0000-0000-000029080000}"/>
    <cellStyle name="20% - Accent2 12 2 7 2" xfId="33883" xr:uid="{6A1B0E63-3B5C-4620-A549-CF8550485F03}"/>
    <cellStyle name="20% - Accent2 12 2 8" xfId="17988" xr:uid="{00000000-0005-0000-0000-00002A080000}"/>
    <cellStyle name="20% - Accent2 12 2 8 2" xfId="41821" xr:uid="{F236D661-0862-44A9-89B9-C1F6C2D1B35E}"/>
    <cellStyle name="20% - Accent2 12 2 9" xfId="25941" xr:uid="{BF7BCB63-1849-4A69-8DFF-90CF4E1FBA4F}"/>
    <cellStyle name="20% - Accent2 12 2_Exh G" xfId="2082" xr:uid="{00000000-0005-0000-0000-00002B080000}"/>
    <cellStyle name="20% - Accent2 12 3" xfId="87" xr:uid="{00000000-0005-0000-0000-00002C080000}"/>
    <cellStyle name="20% - Accent2 12 3 2" xfId="1115" xr:uid="{00000000-0005-0000-0000-00002D080000}"/>
    <cellStyle name="20% - Accent2 12 3 2 2" xfId="4645" xr:uid="{00000000-0005-0000-0000-00002E080000}"/>
    <cellStyle name="20% - Accent2 12 3 2 2 2" xfId="8236" xr:uid="{00000000-0005-0000-0000-00002F080000}"/>
    <cellStyle name="20% - Accent2 12 3 2 2 2 2" xfId="16207" xr:uid="{00000000-0005-0000-0000-000030080000}"/>
    <cellStyle name="20% - Accent2 12 3 2 2 2 2 2" xfId="40050" xr:uid="{EEA28B64-59DD-4633-B8A7-8535ABA6BE73}"/>
    <cellStyle name="20% - Accent2 12 3 2 2 2 3" xfId="24153" xr:uid="{00000000-0005-0000-0000-000031080000}"/>
    <cellStyle name="20% - Accent2 12 3 2 2 2 3 2" xfId="47986" xr:uid="{AE4E6F56-20F7-4598-AB25-C07E57A01E0E}"/>
    <cellStyle name="20% - Accent2 12 3 2 2 2 4" xfId="32109" xr:uid="{67D9241E-152F-43C1-ACF2-68957A6F7BBA}"/>
    <cellStyle name="20% - Accent2 12 3 2 2 3" xfId="12669" xr:uid="{00000000-0005-0000-0000-000032080000}"/>
    <cellStyle name="20% - Accent2 12 3 2 2 3 2" xfId="36519" xr:uid="{8425D5EB-6794-4D8C-8451-E6588E8F078B}"/>
    <cellStyle name="20% - Accent2 12 3 2 2 4" xfId="20624" xr:uid="{00000000-0005-0000-0000-000033080000}"/>
    <cellStyle name="20% - Accent2 12 3 2 2 4 2" xfId="44457" xr:uid="{957AE13A-D68B-41A7-AEC7-95C0E41CAA48}"/>
    <cellStyle name="20% - Accent2 12 3 2 2 5" xfId="28578" xr:uid="{9A87EB85-1168-4DB5-810B-EA964A10B51D}"/>
    <cellStyle name="20% - Accent2 12 3 2 3" xfId="6477" xr:uid="{00000000-0005-0000-0000-000034080000}"/>
    <cellStyle name="20% - Accent2 12 3 2 3 2" xfId="14449" xr:uid="{00000000-0005-0000-0000-000035080000}"/>
    <cellStyle name="20% - Accent2 12 3 2 3 2 2" xfId="38292" xr:uid="{0DEFCA89-65FB-4B6B-A6D3-C5DEC4763FA6}"/>
    <cellStyle name="20% - Accent2 12 3 2 3 3" xfId="22396" xr:uid="{00000000-0005-0000-0000-000036080000}"/>
    <cellStyle name="20% - Accent2 12 3 2 3 3 2" xfId="46229" xr:uid="{78E37F05-B5DC-4E95-8B8B-6CB9D2C9DCF3}"/>
    <cellStyle name="20% - Accent2 12 3 2 3 4" xfId="30351" xr:uid="{A94F2000-35C8-406E-8BEE-BCEF748BD91F}"/>
    <cellStyle name="20% - Accent2 12 3 2 4" xfId="10913" xr:uid="{00000000-0005-0000-0000-000037080000}"/>
    <cellStyle name="20% - Accent2 12 3 2 4 2" xfId="34763" xr:uid="{77CC2BFF-F6E1-411E-8C25-FDD3B04FD2E8}"/>
    <cellStyle name="20% - Accent2 12 3 2 5" xfId="18868" xr:uid="{00000000-0005-0000-0000-000038080000}"/>
    <cellStyle name="20% - Accent2 12 3 2 5 2" xfId="42701" xr:uid="{4CF082E8-561A-402C-95C1-038521D0F4A6}"/>
    <cellStyle name="20% - Accent2 12 3 2 6" xfId="26821" xr:uid="{856F3034-F691-44E2-AAC5-E5930803E954}"/>
    <cellStyle name="20% - Accent2 12 3 2_Exh G" xfId="2087" xr:uid="{00000000-0005-0000-0000-000039080000}"/>
    <cellStyle name="20% - Accent2 12 3 3" xfId="3766" xr:uid="{00000000-0005-0000-0000-00003A080000}"/>
    <cellStyle name="20% - Accent2 12 3 3 2" xfId="7358" xr:uid="{00000000-0005-0000-0000-00003B080000}"/>
    <cellStyle name="20% - Accent2 12 3 3 2 2" xfId="15329" xr:uid="{00000000-0005-0000-0000-00003C080000}"/>
    <cellStyle name="20% - Accent2 12 3 3 2 2 2" xfId="39172" xr:uid="{248F6B0F-C19A-4A1D-AA8D-29BF79A3F267}"/>
    <cellStyle name="20% - Accent2 12 3 3 2 3" xfId="23275" xr:uid="{00000000-0005-0000-0000-00003D080000}"/>
    <cellStyle name="20% - Accent2 12 3 3 2 3 2" xfId="47108" xr:uid="{CEB336E8-6A6C-4470-99DE-8D113D0A988D}"/>
    <cellStyle name="20% - Accent2 12 3 3 2 4" xfId="31231" xr:uid="{80F25D8F-FF45-48BF-8A02-686F497168CD}"/>
    <cellStyle name="20% - Accent2 12 3 3 3" xfId="11791" xr:uid="{00000000-0005-0000-0000-00003E080000}"/>
    <cellStyle name="20% - Accent2 12 3 3 3 2" xfId="35641" xr:uid="{D81B9779-F239-488D-8B59-3D6C1F41362D}"/>
    <cellStyle name="20% - Accent2 12 3 3 4" xfId="19746" xr:uid="{00000000-0005-0000-0000-00003F080000}"/>
    <cellStyle name="20% - Accent2 12 3 3 4 2" xfId="43579" xr:uid="{FC1EAA2B-C0AA-47BB-B836-8A79AD6A634D}"/>
    <cellStyle name="20% - Accent2 12 3 3 5" xfId="27700" xr:uid="{66092FBA-11A9-4D37-851C-9BF44D7365BF}"/>
    <cellStyle name="20% - Accent2 12 3 4" xfId="5586" xr:uid="{00000000-0005-0000-0000-000040080000}"/>
    <cellStyle name="20% - Accent2 12 3 4 2" xfId="13570" xr:uid="{00000000-0005-0000-0000-000041080000}"/>
    <cellStyle name="20% - Accent2 12 3 4 2 2" xfId="37414" xr:uid="{5CA3C947-665C-4352-86A3-1CE60374BBFC}"/>
    <cellStyle name="20% - Accent2 12 3 4 3" xfId="21518" xr:uid="{00000000-0005-0000-0000-000042080000}"/>
    <cellStyle name="20% - Accent2 12 3 4 3 2" xfId="45351" xr:uid="{BE029425-013E-4388-878F-A80949FA1F8C}"/>
    <cellStyle name="20% - Accent2 12 3 4 4" xfId="29473" xr:uid="{DD773A41-29B7-4089-934A-A762081BA8E6}"/>
    <cellStyle name="20% - Accent2 12 3 5" xfId="9139" xr:uid="{00000000-0005-0000-0000-000043080000}"/>
    <cellStyle name="20% - Accent2 12 3 5 2" xfId="17097" xr:uid="{00000000-0005-0000-0000-000044080000}"/>
    <cellStyle name="20% - Accent2 12 3 5 2 2" xfId="40938" xr:uid="{FD44D127-87EB-4AA7-AE05-7E0D29D72A1E}"/>
    <cellStyle name="20% - Accent2 12 3 5 3" xfId="25041" xr:uid="{00000000-0005-0000-0000-000045080000}"/>
    <cellStyle name="20% - Accent2 12 3 5 3 2" xfId="48874" xr:uid="{BB4EB76E-76B7-4E02-BAE7-5D54A6532028}"/>
    <cellStyle name="20% - Accent2 12 3 5 4" xfId="32997" xr:uid="{8BAE4D8F-24C4-4F5A-A234-F347DF133BF0}"/>
    <cellStyle name="20% - Accent2 12 3 6" xfId="10035" xr:uid="{00000000-0005-0000-0000-000046080000}"/>
    <cellStyle name="20% - Accent2 12 3 6 2" xfId="33885" xr:uid="{3AA79171-EEE9-4510-AEA1-BDDC54ABE07C}"/>
    <cellStyle name="20% - Accent2 12 3 7" xfId="17990" xr:uid="{00000000-0005-0000-0000-000047080000}"/>
    <cellStyle name="20% - Accent2 12 3 7 2" xfId="41823" xr:uid="{2A97CE21-2DB2-4E5C-A609-91CE5185D131}"/>
    <cellStyle name="20% - Accent2 12 3 8" xfId="25943" xr:uid="{E7B8F61A-7B5D-43EC-B129-8C7BBEAD8220}"/>
    <cellStyle name="20% - Accent2 12 3_Exh G" xfId="2086" xr:uid="{00000000-0005-0000-0000-000048080000}"/>
    <cellStyle name="20% - Accent2 12 4" xfId="1112" xr:uid="{00000000-0005-0000-0000-000049080000}"/>
    <cellStyle name="20% - Accent2 12 4 2" xfId="4642" xr:uid="{00000000-0005-0000-0000-00004A080000}"/>
    <cellStyle name="20% - Accent2 12 4 2 2" xfId="8233" xr:uid="{00000000-0005-0000-0000-00004B080000}"/>
    <cellStyle name="20% - Accent2 12 4 2 2 2" xfId="16204" xr:uid="{00000000-0005-0000-0000-00004C080000}"/>
    <cellStyle name="20% - Accent2 12 4 2 2 2 2" xfId="40047" xr:uid="{16BFA0B2-7216-4567-AFBD-EDD130AD73D4}"/>
    <cellStyle name="20% - Accent2 12 4 2 2 3" xfId="24150" xr:uid="{00000000-0005-0000-0000-00004D080000}"/>
    <cellStyle name="20% - Accent2 12 4 2 2 3 2" xfId="47983" xr:uid="{3AFB8441-DB8B-4FC1-84FC-3CA2395F7A8E}"/>
    <cellStyle name="20% - Accent2 12 4 2 2 4" xfId="32106" xr:uid="{565DEFB2-AE17-487A-B603-78C156B78ED9}"/>
    <cellStyle name="20% - Accent2 12 4 2 3" xfId="12666" xr:uid="{00000000-0005-0000-0000-00004E080000}"/>
    <cellStyle name="20% - Accent2 12 4 2 3 2" xfId="36516" xr:uid="{DA829A0D-133D-41D9-89DA-FB044E5975EE}"/>
    <cellStyle name="20% - Accent2 12 4 2 4" xfId="20621" xr:uid="{00000000-0005-0000-0000-00004F080000}"/>
    <cellStyle name="20% - Accent2 12 4 2 4 2" xfId="44454" xr:uid="{6D818DA6-A742-424C-940D-6EFF08B7CF61}"/>
    <cellStyle name="20% - Accent2 12 4 2 5" xfId="28575" xr:uid="{67EA8298-C584-470E-9493-3AC825863532}"/>
    <cellStyle name="20% - Accent2 12 4 3" xfId="6474" xr:uid="{00000000-0005-0000-0000-000050080000}"/>
    <cellStyle name="20% - Accent2 12 4 3 2" xfId="14446" xr:uid="{00000000-0005-0000-0000-000051080000}"/>
    <cellStyle name="20% - Accent2 12 4 3 2 2" xfId="38289" xr:uid="{D80ED4DA-9FDB-4646-9463-4F4203E5BB60}"/>
    <cellStyle name="20% - Accent2 12 4 3 3" xfId="22393" xr:uid="{00000000-0005-0000-0000-000052080000}"/>
    <cellStyle name="20% - Accent2 12 4 3 3 2" xfId="46226" xr:uid="{E4AE05E1-6509-4176-81D9-C800E10D30A4}"/>
    <cellStyle name="20% - Accent2 12 4 3 4" xfId="30348" xr:uid="{09D4E156-D7A3-4779-B6B5-282C79846BBE}"/>
    <cellStyle name="20% - Accent2 12 4 4" xfId="10910" xr:uid="{00000000-0005-0000-0000-000053080000}"/>
    <cellStyle name="20% - Accent2 12 4 4 2" xfId="34760" xr:uid="{F283D460-C7FC-4682-996D-9F500767E642}"/>
    <cellStyle name="20% - Accent2 12 4 5" xfId="18865" xr:uid="{00000000-0005-0000-0000-000054080000}"/>
    <cellStyle name="20% - Accent2 12 4 5 2" xfId="42698" xr:uid="{3CA7A81B-FDDA-43E7-8B97-32DE3D606B6D}"/>
    <cellStyle name="20% - Accent2 12 4 6" xfId="26818" xr:uid="{F314E17F-000F-4263-9258-ACF1515D762D}"/>
    <cellStyle name="20% - Accent2 12 4_Exh G" xfId="2088" xr:uid="{00000000-0005-0000-0000-000055080000}"/>
    <cellStyle name="20% - Accent2 12 5" xfId="3763" xr:uid="{00000000-0005-0000-0000-000056080000}"/>
    <cellStyle name="20% - Accent2 12 5 2" xfId="7355" xr:uid="{00000000-0005-0000-0000-000057080000}"/>
    <cellStyle name="20% - Accent2 12 5 2 2" xfId="15326" xr:uid="{00000000-0005-0000-0000-000058080000}"/>
    <cellStyle name="20% - Accent2 12 5 2 2 2" xfId="39169" xr:uid="{DD00CF78-9393-47A8-8A4E-4D1EF5874705}"/>
    <cellStyle name="20% - Accent2 12 5 2 3" xfId="23272" xr:uid="{00000000-0005-0000-0000-000059080000}"/>
    <cellStyle name="20% - Accent2 12 5 2 3 2" xfId="47105" xr:uid="{69464ABC-40F5-4562-A4EE-5509AB812854}"/>
    <cellStyle name="20% - Accent2 12 5 2 4" xfId="31228" xr:uid="{2608BD43-5B56-4CE8-8A67-EF57FF40E534}"/>
    <cellStyle name="20% - Accent2 12 5 3" xfId="11788" xr:uid="{00000000-0005-0000-0000-00005A080000}"/>
    <cellStyle name="20% - Accent2 12 5 3 2" xfId="35638" xr:uid="{14622E8A-2580-4023-A59A-5A3624135D04}"/>
    <cellStyle name="20% - Accent2 12 5 4" xfId="19743" xr:uid="{00000000-0005-0000-0000-00005B080000}"/>
    <cellStyle name="20% - Accent2 12 5 4 2" xfId="43576" xr:uid="{3449B977-BE57-475F-B432-B41328E25BF1}"/>
    <cellStyle name="20% - Accent2 12 5 5" xfId="27697" xr:uid="{0DC3CFBD-27B6-4031-9B2D-14EF94379631}"/>
    <cellStyle name="20% - Accent2 12 6" xfId="5583" xr:uid="{00000000-0005-0000-0000-00005C080000}"/>
    <cellStyle name="20% - Accent2 12 6 2" xfId="13567" xr:uid="{00000000-0005-0000-0000-00005D080000}"/>
    <cellStyle name="20% - Accent2 12 6 2 2" xfId="37411" xr:uid="{2851A503-F2E7-4C74-90E3-7D115F7E4A8E}"/>
    <cellStyle name="20% - Accent2 12 6 3" xfId="21515" xr:uid="{00000000-0005-0000-0000-00005E080000}"/>
    <cellStyle name="20% - Accent2 12 6 3 2" xfId="45348" xr:uid="{6812A477-CF48-45E7-85CD-3D33E508513A}"/>
    <cellStyle name="20% - Accent2 12 6 4" xfId="29470" xr:uid="{CA1C8630-9A03-4177-B95A-8645EB114DD6}"/>
    <cellStyle name="20% - Accent2 12 7" xfId="9136" xr:uid="{00000000-0005-0000-0000-00005F080000}"/>
    <cellStyle name="20% - Accent2 12 7 2" xfId="17094" xr:uid="{00000000-0005-0000-0000-000060080000}"/>
    <cellStyle name="20% - Accent2 12 7 2 2" xfId="40935" xr:uid="{0F40CF1B-E45B-4603-87AB-8C91CB926366}"/>
    <cellStyle name="20% - Accent2 12 7 3" xfId="25038" xr:uid="{00000000-0005-0000-0000-000061080000}"/>
    <cellStyle name="20% - Accent2 12 7 3 2" xfId="48871" xr:uid="{6C1AA045-7C6B-47A1-9BD8-519B7DD87AEA}"/>
    <cellStyle name="20% - Accent2 12 7 4" xfId="32994" xr:uid="{54009C6D-D273-42BB-AF7E-455BA1BE4126}"/>
    <cellStyle name="20% - Accent2 12 8" xfId="10032" xr:uid="{00000000-0005-0000-0000-000062080000}"/>
    <cellStyle name="20% - Accent2 12 8 2" xfId="33882" xr:uid="{FC3E6207-3B84-40B9-8070-4ECACF12DFC8}"/>
    <cellStyle name="20% - Accent2 12 9" xfId="17987" xr:uid="{00000000-0005-0000-0000-000063080000}"/>
    <cellStyle name="20% - Accent2 12 9 2" xfId="41820" xr:uid="{E78EEB1D-6696-4E18-80D4-2F1390AD3F53}"/>
    <cellStyle name="20% - Accent2 12_Exh G" xfId="2081" xr:uid="{00000000-0005-0000-0000-000064080000}"/>
    <cellStyle name="20% - Accent2 13" xfId="88" xr:uid="{00000000-0005-0000-0000-000065080000}"/>
    <cellStyle name="20% - Accent2 13 10" xfId="25944" xr:uid="{9C2D83CE-D1F4-44FE-8A4C-75E1335F8532}"/>
    <cellStyle name="20% - Accent2 13 2" xfId="89" xr:uid="{00000000-0005-0000-0000-000066080000}"/>
    <cellStyle name="20% - Accent2 13 2 2" xfId="90" xr:uid="{00000000-0005-0000-0000-000067080000}"/>
    <cellStyle name="20% - Accent2 13 2 2 2" xfId="1118" xr:uid="{00000000-0005-0000-0000-000068080000}"/>
    <cellStyle name="20% - Accent2 13 2 2 2 2" xfId="4648" xr:uid="{00000000-0005-0000-0000-000069080000}"/>
    <cellStyle name="20% - Accent2 13 2 2 2 2 2" xfId="8239" xr:uid="{00000000-0005-0000-0000-00006A080000}"/>
    <cellStyle name="20% - Accent2 13 2 2 2 2 2 2" xfId="16210" xr:uid="{00000000-0005-0000-0000-00006B080000}"/>
    <cellStyle name="20% - Accent2 13 2 2 2 2 2 2 2" xfId="40053" xr:uid="{AED9F3E9-2C7C-4050-AF74-C2D14B0643A1}"/>
    <cellStyle name="20% - Accent2 13 2 2 2 2 2 3" xfId="24156" xr:uid="{00000000-0005-0000-0000-00006C080000}"/>
    <cellStyle name="20% - Accent2 13 2 2 2 2 2 3 2" xfId="47989" xr:uid="{40F36081-CEBF-4166-8793-E92505D3AA5D}"/>
    <cellStyle name="20% - Accent2 13 2 2 2 2 2 4" xfId="32112" xr:uid="{6E13E938-6CDE-4875-AC01-A0DB28426616}"/>
    <cellStyle name="20% - Accent2 13 2 2 2 2 3" xfId="12672" xr:uid="{00000000-0005-0000-0000-00006D080000}"/>
    <cellStyle name="20% - Accent2 13 2 2 2 2 3 2" xfId="36522" xr:uid="{196EF54B-7DE7-470C-8047-378047A55BFD}"/>
    <cellStyle name="20% - Accent2 13 2 2 2 2 4" xfId="20627" xr:uid="{00000000-0005-0000-0000-00006E080000}"/>
    <cellStyle name="20% - Accent2 13 2 2 2 2 4 2" xfId="44460" xr:uid="{C93F3766-F375-4A30-8F8F-D400039B7845}"/>
    <cellStyle name="20% - Accent2 13 2 2 2 2 5" xfId="28581" xr:uid="{598F1EA6-22B1-42A4-8CCE-99051FA264EE}"/>
    <cellStyle name="20% - Accent2 13 2 2 2 3" xfId="6480" xr:uid="{00000000-0005-0000-0000-00006F080000}"/>
    <cellStyle name="20% - Accent2 13 2 2 2 3 2" xfId="14452" xr:uid="{00000000-0005-0000-0000-000070080000}"/>
    <cellStyle name="20% - Accent2 13 2 2 2 3 2 2" xfId="38295" xr:uid="{4D316B75-2F60-4CA2-BC5E-5452A28FF321}"/>
    <cellStyle name="20% - Accent2 13 2 2 2 3 3" xfId="22399" xr:uid="{00000000-0005-0000-0000-000071080000}"/>
    <cellStyle name="20% - Accent2 13 2 2 2 3 3 2" xfId="46232" xr:uid="{0C5A2ED4-B292-4191-B2D2-5C06600BD074}"/>
    <cellStyle name="20% - Accent2 13 2 2 2 3 4" xfId="30354" xr:uid="{CD8A5B4E-C997-4DB8-8B3E-41631457150A}"/>
    <cellStyle name="20% - Accent2 13 2 2 2 4" xfId="10916" xr:uid="{00000000-0005-0000-0000-000072080000}"/>
    <cellStyle name="20% - Accent2 13 2 2 2 4 2" xfId="34766" xr:uid="{7A5A8AE2-5048-4584-AE8B-22C27F4E1332}"/>
    <cellStyle name="20% - Accent2 13 2 2 2 5" xfId="18871" xr:uid="{00000000-0005-0000-0000-000073080000}"/>
    <cellStyle name="20% - Accent2 13 2 2 2 5 2" xfId="42704" xr:uid="{CC43635D-0668-44F0-ADED-213ADD5A30CD}"/>
    <cellStyle name="20% - Accent2 13 2 2 2 6" xfId="26824" xr:uid="{02530059-2172-47D0-9132-A8AD28A7F45D}"/>
    <cellStyle name="20% - Accent2 13 2 2 2_Exh G" xfId="2092" xr:uid="{00000000-0005-0000-0000-000074080000}"/>
    <cellStyle name="20% - Accent2 13 2 2 3" xfId="3769" xr:uid="{00000000-0005-0000-0000-000075080000}"/>
    <cellStyle name="20% - Accent2 13 2 2 3 2" xfId="7361" xr:uid="{00000000-0005-0000-0000-000076080000}"/>
    <cellStyle name="20% - Accent2 13 2 2 3 2 2" xfId="15332" xr:uid="{00000000-0005-0000-0000-000077080000}"/>
    <cellStyle name="20% - Accent2 13 2 2 3 2 2 2" xfId="39175" xr:uid="{77C78D63-C3AC-46AB-94D9-D51EA5FE39AA}"/>
    <cellStyle name="20% - Accent2 13 2 2 3 2 3" xfId="23278" xr:uid="{00000000-0005-0000-0000-000078080000}"/>
    <cellStyle name="20% - Accent2 13 2 2 3 2 3 2" xfId="47111" xr:uid="{0D645EB8-4134-46FC-B674-DE27D84D2AE2}"/>
    <cellStyle name="20% - Accent2 13 2 2 3 2 4" xfId="31234" xr:uid="{CBF9F668-9DC8-4F0E-ACCB-F24FA6AFEE89}"/>
    <cellStyle name="20% - Accent2 13 2 2 3 3" xfId="11794" xr:uid="{00000000-0005-0000-0000-000079080000}"/>
    <cellStyle name="20% - Accent2 13 2 2 3 3 2" xfId="35644" xr:uid="{FD56095C-7EB9-40CF-B1BE-B7349D637027}"/>
    <cellStyle name="20% - Accent2 13 2 2 3 4" xfId="19749" xr:uid="{00000000-0005-0000-0000-00007A080000}"/>
    <cellStyle name="20% - Accent2 13 2 2 3 4 2" xfId="43582" xr:uid="{0B2B8B2E-5496-4D94-B9C2-A06C010A1991}"/>
    <cellStyle name="20% - Accent2 13 2 2 3 5" xfId="27703" xr:uid="{570BFDB6-F39F-40EC-85B1-F8B32CBF033F}"/>
    <cellStyle name="20% - Accent2 13 2 2 4" xfId="5589" xr:uid="{00000000-0005-0000-0000-00007B080000}"/>
    <cellStyle name="20% - Accent2 13 2 2 4 2" xfId="13573" xr:uid="{00000000-0005-0000-0000-00007C080000}"/>
    <cellStyle name="20% - Accent2 13 2 2 4 2 2" xfId="37417" xr:uid="{5799E57E-388A-46AA-8871-E757D17B9468}"/>
    <cellStyle name="20% - Accent2 13 2 2 4 3" xfId="21521" xr:uid="{00000000-0005-0000-0000-00007D080000}"/>
    <cellStyle name="20% - Accent2 13 2 2 4 3 2" xfId="45354" xr:uid="{746F6877-6ACD-4987-BAEC-F164232363EC}"/>
    <cellStyle name="20% - Accent2 13 2 2 4 4" xfId="29476" xr:uid="{7A195C65-AF02-4AAF-B90B-7DDCF80FE71F}"/>
    <cellStyle name="20% - Accent2 13 2 2 5" xfId="9142" xr:uid="{00000000-0005-0000-0000-00007E080000}"/>
    <cellStyle name="20% - Accent2 13 2 2 5 2" xfId="17100" xr:uid="{00000000-0005-0000-0000-00007F080000}"/>
    <cellStyle name="20% - Accent2 13 2 2 5 2 2" xfId="40941" xr:uid="{6F5EB8C1-7D75-40D6-98AF-CA88134AA666}"/>
    <cellStyle name="20% - Accent2 13 2 2 5 3" xfId="25044" xr:uid="{00000000-0005-0000-0000-000080080000}"/>
    <cellStyle name="20% - Accent2 13 2 2 5 3 2" xfId="48877" xr:uid="{0FCF70FC-A8E6-4F66-8DD6-C8DDEA54863A}"/>
    <cellStyle name="20% - Accent2 13 2 2 5 4" xfId="33000" xr:uid="{129E5EBF-A43B-4123-BFEE-D91B6F3E632F}"/>
    <cellStyle name="20% - Accent2 13 2 2 6" xfId="10038" xr:uid="{00000000-0005-0000-0000-000081080000}"/>
    <cellStyle name="20% - Accent2 13 2 2 6 2" xfId="33888" xr:uid="{0E7BF761-E0EA-4BD1-A206-764D210E1271}"/>
    <cellStyle name="20% - Accent2 13 2 2 7" xfId="17993" xr:uid="{00000000-0005-0000-0000-000082080000}"/>
    <cellStyle name="20% - Accent2 13 2 2 7 2" xfId="41826" xr:uid="{140C1403-366D-492D-A497-C8E132D24C90}"/>
    <cellStyle name="20% - Accent2 13 2 2 8" xfId="25946" xr:uid="{19453550-E800-43AB-82C3-139ED4920112}"/>
    <cellStyle name="20% - Accent2 13 2 2_Exh G" xfId="2091" xr:uid="{00000000-0005-0000-0000-000083080000}"/>
    <cellStyle name="20% - Accent2 13 2 3" xfId="1117" xr:uid="{00000000-0005-0000-0000-000084080000}"/>
    <cellStyle name="20% - Accent2 13 2 3 2" xfId="4647" xr:uid="{00000000-0005-0000-0000-000085080000}"/>
    <cellStyle name="20% - Accent2 13 2 3 2 2" xfId="8238" xr:uid="{00000000-0005-0000-0000-000086080000}"/>
    <cellStyle name="20% - Accent2 13 2 3 2 2 2" xfId="16209" xr:uid="{00000000-0005-0000-0000-000087080000}"/>
    <cellStyle name="20% - Accent2 13 2 3 2 2 2 2" xfId="40052" xr:uid="{F19F1529-39AB-4809-9323-CAC68558EBD0}"/>
    <cellStyle name="20% - Accent2 13 2 3 2 2 3" xfId="24155" xr:uid="{00000000-0005-0000-0000-000088080000}"/>
    <cellStyle name="20% - Accent2 13 2 3 2 2 3 2" xfId="47988" xr:uid="{66590B54-7DEB-4870-BF97-8C32A5F4ED93}"/>
    <cellStyle name="20% - Accent2 13 2 3 2 2 4" xfId="32111" xr:uid="{580549B3-0982-437D-ADD1-605C58C4D2FB}"/>
    <cellStyle name="20% - Accent2 13 2 3 2 3" xfId="12671" xr:uid="{00000000-0005-0000-0000-000089080000}"/>
    <cellStyle name="20% - Accent2 13 2 3 2 3 2" xfId="36521" xr:uid="{F73DB968-5067-4F7D-B80E-7B1D348137A3}"/>
    <cellStyle name="20% - Accent2 13 2 3 2 4" xfId="20626" xr:uid="{00000000-0005-0000-0000-00008A080000}"/>
    <cellStyle name="20% - Accent2 13 2 3 2 4 2" xfId="44459" xr:uid="{738403EF-23FA-47CC-AE9A-4B69077F6938}"/>
    <cellStyle name="20% - Accent2 13 2 3 2 5" xfId="28580" xr:uid="{4B5DB05E-890E-4BCA-BE73-6FDA5F8D0690}"/>
    <cellStyle name="20% - Accent2 13 2 3 3" xfId="6479" xr:uid="{00000000-0005-0000-0000-00008B080000}"/>
    <cellStyle name="20% - Accent2 13 2 3 3 2" xfId="14451" xr:uid="{00000000-0005-0000-0000-00008C080000}"/>
    <cellStyle name="20% - Accent2 13 2 3 3 2 2" xfId="38294" xr:uid="{2D6ADA7A-C084-43F4-8881-25B009548D6B}"/>
    <cellStyle name="20% - Accent2 13 2 3 3 3" xfId="22398" xr:uid="{00000000-0005-0000-0000-00008D080000}"/>
    <cellStyle name="20% - Accent2 13 2 3 3 3 2" xfId="46231" xr:uid="{C6C841D2-EA97-4A86-BA18-E7891297BB76}"/>
    <cellStyle name="20% - Accent2 13 2 3 3 4" xfId="30353" xr:uid="{79E148AB-D7F8-4079-82A8-938AF132692F}"/>
    <cellStyle name="20% - Accent2 13 2 3 4" xfId="10915" xr:uid="{00000000-0005-0000-0000-00008E080000}"/>
    <cellStyle name="20% - Accent2 13 2 3 4 2" xfId="34765" xr:uid="{F86FD041-AD43-4908-9BB4-1C0A2575962A}"/>
    <cellStyle name="20% - Accent2 13 2 3 5" xfId="18870" xr:uid="{00000000-0005-0000-0000-00008F080000}"/>
    <cellStyle name="20% - Accent2 13 2 3 5 2" xfId="42703" xr:uid="{90B3CE93-BE2F-4F94-A559-1D03B936EBE2}"/>
    <cellStyle name="20% - Accent2 13 2 3 6" xfId="26823" xr:uid="{8A9B1DFC-8F4C-4778-8F73-FE831678037C}"/>
    <cellStyle name="20% - Accent2 13 2 3_Exh G" xfId="2093" xr:uid="{00000000-0005-0000-0000-000090080000}"/>
    <cellStyle name="20% - Accent2 13 2 4" xfId="3768" xr:uid="{00000000-0005-0000-0000-000091080000}"/>
    <cellStyle name="20% - Accent2 13 2 4 2" xfId="7360" xr:uid="{00000000-0005-0000-0000-000092080000}"/>
    <cellStyle name="20% - Accent2 13 2 4 2 2" xfId="15331" xr:uid="{00000000-0005-0000-0000-000093080000}"/>
    <cellStyle name="20% - Accent2 13 2 4 2 2 2" xfId="39174" xr:uid="{B2CE9ED3-523A-4415-AA14-4DF1BF59CF58}"/>
    <cellStyle name="20% - Accent2 13 2 4 2 3" xfId="23277" xr:uid="{00000000-0005-0000-0000-000094080000}"/>
    <cellStyle name="20% - Accent2 13 2 4 2 3 2" xfId="47110" xr:uid="{CD7BF69E-4C31-4BEC-8CFA-677AA740356E}"/>
    <cellStyle name="20% - Accent2 13 2 4 2 4" xfId="31233" xr:uid="{0396AE0E-A572-4992-9A8E-022376616B6B}"/>
    <cellStyle name="20% - Accent2 13 2 4 3" xfId="11793" xr:uid="{00000000-0005-0000-0000-000095080000}"/>
    <cellStyle name="20% - Accent2 13 2 4 3 2" xfId="35643" xr:uid="{B60480ED-C2A7-4335-A7AF-E1C31E823131}"/>
    <cellStyle name="20% - Accent2 13 2 4 4" xfId="19748" xr:uid="{00000000-0005-0000-0000-000096080000}"/>
    <cellStyle name="20% - Accent2 13 2 4 4 2" xfId="43581" xr:uid="{14084C7F-E5DA-482A-B8BB-DB38CD8B6885}"/>
    <cellStyle name="20% - Accent2 13 2 4 5" xfId="27702" xr:uid="{78275610-34E7-40F8-A1F7-8FB0B5B0498E}"/>
    <cellStyle name="20% - Accent2 13 2 5" xfId="5588" xr:uid="{00000000-0005-0000-0000-000097080000}"/>
    <cellStyle name="20% - Accent2 13 2 5 2" xfId="13572" xr:uid="{00000000-0005-0000-0000-000098080000}"/>
    <cellStyle name="20% - Accent2 13 2 5 2 2" xfId="37416" xr:uid="{0C702A0C-8BE4-4BE4-8C8E-3CE9B23D1129}"/>
    <cellStyle name="20% - Accent2 13 2 5 3" xfId="21520" xr:uid="{00000000-0005-0000-0000-000099080000}"/>
    <cellStyle name="20% - Accent2 13 2 5 3 2" xfId="45353" xr:uid="{876AEDD8-2109-48F3-BB64-8A4058856B37}"/>
    <cellStyle name="20% - Accent2 13 2 5 4" xfId="29475" xr:uid="{579F650E-5374-407F-BAA4-C7A013C6A1FF}"/>
    <cellStyle name="20% - Accent2 13 2 6" xfId="9141" xr:uid="{00000000-0005-0000-0000-00009A080000}"/>
    <cellStyle name="20% - Accent2 13 2 6 2" xfId="17099" xr:uid="{00000000-0005-0000-0000-00009B080000}"/>
    <cellStyle name="20% - Accent2 13 2 6 2 2" xfId="40940" xr:uid="{F5A2C394-97F8-4105-96C3-35CFE10C89ED}"/>
    <cellStyle name="20% - Accent2 13 2 6 3" xfId="25043" xr:uid="{00000000-0005-0000-0000-00009C080000}"/>
    <cellStyle name="20% - Accent2 13 2 6 3 2" xfId="48876" xr:uid="{0BA132A3-A4C2-49C9-B4EE-01E22FC231F5}"/>
    <cellStyle name="20% - Accent2 13 2 6 4" xfId="32999" xr:uid="{C69E6235-8479-41A7-9E79-F14C0FB06672}"/>
    <cellStyle name="20% - Accent2 13 2 7" xfId="10037" xr:uid="{00000000-0005-0000-0000-00009D080000}"/>
    <cellStyle name="20% - Accent2 13 2 7 2" xfId="33887" xr:uid="{F7E56A2B-CB2A-4992-8112-6442BD7A4DB6}"/>
    <cellStyle name="20% - Accent2 13 2 8" xfId="17992" xr:uid="{00000000-0005-0000-0000-00009E080000}"/>
    <cellStyle name="20% - Accent2 13 2 8 2" xfId="41825" xr:uid="{62C8459F-F04F-4FF6-9DE3-978F87F618D7}"/>
    <cellStyle name="20% - Accent2 13 2 9" xfId="25945" xr:uid="{568A96BB-7842-4977-B422-748E24F5DE09}"/>
    <cellStyle name="20% - Accent2 13 2_Exh G" xfId="2090" xr:uid="{00000000-0005-0000-0000-00009F080000}"/>
    <cellStyle name="20% - Accent2 13 3" xfId="91" xr:uid="{00000000-0005-0000-0000-0000A0080000}"/>
    <cellStyle name="20% - Accent2 13 3 2" xfId="1119" xr:uid="{00000000-0005-0000-0000-0000A1080000}"/>
    <cellStyle name="20% - Accent2 13 3 2 2" xfId="4649" xr:uid="{00000000-0005-0000-0000-0000A2080000}"/>
    <cellStyle name="20% - Accent2 13 3 2 2 2" xfId="8240" xr:uid="{00000000-0005-0000-0000-0000A3080000}"/>
    <cellStyle name="20% - Accent2 13 3 2 2 2 2" xfId="16211" xr:uid="{00000000-0005-0000-0000-0000A4080000}"/>
    <cellStyle name="20% - Accent2 13 3 2 2 2 2 2" xfId="40054" xr:uid="{6716D002-7393-4398-81EF-BEC32B859BB2}"/>
    <cellStyle name="20% - Accent2 13 3 2 2 2 3" xfId="24157" xr:uid="{00000000-0005-0000-0000-0000A5080000}"/>
    <cellStyle name="20% - Accent2 13 3 2 2 2 3 2" xfId="47990" xr:uid="{BCEC88FB-6B48-4B40-90ED-E625F4B9BFCD}"/>
    <cellStyle name="20% - Accent2 13 3 2 2 2 4" xfId="32113" xr:uid="{39DAE36D-6E56-40C3-A52F-34D37A6B64D1}"/>
    <cellStyle name="20% - Accent2 13 3 2 2 3" xfId="12673" xr:uid="{00000000-0005-0000-0000-0000A6080000}"/>
    <cellStyle name="20% - Accent2 13 3 2 2 3 2" xfId="36523" xr:uid="{2FB747D1-CEC9-4FE4-A9FC-DEE24B66A07E}"/>
    <cellStyle name="20% - Accent2 13 3 2 2 4" xfId="20628" xr:uid="{00000000-0005-0000-0000-0000A7080000}"/>
    <cellStyle name="20% - Accent2 13 3 2 2 4 2" xfId="44461" xr:uid="{53C2ACFF-17F3-4AE7-B6BA-9E3F05302536}"/>
    <cellStyle name="20% - Accent2 13 3 2 2 5" xfId="28582" xr:uid="{CB5ACD10-39FA-421C-88D5-E2CFE005EF96}"/>
    <cellStyle name="20% - Accent2 13 3 2 3" xfId="6481" xr:uid="{00000000-0005-0000-0000-0000A8080000}"/>
    <cellStyle name="20% - Accent2 13 3 2 3 2" xfId="14453" xr:uid="{00000000-0005-0000-0000-0000A9080000}"/>
    <cellStyle name="20% - Accent2 13 3 2 3 2 2" xfId="38296" xr:uid="{576DF8E7-5B11-474C-9D8F-DEBB045EB4D2}"/>
    <cellStyle name="20% - Accent2 13 3 2 3 3" xfId="22400" xr:uid="{00000000-0005-0000-0000-0000AA080000}"/>
    <cellStyle name="20% - Accent2 13 3 2 3 3 2" xfId="46233" xr:uid="{F5361A23-018B-46A1-940F-5CDA174C5C37}"/>
    <cellStyle name="20% - Accent2 13 3 2 3 4" xfId="30355" xr:uid="{0F9DBD44-C1F9-4800-A313-D85A3EDEC456}"/>
    <cellStyle name="20% - Accent2 13 3 2 4" xfId="10917" xr:uid="{00000000-0005-0000-0000-0000AB080000}"/>
    <cellStyle name="20% - Accent2 13 3 2 4 2" xfId="34767" xr:uid="{EEC45AF8-E411-4EEC-9BF3-A63F17D9B39F}"/>
    <cellStyle name="20% - Accent2 13 3 2 5" xfId="18872" xr:uid="{00000000-0005-0000-0000-0000AC080000}"/>
    <cellStyle name="20% - Accent2 13 3 2 5 2" xfId="42705" xr:uid="{86F6D109-AF59-40C4-B219-C44A3D309DB8}"/>
    <cellStyle name="20% - Accent2 13 3 2 6" xfId="26825" xr:uid="{00FB9279-8E7B-4676-999D-D3DD3A2CEA47}"/>
    <cellStyle name="20% - Accent2 13 3 2_Exh G" xfId="2095" xr:uid="{00000000-0005-0000-0000-0000AD080000}"/>
    <cellStyle name="20% - Accent2 13 3 3" xfId="3770" xr:uid="{00000000-0005-0000-0000-0000AE080000}"/>
    <cellStyle name="20% - Accent2 13 3 3 2" xfId="7362" xr:uid="{00000000-0005-0000-0000-0000AF080000}"/>
    <cellStyle name="20% - Accent2 13 3 3 2 2" xfId="15333" xr:uid="{00000000-0005-0000-0000-0000B0080000}"/>
    <cellStyle name="20% - Accent2 13 3 3 2 2 2" xfId="39176" xr:uid="{DCA9D86C-B9AA-49C0-9913-534707B48D32}"/>
    <cellStyle name="20% - Accent2 13 3 3 2 3" xfId="23279" xr:uid="{00000000-0005-0000-0000-0000B1080000}"/>
    <cellStyle name="20% - Accent2 13 3 3 2 3 2" xfId="47112" xr:uid="{A941008C-C9FB-42B3-88F5-21C1F8E7B95A}"/>
    <cellStyle name="20% - Accent2 13 3 3 2 4" xfId="31235" xr:uid="{35AA7F71-9177-4DCE-9660-5ABE4A9A760B}"/>
    <cellStyle name="20% - Accent2 13 3 3 3" xfId="11795" xr:uid="{00000000-0005-0000-0000-0000B2080000}"/>
    <cellStyle name="20% - Accent2 13 3 3 3 2" xfId="35645" xr:uid="{C5BABAAF-DD6E-4780-90E9-F1ECEA70C8F5}"/>
    <cellStyle name="20% - Accent2 13 3 3 4" xfId="19750" xr:uid="{00000000-0005-0000-0000-0000B3080000}"/>
    <cellStyle name="20% - Accent2 13 3 3 4 2" xfId="43583" xr:uid="{434000DF-6A36-408B-8D51-14F97942C2B2}"/>
    <cellStyle name="20% - Accent2 13 3 3 5" xfId="27704" xr:uid="{7D9A5179-44A6-4A0D-91E3-7C4DDD626B53}"/>
    <cellStyle name="20% - Accent2 13 3 4" xfId="5590" xr:uid="{00000000-0005-0000-0000-0000B4080000}"/>
    <cellStyle name="20% - Accent2 13 3 4 2" xfId="13574" xr:uid="{00000000-0005-0000-0000-0000B5080000}"/>
    <cellStyle name="20% - Accent2 13 3 4 2 2" xfId="37418" xr:uid="{4CC73FC4-BBDA-47B8-B3C4-7736FAD7C213}"/>
    <cellStyle name="20% - Accent2 13 3 4 3" xfId="21522" xr:uid="{00000000-0005-0000-0000-0000B6080000}"/>
    <cellStyle name="20% - Accent2 13 3 4 3 2" xfId="45355" xr:uid="{2DDC5FBF-F7C5-4BAE-BC4A-5EF06F62EE48}"/>
    <cellStyle name="20% - Accent2 13 3 4 4" xfId="29477" xr:uid="{87D53354-4535-4532-86D2-65F53CBC0508}"/>
    <cellStyle name="20% - Accent2 13 3 5" xfId="9143" xr:uid="{00000000-0005-0000-0000-0000B7080000}"/>
    <cellStyle name="20% - Accent2 13 3 5 2" xfId="17101" xr:uid="{00000000-0005-0000-0000-0000B8080000}"/>
    <cellStyle name="20% - Accent2 13 3 5 2 2" xfId="40942" xr:uid="{2BC10805-1682-48FB-9865-583D2E082318}"/>
    <cellStyle name="20% - Accent2 13 3 5 3" xfId="25045" xr:uid="{00000000-0005-0000-0000-0000B9080000}"/>
    <cellStyle name="20% - Accent2 13 3 5 3 2" xfId="48878" xr:uid="{CC9925F6-70D3-4521-BBC1-DA3757A76E14}"/>
    <cellStyle name="20% - Accent2 13 3 5 4" xfId="33001" xr:uid="{8B84A8F2-72E8-46C3-876E-180FBC8EACD4}"/>
    <cellStyle name="20% - Accent2 13 3 6" xfId="10039" xr:uid="{00000000-0005-0000-0000-0000BA080000}"/>
    <cellStyle name="20% - Accent2 13 3 6 2" xfId="33889" xr:uid="{79AAD0C0-AAE2-4697-A3C1-62A2CFEECC4F}"/>
    <cellStyle name="20% - Accent2 13 3 7" xfId="17994" xr:uid="{00000000-0005-0000-0000-0000BB080000}"/>
    <cellStyle name="20% - Accent2 13 3 7 2" xfId="41827" xr:uid="{6C0C8FFD-80F6-49A0-A6A4-A8178996D3C5}"/>
    <cellStyle name="20% - Accent2 13 3 8" xfId="25947" xr:uid="{108337D7-5AF1-4774-B90B-954CD226813F}"/>
    <cellStyle name="20% - Accent2 13 3_Exh G" xfId="2094" xr:uid="{00000000-0005-0000-0000-0000BC080000}"/>
    <cellStyle name="20% - Accent2 13 4" xfId="1116" xr:uid="{00000000-0005-0000-0000-0000BD080000}"/>
    <cellStyle name="20% - Accent2 13 4 2" xfId="4646" xr:uid="{00000000-0005-0000-0000-0000BE080000}"/>
    <cellStyle name="20% - Accent2 13 4 2 2" xfId="8237" xr:uid="{00000000-0005-0000-0000-0000BF080000}"/>
    <cellStyle name="20% - Accent2 13 4 2 2 2" xfId="16208" xr:uid="{00000000-0005-0000-0000-0000C0080000}"/>
    <cellStyle name="20% - Accent2 13 4 2 2 2 2" xfId="40051" xr:uid="{D2129FDF-F1D9-41E0-8BED-E1BAE4979DAC}"/>
    <cellStyle name="20% - Accent2 13 4 2 2 3" xfId="24154" xr:uid="{00000000-0005-0000-0000-0000C1080000}"/>
    <cellStyle name="20% - Accent2 13 4 2 2 3 2" xfId="47987" xr:uid="{EB63A0C5-E262-4B30-BA31-E347D6D32D88}"/>
    <cellStyle name="20% - Accent2 13 4 2 2 4" xfId="32110" xr:uid="{E500DDD0-5D03-4DAA-9775-E51091B6D56D}"/>
    <cellStyle name="20% - Accent2 13 4 2 3" xfId="12670" xr:uid="{00000000-0005-0000-0000-0000C2080000}"/>
    <cellStyle name="20% - Accent2 13 4 2 3 2" xfId="36520" xr:uid="{59F4DBEF-75CC-493A-849E-BF55DD0D2297}"/>
    <cellStyle name="20% - Accent2 13 4 2 4" xfId="20625" xr:uid="{00000000-0005-0000-0000-0000C3080000}"/>
    <cellStyle name="20% - Accent2 13 4 2 4 2" xfId="44458" xr:uid="{7A073476-6F5D-44BE-940A-5EBC2DCBECB9}"/>
    <cellStyle name="20% - Accent2 13 4 2 5" xfId="28579" xr:uid="{89385DB9-9568-4DA2-9727-8AC89455FB7C}"/>
    <cellStyle name="20% - Accent2 13 4 3" xfId="6478" xr:uid="{00000000-0005-0000-0000-0000C4080000}"/>
    <cellStyle name="20% - Accent2 13 4 3 2" xfId="14450" xr:uid="{00000000-0005-0000-0000-0000C5080000}"/>
    <cellStyle name="20% - Accent2 13 4 3 2 2" xfId="38293" xr:uid="{19FB687A-C949-41BA-814B-15CB364C167E}"/>
    <cellStyle name="20% - Accent2 13 4 3 3" xfId="22397" xr:uid="{00000000-0005-0000-0000-0000C6080000}"/>
    <cellStyle name="20% - Accent2 13 4 3 3 2" xfId="46230" xr:uid="{80B72399-743A-4D56-BE7A-39AFF6962042}"/>
    <cellStyle name="20% - Accent2 13 4 3 4" xfId="30352" xr:uid="{6BED423B-1DE4-4E01-BFD6-20270EF2490A}"/>
    <cellStyle name="20% - Accent2 13 4 4" xfId="10914" xr:uid="{00000000-0005-0000-0000-0000C7080000}"/>
    <cellStyle name="20% - Accent2 13 4 4 2" xfId="34764" xr:uid="{F984843B-D4B2-4B01-9936-FCEC2BD46FC2}"/>
    <cellStyle name="20% - Accent2 13 4 5" xfId="18869" xr:uid="{00000000-0005-0000-0000-0000C8080000}"/>
    <cellStyle name="20% - Accent2 13 4 5 2" xfId="42702" xr:uid="{8F4BFC8F-8D9A-4CF3-B1D9-5DBA0106DF13}"/>
    <cellStyle name="20% - Accent2 13 4 6" xfId="26822" xr:uid="{50DFBF94-B08F-4C79-9A01-106D1F9B0221}"/>
    <cellStyle name="20% - Accent2 13 4_Exh G" xfId="2096" xr:uid="{00000000-0005-0000-0000-0000C9080000}"/>
    <cellStyle name="20% - Accent2 13 5" xfId="3767" xr:uid="{00000000-0005-0000-0000-0000CA080000}"/>
    <cellStyle name="20% - Accent2 13 5 2" xfId="7359" xr:uid="{00000000-0005-0000-0000-0000CB080000}"/>
    <cellStyle name="20% - Accent2 13 5 2 2" xfId="15330" xr:uid="{00000000-0005-0000-0000-0000CC080000}"/>
    <cellStyle name="20% - Accent2 13 5 2 2 2" xfId="39173" xr:uid="{4196426C-5253-40F7-9124-1175E68B282B}"/>
    <cellStyle name="20% - Accent2 13 5 2 3" xfId="23276" xr:uid="{00000000-0005-0000-0000-0000CD080000}"/>
    <cellStyle name="20% - Accent2 13 5 2 3 2" xfId="47109" xr:uid="{929DF4FC-3CA5-409D-BF2F-E5CC9711B84A}"/>
    <cellStyle name="20% - Accent2 13 5 2 4" xfId="31232" xr:uid="{74FD9C90-5D15-4990-8601-21E86C53E9A5}"/>
    <cellStyle name="20% - Accent2 13 5 3" xfId="11792" xr:uid="{00000000-0005-0000-0000-0000CE080000}"/>
    <cellStyle name="20% - Accent2 13 5 3 2" xfId="35642" xr:uid="{74B472BD-5B0B-4EEF-AB41-48ADA4536726}"/>
    <cellStyle name="20% - Accent2 13 5 4" xfId="19747" xr:uid="{00000000-0005-0000-0000-0000CF080000}"/>
    <cellStyle name="20% - Accent2 13 5 4 2" xfId="43580" xr:uid="{91D840AD-87F0-411E-A8E0-4F3B88BA6BC6}"/>
    <cellStyle name="20% - Accent2 13 5 5" xfId="27701" xr:uid="{E655F3B8-6723-425C-BAD3-1A4393963CFE}"/>
    <cellStyle name="20% - Accent2 13 6" xfId="5587" xr:uid="{00000000-0005-0000-0000-0000D0080000}"/>
    <cellStyle name="20% - Accent2 13 6 2" xfId="13571" xr:uid="{00000000-0005-0000-0000-0000D1080000}"/>
    <cellStyle name="20% - Accent2 13 6 2 2" xfId="37415" xr:uid="{2FF69DDA-4B44-4201-93A6-BB4DECB0D703}"/>
    <cellStyle name="20% - Accent2 13 6 3" xfId="21519" xr:uid="{00000000-0005-0000-0000-0000D2080000}"/>
    <cellStyle name="20% - Accent2 13 6 3 2" xfId="45352" xr:uid="{FFF443F4-5347-423E-8F38-7FE505A503E2}"/>
    <cellStyle name="20% - Accent2 13 6 4" xfId="29474" xr:uid="{20FE7E71-CB35-4DA6-9051-19C8771F3434}"/>
    <cellStyle name="20% - Accent2 13 7" xfId="9140" xr:uid="{00000000-0005-0000-0000-0000D3080000}"/>
    <cellStyle name="20% - Accent2 13 7 2" xfId="17098" xr:uid="{00000000-0005-0000-0000-0000D4080000}"/>
    <cellStyle name="20% - Accent2 13 7 2 2" xfId="40939" xr:uid="{E774FD97-0584-4BDE-8BBC-07DD412DF488}"/>
    <cellStyle name="20% - Accent2 13 7 3" xfId="25042" xr:uid="{00000000-0005-0000-0000-0000D5080000}"/>
    <cellStyle name="20% - Accent2 13 7 3 2" xfId="48875" xr:uid="{B942FD7C-FDDB-4D46-BCC2-13DA936D10DC}"/>
    <cellStyle name="20% - Accent2 13 7 4" xfId="32998" xr:uid="{5D1664E9-6281-4A2D-8076-5B1AA7EF5C7F}"/>
    <cellStyle name="20% - Accent2 13 8" xfId="10036" xr:uid="{00000000-0005-0000-0000-0000D6080000}"/>
    <cellStyle name="20% - Accent2 13 8 2" xfId="33886" xr:uid="{7816787D-D425-43B3-A34C-0564376990F3}"/>
    <cellStyle name="20% - Accent2 13 9" xfId="17991" xr:uid="{00000000-0005-0000-0000-0000D7080000}"/>
    <cellStyle name="20% - Accent2 13 9 2" xfId="41824" xr:uid="{17173AAD-73D6-4DE2-A69B-B27120988BC1}"/>
    <cellStyle name="20% - Accent2 13_Exh G" xfId="2089" xr:uid="{00000000-0005-0000-0000-0000D8080000}"/>
    <cellStyle name="20% - Accent2 14" xfId="92" xr:uid="{00000000-0005-0000-0000-0000D9080000}"/>
    <cellStyle name="20% - Accent2 14 2" xfId="93" xr:uid="{00000000-0005-0000-0000-0000DA080000}"/>
    <cellStyle name="20% - Accent2 14 2 2" xfId="1121" xr:uid="{00000000-0005-0000-0000-0000DB080000}"/>
    <cellStyle name="20% - Accent2 14 2 2 2" xfId="4651" xr:uid="{00000000-0005-0000-0000-0000DC080000}"/>
    <cellStyle name="20% - Accent2 14 2 2 2 2" xfId="8242" xr:uid="{00000000-0005-0000-0000-0000DD080000}"/>
    <cellStyle name="20% - Accent2 14 2 2 2 2 2" xfId="16213" xr:uid="{00000000-0005-0000-0000-0000DE080000}"/>
    <cellStyle name="20% - Accent2 14 2 2 2 2 2 2" xfId="40056" xr:uid="{F94866CB-1C27-4244-8633-567CC39D7B19}"/>
    <cellStyle name="20% - Accent2 14 2 2 2 2 3" xfId="24159" xr:uid="{00000000-0005-0000-0000-0000DF080000}"/>
    <cellStyle name="20% - Accent2 14 2 2 2 2 3 2" xfId="47992" xr:uid="{052D2455-B639-4F82-9539-28F16BEE4CEF}"/>
    <cellStyle name="20% - Accent2 14 2 2 2 2 4" xfId="32115" xr:uid="{46760C0C-42CD-49B1-B4BA-E8DE55D5CE67}"/>
    <cellStyle name="20% - Accent2 14 2 2 2 3" xfId="12675" xr:uid="{00000000-0005-0000-0000-0000E0080000}"/>
    <cellStyle name="20% - Accent2 14 2 2 2 3 2" xfId="36525" xr:uid="{DA061CBE-0D8F-4124-A540-3DA479F00C1D}"/>
    <cellStyle name="20% - Accent2 14 2 2 2 4" xfId="20630" xr:uid="{00000000-0005-0000-0000-0000E1080000}"/>
    <cellStyle name="20% - Accent2 14 2 2 2 4 2" xfId="44463" xr:uid="{6B2ADE0E-0244-4961-8D1B-4E6632B25139}"/>
    <cellStyle name="20% - Accent2 14 2 2 2 5" xfId="28584" xr:uid="{0E233360-E67E-4C03-949D-85DB64566A8E}"/>
    <cellStyle name="20% - Accent2 14 2 2 3" xfId="6483" xr:uid="{00000000-0005-0000-0000-0000E2080000}"/>
    <cellStyle name="20% - Accent2 14 2 2 3 2" xfId="14455" xr:uid="{00000000-0005-0000-0000-0000E3080000}"/>
    <cellStyle name="20% - Accent2 14 2 2 3 2 2" xfId="38298" xr:uid="{A2D24AA5-6195-4379-97D3-0F140D2F1479}"/>
    <cellStyle name="20% - Accent2 14 2 2 3 3" xfId="22402" xr:uid="{00000000-0005-0000-0000-0000E4080000}"/>
    <cellStyle name="20% - Accent2 14 2 2 3 3 2" xfId="46235" xr:uid="{D404FDC8-6BFF-4B09-9AA3-0F0866B9032E}"/>
    <cellStyle name="20% - Accent2 14 2 2 3 4" xfId="30357" xr:uid="{9EB946BB-68D9-4D3B-8B9E-EB03F4F22A8F}"/>
    <cellStyle name="20% - Accent2 14 2 2 4" xfId="10919" xr:uid="{00000000-0005-0000-0000-0000E5080000}"/>
    <cellStyle name="20% - Accent2 14 2 2 4 2" xfId="34769" xr:uid="{1DB14AB3-CED7-4D7C-AACC-41C96DF352DB}"/>
    <cellStyle name="20% - Accent2 14 2 2 5" xfId="18874" xr:uid="{00000000-0005-0000-0000-0000E6080000}"/>
    <cellStyle name="20% - Accent2 14 2 2 5 2" xfId="42707" xr:uid="{604BCC70-FED9-4F81-9943-8E9430935204}"/>
    <cellStyle name="20% - Accent2 14 2 2 6" xfId="26827" xr:uid="{FB2F8571-9105-4D0E-8004-5BF73F152B98}"/>
    <cellStyle name="20% - Accent2 14 2 2_Exh G" xfId="2099" xr:uid="{00000000-0005-0000-0000-0000E7080000}"/>
    <cellStyle name="20% - Accent2 14 2 3" xfId="3772" xr:uid="{00000000-0005-0000-0000-0000E8080000}"/>
    <cellStyle name="20% - Accent2 14 2 3 2" xfId="7364" xr:uid="{00000000-0005-0000-0000-0000E9080000}"/>
    <cellStyle name="20% - Accent2 14 2 3 2 2" xfId="15335" xr:uid="{00000000-0005-0000-0000-0000EA080000}"/>
    <cellStyle name="20% - Accent2 14 2 3 2 2 2" xfId="39178" xr:uid="{68504B5D-3510-46DD-BEC0-DBBF320E07F0}"/>
    <cellStyle name="20% - Accent2 14 2 3 2 3" xfId="23281" xr:uid="{00000000-0005-0000-0000-0000EB080000}"/>
    <cellStyle name="20% - Accent2 14 2 3 2 3 2" xfId="47114" xr:uid="{20B83249-F88B-4A36-8E10-43708DE069C3}"/>
    <cellStyle name="20% - Accent2 14 2 3 2 4" xfId="31237" xr:uid="{C36DDF53-8797-4C1A-A4BB-3F794B093662}"/>
    <cellStyle name="20% - Accent2 14 2 3 3" xfId="11797" xr:uid="{00000000-0005-0000-0000-0000EC080000}"/>
    <cellStyle name="20% - Accent2 14 2 3 3 2" xfId="35647" xr:uid="{9F3AA41D-E9A4-4695-8140-E5BB0032A2E3}"/>
    <cellStyle name="20% - Accent2 14 2 3 4" xfId="19752" xr:uid="{00000000-0005-0000-0000-0000ED080000}"/>
    <cellStyle name="20% - Accent2 14 2 3 4 2" xfId="43585" xr:uid="{61CECD77-6061-46C4-AB97-CECCDBE35222}"/>
    <cellStyle name="20% - Accent2 14 2 3 5" xfId="27706" xr:uid="{9524F23A-A85D-4EED-A809-4B4762235C86}"/>
    <cellStyle name="20% - Accent2 14 2 4" xfId="5592" xr:uid="{00000000-0005-0000-0000-0000EE080000}"/>
    <cellStyle name="20% - Accent2 14 2 4 2" xfId="13576" xr:uid="{00000000-0005-0000-0000-0000EF080000}"/>
    <cellStyle name="20% - Accent2 14 2 4 2 2" xfId="37420" xr:uid="{2458676F-4D3F-42E5-8E8C-E7E5D8577F1D}"/>
    <cellStyle name="20% - Accent2 14 2 4 3" xfId="21524" xr:uid="{00000000-0005-0000-0000-0000F0080000}"/>
    <cellStyle name="20% - Accent2 14 2 4 3 2" xfId="45357" xr:uid="{02C20C9B-C27F-40E4-8431-6E76ADDAF4BF}"/>
    <cellStyle name="20% - Accent2 14 2 4 4" xfId="29479" xr:uid="{91C15FEA-74F2-4775-A876-3779031083B1}"/>
    <cellStyle name="20% - Accent2 14 2 5" xfId="9145" xr:uid="{00000000-0005-0000-0000-0000F1080000}"/>
    <cellStyle name="20% - Accent2 14 2 5 2" xfId="17103" xr:uid="{00000000-0005-0000-0000-0000F2080000}"/>
    <cellStyle name="20% - Accent2 14 2 5 2 2" xfId="40944" xr:uid="{F4C1AD27-8E8C-4AAE-B9BC-6868399C2551}"/>
    <cellStyle name="20% - Accent2 14 2 5 3" xfId="25047" xr:uid="{00000000-0005-0000-0000-0000F3080000}"/>
    <cellStyle name="20% - Accent2 14 2 5 3 2" xfId="48880" xr:uid="{1F6C1151-19C8-4982-88A1-60367C3F2FAA}"/>
    <cellStyle name="20% - Accent2 14 2 5 4" xfId="33003" xr:uid="{2326C91C-98A8-4D38-BBA3-5594A39821EE}"/>
    <cellStyle name="20% - Accent2 14 2 6" xfId="10041" xr:uid="{00000000-0005-0000-0000-0000F4080000}"/>
    <cellStyle name="20% - Accent2 14 2 6 2" xfId="33891" xr:uid="{7E24A471-D4DE-43B0-A352-D5ABCD94FC44}"/>
    <cellStyle name="20% - Accent2 14 2 7" xfId="17996" xr:uid="{00000000-0005-0000-0000-0000F5080000}"/>
    <cellStyle name="20% - Accent2 14 2 7 2" xfId="41829" xr:uid="{9D2FCB47-9ADA-4B50-992F-9652EB3DCB52}"/>
    <cellStyle name="20% - Accent2 14 2 8" xfId="25949" xr:uid="{8A6A1D89-B514-404D-B233-DA4F308AB532}"/>
    <cellStyle name="20% - Accent2 14 2_Exh G" xfId="2098" xr:uid="{00000000-0005-0000-0000-0000F6080000}"/>
    <cellStyle name="20% - Accent2 14 3" xfId="1120" xr:uid="{00000000-0005-0000-0000-0000F7080000}"/>
    <cellStyle name="20% - Accent2 14 3 2" xfId="4650" xr:uid="{00000000-0005-0000-0000-0000F8080000}"/>
    <cellStyle name="20% - Accent2 14 3 2 2" xfId="8241" xr:uid="{00000000-0005-0000-0000-0000F9080000}"/>
    <cellStyle name="20% - Accent2 14 3 2 2 2" xfId="16212" xr:uid="{00000000-0005-0000-0000-0000FA080000}"/>
    <cellStyle name="20% - Accent2 14 3 2 2 2 2" xfId="40055" xr:uid="{CFB09188-9F62-41A1-97C1-A583720D4A34}"/>
    <cellStyle name="20% - Accent2 14 3 2 2 3" xfId="24158" xr:uid="{00000000-0005-0000-0000-0000FB080000}"/>
    <cellStyle name="20% - Accent2 14 3 2 2 3 2" xfId="47991" xr:uid="{131940F8-114C-4459-A6F1-213C820AE9D0}"/>
    <cellStyle name="20% - Accent2 14 3 2 2 4" xfId="32114" xr:uid="{24A9058C-12B2-40A3-98CA-7767BD2D6B21}"/>
    <cellStyle name="20% - Accent2 14 3 2 3" xfId="12674" xr:uid="{00000000-0005-0000-0000-0000FC080000}"/>
    <cellStyle name="20% - Accent2 14 3 2 3 2" xfId="36524" xr:uid="{7DCA4A5C-8360-42AA-8D3C-46D09BBF3EBE}"/>
    <cellStyle name="20% - Accent2 14 3 2 4" xfId="20629" xr:uid="{00000000-0005-0000-0000-0000FD080000}"/>
    <cellStyle name="20% - Accent2 14 3 2 4 2" xfId="44462" xr:uid="{9247886A-95E0-4250-BD64-B10F7F133FD0}"/>
    <cellStyle name="20% - Accent2 14 3 2 5" xfId="28583" xr:uid="{EE10E683-993B-4E97-A1CE-8EFA5EF5D048}"/>
    <cellStyle name="20% - Accent2 14 3 3" xfId="6482" xr:uid="{00000000-0005-0000-0000-0000FE080000}"/>
    <cellStyle name="20% - Accent2 14 3 3 2" xfId="14454" xr:uid="{00000000-0005-0000-0000-0000FF080000}"/>
    <cellStyle name="20% - Accent2 14 3 3 2 2" xfId="38297" xr:uid="{4246929D-02D4-46CE-9B95-2363D57C2CB8}"/>
    <cellStyle name="20% - Accent2 14 3 3 3" xfId="22401" xr:uid="{00000000-0005-0000-0000-000000090000}"/>
    <cellStyle name="20% - Accent2 14 3 3 3 2" xfId="46234" xr:uid="{21CDAADA-9E47-47BF-B0D1-6F3CA79EC00F}"/>
    <cellStyle name="20% - Accent2 14 3 3 4" xfId="30356" xr:uid="{DF37BF46-685F-4BFD-BCBA-74154EDD231C}"/>
    <cellStyle name="20% - Accent2 14 3 4" xfId="10918" xr:uid="{00000000-0005-0000-0000-000001090000}"/>
    <cellStyle name="20% - Accent2 14 3 4 2" xfId="34768" xr:uid="{55270472-ADC2-47DC-9334-B06AF2E35B37}"/>
    <cellStyle name="20% - Accent2 14 3 5" xfId="18873" xr:uid="{00000000-0005-0000-0000-000002090000}"/>
    <cellStyle name="20% - Accent2 14 3 5 2" xfId="42706" xr:uid="{2719D107-8650-4F6A-BAAD-589DFBD8ADAF}"/>
    <cellStyle name="20% - Accent2 14 3 6" xfId="26826" xr:uid="{1E4EFAC9-4F3A-4EBA-B8FE-97E90E1E1D46}"/>
    <cellStyle name="20% - Accent2 14 3_Exh G" xfId="2100" xr:uid="{00000000-0005-0000-0000-000003090000}"/>
    <cellStyle name="20% - Accent2 14 4" xfId="3771" xr:uid="{00000000-0005-0000-0000-000004090000}"/>
    <cellStyle name="20% - Accent2 14 4 2" xfId="7363" xr:uid="{00000000-0005-0000-0000-000005090000}"/>
    <cellStyle name="20% - Accent2 14 4 2 2" xfId="15334" xr:uid="{00000000-0005-0000-0000-000006090000}"/>
    <cellStyle name="20% - Accent2 14 4 2 2 2" xfId="39177" xr:uid="{39CBBEF7-5B30-4BC8-843B-37112161B2B3}"/>
    <cellStyle name="20% - Accent2 14 4 2 3" xfId="23280" xr:uid="{00000000-0005-0000-0000-000007090000}"/>
    <cellStyle name="20% - Accent2 14 4 2 3 2" xfId="47113" xr:uid="{BC7F6283-B22E-41F4-ACC2-5E1CE28E0AD7}"/>
    <cellStyle name="20% - Accent2 14 4 2 4" xfId="31236" xr:uid="{8F22CED1-0014-47B6-871D-447A6480DD5C}"/>
    <cellStyle name="20% - Accent2 14 4 3" xfId="11796" xr:uid="{00000000-0005-0000-0000-000008090000}"/>
    <cellStyle name="20% - Accent2 14 4 3 2" xfId="35646" xr:uid="{DF25D89D-9559-4AEB-9C8B-CE8C29AA0C65}"/>
    <cellStyle name="20% - Accent2 14 4 4" xfId="19751" xr:uid="{00000000-0005-0000-0000-000009090000}"/>
    <cellStyle name="20% - Accent2 14 4 4 2" xfId="43584" xr:uid="{2F8AD000-6540-4898-A617-1F76D9DF2D62}"/>
    <cellStyle name="20% - Accent2 14 4 5" xfId="27705" xr:uid="{47462099-7FBF-4451-8D93-6400D2E37E64}"/>
    <cellStyle name="20% - Accent2 14 5" xfId="5591" xr:uid="{00000000-0005-0000-0000-00000A090000}"/>
    <cellStyle name="20% - Accent2 14 5 2" xfId="13575" xr:uid="{00000000-0005-0000-0000-00000B090000}"/>
    <cellStyle name="20% - Accent2 14 5 2 2" xfId="37419" xr:uid="{9006D200-BF9C-461F-8F2A-F400AB130A30}"/>
    <cellStyle name="20% - Accent2 14 5 3" xfId="21523" xr:uid="{00000000-0005-0000-0000-00000C090000}"/>
    <cellStyle name="20% - Accent2 14 5 3 2" xfId="45356" xr:uid="{9A5966D9-0ED6-4ACE-975E-D58BB4AC2632}"/>
    <cellStyle name="20% - Accent2 14 5 4" xfId="29478" xr:uid="{5DC05951-86DA-4FA7-9804-3F993DC6CE66}"/>
    <cellStyle name="20% - Accent2 14 6" xfId="9144" xr:uid="{00000000-0005-0000-0000-00000D090000}"/>
    <cellStyle name="20% - Accent2 14 6 2" xfId="17102" xr:uid="{00000000-0005-0000-0000-00000E090000}"/>
    <cellStyle name="20% - Accent2 14 6 2 2" xfId="40943" xr:uid="{E9A05DE2-5728-4791-8587-6EE47E775FB9}"/>
    <cellStyle name="20% - Accent2 14 6 3" xfId="25046" xr:uid="{00000000-0005-0000-0000-00000F090000}"/>
    <cellStyle name="20% - Accent2 14 6 3 2" xfId="48879" xr:uid="{296E8A67-6671-4EFB-9B81-DA1ACEDFB0C6}"/>
    <cellStyle name="20% - Accent2 14 6 4" xfId="33002" xr:uid="{529F54B8-E247-44C6-8302-E3D17E9DFE20}"/>
    <cellStyle name="20% - Accent2 14 7" xfId="10040" xr:uid="{00000000-0005-0000-0000-000010090000}"/>
    <cellStyle name="20% - Accent2 14 7 2" xfId="33890" xr:uid="{6381C96B-D9B2-4795-878A-71064B6FBDED}"/>
    <cellStyle name="20% - Accent2 14 8" xfId="17995" xr:uid="{00000000-0005-0000-0000-000011090000}"/>
    <cellStyle name="20% - Accent2 14 8 2" xfId="41828" xr:uid="{91550148-2700-4615-BD2D-D4A21F445864}"/>
    <cellStyle name="20% - Accent2 14 9" xfId="25948" xr:uid="{95DAEE8D-BC5C-4766-B461-0B8E37E92A4F}"/>
    <cellStyle name="20% - Accent2 14_Exh G" xfId="2097" xr:uid="{00000000-0005-0000-0000-000012090000}"/>
    <cellStyle name="20% - Accent2 15" xfId="94" xr:uid="{00000000-0005-0000-0000-000013090000}"/>
    <cellStyle name="20% - Accent2 15 2" xfId="1122" xr:uid="{00000000-0005-0000-0000-000014090000}"/>
    <cellStyle name="20% - Accent2 15 2 2" xfId="4652" xr:uid="{00000000-0005-0000-0000-000015090000}"/>
    <cellStyle name="20% - Accent2 15 2 2 2" xfId="8243" xr:uid="{00000000-0005-0000-0000-000016090000}"/>
    <cellStyle name="20% - Accent2 15 2 2 2 2" xfId="16214" xr:uid="{00000000-0005-0000-0000-000017090000}"/>
    <cellStyle name="20% - Accent2 15 2 2 2 2 2" xfId="40057" xr:uid="{F3CBAF79-91F7-4CBC-99B4-D67BD3B2F8A8}"/>
    <cellStyle name="20% - Accent2 15 2 2 2 3" xfId="24160" xr:uid="{00000000-0005-0000-0000-000018090000}"/>
    <cellStyle name="20% - Accent2 15 2 2 2 3 2" xfId="47993" xr:uid="{F532752E-A6AD-441E-8E2C-D94E5794D401}"/>
    <cellStyle name="20% - Accent2 15 2 2 2 4" xfId="32116" xr:uid="{E431BA6A-351A-482D-A65F-E1EBBF55A77F}"/>
    <cellStyle name="20% - Accent2 15 2 2 3" xfId="12676" xr:uid="{00000000-0005-0000-0000-000019090000}"/>
    <cellStyle name="20% - Accent2 15 2 2 3 2" xfId="36526" xr:uid="{8EF075D0-1118-42E2-8128-9CC9280337B4}"/>
    <cellStyle name="20% - Accent2 15 2 2 4" xfId="20631" xr:uid="{00000000-0005-0000-0000-00001A090000}"/>
    <cellStyle name="20% - Accent2 15 2 2 4 2" xfId="44464" xr:uid="{528A845E-DD5C-4C59-8CE6-C77A0640ED50}"/>
    <cellStyle name="20% - Accent2 15 2 2 5" xfId="28585" xr:uid="{AC7E528B-2860-4890-BFFE-D4BDB89402E3}"/>
    <cellStyle name="20% - Accent2 15 2 3" xfId="6484" xr:uid="{00000000-0005-0000-0000-00001B090000}"/>
    <cellStyle name="20% - Accent2 15 2 3 2" xfId="14456" xr:uid="{00000000-0005-0000-0000-00001C090000}"/>
    <cellStyle name="20% - Accent2 15 2 3 2 2" xfId="38299" xr:uid="{F81CEDE9-9812-4BA0-B882-E1EF5B4E0540}"/>
    <cellStyle name="20% - Accent2 15 2 3 3" xfId="22403" xr:uid="{00000000-0005-0000-0000-00001D090000}"/>
    <cellStyle name="20% - Accent2 15 2 3 3 2" xfId="46236" xr:uid="{77F017F1-C0AA-41A8-88D7-CF2ED1823DD7}"/>
    <cellStyle name="20% - Accent2 15 2 3 4" xfId="30358" xr:uid="{23AA6F0E-A058-4BAD-A7B4-7DA35CA31350}"/>
    <cellStyle name="20% - Accent2 15 2 4" xfId="10920" xr:uid="{00000000-0005-0000-0000-00001E090000}"/>
    <cellStyle name="20% - Accent2 15 2 4 2" xfId="34770" xr:uid="{ACF5D73D-FC92-4AF4-82CD-F3A39D78CE60}"/>
    <cellStyle name="20% - Accent2 15 2 5" xfId="18875" xr:uid="{00000000-0005-0000-0000-00001F090000}"/>
    <cellStyle name="20% - Accent2 15 2 5 2" xfId="42708" xr:uid="{04118BA3-3D21-47FF-9A5B-2D068C29063B}"/>
    <cellStyle name="20% - Accent2 15 2 6" xfId="26828" xr:uid="{E4275F01-DD3F-4B27-B143-932F00D41885}"/>
    <cellStyle name="20% - Accent2 15 2_Exh G" xfId="2102" xr:uid="{00000000-0005-0000-0000-000020090000}"/>
    <cellStyle name="20% - Accent2 15 3" xfId="3773" xr:uid="{00000000-0005-0000-0000-000021090000}"/>
    <cellStyle name="20% - Accent2 15 3 2" xfId="7365" xr:uid="{00000000-0005-0000-0000-000022090000}"/>
    <cellStyle name="20% - Accent2 15 3 2 2" xfId="15336" xr:uid="{00000000-0005-0000-0000-000023090000}"/>
    <cellStyle name="20% - Accent2 15 3 2 2 2" xfId="39179" xr:uid="{001FC855-4AF5-4812-887C-E4123D8D01D1}"/>
    <cellStyle name="20% - Accent2 15 3 2 3" xfId="23282" xr:uid="{00000000-0005-0000-0000-000024090000}"/>
    <cellStyle name="20% - Accent2 15 3 2 3 2" xfId="47115" xr:uid="{1ED05611-80F6-477F-AD1B-E8EA8E64BA63}"/>
    <cellStyle name="20% - Accent2 15 3 2 4" xfId="31238" xr:uid="{B306A7FB-6E4F-4163-96A0-DFB7C2CD26DC}"/>
    <cellStyle name="20% - Accent2 15 3 3" xfId="11798" xr:uid="{00000000-0005-0000-0000-000025090000}"/>
    <cellStyle name="20% - Accent2 15 3 3 2" xfId="35648" xr:uid="{67CE3A4B-CD23-4FFC-A57D-948EE35AB6C7}"/>
    <cellStyle name="20% - Accent2 15 3 4" xfId="19753" xr:uid="{00000000-0005-0000-0000-000026090000}"/>
    <cellStyle name="20% - Accent2 15 3 4 2" xfId="43586" xr:uid="{64AB6DF5-483F-44B5-B30D-33F5935ECA79}"/>
    <cellStyle name="20% - Accent2 15 3 5" xfId="27707" xr:uid="{D513E091-016C-4150-A716-666CA1B44B77}"/>
    <cellStyle name="20% - Accent2 15 4" xfId="5593" xr:uid="{00000000-0005-0000-0000-000027090000}"/>
    <cellStyle name="20% - Accent2 15 4 2" xfId="13577" xr:uid="{00000000-0005-0000-0000-000028090000}"/>
    <cellStyle name="20% - Accent2 15 4 2 2" xfId="37421" xr:uid="{40AA3E76-4017-4DD3-A2FB-B68849CFB825}"/>
    <cellStyle name="20% - Accent2 15 4 3" xfId="21525" xr:uid="{00000000-0005-0000-0000-000029090000}"/>
    <cellStyle name="20% - Accent2 15 4 3 2" xfId="45358" xr:uid="{38FC74B0-FDD5-4739-9B6A-B8F1A821F257}"/>
    <cellStyle name="20% - Accent2 15 4 4" xfId="29480" xr:uid="{B905AADA-BB3B-4A62-B46E-7029D255C878}"/>
    <cellStyle name="20% - Accent2 15 5" xfId="9146" xr:uid="{00000000-0005-0000-0000-00002A090000}"/>
    <cellStyle name="20% - Accent2 15 5 2" xfId="17104" xr:uid="{00000000-0005-0000-0000-00002B090000}"/>
    <cellStyle name="20% - Accent2 15 5 2 2" xfId="40945" xr:uid="{F6649381-9BA6-4047-8669-5738C08FDEB3}"/>
    <cellStyle name="20% - Accent2 15 5 3" xfId="25048" xr:uid="{00000000-0005-0000-0000-00002C090000}"/>
    <cellStyle name="20% - Accent2 15 5 3 2" xfId="48881" xr:uid="{D784FB9D-9DB1-489D-8122-A03271A72CD2}"/>
    <cellStyle name="20% - Accent2 15 5 4" xfId="33004" xr:uid="{265B7E53-F7EA-4625-BA13-D8859178AF37}"/>
    <cellStyle name="20% - Accent2 15 6" xfId="10042" xr:uid="{00000000-0005-0000-0000-00002D090000}"/>
    <cellStyle name="20% - Accent2 15 6 2" xfId="33892" xr:uid="{A9B29B9F-5BD0-44A0-A85F-A1BCDE5E4D21}"/>
    <cellStyle name="20% - Accent2 15 7" xfId="17997" xr:uid="{00000000-0005-0000-0000-00002E090000}"/>
    <cellStyle name="20% - Accent2 15 7 2" xfId="41830" xr:uid="{43DE55EE-C114-4D60-BD3A-AEBDF72D6D5D}"/>
    <cellStyle name="20% - Accent2 15 8" xfId="25950" xr:uid="{9B62E8BD-D01B-44F3-8246-E09ED7F2AA55}"/>
    <cellStyle name="20% - Accent2 15_Exh G" xfId="2101" xr:uid="{00000000-0005-0000-0000-00002F090000}"/>
    <cellStyle name="20% - Accent2 16" xfId="844" xr:uid="{00000000-0005-0000-0000-000030090000}"/>
    <cellStyle name="20% - Accent2 16 2" xfId="1783" xr:uid="{00000000-0005-0000-0000-000031090000}"/>
    <cellStyle name="20% - Accent2 16 2 2" xfId="5304" xr:uid="{00000000-0005-0000-0000-000032090000}"/>
    <cellStyle name="20% - Accent2 16 2 2 2" xfId="8895" xr:uid="{00000000-0005-0000-0000-000033090000}"/>
    <cellStyle name="20% - Accent2 16 2 2 2 2" xfId="16866" xr:uid="{00000000-0005-0000-0000-000034090000}"/>
    <cellStyle name="20% - Accent2 16 2 2 2 2 2" xfId="40709" xr:uid="{6B5167F6-640A-4646-98B2-F77A2744DF27}"/>
    <cellStyle name="20% - Accent2 16 2 2 2 3" xfId="24812" xr:uid="{00000000-0005-0000-0000-000035090000}"/>
    <cellStyle name="20% - Accent2 16 2 2 2 3 2" xfId="48645" xr:uid="{E4AFC725-3A99-484C-B60F-2E97F8E498C8}"/>
    <cellStyle name="20% - Accent2 16 2 2 2 4" xfId="32768" xr:uid="{70891E5C-628E-415F-9C29-6A1BD29F41CB}"/>
    <cellStyle name="20% - Accent2 16 2 2 3" xfId="13328" xr:uid="{00000000-0005-0000-0000-000036090000}"/>
    <cellStyle name="20% - Accent2 16 2 2 3 2" xfId="37178" xr:uid="{E015548F-3BAA-4A50-A1B9-59CDC8EA302C}"/>
    <cellStyle name="20% - Accent2 16 2 2 4" xfId="21283" xr:uid="{00000000-0005-0000-0000-000037090000}"/>
    <cellStyle name="20% - Accent2 16 2 2 4 2" xfId="45116" xr:uid="{B467A9D2-2288-47B1-B142-B828C67D3C0B}"/>
    <cellStyle name="20% - Accent2 16 2 2 5" xfId="29237" xr:uid="{D96D2F2A-4BDC-45AA-9798-889A79F40C47}"/>
    <cellStyle name="20% - Accent2 16 2 3" xfId="7136" xr:uid="{00000000-0005-0000-0000-000038090000}"/>
    <cellStyle name="20% - Accent2 16 2 3 2" xfId="15108" xr:uid="{00000000-0005-0000-0000-000039090000}"/>
    <cellStyle name="20% - Accent2 16 2 3 2 2" xfId="38951" xr:uid="{01779BD4-5FB8-42C2-BB1E-14C7A8177F27}"/>
    <cellStyle name="20% - Accent2 16 2 3 3" xfId="23055" xr:uid="{00000000-0005-0000-0000-00003A090000}"/>
    <cellStyle name="20% - Accent2 16 2 3 3 2" xfId="46888" xr:uid="{D12B392C-CEE4-4974-8561-F207C6F903A6}"/>
    <cellStyle name="20% - Accent2 16 2 3 4" xfId="31010" xr:uid="{D07867FD-0535-4BF6-A40E-B35814814B44}"/>
    <cellStyle name="20% - Accent2 16 2 4" xfId="11572" xr:uid="{00000000-0005-0000-0000-00003B090000}"/>
    <cellStyle name="20% - Accent2 16 2 4 2" xfId="35422" xr:uid="{C0D10362-BE1B-4A52-A511-4E974144E743}"/>
    <cellStyle name="20% - Accent2 16 2 5" xfId="19527" xr:uid="{00000000-0005-0000-0000-00003C090000}"/>
    <cellStyle name="20% - Accent2 16 2 5 2" xfId="43360" xr:uid="{CCE0283F-4431-49AA-B5E5-88591A4AF6B4}"/>
    <cellStyle name="20% - Accent2 16 2 6" xfId="27480" xr:uid="{419BE7D4-5073-483D-9E3A-A0EBE5D0E6BD}"/>
    <cellStyle name="20% - Accent2 16 2_Exh G" xfId="2104" xr:uid="{00000000-0005-0000-0000-00003D090000}"/>
    <cellStyle name="20% - Accent2 16 3" xfId="4425" xr:uid="{00000000-0005-0000-0000-00003E090000}"/>
    <cellStyle name="20% - Accent2 16 3 2" xfId="8017" xr:uid="{00000000-0005-0000-0000-00003F090000}"/>
    <cellStyle name="20% - Accent2 16 3 2 2" xfId="15988" xr:uid="{00000000-0005-0000-0000-000040090000}"/>
    <cellStyle name="20% - Accent2 16 3 2 2 2" xfId="39831" xr:uid="{AB993AF4-A918-410A-B696-4F9609BFD1A5}"/>
    <cellStyle name="20% - Accent2 16 3 2 3" xfId="23934" xr:uid="{00000000-0005-0000-0000-000041090000}"/>
    <cellStyle name="20% - Accent2 16 3 2 3 2" xfId="47767" xr:uid="{C8BFD86E-65AA-4E58-9224-09B7B5AA1A6E}"/>
    <cellStyle name="20% - Accent2 16 3 2 4" xfId="31890" xr:uid="{0F55B395-377C-4043-89CB-619B667848A5}"/>
    <cellStyle name="20% - Accent2 16 3 3" xfId="12450" xr:uid="{00000000-0005-0000-0000-000042090000}"/>
    <cellStyle name="20% - Accent2 16 3 3 2" xfId="36300" xr:uid="{32F66E6A-FDCA-4DBC-A1E2-552874290F79}"/>
    <cellStyle name="20% - Accent2 16 3 4" xfId="20405" xr:uid="{00000000-0005-0000-0000-000043090000}"/>
    <cellStyle name="20% - Accent2 16 3 4 2" xfId="44238" xr:uid="{22922669-505A-4547-93C7-235AE16C8CE8}"/>
    <cellStyle name="20% - Accent2 16 3 5" xfId="28359" xr:uid="{BC1D0BFB-0437-4A9D-8BE1-E8E8780FCDB8}"/>
    <cellStyle name="20% - Accent2 16 4" xfId="6255" xr:uid="{00000000-0005-0000-0000-000044090000}"/>
    <cellStyle name="20% - Accent2 16 4 2" xfId="14230" xr:uid="{00000000-0005-0000-0000-000045090000}"/>
    <cellStyle name="20% - Accent2 16 4 2 2" xfId="38073" xr:uid="{414207EF-EEB2-4CFC-87FA-54793439B276}"/>
    <cellStyle name="20% - Accent2 16 4 3" xfId="22177" xr:uid="{00000000-0005-0000-0000-000046090000}"/>
    <cellStyle name="20% - Accent2 16 4 3 2" xfId="46010" xr:uid="{E3DF8871-B86A-4E9A-882C-B615687C37B1}"/>
    <cellStyle name="20% - Accent2 16 4 4" xfId="30132" xr:uid="{86A0C5F8-4C14-4355-AAFB-F0C48A4448A8}"/>
    <cellStyle name="20% - Accent2 16 5" xfId="9798" xr:uid="{00000000-0005-0000-0000-000047090000}"/>
    <cellStyle name="20% - Accent2 16 5 2" xfId="17756" xr:uid="{00000000-0005-0000-0000-000048090000}"/>
    <cellStyle name="20% - Accent2 16 5 2 2" xfId="41597" xr:uid="{5C43ABB8-4CA8-42FE-92CA-41D1EC30319B}"/>
    <cellStyle name="20% - Accent2 16 5 3" xfId="25700" xr:uid="{00000000-0005-0000-0000-000049090000}"/>
    <cellStyle name="20% - Accent2 16 5 3 2" xfId="49533" xr:uid="{9358ABEA-B740-4765-95DE-93D6100DE68E}"/>
    <cellStyle name="20% - Accent2 16 5 4" xfId="33656" xr:uid="{E852A7C1-D02F-4027-9705-C62103022656}"/>
    <cellStyle name="20% - Accent2 16 6" xfId="10694" xr:uid="{00000000-0005-0000-0000-00004A090000}"/>
    <cellStyle name="20% - Accent2 16 6 2" xfId="34544" xr:uid="{14FACD26-A376-4D5A-AC45-4E468ABCD987}"/>
    <cellStyle name="20% - Accent2 16 7" xfId="18649" xr:uid="{00000000-0005-0000-0000-00004B090000}"/>
    <cellStyle name="20% - Accent2 16 7 2" xfId="42482" xr:uid="{CD32E002-6D38-4361-A31C-85E46E2E8878}"/>
    <cellStyle name="20% - Accent2 16 8" xfId="26602" xr:uid="{05D09AED-372E-4987-BE54-7D3F61535D76}"/>
    <cellStyle name="20% - Accent2 16_Exh G" xfId="2103" xr:uid="{00000000-0005-0000-0000-00004C090000}"/>
    <cellStyle name="20% - Accent2 17" xfId="49797" xr:uid="{4EA6636B-C334-4ADA-B3CB-2D061A0EA5F7}"/>
    <cellStyle name="20% - Accent2 2" xfId="95" xr:uid="{00000000-0005-0000-0000-00004D090000}"/>
    <cellStyle name="20% - Accent2 2 10" xfId="17998" xr:uid="{00000000-0005-0000-0000-00004E090000}"/>
    <cellStyle name="20% - Accent2 2 10 2" xfId="41831" xr:uid="{31D6298C-143C-4A5C-9BCB-558C9841609D}"/>
    <cellStyle name="20% - Accent2 2 11" xfId="25951" xr:uid="{0168BF12-BF8D-4057-984A-CD3BCF609A5C}"/>
    <cellStyle name="20% - Accent2 2 12" xfId="49782" xr:uid="{4962DD1E-A98E-4B5C-BB81-6DB015CCF39F}"/>
    <cellStyle name="20% - Accent2 2 13" xfId="49810" xr:uid="{51AB3F9F-C239-4278-A4F8-72E29BD372DC}"/>
    <cellStyle name="20% - Accent2 2 2" xfId="96" xr:uid="{00000000-0005-0000-0000-00004F090000}"/>
    <cellStyle name="20% - Accent2 2 2 10" xfId="25952" xr:uid="{BC0F7A98-DDD4-4CF4-AD24-2790E008D62F}"/>
    <cellStyle name="20% - Accent2 2 2 2" xfId="97" xr:uid="{00000000-0005-0000-0000-000050090000}"/>
    <cellStyle name="20% - Accent2 2 2 2 2" xfId="1125" xr:uid="{00000000-0005-0000-0000-000051090000}"/>
    <cellStyle name="20% - Accent2 2 2 2 2 2" xfId="4655" xr:uid="{00000000-0005-0000-0000-000052090000}"/>
    <cellStyle name="20% - Accent2 2 2 2 2 2 2" xfId="8246" xr:uid="{00000000-0005-0000-0000-000053090000}"/>
    <cellStyle name="20% - Accent2 2 2 2 2 2 2 2" xfId="16217" xr:uid="{00000000-0005-0000-0000-000054090000}"/>
    <cellStyle name="20% - Accent2 2 2 2 2 2 2 2 2" xfId="40060" xr:uid="{01296FB3-B098-4AFD-88CA-8D2A6E611FDF}"/>
    <cellStyle name="20% - Accent2 2 2 2 2 2 2 3" xfId="24163" xr:uid="{00000000-0005-0000-0000-000055090000}"/>
    <cellStyle name="20% - Accent2 2 2 2 2 2 2 3 2" xfId="47996" xr:uid="{315DF634-E3C6-45B0-B1CF-6CAFAFD3AC22}"/>
    <cellStyle name="20% - Accent2 2 2 2 2 2 2 4" xfId="32119" xr:uid="{8B4D9C88-A8AA-45AD-91DA-42916756FF6D}"/>
    <cellStyle name="20% - Accent2 2 2 2 2 2 3" xfId="12679" xr:uid="{00000000-0005-0000-0000-000056090000}"/>
    <cellStyle name="20% - Accent2 2 2 2 2 2 3 2" xfId="36529" xr:uid="{511A3E73-BFF4-490F-A930-622FB1604D86}"/>
    <cellStyle name="20% - Accent2 2 2 2 2 2 4" xfId="20634" xr:uid="{00000000-0005-0000-0000-000057090000}"/>
    <cellStyle name="20% - Accent2 2 2 2 2 2 4 2" xfId="44467" xr:uid="{26C3C5FE-E3E1-4D42-94CC-0EBE0D3DBC68}"/>
    <cellStyle name="20% - Accent2 2 2 2 2 2 5" xfId="28588" xr:uid="{44F0B204-24BF-4F31-BF02-2676BE9B373F}"/>
    <cellStyle name="20% - Accent2 2 2 2 2 3" xfId="6487" xr:uid="{00000000-0005-0000-0000-000058090000}"/>
    <cellStyle name="20% - Accent2 2 2 2 2 3 2" xfId="14459" xr:uid="{00000000-0005-0000-0000-000059090000}"/>
    <cellStyle name="20% - Accent2 2 2 2 2 3 2 2" xfId="38302" xr:uid="{F8D57828-A0B8-4261-8E0C-EDC1F0C3177C}"/>
    <cellStyle name="20% - Accent2 2 2 2 2 3 3" xfId="22406" xr:uid="{00000000-0005-0000-0000-00005A090000}"/>
    <cellStyle name="20% - Accent2 2 2 2 2 3 3 2" xfId="46239" xr:uid="{D3DFCDCD-7B75-4BF0-A6CB-CFE64EC2725A}"/>
    <cellStyle name="20% - Accent2 2 2 2 2 3 4" xfId="30361" xr:uid="{8A6CA0C4-1BCF-4EA6-9093-B147A51E53EB}"/>
    <cellStyle name="20% - Accent2 2 2 2 2 4" xfId="10923" xr:uid="{00000000-0005-0000-0000-00005B090000}"/>
    <cellStyle name="20% - Accent2 2 2 2 2 4 2" xfId="34773" xr:uid="{64804109-30FD-47C4-BF5D-533413D45CB2}"/>
    <cellStyle name="20% - Accent2 2 2 2 2 5" xfId="18878" xr:uid="{00000000-0005-0000-0000-00005C090000}"/>
    <cellStyle name="20% - Accent2 2 2 2 2 5 2" xfId="42711" xr:uid="{932F370C-0AF0-499A-BB78-C0A09C15DD85}"/>
    <cellStyle name="20% - Accent2 2 2 2 2 6" xfId="26831" xr:uid="{70C5BF1F-71A6-48D2-AADD-EF33E24DE10B}"/>
    <cellStyle name="20% - Accent2 2 2 2 2_Exh G" xfId="2108" xr:uid="{00000000-0005-0000-0000-00005D090000}"/>
    <cellStyle name="20% - Accent2 2 2 2 3" xfId="3776" xr:uid="{00000000-0005-0000-0000-00005E090000}"/>
    <cellStyle name="20% - Accent2 2 2 2 3 2" xfId="7368" xr:uid="{00000000-0005-0000-0000-00005F090000}"/>
    <cellStyle name="20% - Accent2 2 2 2 3 2 2" xfId="15339" xr:uid="{00000000-0005-0000-0000-000060090000}"/>
    <cellStyle name="20% - Accent2 2 2 2 3 2 2 2" xfId="39182" xr:uid="{255ADC1B-C161-49E0-BB24-4C8A9E26ED4B}"/>
    <cellStyle name="20% - Accent2 2 2 2 3 2 3" xfId="23285" xr:uid="{00000000-0005-0000-0000-000061090000}"/>
    <cellStyle name="20% - Accent2 2 2 2 3 2 3 2" xfId="47118" xr:uid="{3E93AEB6-C098-485E-A43E-32937D2EA59B}"/>
    <cellStyle name="20% - Accent2 2 2 2 3 2 4" xfId="31241" xr:uid="{38E64546-1071-42F3-A853-89A936E9D027}"/>
    <cellStyle name="20% - Accent2 2 2 2 3 3" xfId="11801" xr:uid="{00000000-0005-0000-0000-000062090000}"/>
    <cellStyle name="20% - Accent2 2 2 2 3 3 2" xfId="35651" xr:uid="{94FE0F94-3E1A-46F3-A9FA-057C55F9F5AF}"/>
    <cellStyle name="20% - Accent2 2 2 2 3 4" xfId="19756" xr:uid="{00000000-0005-0000-0000-000063090000}"/>
    <cellStyle name="20% - Accent2 2 2 2 3 4 2" xfId="43589" xr:uid="{3102E853-0BAE-4E1E-BBB5-AA9A6A5663BC}"/>
    <cellStyle name="20% - Accent2 2 2 2 3 5" xfId="27710" xr:uid="{AE56C487-5D83-49E1-BDD4-876A89D10840}"/>
    <cellStyle name="20% - Accent2 2 2 2 4" xfId="5596" xr:uid="{00000000-0005-0000-0000-000064090000}"/>
    <cellStyle name="20% - Accent2 2 2 2 4 2" xfId="13580" xr:uid="{00000000-0005-0000-0000-000065090000}"/>
    <cellStyle name="20% - Accent2 2 2 2 4 2 2" xfId="37424" xr:uid="{0ECDB4C4-C23E-4833-82C7-597CC0494463}"/>
    <cellStyle name="20% - Accent2 2 2 2 4 3" xfId="21528" xr:uid="{00000000-0005-0000-0000-000066090000}"/>
    <cellStyle name="20% - Accent2 2 2 2 4 3 2" xfId="45361" xr:uid="{42E9C925-BD7E-4183-94AD-51DA29AA5A57}"/>
    <cellStyle name="20% - Accent2 2 2 2 4 4" xfId="29483" xr:uid="{5427FFC9-D7C1-4528-A16D-8964B031BD48}"/>
    <cellStyle name="20% - Accent2 2 2 2 5" xfId="9149" xr:uid="{00000000-0005-0000-0000-000067090000}"/>
    <cellStyle name="20% - Accent2 2 2 2 5 2" xfId="17107" xr:uid="{00000000-0005-0000-0000-000068090000}"/>
    <cellStyle name="20% - Accent2 2 2 2 5 2 2" xfId="40948" xr:uid="{69FCB6E1-BC42-44B0-A8A3-CFC5A25569E1}"/>
    <cellStyle name="20% - Accent2 2 2 2 5 3" xfId="25051" xr:uid="{00000000-0005-0000-0000-000069090000}"/>
    <cellStyle name="20% - Accent2 2 2 2 5 3 2" xfId="48884" xr:uid="{4ABF78A2-592F-44C1-95B5-0A5084ECE2D4}"/>
    <cellStyle name="20% - Accent2 2 2 2 5 4" xfId="33007" xr:uid="{5BE4F90C-E6FB-4019-8F4F-2C908085A037}"/>
    <cellStyle name="20% - Accent2 2 2 2 6" xfId="10045" xr:uid="{00000000-0005-0000-0000-00006A090000}"/>
    <cellStyle name="20% - Accent2 2 2 2 6 2" xfId="33895" xr:uid="{7CB95DFD-E6AE-4587-A628-4CE001A88ABA}"/>
    <cellStyle name="20% - Accent2 2 2 2 7" xfId="18000" xr:uid="{00000000-0005-0000-0000-00006B090000}"/>
    <cellStyle name="20% - Accent2 2 2 2 7 2" xfId="41833" xr:uid="{60529DC0-29F8-4473-BEDA-D1A9E71EAB42}"/>
    <cellStyle name="20% - Accent2 2 2 2 8" xfId="25953" xr:uid="{75C046BA-CF20-4492-846E-E0E4791D52EA}"/>
    <cellStyle name="20% - Accent2 2 2 2_Exh G" xfId="2107" xr:uid="{00000000-0005-0000-0000-00006C090000}"/>
    <cellStyle name="20% - Accent2 2 2 3" xfId="876" xr:uid="{00000000-0005-0000-0000-00006D090000}"/>
    <cellStyle name="20% - Accent2 2 2 3 2" xfId="1810" xr:uid="{00000000-0005-0000-0000-00006E090000}"/>
    <cellStyle name="20% - Accent2 2 2 3 2 2" xfId="5328" xr:uid="{00000000-0005-0000-0000-00006F090000}"/>
    <cellStyle name="20% - Accent2 2 2 3 2 2 2" xfId="8919" xr:uid="{00000000-0005-0000-0000-000070090000}"/>
    <cellStyle name="20% - Accent2 2 2 3 2 2 2 2" xfId="16890" xr:uid="{00000000-0005-0000-0000-000071090000}"/>
    <cellStyle name="20% - Accent2 2 2 3 2 2 2 2 2" xfId="40733" xr:uid="{C1A3508B-6900-43A4-86D9-881CFE9485F2}"/>
    <cellStyle name="20% - Accent2 2 2 3 2 2 2 3" xfId="24836" xr:uid="{00000000-0005-0000-0000-000072090000}"/>
    <cellStyle name="20% - Accent2 2 2 3 2 2 2 3 2" xfId="48669" xr:uid="{9485495B-7EDB-4648-85EC-7CE60E0917DF}"/>
    <cellStyle name="20% - Accent2 2 2 3 2 2 2 4" xfId="32792" xr:uid="{260BDEAA-4F38-48E1-B584-5E67C82D0D91}"/>
    <cellStyle name="20% - Accent2 2 2 3 2 2 3" xfId="13352" xr:uid="{00000000-0005-0000-0000-000073090000}"/>
    <cellStyle name="20% - Accent2 2 2 3 2 2 3 2" xfId="37202" xr:uid="{0D5AFAF2-B660-4B46-827D-B93E347C9A69}"/>
    <cellStyle name="20% - Accent2 2 2 3 2 2 4" xfId="21307" xr:uid="{00000000-0005-0000-0000-000074090000}"/>
    <cellStyle name="20% - Accent2 2 2 3 2 2 4 2" xfId="45140" xr:uid="{71F470C7-A4BE-4532-9C4B-60F14A3B44F3}"/>
    <cellStyle name="20% - Accent2 2 2 3 2 2 5" xfId="29261" xr:uid="{2954EA88-8BA2-44C4-9A12-2E2D3E41F750}"/>
    <cellStyle name="20% - Accent2 2 2 3 2 3" xfId="7160" xr:uid="{00000000-0005-0000-0000-000075090000}"/>
    <cellStyle name="20% - Accent2 2 2 3 2 3 2" xfId="15132" xr:uid="{00000000-0005-0000-0000-000076090000}"/>
    <cellStyle name="20% - Accent2 2 2 3 2 3 2 2" xfId="38975" xr:uid="{EE425FEF-BF68-4235-81F1-B7A965E15BFF}"/>
    <cellStyle name="20% - Accent2 2 2 3 2 3 3" xfId="23079" xr:uid="{00000000-0005-0000-0000-000077090000}"/>
    <cellStyle name="20% - Accent2 2 2 3 2 3 3 2" xfId="46912" xr:uid="{7586F0C1-1E71-4F35-B40F-EAE15BD7E02A}"/>
    <cellStyle name="20% - Accent2 2 2 3 2 3 4" xfId="31034" xr:uid="{85108F0B-C059-4D69-ABE0-F2C2CC57CBE9}"/>
    <cellStyle name="20% - Accent2 2 2 3 2 4" xfId="11596" xr:uid="{00000000-0005-0000-0000-000078090000}"/>
    <cellStyle name="20% - Accent2 2 2 3 2 4 2" xfId="35446" xr:uid="{BE78169D-D52F-40AD-BDF9-F6747EAB4A65}"/>
    <cellStyle name="20% - Accent2 2 2 3 2 5" xfId="19551" xr:uid="{00000000-0005-0000-0000-000079090000}"/>
    <cellStyle name="20% - Accent2 2 2 3 2 5 2" xfId="43384" xr:uid="{F2DF711D-0F82-4B61-A881-5022DCB24A01}"/>
    <cellStyle name="20% - Accent2 2 2 3 2 6" xfId="27504" xr:uid="{18F8F47A-560A-4AD5-9B63-24179297847D}"/>
    <cellStyle name="20% - Accent2 2 2 3 2_Exh G" xfId="2110" xr:uid="{00000000-0005-0000-0000-00007A090000}"/>
    <cellStyle name="20% - Accent2 2 2 3 3" xfId="4449" xr:uid="{00000000-0005-0000-0000-00007B090000}"/>
    <cellStyle name="20% - Accent2 2 2 3 3 2" xfId="8041" xr:uid="{00000000-0005-0000-0000-00007C090000}"/>
    <cellStyle name="20% - Accent2 2 2 3 3 2 2" xfId="16012" xr:uid="{00000000-0005-0000-0000-00007D090000}"/>
    <cellStyle name="20% - Accent2 2 2 3 3 2 2 2" xfId="39855" xr:uid="{45311173-F03F-4AC9-A1FE-774A1AC8CE22}"/>
    <cellStyle name="20% - Accent2 2 2 3 3 2 3" xfId="23958" xr:uid="{00000000-0005-0000-0000-00007E090000}"/>
    <cellStyle name="20% - Accent2 2 2 3 3 2 3 2" xfId="47791" xr:uid="{5B43EC0E-CA5F-4850-B97B-F8A7EB582F95}"/>
    <cellStyle name="20% - Accent2 2 2 3 3 2 4" xfId="31914" xr:uid="{2ADC6FA2-68CC-49BA-A386-F8A305CB8447}"/>
    <cellStyle name="20% - Accent2 2 2 3 3 3" xfId="12474" xr:uid="{00000000-0005-0000-0000-00007F090000}"/>
    <cellStyle name="20% - Accent2 2 2 3 3 3 2" xfId="36324" xr:uid="{3BB032EB-540C-48E3-AB6E-8F94F4149AC0}"/>
    <cellStyle name="20% - Accent2 2 2 3 3 4" xfId="20429" xr:uid="{00000000-0005-0000-0000-000080090000}"/>
    <cellStyle name="20% - Accent2 2 2 3 3 4 2" xfId="44262" xr:uid="{4BF269F6-EBB0-48BB-8C45-B283E527AE7D}"/>
    <cellStyle name="20% - Accent2 2 2 3 3 5" xfId="28383" xr:uid="{9B61F414-4427-404A-8E9A-E4D0F9D01C46}"/>
    <cellStyle name="20% - Accent2 2 2 3 4" xfId="6279" xr:uid="{00000000-0005-0000-0000-000081090000}"/>
    <cellStyle name="20% - Accent2 2 2 3 4 2" xfId="14254" xr:uid="{00000000-0005-0000-0000-000082090000}"/>
    <cellStyle name="20% - Accent2 2 2 3 4 2 2" xfId="38097" xr:uid="{C6DF676B-34BE-4C67-BBE3-96BEAC0D6672}"/>
    <cellStyle name="20% - Accent2 2 2 3 4 3" xfId="22201" xr:uid="{00000000-0005-0000-0000-000083090000}"/>
    <cellStyle name="20% - Accent2 2 2 3 4 3 2" xfId="46034" xr:uid="{919A4AE0-0099-4B81-9267-D7E1123A1F95}"/>
    <cellStyle name="20% - Accent2 2 2 3 4 4" xfId="30156" xr:uid="{107FD317-CC10-4B8D-B09B-47412D9C6D15}"/>
    <cellStyle name="20% - Accent2 2 2 3 5" xfId="9822" xr:uid="{00000000-0005-0000-0000-000084090000}"/>
    <cellStyle name="20% - Accent2 2 2 3 5 2" xfId="17780" xr:uid="{00000000-0005-0000-0000-000085090000}"/>
    <cellStyle name="20% - Accent2 2 2 3 5 2 2" xfId="41621" xr:uid="{32BF9799-D721-4A61-94B3-0B3DE485485D}"/>
    <cellStyle name="20% - Accent2 2 2 3 5 3" xfId="25724" xr:uid="{00000000-0005-0000-0000-000086090000}"/>
    <cellStyle name="20% - Accent2 2 2 3 5 3 2" xfId="49557" xr:uid="{67BBC0A6-BAEC-4134-9254-A1560C8E3C1B}"/>
    <cellStyle name="20% - Accent2 2 2 3 5 4" xfId="33680" xr:uid="{CDA60CC9-5848-421B-A692-EF3B3A85188C}"/>
    <cellStyle name="20% - Accent2 2 2 3 6" xfId="10718" xr:uid="{00000000-0005-0000-0000-000087090000}"/>
    <cellStyle name="20% - Accent2 2 2 3 6 2" xfId="34568" xr:uid="{EAC6A21B-A7C9-4378-B168-D4CEE1DC1D36}"/>
    <cellStyle name="20% - Accent2 2 2 3 7" xfId="18673" xr:uid="{00000000-0005-0000-0000-000088090000}"/>
    <cellStyle name="20% - Accent2 2 2 3 7 2" xfId="42506" xr:uid="{C601EE66-6FF3-4EEE-8CA5-539792011199}"/>
    <cellStyle name="20% - Accent2 2 2 3 8" xfId="26626" xr:uid="{6A1CACF0-A163-48CA-9116-993A4D883801}"/>
    <cellStyle name="20% - Accent2 2 2 3_Exh G" xfId="2109" xr:uid="{00000000-0005-0000-0000-000089090000}"/>
    <cellStyle name="20% - Accent2 2 2 4" xfId="1124" xr:uid="{00000000-0005-0000-0000-00008A090000}"/>
    <cellStyle name="20% - Accent2 2 2 4 2" xfId="4654" xr:uid="{00000000-0005-0000-0000-00008B090000}"/>
    <cellStyle name="20% - Accent2 2 2 4 2 2" xfId="8245" xr:uid="{00000000-0005-0000-0000-00008C090000}"/>
    <cellStyle name="20% - Accent2 2 2 4 2 2 2" xfId="16216" xr:uid="{00000000-0005-0000-0000-00008D090000}"/>
    <cellStyle name="20% - Accent2 2 2 4 2 2 2 2" xfId="40059" xr:uid="{DA2A9FA9-1898-4D51-AEF2-0B1A7E21663B}"/>
    <cellStyle name="20% - Accent2 2 2 4 2 2 3" xfId="24162" xr:uid="{00000000-0005-0000-0000-00008E090000}"/>
    <cellStyle name="20% - Accent2 2 2 4 2 2 3 2" xfId="47995" xr:uid="{521B4E99-8170-484B-BF22-952A3DA5337F}"/>
    <cellStyle name="20% - Accent2 2 2 4 2 2 4" xfId="32118" xr:uid="{992B17C9-00EF-4873-AAB1-94135DE1C1FA}"/>
    <cellStyle name="20% - Accent2 2 2 4 2 3" xfId="12678" xr:uid="{00000000-0005-0000-0000-00008F090000}"/>
    <cellStyle name="20% - Accent2 2 2 4 2 3 2" xfId="36528" xr:uid="{CC855AC9-7BAB-4FFD-9D0F-B897571AC908}"/>
    <cellStyle name="20% - Accent2 2 2 4 2 4" xfId="20633" xr:uid="{00000000-0005-0000-0000-000090090000}"/>
    <cellStyle name="20% - Accent2 2 2 4 2 4 2" xfId="44466" xr:uid="{0D594234-88D0-4E3B-9E05-43EE0C11ABBD}"/>
    <cellStyle name="20% - Accent2 2 2 4 2 5" xfId="28587" xr:uid="{895BDDE4-DC5D-44F8-9BE9-E410E1BB76F0}"/>
    <cellStyle name="20% - Accent2 2 2 4 3" xfId="6486" xr:uid="{00000000-0005-0000-0000-000091090000}"/>
    <cellStyle name="20% - Accent2 2 2 4 3 2" xfId="14458" xr:uid="{00000000-0005-0000-0000-000092090000}"/>
    <cellStyle name="20% - Accent2 2 2 4 3 2 2" xfId="38301" xr:uid="{06E4C057-BD9B-43DE-9518-127BF934C10F}"/>
    <cellStyle name="20% - Accent2 2 2 4 3 3" xfId="22405" xr:uid="{00000000-0005-0000-0000-000093090000}"/>
    <cellStyle name="20% - Accent2 2 2 4 3 3 2" xfId="46238" xr:uid="{D0CFFB02-1C73-46AC-B566-7450244BC078}"/>
    <cellStyle name="20% - Accent2 2 2 4 3 4" xfId="30360" xr:uid="{4737871F-7173-4A1E-B825-D3885F0FA66F}"/>
    <cellStyle name="20% - Accent2 2 2 4 4" xfId="10922" xr:uid="{00000000-0005-0000-0000-000094090000}"/>
    <cellStyle name="20% - Accent2 2 2 4 4 2" xfId="34772" xr:uid="{258C5833-E30A-4E87-9409-3F0AFCDBBED6}"/>
    <cellStyle name="20% - Accent2 2 2 4 5" xfId="18877" xr:uid="{00000000-0005-0000-0000-000095090000}"/>
    <cellStyle name="20% - Accent2 2 2 4 5 2" xfId="42710" xr:uid="{111163BD-DDA0-4F98-84FB-0C6B54D75060}"/>
    <cellStyle name="20% - Accent2 2 2 4 6" xfId="26830" xr:uid="{4D11E403-14D7-461D-97D4-36FBE80040BB}"/>
    <cellStyle name="20% - Accent2 2 2 4_Exh G" xfId="2111" xr:uid="{00000000-0005-0000-0000-000096090000}"/>
    <cellStyle name="20% - Accent2 2 2 5" xfId="3775" xr:uid="{00000000-0005-0000-0000-000097090000}"/>
    <cellStyle name="20% - Accent2 2 2 5 2" xfId="7367" xr:uid="{00000000-0005-0000-0000-000098090000}"/>
    <cellStyle name="20% - Accent2 2 2 5 2 2" xfId="15338" xr:uid="{00000000-0005-0000-0000-000099090000}"/>
    <cellStyle name="20% - Accent2 2 2 5 2 2 2" xfId="39181" xr:uid="{6400269A-6D60-4CB4-A543-6C74DBB06E4A}"/>
    <cellStyle name="20% - Accent2 2 2 5 2 3" xfId="23284" xr:uid="{00000000-0005-0000-0000-00009A090000}"/>
    <cellStyle name="20% - Accent2 2 2 5 2 3 2" xfId="47117" xr:uid="{395B70B8-2217-4770-9C49-163CDB5F3DFC}"/>
    <cellStyle name="20% - Accent2 2 2 5 2 4" xfId="31240" xr:uid="{EC6F15C1-3876-427F-818E-4D4FAE8418B7}"/>
    <cellStyle name="20% - Accent2 2 2 5 3" xfId="11800" xr:uid="{00000000-0005-0000-0000-00009B090000}"/>
    <cellStyle name="20% - Accent2 2 2 5 3 2" xfId="35650" xr:uid="{4213D3C0-CCF8-4704-B898-94E2C45B8BF9}"/>
    <cellStyle name="20% - Accent2 2 2 5 4" xfId="19755" xr:uid="{00000000-0005-0000-0000-00009C090000}"/>
    <cellStyle name="20% - Accent2 2 2 5 4 2" xfId="43588" xr:uid="{DA66DF40-295A-402F-91A4-D2BA636947F9}"/>
    <cellStyle name="20% - Accent2 2 2 5 5" xfId="27709" xr:uid="{F70C9346-0685-468E-8404-F1201BBE7A77}"/>
    <cellStyle name="20% - Accent2 2 2 6" xfId="5595" xr:uid="{00000000-0005-0000-0000-00009D090000}"/>
    <cellStyle name="20% - Accent2 2 2 6 2" xfId="13579" xr:uid="{00000000-0005-0000-0000-00009E090000}"/>
    <cellStyle name="20% - Accent2 2 2 6 2 2" xfId="37423" xr:uid="{E0B2EFCA-707C-4E44-8F8A-D889C5BA5080}"/>
    <cellStyle name="20% - Accent2 2 2 6 3" xfId="21527" xr:uid="{00000000-0005-0000-0000-00009F090000}"/>
    <cellStyle name="20% - Accent2 2 2 6 3 2" xfId="45360" xr:uid="{A8F98910-206E-4CE4-BAD7-9C11480F3D41}"/>
    <cellStyle name="20% - Accent2 2 2 6 4" xfId="29482" xr:uid="{1CCA26D2-653C-411A-B9E6-5D2F1A718846}"/>
    <cellStyle name="20% - Accent2 2 2 7" xfId="9148" xr:uid="{00000000-0005-0000-0000-0000A0090000}"/>
    <cellStyle name="20% - Accent2 2 2 7 2" xfId="17106" xr:uid="{00000000-0005-0000-0000-0000A1090000}"/>
    <cellStyle name="20% - Accent2 2 2 7 2 2" xfId="40947" xr:uid="{A6F86335-A022-480E-9883-74F3B742AA22}"/>
    <cellStyle name="20% - Accent2 2 2 7 3" xfId="25050" xr:uid="{00000000-0005-0000-0000-0000A2090000}"/>
    <cellStyle name="20% - Accent2 2 2 7 3 2" xfId="48883" xr:uid="{429AA5BC-B8F0-4039-B1D5-61108DB6CF91}"/>
    <cellStyle name="20% - Accent2 2 2 7 4" xfId="33006" xr:uid="{61DB9849-E8B4-43DF-B126-02AF15C41894}"/>
    <cellStyle name="20% - Accent2 2 2 8" xfId="10044" xr:uid="{00000000-0005-0000-0000-0000A3090000}"/>
    <cellStyle name="20% - Accent2 2 2 8 2" xfId="33894" xr:uid="{052E7F99-45AF-4B63-B3C1-8E8CCBA6A36A}"/>
    <cellStyle name="20% - Accent2 2 2 9" xfId="17999" xr:uid="{00000000-0005-0000-0000-0000A4090000}"/>
    <cellStyle name="20% - Accent2 2 2 9 2" xfId="41832" xr:uid="{9E4AEFF8-D412-48C7-A7BF-57BFD5437F71}"/>
    <cellStyle name="20% - Accent2 2 2_Exh G" xfId="2106" xr:uid="{00000000-0005-0000-0000-0000A5090000}"/>
    <cellStyle name="20% - Accent2 2 3" xfId="98" xr:uid="{00000000-0005-0000-0000-0000A6090000}"/>
    <cellStyle name="20% - Accent2 2 3 2" xfId="1126" xr:uid="{00000000-0005-0000-0000-0000A7090000}"/>
    <cellStyle name="20% - Accent2 2 3 2 2" xfId="4656" xr:uid="{00000000-0005-0000-0000-0000A8090000}"/>
    <cellStyle name="20% - Accent2 2 3 2 2 2" xfId="8247" xr:uid="{00000000-0005-0000-0000-0000A9090000}"/>
    <cellStyle name="20% - Accent2 2 3 2 2 2 2" xfId="16218" xr:uid="{00000000-0005-0000-0000-0000AA090000}"/>
    <cellStyle name="20% - Accent2 2 3 2 2 2 2 2" xfId="40061" xr:uid="{91D089FF-7485-43A9-932B-CC4FC2ED0495}"/>
    <cellStyle name="20% - Accent2 2 3 2 2 2 3" xfId="24164" xr:uid="{00000000-0005-0000-0000-0000AB090000}"/>
    <cellStyle name="20% - Accent2 2 3 2 2 2 3 2" xfId="47997" xr:uid="{C068EA44-2B95-48FA-A97F-A375185CE09C}"/>
    <cellStyle name="20% - Accent2 2 3 2 2 2 4" xfId="32120" xr:uid="{1909C751-AC92-4B1A-8608-1468E337F93C}"/>
    <cellStyle name="20% - Accent2 2 3 2 2 3" xfId="12680" xr:uid="{00000000-0005-0000-0000-0000AC090000}"/>
    <cellStyle name="20% - Accent2 2 3 2 2 3 2" xfId="36530" xr:uid="{903E00E3-13CC-4BF0-9BB4-F2BFA002970C}"/>
    <cellStyle name="20% - Accent2 2 3 2 2 4" xfId="20635" xr:uid="{00000000-0005-0000-0000-0000AD090000}"/>
    <cellStyle name="20% - Accent2 2 3 2 2 4 2" xfId="44468" xr:uid="{C900C358-A7A6-4E79-A969-1429217F0791}"/>
    <cellStyle name="20% - Accent2 2 3 2 2 5" xfId="28589" xr:uid="{1C13B172-4189-4A4D-85BC-27188A2EE52D}"/>
    <cellStyle name="20% - Accent2 2 3 2 3" xfId="6488" xr:uid="{00000000-0005-0000-0000-0000AE090000}"/>
    <cellStyle name="20% - Accent2 2 3 2 3 2" xfId="14460" xr:uid="{00000000-0005-0000-0000-0000AF090000}"/>
    <cellStyle name="20% - Accent2 2 3 2 3 2 2" xfId="38303" xr:uid="{7DBFF511-469B-4AAC-9687-AD433BFD7186}"/>
    <cellStyle name="20% - Accent2 2 3 2 3 3" xfId="22407" xr:uid="{00000000-0005-0000-0000-0000B0090000}"/>
    <cellStyle name="20% - Accent2 2 3 2 3 3 2" xfId="46240" xr:uid="{BFFA5E92-180B-4F7B-B457-08C36F301AE3}"/>
    <cellStyle name="20% - Accent2 2 3 2 3 4" xfId="30362" xr:uid="{B6355A2B-82C8-4EFD-A8DE-F9EBC8EE807A}"/>
    <cellStyle name="20% - Accent2 2 3 2 4" xfId="10924" xr:uid="{00000000-0005-0000-0000-0000B1090000}"/>
    <cellStyle name="20% - Accent2 2 3 2 4 2" xfId="34774" xr:uid="{9C182585-56C9-43A2-B473-CFD24B0B9430}"/>
    <cellStyle name="20% - Accent2 2 3 2 5" xfId="18879" xr:uid="{00000000-0005-0000-0000-0000B2090000}"/>
    <cellStyle name="20% - Accent2 2 3 2 5 2" xfId="42712" xr:uid="{089CD9AD-01D7-4593-8513-F30F5489D78B}"/>
    <cellStyle name="20% - Accent2 2 3 2 6" xfId="26832" xr:uid="{6EC70B1B-D281-489D-A245-D22086ED9D85}"/>
    <cellStyle name="20% - Accent2 2 3 2_Exh G" xfId="2113" xr:uid="{00000000-0005-0000-0000-0000B3090000}"/>
    <cellStyle name="20% - Accent2 2 3 3" xfId="3777" xr:uid="{00000000-0005-0000-0000-0000B4090000}"/>
    <cellStyle name="20% - Accent2 2 3 3 2" xfId="7369" xr:uid="{00000000-0005-0000-0000-0000B5090000}"/>
    <cellStyle name="20% - Accent2 2 3 3 2 2" xfId="15340" xr:uid="{00000000-0005-0000-0000-0000B6090000}"/>
    <cellStyle name="20% - Accent2 2 3 3 2 2 2" xfId="39183" xr:uid="{52C19177-9A20-4CBC-92A4-5F53AC18AA62}"/>
    <cellStyle name="20% - Accent2 2 3 3 2 3" xfId="23286" xr:uid="{00000000-0005-0000-0000-0000B7090000}"/>
    <cellStyle name="20% - Accent2 2 3 3 2 3 2" xfId="47119" xr:uid="{6A8ACDE0-2735-4F85-9FC5-0C527F0B079E}"/>
    <cellStyle name="20% - Accent2 2 3 3 2 4" xfId="31242" xr:uid="{C6404840-D8DA-49C3-9119-5864D115371E}"/>
    <cellStyle name="20% - Accent2 2 3 3 3" xfId="11802" xr:uid="{00000000-0005-0000-0000-0000B8090000}"/>
    <cellStyle name="20% - Accent2 2 3 3 3 2" xfId="35652" xr:uid="{BAF3ECA0-58D4-4E7D-9941-506F3E738AB4}"/>
    <cellStyle name="20% - Accent2 2 3 3 4" xfId="19757" xr:uid="{00000000-0005-0000-0000-0000B9090000}"/>
    <cellStyle name="20% - Accent2 2 3 3 4 2" xfId="43590" xr:uid="{7FD1C30B-2BD4-4BB4-942A-9E84D3912759}"/>
    <cellStyle name="20% - Accent2 2 3 3 5" xfId="27711" xr:uid="{881136C6-06F5-43D0-AD00-C494F2BE583A}"/>
    <cellStyle name="20% - Accent2 2 3 4" xfId="5597" xr:uid="{00000000-0005-0000-0000-0000BA090000}"/>
    <cellStyle name="20% - Accent2 2 3 4 2" xfId="13581" xr:uid="{00000000-0005-0000-0000-0000BB090000}"/>
    <cellStyle name="20% - Accent2 2 3 4 2 2" xfId="37425" xr:uid="{2340A8EC-8AB3-4F9B-BBBB-4EAE3CE7727A}"/>
    <cellStyle name="20% - Accent2 2 3 4 3" xfId="21529" xr:uid="{00000000-0005-0000-0000-0000BC090000}"/>
    <cellStyle name="20% - Accent2 2 3 4 3 2" xfId="45362" xr:uid="{AD7BC1FB-140D-4D9C-8145-1D8854B739EB}"/>
    <cellStyle name="20% - Accent2 2 3 4 4" xfId="29484" xr:uid="{F067DEAC-4943-4099-A080-4EB6ADE53422}"/>
    <cellStyle name="20% - Accent2 2 3 5" xfId="9150" xr:uid="{00000000-0005-0000-0000-0000BD090000}"/>
    <cellStyle name="20% - Accent2 2 3 5 2" xfId="17108" xr:uid="{00000000-0005-0000-0000-0000BE090000}"/>
    <cellStyle name="20% - Accent2 2 3 5 2 2" xfId="40949" xr:uid="{0A9E2876-4B89-460C-8E9E-8BB915DF3E91}"/>
    <cellStyle name="20% - Accent2 2 3 5 3" xfId="25052" xr:uid="{00000000-0005-0000-0000-0000BF090000}"/>
    <cellStyle name="20% - Accent2 2 3 5 3 2" xfId="48885" xr:uid="{B166943A-8759-4C28-83EB-1E128EF890D5}"/>
    <cellStyle name="20% - Accent2 2 3 5 4" xfId="33008" xr:uid="{8F55E208-7368-4AB6-9C5D-F40F38CB6A08}"/>
    <cellStyle name="20% - Accent2 2 3 6" xfId="10046" xr:uid="{00000000-0005-0000-0000-0000C0090000}"/>
    <cellStyle name="20% - Accent2 2 3 6 2" xfId="33896" xr:uid="{552D1D5C-5688-4ED5-9FD6-54933DCA878C}"/>
    <cellStyle name="20% - Accent2 2 3 7" xfId="18001" xr:uid="{00000000-0005-0000-0000-0000C1090000}"/>
    <cellStyle name="20% - Accent2 2 3 7 2" xfId="41834" xr:uid="{1650662F-6557-478D-9133-F332D94A273C}"/>
    <cellStyle name="20% - Accent2 2 3 8" xfId="25954" xr:uid="{A2658F5C-DFC1-4645-B1A9-A4C983344987}"/>
    <cellStyle name="20% - Accent2 2 3_Exh G" xfId="2112" xr:uid="{00000000-0005-0000-0000-0000C2090000}"/>
    <cellStyle name="20% - Accent2 2 4" xfId="875" xr:uid="{00000000-0005-0000-0000-0000C3090000}"/>
    <cellStyle name="20% - Accent2 2 4 2" xfId="1809" xr:uid="{00000000-0005-0000-0000-0000C4090000}"/>
    <cellStyle name="20% - Accent2 2 4 2 2" xfId="5327" xr:uid="{00000000-0005-0000-0000-0000C5090000}"/>
    <cellStyle name="20% - Accent2 2 4 2 2 2" xfId="8918" xr:uid="{00000000-0005-0000-0000-0000C6090000}"/>
    <cellStyle name="20% - Accent2 2 4 2 2 2 2" xfId="16889" xr:uid="{00000000-0005-0000-0000-0000C7090000}"/>
    <cellStyle name="20% - Accent2 2 4 2 2 2 2 2" xfId="40732" xr:uid="{783115BC-2E53-491C-847F-2E2BAECAA5D4}"/>
    <cellStyle name="20% - Accent2 2 4 2 2 2 3" xfId="24835" xr:uid="{00000000-0005-0000-0000-0000C8090000}"/>
    <cellStyle name="20% - Accent2 2 4 2 2 2 3 2" xfId="48668" xr:uid="{1BDACCED-7929-4127-A30C-AEFE4483224B}"/>
    <cellStyle name="20% - Accent2 2 4 2 2 2 4" xfId="32791" xr:uid="{C563A5F4-2E56-43BF-882F-3109021E66A3}"/>
    <cellStyle name="20% - Accent2 2 4 2 2 3" xfId="13351" xr:uid="{00000000-0005-0000-0000-0000C9090000}"/>
    <cellStyle name="20% - Accent2 2 4 2 2 3 2" xfId="37201" xr:uid="{F728A5CC-1AA8-4C3D-BB46-EC2C40789357}"/>
    <cellStyle name="20% - Accent2 2 4 2 2 4" xfId="21306" xr:uid="{00000000-0005-0000-0000-0000CA090000}"/>
    <cellStyle name="20% - Accent2 2 4 2 2 4 2" xfId="45139" xr:uid="{7E838F90-DDFE-4EE0-891C-34BED0BCC20A}"/>
    <cellStyle name="20% - Accent2 2 4 2 2 5" xfId="29260" xr:uid="{7A004A85-B6F8-4B40-95A0-BBE581F3E2FA}"/>
    <cellStyle name="20% - Accent2 2 4 2 3" xfId="7159" xr:uid="{00000000-0005-0000-0000-0000CB090000}"/>
    <cellStyle name="20% - Accent2 2 4 2 3 2" xfId="15131" xr:uid="{00000000-0005-0000-0000-0000CC090000}"/>
    <cellStyle name="20% - Accent2 2 4 2 3 2 2" xfId="38974" xr:uid="{F3A5450E-9347-4EDF-A7F6-89316CB26F17}"/>
    <cellStyle name="20% - Accent2 2 4 2 3 3" xfId="23078" xr:uid="{00000000-0005-0000-0000-0000CD090000}"/>
    <cellStyle name="20% - Accent2 2 4 2 3 3 2" xfId="46911" xr:uid="{61620C5B-C708-4F32-80AB-05F783D0FC10}"/>
    <cellStyle name="20% - Accent2 2 4 2 3 4" xfId="31033" xr:uid="{AF79688B-F862-4362-BC19-24716EBAE3B4}"/>
    <cellStyle name="20% - Accent2 2 4 2 4" xfId="11595" xr:uid="{00000000-0005-0000-0000-0000CE090000}"/>
    <cellStyle name="20% - Accent2 2 4 2 4 2" xfId="35445" xr:uid="{1DA5B527-6DFA-4426-8245-2B3E7C94A43E}"/>
    <cellStyle name="20% - Accent2 2 4 2 5" xfId="19550" xr:uid="{00000000-0005-0000-0000-0000CF090000}"/>
    <cellStyle name="20% - Accent2 2 4 2 5 2" xfId="43383" xr:uid="{24F984F5-C8B4-420B-8A79-B91D748850D3}"/>
    <cellStyle name="20% - Accent2 2 4 2 6" xfId="27503" xr:uid="{03C95B09-6F85-46FB-BB44-9A82DF2C00C3}"/>
    <cellStyle name="20% - Accent2 2 4 2_Exh G" xfId="2115" xr:uid="{00000000-0005-0000-0000-0000D0090000}"/>
    <cellStyle name="20% - Accent2 2 4 3" xfId="4448" xr:uid="{00000000-0005-0000-0000-0000D1090000}"/>
    <cellStyle name="20% - Accent2 2 4 3 2" xfId="8040" xr:uid="{00000000-0005-0000-0000-0000D2090000}"/>
    <cellStyle name="20% - Accent2 2 4 3 2 2" xfId="16011" xr:uid="{00000000-0005-0000-0000-0000D3090000}"/>
    <cellStyle name="20% - Accent2 2 4 3 2 2 2" xfId="39854" xr:uid="{94848219-B4F1-4268-B1B3-823B2D40256F}"/>
    <cellStyle name="20% - Accent2 2 4 3 2 3" xfId="23957" xr:uid="{00000000-0005-0000-0000-0000D4090000}"/>
    <cellStyle name="20% - Accent2 2 4 3 2 3 2" xfId="47790" xr:uid="{22623AB1-62FB-4732-8DBB-811E0CB8E5D0}"/>
    <cellStyle name="20% - Accent2 2 4 3 2 4" xfId="31913" xr:uid="{F430F31E-4787-4ECA-A847-3B77359BD786}"/>
    <cellStyle name="20% - Accent2 2 4 3 3" xfId="12473" xr:uid="{00000000-0005-0000-0000-0000D5090000}"/>
    <cellStyle name="20% - Accent2 2 4 3 3 2" xfId="36323" xr:uid="{95CBEDC8-832E-45B6-95A6-6F7DC322DEA0}"/>
    <cellStyle name="20% - Accent2 2 4 3 4" xfId="20428" xr:uid="{00000000-0005-0000-0000-0000D6090000}"/>
    <cellStyle name="20% - Accent2 2 4 3 4 2" xfId="44261" xr:uid="{3A6890DA-049C-4CBF-B80B-7D1FE781909E}"/>
    <cellStyle name="20% - Accent2 2 4 3 5" xfId="28382" xr:uid="{4CE0BB9E-952A-4DBB-B5A0-2A5B10FFEEC3}"/>
    <cellStyle name="20% - Accent2 2 4 4" xfId="6278" xr:uid="{00000000-0005-0000-0000-0000D7090000}"/>
    <cellStyle name="20% - Accent2 2 4 4 2" xfId="14253" xr:uid="{00000000-0005-0000-0000-0000D8090000}"/>
    <cellStyle name="20% - Accent2 2 4 4 2 2" xfId="38096" xr:uid="{C6D2437C-4B09-44A1-A71A-03739EAB0B5C}"/>
    <cellStyle name="20% - Accent2 2 4 4 3" xfId="22200" xr:uid="{00000000-0005-0000-0000-0000D9090000}"/>
    <cellStyle name="20% - Accent2 2 4 4 3 2" xfId="46033" xr:uid="{7F34920F-964C-4C31-ACF6-66911D244FAF}"/>
    <cellStyle name="20% - Accent2 2 4 4 4" xfId="30155" xr:uid="{41A0E84C-6CBC-45FD-9140-DE31EF20B99A}"/>
    <cellStyle name="20% - Accent2 2 4 5" xfId="9821" xr:uid="{00000000-0005-0000-0000-0000DA090000}"/>
    <cellStyle name="20% - Accent2 2 4 5 2" xfId="17779" xr:uid="{00000000-0005-0000-0000-0000DB090000}"/>
    <cellStyle name="20% - Accent2 2 4 5 2 2" xfId="41620" xr:uid="{F747468D-96EF-41A6-B6AD-A67A1E570F44}"/>
    <cellStyle name="20% - Accent2 2 4 5 3" xfId="25723" xr:uid="{00000000-0005-0000-0000-0000DC090000}"/>
    <cellStyle name="20% - Accent2 2 4 5 3 2" xfId="49556" xr:uid="{53181502-5775-43DE-97E2-7BD251CFFC90}"/>
    <cellStyle name="20% - Accent2 2 4 5 4" xfId="33679" xr:uid="{2667ACC4-06BA-4FE0-A4EB-950979BFBC8A}"/>
    <cellStyle name="20% - Accent2 2 4 6" xfId="10717" xr:uid="{00000000-0005-0000-0000-0000DD090000}"/>
    <cellStyle name="20% - Accent2 2 4 6 2" xfId="34567" xr:uid="{BA0D7F4D-4467-49A4-A652-55F5C63612F8}"/>
    <cellStyle name="20% - Accent2 2 4 7" xfId="18672" xr:uid="{00000000-0005-0000-0000-0000DE090000}"/>
    <cellStyle name="20% - Accent2 2 4 7 2" xfId="42505" xr:uid="{2598F4CB-268D-43E6-A989-70C1E4CAF0B3}"/>
    <cellStyle name="20% - Accent2 2 4 8" xfId="26625" xr:uid="{EAF73305-6466-4A13-8C25-B6DDFA0A0123}"/>
    <cellStyle name="20% - Accent2 2 4_Exh G" xfId="2114" xr:uid="{00000000-0005-0000-0000-0000DF090000}"/>
    <cellStyle name="20% - Accent2 2 5" xfId="1123" xr:uid="{00000000-0005-0000-0000-0000E0090000}"/>
    <cellStyle name="20% - Accent2 2 5 2" xfId="4653" xr:uid="{00000000-0005-0000-0000-0000E1090000}"/>
    <cellStyle name="20% - Accent2 2 5 2 2" xfId="8244" xr:uid="{00000000-0005-0000-0000-0000E2090000}"/>
    <cellStyle name="20% - Accent2 2 5 2 2 2" xfId="16215" xr:uid="{00000000-0005-0000-0000-0000E3090000}"/>
    <cellStyle name="20% - Accent2 2 5 2 2 2 2" xfId="40058" xr:uid="{EBE2E643-7370-40AC-9904-970D0E9277A5}"/>
    <cellStyle name="20% - Accent2 2 5 2 2 3" xfId="24161" xr:uid="{00000000-0005-0000-0000-0000E4090000}"/>
    <cellStyle name="20% - Accent2 2 5 2 2 3 2" xfId="47994" xr:uid="{142DB62C-52F0-43FB-9B9D-626C2A1A1D60}"/>
    <cellStyle name="20% - Accent2 2 5 2 2 4" xfId="32117" xr:uid="{79ADB93E-BA1C-4123-849C-0F292829F030}"/>
    <cellStyle name="20% - Accent2 2 5 2 3" xfId="12677" xr:uid="{00000000-0005-0000-0000-0000E5090000}"/>
    <cellStyle name="20% - Accent2 2 5 2 3 2" xfId="36527" xr:uid="{E7864018-A57E-4890-93F8-640181F8951A}"/>
    <cellStyle name="20% - Accent2 2 5 2 4" xfId="20632" xr:uid="{00000000-0005-0000-0000-0000E6090000}"/>
    <cellStyle name="20% - Accent2 2 5 2 4 2" xfId="44465" xr:uid="{984EB972-24B0-4919-AACE-65A32E4A22B7}"/>
    <cellStyle name="20% - Accent2 2 5 2 5" xfId="28586" xr:uid="{F0FD6751-6290-4233-984F-F0EEDA009D69}"/>
    <cellStyle name="20% - Accent2 2 5 3" xfId="6485" xr:uid="{00000000-0005-0000-0000-0000E7090000}"/>
    <cellStyle name="20% - Accent2 2 5 3 2" xfId="14457" xr:uid="{00000000-0005-0000-0000-0000E8090000}"/>
    <cellStyle name="20% - Accent2 2 5 3 2 2" xfId="38300" xr:uid="{52E96876-8FF1-44D6-A984-6F255363543A}"/>
    <cellStyle name="20% - Accent2 2 5 3 3" xfId="22404" xr:uid="{00000000-0005-0000-0000-0000E9090000}"/>
    <cellStyle name="20% - Accent2 2 5 3 3 2" xfId="46237" xr:uid="{4641E9CF-24CB-42CC-8644-DE4BF4715621}"/>
    <cellStyle name="20% - Accent2 2 5 3 4" xfId="30359" xr:uid="{7A91CB9B-F138-41B9-9536-6325A0B0DE0B}"/>
    <cellStyle name="20% - Accent2 2 5 4" xfId="10921" xr:uid="{00000000-0005-0000-0000-0000EA090000}"/>
    <cellStyle name="20% - Accent2 2 5 4 2" xfId="34771" xr:uid="{C04F8254-FC5F-4F33-9982-1084A8B2CC51}"/>
    <cellStyle name="20% - Accent2 2 5 5" xfId="18876" xr:uid="{00000000-0005-0000-0000-0000EB090000}"/>
    <cellStyle name="20% - Accent2 2 5 5 2" xfId="42709" xr:uid="{425FAB8D-47E7-4F9E-A5FA-C7F9092A2603}"/>
    <cellStyle name="20% - Accent2 2 5 6" xfId="26829" xr:uid="{9A4E395F-F24C-4DD0-BD31-A3C6FFF43769}"/>
    <cellStyle name="20% - Accent2 2 5_Exh G" xfId="2116" xr:uid="{00000000-0005-0000-0000-0000EC090000}"/>
    <cellStyle name="20% - Accent2 2 6" xfId="3774" xr:uid="{00000000-0005-0000-0000-0000ED090000}"/>
    <cellStyle name="20% - Accent2 2 6 2" xfId="7366" xr:uid="{00000000-0005-0000-0000-0000EE090000}"/>
    <cellStyle name="20% - Accent2 2 6 2 2" xfId="15337" xr:uid="{00000000-0005-0000-0000-0000EF090000}"/>
    <cellStyle name="20% - Accent2 2 6 2 2 2" xfId="39180" xr:uid="{5D24907A-CA78-4F53-B82D-D423B7C27DA2}"/>
    <cellStyle name="20% - Accent2 2 6 2 3" xfId="23283" xr:uid="{00000000-0005-0000-0000-0000F0090000}"/>
    <cellStyle name="20% - Accent2 2 6 2 3 2" xfId="47116" xr:uid="{8DFD12EC-9F22-4CD9-892A-953350F28D1A}"/>
    <cellStyle name="20% - Accent2 2 6 2 4" xfId="31239" xr:uid="{95E9863F-1963-438E-9254-33F1D6DD753F}"/>
    <cellStyle name="20% - Accent2 2 6 3" xfId="11799" xr:uid="{00000000-0005-0000-0000-0000F1090000}"/>
    <cellStyle name="20% - Accent2 2 6 3 2" xfId="35649" xr:uid="{592B60C9-A9EB-4233-9F28-8552AB811E7A}"/>
    <cellStyle name="20% - Accent2 2 6 4" xfId="19754" xr:uid="{00000000-0005-0000-0000-0000F2090000}"/>
    <cellStyle name="20% - Accent2 2 6 4 2" xfId="43587" xr:uid="{55737E33-9480-4D27-909E-7EA0719EEB4B}"/>
    <cellStyle name="20% - Accent2 2 6 5" xfId="27708" xr:uid="{8EAD682D-6637-478C-90AE-0CEFA606DBBA}"/>
    <cellStyle name="20% - Accent2 2 7" xfId="5594" xr:uid="{00000000-0005-0000-0000-0000F3090000}"/>
    <cellStyle name="20% - Accent2 2 7 2" xfId="13578" xr:uid="{00000000-0005-0000-0000-0000F4090000}"/>
    <cellStyle name="20% - Accent2 2 7 2 2" xfId="37422" xr:uid="{576C1DD7-17E9-430B-95DF-7A5BBA481AFB}"/>
    <cellStyle name="20% - Accent2 2 7 3" xfId="21526" xr:uid="{00000000-0005-0000-0000-0000F5090000}"/>
    <cellStyle name="20% - Accent2 2 7 3 2" xfId="45359" xr:uid="{086E5E23-0F30-4DBF-80F0-3E2F51D549AB}"/>
    <cellStyle name="20% - Accent2 2 7 4" xfId="29481" xr:uid="{10E5E82C-0CFA-482C-BB3D-2D44B7B2B26D}"/>
    <cellStyle name="20% - Accent2 2 8" xfId="9147" xr:uid="{00000000-0005-0000-0000-0000F6090000}"/>
    <cellStyle name="20% - Accent2 2 8 2" xfId="17105" xr:uid="{00000000-0005-0000-0000-0000F7090000}"/>
    <cellStyle name="20% - Accent2 2 8 2 2" xfId="40946" xr:uid="{6A05655E-2E64-4497-92FC-BE2D1C8CB451}"/>
    <cellStyle name="20% - Accent2 2 8 3" xfId="25049" xr:uid="{00000000-0005-0000-0000-0000F8090000}"/>
    <cellStyle name="20% - Accent2 2 8 3 2" xfId="48882" xr:uid="{E68B3093-6BEC-4CF1-B308-9D25F4798CC6}"/>
    <cellStyle name="20% - Accent2 2 8 4" xfId="33005" xr:uid="{C7D800F1-57B1-4BB8-B6A3-C8544917702D}"/>
    <cellStyle name="20% - Accent2 2 9" xfId="10043" xr:uid="{00000000-0005-0000-0000-0000F9090000}"/>
    <cellStyle name="20% - Accent2 2 9 2" xfId="33893" xr:uid="{62CD2202-BA1C-4250-BE8F-B2303612589E}"/>
    <cellStyle name="20% - Accent2 2_Exh G" xfId="2105" xr:uid="{00000000-0005-0000-0000-0000FA090000}"/>
    <cellStyle name="20% - Accent2 3" xfId="99" xr:uid="{00000000-0005-0000-0000-0000FB090000}"/>
    <cellStyle name="20% - Accent2 3 10" xfId="18002" xr:uid="{00000000-0005-0000-0000-0000FC090000}"/>
    <cellStyle name="20% - Accent2 3 10 2" xfId="41835" xr:uid="{AC60A55B-681E-45E8-920B-046FEE656002}"/>
    <cellStyle name="20% - Accent2 3 11" xfId="25955" xr:uid="{E7B553F1-D557-49B5-8B46-B1C9E49CC6B0}"/>
    <cellStyle name="20% - Accent2 3 12" xfId="49768" xr:uid="{EB552E18-EDC7-4049-810A-36656014AA5F}"/>
    <cellStyle name="20% - Accent2 3 13" xfId="49822" xr:uid="{0CE10550-1644-4066-AFBA-FFF5DDAEEDEC}"/>
    <cellStyle name="20% - Accent2 3 2" xfId="100" xr:uid="{00000000-0005-0000-0000-0000FD090000}"/>
    <cellStyle name="20% - Accent2 3 2 10" xfId="25956" xr:uid="{323F8C5C-4EB3-4A3C-9510-756D09919C79}"/>
    <cellStyle name="20% - Accent2 3 2 2" xfId="101" xr:uid="{00000000-0005-0000-0000-0000FE090000}"/>
    <cellStyle name="20% - Accent2 3 2 2 2" xfId="1129" xr:uid="{00000000-0005-0000-0000-0000FF090000}"/>
    <cellStyle name="20% - Accent2 3 2 2 2 2" xfId="4659" xr:uid="{00000000-0005-0000-0000-0000000A0000}"/>
    <cellStyle name="20% - Accent2 3 2 2 2 2 2" xfId="8250" xr:uid="{00000000-0005-0000-0000-0000010A0000}"/>
    <cellStyle name="20% - Accent2 3 2 2 2 2 2 2" xfId="16221" xr:uid="{00000000-0005-0000-0000-0000020A0000}"/>
    <cellStyle name="20% - Accent2 3 2 2 2 2 2 2 2" xfId="40064" xr:uid="{6D5A6C83-CF22-4FD5-BF3A-C7DB2833D7B2}"/>
    <cellStyle name="20% - Accent2 3 2 2 2 2 2 3" xfId="24167" xr:uid="{00000000-0005-0000-0000-0000030A0000}"/>
    <cellStyle name="20% - Accent2 3 2 2 2 2 2 3 2" xfId="48000" xr:uid="{DF160201-90B6-4693-83C7-4CEAAA7D42A1}"/>
    <cellStyle name="20% - Accent2 3 2 2 2 2 2 4" xfId="32123" xr:uid="{2C20E6C9-BFBC-4F21-91AF-E1AFE005EF43}"/>
    <cellStyle name="20% - Accent2 3 2 2 2 2 3" xfId="12683" xr:uid="{00000000-0005-0000-0000-0000040A0000}"/>
    <cellStyle name="20% - Accent2 3 2 2 2 2 3 2" xfId="36533" xr:uid="{294A153C-E494-4EA7-905A-8101D1C6DC6A}"/>
    <cellStyle name="20% - Accent2 3 2 2 2 2 4" xfId="20638" xr:uid="{00000000-0005-0000-0000-0000050A0000}"/>
    <cellStyle name="20% - Accent2 3 2 2 2 2 4 2" xfId="44471" xr:uid="{B59AB36C-AF1B-436B-8217-25DFCF9FF1DE}"/>
    <cellStyle name="20% - Accent2 3 2 2 2 2 5" xfId="28592" xr:uid="{B686C12E-217B-42A1-83B0-91C95914643E}"/>
    <cellStyle name="20% - Accent2 3 2 2 2 3" xfId="6491" xr:uid="{00000000-0005-0000-0000-0000060A0000}"/>
    <cellStyle name="20% - Accent2 3 2 2 2 3 2" xfId="14463" xr:uid="{00000000-0005-0000-0000-0000070A0000}"/>
    <cellStyle name="20% - Accent2 3 2 2 2 3 2 2" xfId="38306" xr:uid="{A697B18E-F040-49CA-8623-98A9DFBAA8C8}"/>
    <cellStyle name="20% - Accent2 3 2 2 2 3 3" xfId="22410" xr:uid="{00000000-0005-0000-0000-0000080A0000}"/>
    <cellStyle name="20% - Accent2 3 2 2 2 3 3 2" xfId="46243" xr:uid="{2FEAC201-9957-4BEE-AF76-BB80F04B8E4C}"/>
    <cellStyle name="20% - Accent2 3 2 2 2 3 4" xfId="30365" xr:uid="{5106AD3D-7F89-4225-AAEF-C303C7B85A85}"/>
    <cellStyle name="20% - Accent2 3 2 2 2 4" xfId="10927" xr:uid="{00000000-0005-0000-0000-0000090A0000}"/>
    <cellStyle name="20% - Accent2 3 2 2 2 4 2" xfId="34777" xr:uid="{EB156382-4012-4B89-8113-D8D3BD039E60}"/>
    <cellStyle name="20% - Accent2 3 2 2 2 5" xfId="18882" xr:uid="{00000000-0005-0000-0000-00000A0A0000}"/>
    <cellStyle name="20% - Accent2 3 2 2 2 5 2" xfId="42715" xr:uid="{505C453F-4538-435B-94E5-986F1DA88166}"/>
    <cellStyle name="20% - Accent2 3 2 2 2 6" xfId="26835" xr:uid="{E65A523A-421E-4737-8407-BBCA8489F052}"/>
    <cellStyle name="20% - Accent2 3 2 2 2_Exh G" xfId="2120" xr:uid="{00000000-0005-0000-0000-00000B0A0000}"/>
    <cellStyle name="20% - Accent2 3 2 2 3" xfId="3780" xr:uid="{00000000-0005-0000-0000-00000C0A0000}"/>
    <cellStyle name="20% - Accent2 3 2 2 3 2" xfId="7372" xr:uid="{00000000-0005-0000-0000-00000D0A0000}"/>
    <cellStyle name="20% - Accent2 3 2 2 3 2 2" xfId="15343" xr:uid="{00000000-0005-0000-0000-00000E0A0000}"/>
    <cellStyle name="20% - Accent2 3 2 2 3 2 2 2" xfId="39186" xr:uid="{96567B30-A4CB-4922-B3E3-4E70AFBEF295}"/>
    <cellStyle name="20% - Accent2 3 2 2 3 2 3" xfId="23289" xr:uid="{00000000-0005-0000-0000-00000F0A0000}"/>
    <cellStyle name="20% - Accent2 3 2 2 3 2 3 2" xfId="47122" xr:uid="{E2A910A1-D7B2-4DB3-921E-FC34D930E982}"/>
    <cellStyle name="20% - Accent2 3 2 2 3 2 4" xfId="31245" xr:uid="{1D93DE25-704F-4CCB-BBDD-4FFF8B2610E6}"/>
    <cellStyle name="20% - Accent2 3 2 2 3 3" xfId="11805" xr:uid="{00000000-0005-0000-0000-0000100A0000}"/>
    <cellStyle name="20% - Accent2 3 2 2 3 3 2" xfId="35655" xr:uid="{D199F02C-D172-4284-A645-2BE3EDA72CC8}"/>
    <cellStyle name="20% - Accent2 3 2 2 3 4" xfId="19760" xr:uid="{00000000-0005-0000-0000-0000110A0000}"/>
    <cellStyle name="20% - Accent2 3 2 2 3 4 2" xfId="43593" xr:uid="{B27795A6-45A5-44F1-B268-6EFD037F9376}"/>
    <cellStyle name="20% - Accent2 3 2 2 3 5" xfId="27714" xr:uid="{8B4A89E2-2CDD-4E7C-A9FE-D98FE1BED582}"/>
    <cellStyle name="20% - Accent2 3 2 2 4" xfId="5600" xr:uid="{00000000-0005-0000-0000-0000120A0000}"/>
    <cellStyle name="20% - Accent2 3 2 2 4 2" xfId="13584" xr:uid="{00000000-0005-0000-0000-0000130A0000}"/>
    <cellStyle name="20% - Accent2 3 2 2 4 2 2" xfId="37428" xr:uid="{3BD598E0-6D09-4109-86DC-443508BFB535}"/>
    <cellStyle name="20% - Accent2 3 2 2 4 3" xfId="21532" xr:uid="{00000000-0005-0000-0000-0000140A0000}"/>
    <cellStyle name="20% - Accent2 3 2 2 4 3 2" xfId="45365" xr:uid="{E3846171-D22C-4C88-BE08-540B11FBCD19}"/>
    <cellStyle name="20% - Accent2 3 2 2 4 4" xfId="29487" xr:uid="{851BAE35-7833-46B2-A8DF-8291510BECF5}"/>
    <cellStyle name="20% - Accent2 3 2 2 5" xfId="9153" xr:uid="{00000000-0005-0000-0000-0000150A0000}"/>
    <cellStyle name="20% - Accent2 3 2 2 5 2" xfId="17111" xr:uid="{00000000-0005-0000-0000-0000160A0000}"/>
    <cellStyle name="20% - Accent2 3 2 2 5 2 2" xfId="40952" xr:uid="{55BE8370-7530-429E-91D0-0302AD772A1D}"/>
    <cellStyle name="20% - Accent2 3 2 2 5 3" xfId="25055" xr:uid="{00000000-0005-0000-0000-0000170A0000}"/>
    <cellStyle name="20% - Accent2 3 2 2 5 3 2" xfId="48888" xr:uid="{66479D54-925D-47F1-B0FC-79682BA53DA5}"/>
    <cellStyle name="20% - Accent2 3 2 2 5 4" xfId="33011" xr:uid="{7002E907-BF2C-44E9-AB98-01B0E85D4B13}"/>
    <cellStyle name="20% - Accent2 3 2 2 6" xfId="10049" xr:uid="{00000000-0005-0000-0000-0000180A0000}"/>
    <cellStyle name="20% - Accent2 3 2 2 6 2" xfId="33899" xr:uid="{3A42462A-ADE9-428E-8CAC-D0C02BB9EFB9}"/>
    <cellStyle name="20% - Accent2 3 2 2 7" xfId="18004" xr:uid="{00000000-0005-0000-0000-0000190A0000}"/>
    <cellStyle name="20% - Accent2 3 2 2 7 2" xfId="41837" xr:uid="{CF7211DC-E9BA-4FA6-B978-B66CEB067054}"/>
    <cellStyle name="20% - Accent2 3 2 2 8" xfId="25957" xr:uid="{80DA0824-3EE2-4FDC-866E-6359B9E83DDD}"/>
    <cellStyle name="20% - Accent2 3 2 2_Exh G" xfId="2119" xr:uid="{00000000-0005-0000-0000-00001A0A0000}"/>
    <cellStyle name="20% - Accent2 3 2 3" xfId="878" xr:uid="{00000000-0005-0000-0000-00001B0A0000}"/>
    <cellStyle name="20% - Accent2 3 2 3 2" xfId="1812" xr:uid="{00000000-0005-0000-0000-00001C0A0000}"/>
    <cellStyle name="20% - Accent2 3 2 3 2 2" xfId="5330" xr:uid="{00000000-0005-0000-0000-00001D0A0000}"/>
    <cellStyle name="20% - Accent2 3 2 3 2 2 2" xfId="8921" xr:uid="{00000000-0005-0000-0000-00001E0A0000}"/>
    <cellStyle name="20% - Accent2 3 2 3 2 2 2 2" xfId="16892" xr:uid="{00000000-0005-0000-0000-00001F0A0000}"/>
    <cellStyle name="20% - Accent2 3 2 3 2 2 2 2 2" xfId="40735" xr:uid="{44BC1435-CFAB-465E-99E7-1E4399F22E15}"/>
    <cellStyle name="20% - Accent2 3 2 3 2 2 2 3" xfId="24838" xr:uid="{00000000-0005-0000-0000-0000200A0000}"/>
    <cellStyle name="20% - Accent2 3 2 3 2 2 2 3 2" xfId="48671" xr:uid="{C8A1F721-F259-4968-BE77-E39684808BD5}"/>
    <cellStyle name="20% - Accent2 3 2 3 2 2 2 4" xfId="32794" xr:uid="{702E5C23-2AAC-49B6-9A3B-243D82586F81}"/>
    <cellStyle name="20% - Accent2 3 2 3 2 2 3" xfId="13354" xr:uid="{00000000-0005-0000-0000-0000210A0000}"/>
    <cellStyle name="20% - Accent2 3 2 3 2 2 3 2" xfId="37204" xr:uid="{DFB7AA7E-A6ED-4D00-B491-4264CC270AF1}"/>
    <cellStyle name="20% - Accent2 3 2 3 2 2 4" xfId="21309" xr:uid="{00000000-0005-0000-0000-0000220A0000}"/>
    <cellStyle name="20% - Accent2 3 2 3 2 2 4 2" xfId="45142" xr:uid="{B848D9D8-461F-4A62-A53A-382CC5C3B13E}"/>
    <cellStyle name="20% - Accent2 3 2 3 2 2 5" xfId="29263" xr:uid="{0CC69C30-4CE9-4137-A9E1-585D2D14EA43}"/>
    <cellStyle name="20% - Accent2 3 2 3 2 3" xfId="7162" xr:uid="{00000000-0005-0000-0000-0000230A0000}"/>
    <cellStyle name="20% - Accent2 3 2 3 2 3 2" xfId="15134" xr:uid="{00000000-0005-0000-0000-0000240A0000}"/>
    <cellStyle name="20% - Accent2 3 2 3 2 3 2 2" xfId="38977" xr:uid="{027C7651-CDCD-40C8-A26F-B44A388AED48}"/>
    <cellStyle name="20% - Accent2 3 2 3 2 3 3" xfId="23081" xr:uid="{00000000-0005-0000-0000-0000250A0000}"/>
    <cellStyle name="20% - Accent2 3 2 3 2 3 3 2" xfId="46914" xr:uid="{BEF26494-4261-4588-9DE1-59B4140703A2}"/>
    <cellStyle name="20% - Accent2 3 2 3 2 3 4" xfId="31036" xr:uid="{BB8CF01A-F40B-4674-BA7F-E2E9B1F08DF7}"/>
    <cellStyle name="20% - Accent2 3 2 3 2 4" xfId="11598" xr:uid="{00000000-0005-0000-0000-0000260A0000}"/>
    <cellStyle name="20% - Accent2 3 2 3 2 4 2" xfId="35448" xr:uid="{39771F4A-CE1C-4155-8464-26E8BAD3FA8E}"/>
    <cellStyle name="20% - Accent2 3 2 3 2 5" xfId="19553" xr:uid="{00000000-0005-0000-0000-0000270A0000}"/>
    <cellStyle name="20% - Accent2 3 2 3 2 5 2" xfId="43386" xr:uid="{7F778BB0-9D4D-46E7-8F87-60E212FE53C5}"/>
    <cellStyle name="20% - Accent2 3 2 3 2 6" xfId="27506" xr:uid="{B6036911-2A29-4415-9B62-317A77427DD0}"/>
    <cellStyle name="20% - Accent2 3 2 3 2_Exh G" xfId="2122" xr:uid="{00000000-0005-0000-0000-0000280A0000}"/>
    <cellStyle name="20% - Accent2 3 2 3 3" xfId="4451" xr:uid="{00000000-0005-0000-0000-0000290A0000}"/>
    <cellStyle name="20% - Accent2 3 2 3 3 2" xfId="8043" xr:uid="{00000000-0005-0000-0000-00002A0A0000}"/>
    <cellStyle name="20% - Accent2 3 2 3 3 2 2" xfId="16014" xr:uid="{00000000-0005-0000-0000-00002B0A0000}"/>
    <cellStyle name="20% - Accent2 3 2 3 3 2 2 2" xfId="39857" xr:uid="{50829CDB-A180-4861-AD57-332848F63A0B}"/>
    <cellStyle name="20% - Accent2 3 2 3 3 2 3" xfId="23960" xr:uid="{00000000-0005-0000-0000-00002C0A0000}"/>
    <cellStyle name="20% - Accent2 3 2 3 3 2 3 2" xfId="47793" xr:uid="{B600397B-D46B-4DAF-8AD0-C410A63B522A}"/>
    <cellStyle name="20% - Accent2 3 2 3 3 2 4" xfId="31916" xr:uid="{DF67EFCE-DD63-4B15-9169-4AB44D43444F}"/>
    <cellStyle name="20% - Accent2 3 2 3 3 3" xfId="12476" xr:uid="{00000000-0005-0000-0000-00002D0A0000}"/>
    <cellStyle name="20% - Accent2 3 2 3 3 3 2" xfId="36326" xr:uid="{480E60EB-DF48-4C82-AFA5-CD8C9B8ADAD1}"/>
    <cellStyle name="20% - Accent2 3 2 3 3 4" xfId="20431" xr:uid="{00000000-0005-0000-0000-00002E0A0000}"/>
    <cellStyle name="20% - Accent2 3 2 3 3 4 2" xfId="44264" xr:uid="{3EF70DE8-0FAC-4C1B-BE5E-99989D1AC106}"/>
    <cellStyle name="20% - Accent2 3 2 3 3 5" xfId="28385" xr:uid="{1832F9B6-E7B9-4C36-9C8C-857DEAFBAD63}"/>
    <cellStyle name="20% - Accent2 3 2 3 4" xfId="6281" xr:uid="{00000000-0005-0000-0000-00002F0A0000}"/>
    <cellStyle name="20% - Accent2 3 2 3 4 2" xfId="14256" xr:uid="{00000000-0005-0000-0000-0000300A0000}"/>
    <cellStyle name="20% - Accent2 3 2 3 4 2 2" xfId="38099" xr:uid="{95A8FDF6-DF9D-44C8-AE52-8DBE4B4EFBC1}"/>
    <cellStyle name="20% - Accent2 3 2 3 4 3" xfId="22203" xr:uid="{00000000-0005-0000-0000-0000310A0000}"/>
    <cellStyle name="20% - Accent2 3 2 3 4 3 2" xfId="46036" xr:uid="{96048AA5-3060-4058-AF35-AA30464511C7}"/>
    <cellStyle name="20% - Accent2 3 2 3 4 4" xfId="30158" xr:uid="{78804449-4AFB-4CAC-89A1-FD313A6D916D}"/>
    <cellStyle name="20% - Accent2 3 2 3 5" xfId="9824" xr:uid="{00000000-0005-0000-0000-0000320A0000}"/>
    <cellStyle name="20% - Accent2 3 2 3 5 2" xfId="17782" xr:uid="{00000000-0005-0000-0000-0000330A0000}"/>
    <cellStyle name="20% - Accent2 3 2 3 5 2 2" xfId="41623" xr:uid="{BE165769-62B9-4BA8-86FC-09D321C25BD4}"/>
    <cellStyle name="20% - Accent2 3 2 3 5 3" xfId="25726" xr:uid="{00000000-0005-0000-0000-0000340A0000}"/>
    <cellStyle name="20% - Accent2 3 2 3 5 3 2" xfId="49559" xr:uid="{B1791AA1-78E0-461F-8D30-1B6740A8C5C2}"/>
    <cellStyle name="20% - Accent2 3 2 3 5 4" xfId="33682" xr:uid="{BF398EB8-BEFE-42E1-A58C-E66B4E96A35B}"/>
    <cellStyle name="20% - Accent2 3 2 3 6" xfId="10720" xr:uid="{00000000-0005-0000-0000-0000350A0000}"/>
    <cellStyle name="20% - Accent2 3 2 3 6 2" xfId="34570" xr:uid="{D283AD33-A517-494D-B66F-8A0C19C79860}"/>
    <cellStyle name="20% - Accent2 3 2 3 7" xfId="18675" xr:uid="{00000000-0005-0000-0000-0000360A0000}"/>
    <cellStyle name="20% - Accent2 3 2 3 7 2" xfId="42508" xr:uid="{7A31CFC5-2911-4CD9-9712-AC7041AC8199}"/>
    <cellStyle name="20% - Accent2 3 2 3 8" xfId="26628" xr:uid="{9D43BC60-D73B-4642-8568-37159CA8B478}"/>
    <cellStyle name="20% - Accent2 3 2 3_Exh G" xfId="2121" xr:uid="{00000000-0005-0000-0000-0000370A0000}"/>
    <cellStyle name="20% - Accent2 3 2 4" xfId="1128" xr:uid="{00000000-0005-0000-0000-0000380A0000}"/>
    <cellStyle name="20% - Accent2 3 2 4 2" xfId="4658" xr:uid="{00000000-0005-0000-0000-0000390A0000}"/>
    <cellStyle name="20% - Accent2 3 2 4 2 2" xfId="8249" xr:uid="{00000000-0005-0000-0000-00003A0A0000}"/>
    <cellStyle name="20% - Accent2 3 2 4 2 2 2" xfId="16220" xr:uid="{00000000-0005-0000-0000-00003B0A0000}"/>
    <cellStyle name="20% - Accent2 3 2 4 2 2 2 2" xfId="40063" xr:uid="{FC0CFF49-F9D3-468C-9313-73F16B86E48D}"/>
    <cellStyle name="20% - Accent2 3 2 4 2 2 3" xfId="24166" xr:uid="{00000000-0005-0000-0000-00003C0A0000}"/>
    <cellStyle name="20% - Accent2 3 2 4 2 2 3 2" xfId="47999" xr:uid="{715AF71B-C052-4424-BA40-11C4F372F189}"/>
    <cellStyle name="20% - Accent2 3 2 4 2 2 4" xfId="32122" xr:uid="{7A8F419C-58A5-407F-A071-4F11579AB555}"/>
    <cellStyle name="20% - Accent2 3 2 4 2 3" xfId="12682" xr:uid="{00000000-0005-0000-0000-00003D0A0000}"/>
    <cellStyle name="20% - Accent2 3 2 4 2 3 2" xfId="36532" xr:uid="{2EA55858-AF10-45C1-A093-82A75407DA37}"/>
    <cellStyle name="20% - Accent2 3 2 4 2 4" xfId="20637" xr:uid="{00000000-0005-0000-0000-00003E0A0000}"/>
    <cellStyle name="20% - Accent2 3 2 4 2 4 2" xfId="44470" xr:uid="{1DB4C7ED-178B-455F-93A6-1C01CE2B3541}"/>
    <cellStyle name="20% - Accent2 3 2 4 2 5" xfId="28591" xr:uid="{6B431B90-C7E3-4921-959F-F05D2D4F677D}"/>
    <cellStyle name="20% - Accent2 3 2 4 3" xfId="6490" xr:uid="{00000000-0005-0000-0000-00003F0A0000}"/>
    <cellStyle name="20% - Accent2 3 2 4 3 2" xfId="14462" xr:uid="{00000000-0005-0000-0000-0000400A0000}"/>
    <cellStyle name="20% - Accent2 3 2 4 3 2 2" xfId="38305" xr:uid="{ACB90F45-BCBF-47D4-95AD-F4AF6AD86DD1}"/>
    <cellStyle name="20% - Accent2 3 2 4 3 3" xfId="22409" xr:uid="{00000000-0005-0000-0000-0000410A0000}"/>
    <cellStyle name="20% - Accent2 3 2 4 3 3 2" xfId="46242" xr:uid="{F970386E-62F0-4E61-BD1E-1E851F7014F5}"/>
    <cellStyle name="20% - Accent2 3 2 4 3 4" xfId="30364" xr:uid="{60975939-01F5-4F52-BC0A-5E6EA939D7F6}"/>
    <cellStyle name="20% - Accent2 3 2 4 4" xfId="10926" xr:uid="{00000000-0005-0000-0000-0000420A0000}"/>
    <cellStyle name="20% - Accent2 3 2 4 4 2" xfId="34776" xr:uid="{22CA1D76-3166-4921-844C-B38E3DF0B788}"/>
    <cellStyle name="20% - Accent2 3 2 4 5" xfId="18881" xr:uid="{00000000-0005-0000-0000-0000430A0000}"/>
    <cellStyle name="20% - Accent2 3 2 4 5 2" xfId="42714" xr:uid="{5E15C2B6-4BF4-4574-9DFE-ED072B0A5624}"/>
    <cellStyle name="20% - Accent2 3 2 4 6" xfId="26834" xr:uid="{3E106BE4-F5D7-4CB4-8CFF-D82D1BF5D004}"/>
    <cellStyle name="20% - Accent2 3 2 4_Exh G" xfId="2123" xr:uid="{00000000-0005-0000-0000-0000440A0000}"/>
    <cellStyle name="20% - Accent2 3 2 5" xfId="3779" xr:uid="{00000000-0005-0000-0000-0000450A0000}"/>
    <cellStyle name="20% - Accent2 3 2 5 2" xfId="7371" xr:uid="{00000000-0005-0000-0000-0000460A0000}"/>
    <cellStyle name="20% - Accent2 3 2 5 2 2" xfId="15342" xr:uid="{00000000-0005-0000-0000-0000470A0000}"/>
    <cellStyle name="20% - Accent2 3 2 5 2 2 2" xfId="39185" xr:uid="{4EF9983A-04BF-4B54-AF34-F1A6D96DF9C4}"/>
    <cellStyle name="20% - Accent2 3 2 5 2 3" xfId="23288" xr:uid="{00000000-0005-0000-0000-0000480A0000}"/>
    <cellStyle name="20% - Accent2 3 2 5 2 3 2" xfId="47121" xr:uid="{18EFD2A8-DDB4-45D4-BF7E-9B2FF5BDDB2E}"/>
    <cellStyle name="20% - Accent2 3 2 5 2 4" xfId="31244" xr:uid="{0CCEF200-5E3D-4637-B088-E853EC8EC05E}"/>
    <cellStyle name="20% - Accent2 3 2 5 3" xfId="11804" xr:uid="{00000000-0005-0000-0000-0000490A0000}"/>
    <cellStyle name="20% - Accent2 3 2 5 3 2" xfId="35654" xr:uid="{A624A123-314A-4EB8-BB4F-ABDB5C7F1D37}"/>
    <cellStyle name="20% - Accent2 3 2 5 4" xfId="19759" xr:uid="{00000000-0005-0000-0000-00004A0A0000}"/>
    <cellStyle name="20% - Accent2 3 2 5 4 2" xfId="43592" xr:uid="{2CFD6FA6-1707-4BB8-B237-6BBA93FEE9F3}"/>
    <cellStyle name="20% - Accent2 3 2 5 5" xfId="27713" xr:uid="{D5FB0792-2126-410D-BD3C-C67D4361E4AE}"/>
    <cellStyle name="20% - Accent2 3 2 6" xfId="5599" xr:uid="{00000000-0005-0000-0000-00004B0A0000}"/>
    <cellStyle name="20% - Accent2 3 2 6 2" xfId="13583" xr:uid="{00000000-0005-0000-0000-00004C0A0000}"/>
    <cellStyle name="20% - Accent2 3 2 6 2 2" xfId="37427" xr:uid="{12CC8821-1BAC-4317-9E97-6D64EF55862A}"/>
    <cellStyle name="20% - Accent2 3 2 6 3" xfId="21531" xr:uid="{00000000-0005-0000-0000-00004D0A0000}"/>
    <cellStyle name="20% - Accent2 3 2 6 3 2" xfId="45364" xr:uid="{2F888E5B-8339-41F7-A395-8071026A64A0}"/>
    <cellStyle name="20% - Accent2 3 2 6 4" xfId="29486" xr:uid="{5CF026C8-96BA-48C4-A270-916659CCD6B0}"/>
    <cellStyle name="20% - Accent2 3 2 7" xfId="9152" xr:uid="{00000000-0005-0000-0000-00004E0A0000}"/>
    <cellStyle name="20% - Accent2 3 2 7 2" xfId="17110" xr:uid="{00000000-0005-0000-0000-00004F0A0000}"/>
    <cellStyle name="20% - Accent2 3 2 7 2 2" xfId="40951" xr:uid="{0DBF3BE1-4094-41A0-9084-DF6686166C07}"/>
    <cellStyle name="20% - Accent2 3 2 7 3" xfId="25054" xr:uid="{00000000-0005-0000-0000-0000500A0000}"/>
    <cellStyle name="20% - Accent2 3 2 7 3 2" xfId="48887" xr:uid="{8FC01A5E-5CF8-400D-AB58-A67F32949381}"/>
    <cellStyle name="20% - Accent2 3 2 7 4" xfId="33010" xr:uid="{D162FD73-40C9-4018-8EFE-C899BECC2BA8}"/>
    <cellStyle name="20% - Accent2 3 2 8" xfId="10048" xr:uid="{00000000-0005-0000-0000-0000510A0000}"/>
    <cellStyle name="20% - Accent2 3 2 8 2" xfId="33898" xr:uid="{D4AE4BF9-77D8-4854-BD47-36129A422827}"/>
    <cellStyle name="20% - Accent2 3 2 9" xfId="18003" xr:uid="{00000000-0005-0000-0000-0000520A0000}"/>
    <cellStyle name="20% - Accent2 3 2 9 2" xfId="41836" xr:uid="{CAB4AA00-E8DD-4F20-9DD2-BAF491C01660}"/>
    <cellStyle name="20% - Accent2 3 2_Exh G" xfId="2118" xr:uid="{00000000-0005-0000-0000-0000530A0000}"/>
    <cellStyle name="20% - Accent2 3 3" xfId="102" xr:uid="{00000000-0005-0000-0000-0000540A0000}"/>
    <cellStyle name="20% - Accent2 3 3 2" xfId="1130" xr:uid="{00000000-0005-0000-0000-0000550A0000}"/>
    <cellStyle name="20% - Accent2 3 3 2 2" xfId="4660" xr:uid="{00000000-0005-0000-0000-0000560A0000}"/>
    <cellStyle name="20% - Accent2 3 3 2 2 2" xfId="8251" xr:uid="{00000000-0005-0000-0000-0000570A0000}"/>
    <cellStyle name="20% - Accent2 3 3 2 2 2 2" xfId="16222" xr:uid="{00000000-0005-0000-0000-0000580A0000}"/>
    <cellStyle name="20% - Accent2 3 3 2 2 2 2 2" xfId="40065" xr:uid="{974AD1EB-37E8-4B51-A3FA-EC5B0ACB9C5F}"/>
    <cellStyle name="20% - Accent2 3 3 2 2 2 3" xfId="24168" xr:uid="{00000000-0005-0000-0000-0000590A0000}"/>
    <cellStyle name="20% - Accent2 3 3 2 2 2 3 2" xfId="48001" xr:uid="{C581FD73-7E23-4A5E-8189-28C3A6E530B6}"/>
    <cellStyle name="20% - Accent2 3 3 2 2 2 4" xfId="32124" xr:uid="{1273F7B5-AAD4-46C2-830D-E6AEB3522B7E}"/>
    <cellStyle name="20% - Accent2 3 3 2 2 3" xfId="12684" xr:uid="{00000000-0005-0000-0000-00005A0A0000}"/>
    <cellStyle name="20% - Accent2 3 3 2 2 3 2" xfId="36534" xr:uid="{6485ACC4-CD1F-4151-B546-60E059355EEF}"/>
    <cellStyle name="20% - Accent2 3 3 2 2 4" xfId="20639" xr:uid="{00000000-0005-0000-0000-00005B0A0000}"/>
    <cellStyle name="20% - Accent2 3 3 2 2 4 2" xfId="44472" xr:uid="{E70FD4A4-D19E-44BF-B537-58B750F32BED}"/>
    <cellStyle name="20% - Accent2 3 3 2 2 5" xfId="28593" xr:uid="{D48A211E-C7E5-4D42-8090-1F3DFC6CB765}"/>
    <cellStyle name="20% - Accent2 3 3 2 3" xfId="6492" xr:uid="{00000000-0005-0000-0000-00005C0A0000}"/>
    <cellStyle name="20% - Accent2 3 3 2 3 2" xfId="14464" xr:uid="{00000000-0005-0000-0000-00005D0A0000}"/>
    <cellStyle name="20% - Accent2 3 3 2 3 2 2" xfId="38307" xr:uid="{815B4FDF-FA12-4370-9F87-D1F46EED4FC4}"/>
    <cellStyle name="20% - Accent2 3 3 2 3 3" xfId="22411" xr:uid="{00000000-0005-0000-0000-00005E0A0000}"/>
    <cellStyle name="20% - Accent2 3 3 2 3 3 2" xfId="46244" xr:uid="{A2435B39-9021-4550-8B22-DAE5EDD75384}"/>
    <cellStyle name="20% - Accent2 3 3 2 3 4" xfId="30366" xr:uid="{FA3563E6-3F38-49F1-BAE8-98F317A0E546}"/>
    <cellStyle name="20% - Accent2 3 3 2 4" xfId="10928" xr:uid="{00000000-0005-0000-0000-00005F0A0000}"/>
    <cellStyle name="20% - Accent2 3 3 2 4 2" xfId="34778" xr:uid="{90EA94D5-B5FA-4A41-9C3E-040693A9B744}"/>
    <cellStyle name="20% - Accent2 3 3 2 5" xfId="18883" xr:uid="{00000000-0005-0000-0000-0000600A0000}"/>
    <cellStyle name="20% - Accent2 3 3 2 5 2" xfId="42716" xr:uid="{A1D585A7-AAE2-4C1E-AB47-40CD1E3160A5}"/>
    <cellStyle name="20% - Accent2 3 3 2 6" xfId="26836" xr:uid="{12E8A6EB-241F-49E9-823A-F7D88E3B9BA7}"/>
    <cellStyle name="20% - Accent2 3 3 2_Exh G" xfId="2125" xr:uid="{00000000-0005-0000-0000-0000610A0000}"/>
    <cellStyle name="20% - Accent2 3 3 3" xfId="3781" xr:uid="{00000000-0005-0000-0000-0000620A0000}"/>
    <cellStyle name="20% - Accent2 3 3 3 2" xfId="7373" xr:uid="{00000000-0005-0000-0000-0000630A0000}"/>
    <cellStyle name="20% - Accent2 3 3 3 2 2" xfId="15344" xr:uid="{00000000-0005-0000-0000-0000640A0000}"/>
    <cellStyle name="20% - Accent2 3 3 3 2 2 2" xfId="39187" xr:uid="{6A17961A-E149-48E2-8CFF-BDF0A7E44A75}"/>
    <cellStyle name="20% - Accent2 3 3 3 2 3" xfId="23290" xr:uid="{00000000-0005-0000-0000-0000650A0000}"/>
    <cellStyle name="20% - Accent2 3 3 3 2 3 2" xfId="47123" xr:uid="{0D9CFC59-9F77-4783-B6C7-09BEE0BF14D3}"/>
    <cellStyle name="20% - Accent2 3 3 3 2 4" xfId="31246" xr:uid="{D4E6300A-A552-4CD6-9BF3-7A847DA5D143}"/>
    <cellStyle name="20% - Accent2 3 3 3 3" xfId="11806" xr:uid="{00000000-0005-0000-0000-0000660A0000}"/>
    <cellStyle name="20% - Accent2 3 3 3 3 2" xfId="35656" xr:uid="{C0024430-DF75-4AE9-8AF6-C7A4D19D039A}"/>
    <cellStyle name="20% - Accent2 3 3 3 4" xfId="19761" xr:uid="{00000000-0005-0000-0000-0000670A0000}"/>
    <cellStyle name="20% - Accent2 3 3 3 4 2" xfId="43594" xr:uid="{160B96A6-37D5-48E3-AE01-C6F09543ECC2}"/>
    <cellStyle name="20% - Accent2 3 3 3 5" xfId="27715" xr:uid="{2554032F-B688-404C-942B-895385731902}"/>
    <cellStyle name="20% - Accent2 3 3 4" xfId="5601" xr:uid="{00000000-0005-0000-0000-0000680A0000}"/>
    <cellStyle name="20% - Accent2 3 3 4 2" xfId="13585" xr:uid="{00000000-0005-0000-0000-0000690A0000}"/>
    <cellStyle name="20% - Accent2 3 3 4 2 2" xfId="37429" xr:uid="{3DFAA55B-8E97-436D-924A-FEA6F98394F6}"/>
    <cellStyle name="20% - Accent2 3 3 4 3" xfId="21533" xr:uid="{00000000-0005-0000-0000-00006A0A0000}"/>
    <cellStyle name="20% - Accent2 3 3 4 3 2" xfId="45366" xr:uid="{BE2BE118-9CF8-4852-81C6-27B78F5115D8}"/>
    <cellStyle name="20% - Accent2 3 3 4 4" xfId="29488" xr:uid="{2EF4000C-B975-4666-8B5C-C669B1D9E5AB}"/>
    <cellStyle name="20% - Accent2 3 3 5" xfId="9154" xr:uid="{00000000-0005-0000-0000-00006B0A0000}"/>
    <cellStyle name="20% - Accent2 3 3 5 2" xfId="17112" xr:uid="{00000000-0005-0000-0000-00006C0A0000}"/>
    <cellStyle name="20% - Accent2 3 3 5 2 2" xfId="40953" xr:uid="{504DC860-CE4D-4241-834B-65CF9DA46C49}"/>
    <cellStyle name="20% - Accent2 3 3 5 3" xfId="25056" xr:uid="{00000000-0005-0000-0000-00006D0A0000}"/>
    <cellStyle name="20% - Accent2 3 3 5 3 2" xfId="48889" xr:uid="{69C530B1-1176-4DB3-8BF3-D6B75EE74A20}"/>
    <cellStyle name="20% - Accent2 3 3 5 4" xfId="33012" xr:uid="{8A7F9B7F-A05D-48FD-A5F0-31616254912C}"/>
    <cellStyle name="20% - Accent2 3 3 6" xfId="10050" xr:uid="{00000000-0005-0000-0000-00006E0A0000}"/>
    <cellStyle name="20% - Accent2 3 3 6 2" xfId="33900" xr:uid="{E9B892B7-4A4A-4485-8FA4-1E062B5F11D2}"/>
    <cellStyle name="20% - Accent2 3 3 7" xfId="18005" xr:uid="{00000000-0005-0000-0000-00006F0A0000}"/>
    <cellStyle name="20% - Accent2 3 3 7 2" xfId="41838" xr:uid="{4962B82E-A437-4D89-A7F8-FE79B7C43D5A}"/>
    <cellStyle name="20% - Accent2 3 3 8" xfId="25958" xr:uid="{90AB2111-E08E-4BB8-86B3-1032DE541818}"/>
    <cellStyle name="20% - Accent2 3 3_Exh G" xfId="2124" xr:uid="{00000000-0005-0000-0000-0000700A0000}"/>
    <cellStyle name="20% - Accent2 3 4" xfId="877" xr:uid="{00000000-0005-0000-0000-0000710A0000}"/>
    <cellStyle name="20% - Accent2 3 4 2" xfId="1811" xr:uid="{00000000-0005-0000-0000-0000720A0000}"/>
    <cellStyle name="20% - Accent2 3 4 2 2" xfId="5329" xr:uid="{00000000-0005-0000-0000-0000730A0000}"/>
    <cellStyle name="20% - Accent2 3 4 2 2 2" xfId="8920" xr:uid="{00000000-0005-0000-0000-0000740A0000}"/>
    <cellStyle name="20% - Accent2 3 4 2 2 2 2" xfId="16891" xr:uid="{00000000-0005-0000-0000-0000750A0000}"/>
    <cellStyle name="20% - Accent2 3 4 2 2 2 2 2" xfId="40734" xr:uid="{F9DDE1D8-C127-45AC-A4C5-B3F54D2EC2D9}"/>
    <cellStyle name="20% - Accent2 3 4 2 2 2 3" xfId="24837" xr:uid="{00000000-0005-0000-0000-0000760A0000}"/>
    <cellStyle name="20% - Accent2 3 4 2 2 2 3 2" xfId="48670" xr:uid="{229D9AAD-6F28-4085-BACD-9C863A256F9F}"/>
    <cellStyle name="20% - Accent2 3 4 2 2 2 4" xfId="32793" xr:uid="{4097E240-5733-4256-A6CD-C2D6BCA0F0E3}"/>
    <cellStyle name="20% - Accent2 3 4 2 2 3" xfId="13353" xr:uid="{00000000-0005-0000-0000-0000770A0000}"/>
    <cellStyle name="20% - Accent2 3 4 2 2 3 2" xfId="37203" xr:uid="{E3BE9BA0-9C38-4BBE-BD87-663A7BF8C8EB}"/>
    <cellStyle name="20% - Accent2 3 4 2 2 4" xfId="21308" xr:uid="{00000000-0005-0000-0000-0000780A0000}"/>
    <cellStyle name="20% - Accent2 3 4 2 2 4 2" xfId="45141" xr:uid="{37C62D82-3956-46FD-9EE5-8726B6B67851}"/>
    <cellStyle name="20% - Accent2 3 4 2 2 5" xfId="29262" xr:uid="{56E53D8D-699F-4231-BC41-FC1E4BF76FFB}"/>
    <cellStyle name="20% - Accent2 3 4 2 3" xfId="7161" xr:uid="{00000000-0005-0000-0000-0000790A0000}"/>
    <cellStyle name="20% - Accent2 3 4 2 3 2" xfId="15133" xr:uid="{00000000-0005-0000-0000-00007A0A0000}"/>
    <cellStyle name="20% - Accent2 3 4 2 3 2 2" xfId="38976" xr:uid="{94AA5197-C155-458C-8C1A-CF6977F22CBE}"/>
    <cellStyle name="20% - Accent2 3 4 2 3 3" xfId="23080" xr:uid="{00000000-0005-0000-0000-00007B0A0000}"/>
    <cellStyle name="20% - Accent2 3 4 2 3 3 2" xfId="46913" xr:uid="{F6295A7E-86FD-4269-AE4B-4261A5F306E2}"/>
    <cellStyle name="20% - Accent2 3 4 2 3 4" xfId="31035" xr:uid="{D249C5FB-6514-412A-AF35-B486EFB2BA56}"/>
    <cellStyle name="20% - Accent2 3 4 2 4" xfId="11597" xr:uid="{00000000-0005-0000-0000-00007C0A0000}"/>
    <cellStyle name="20% - Accent2 3 4 2 4 2" xfId="35447" xr:uid="{1DC28380-E63F-47A8-8376-6A9B8B4B4C09}"/>
    <cellStyle name="20% - Accent2 3 4 2 5" xfId="19552" xr:uid="{00000000-0005-0000-0000-00007D0A0000}"/>
    <cellStyle name="20% - Accent2 3 4 2 5 2" xfId="43385" xr:uid="{84B3CB8B-E2E7-47D4-A723-DE48C77C727E}"/>
    <cellStyle name="20% - Accent2 3 4 2 6" xfId="27505" xr:uid="{586848BD-15BD-4C13-9A97-28705DFA27A6}"/>
    <cellStyle name="20% - Accent2 3 4 2_Exh G" xfId="2127" xr:uid="{00000000-0005-0000-0000-00007E0A0000}"/>
    <cellStyle name="20% - Accent2 3 4 3" xfId="4450" xr:uid="{00000000-0005-0000-0000-00007F0A0000}"/>
    <cellStyle name="20% - Accent2 3 4 3 2" xfId="8042" xr:uid="{00000000-0005-0000-0000-0000800A0000}"/>
    <cellStyle name="20% - Accent2 3 4 3 2 2" xfId="16013" xr:uid="{00000000-0005-0000-0000-0000810A0000}"/>
    <cellStyle name="20% - Accent2 3 4 3 2 2 2" xfId="39856" xr:uid="{52DFE8A9-0EAB-44BB-8C1B-B1C341E21838}"/>
    <cellStyle name="20% - Accent2 3 4 3 2 3" xfId="23959" xr:uid="{00000000-0005-0000-0000-0000820A0000}"/>
    <cellStyle name="20% - Accent2 3 4 3 2 3 2" xfId="47792" xr:uid="{89B7B11C-20D4-4F73-A72D-F2F3167938C9}"/>
    <cellStyle name="20% - Accent2 3 4 3 2 4" xfId="31915" xr:uid="{AD459E62-FC17-4F4B-B031-733B2B380720}"/>
    <cellStyle name="20% - Accent2 3 4 3 3" xfId="12475" xr:uid="{00000000-0005-0000-0000-0000830A0000}"/>
    <cellStyle name="20% - Accent2 3 4 3 3 2" xfId="36325" xr:uid="{E0C63955-12FF-4EC8-8635-6B4150666293}"/>
    <cellStyle name="20% - Accent2 3 4 3 4" xfId="20430" xr:uid="{00000000-0005-0000-0000-0000840A0000}"/>
    <cellStyle name="20% - Accent2 3 4 3 4 2" xfId="44263" xr:uid="{9BB7BB89-500C-4EBD-A3E5-F55DA15D9FC2}"/>
    <cellStyle name="20% - Accent2 3 4 3 5" xfId="28384" xr:uid="{7DAC1E9F-24B1-4D05-BEE9-0738C03BC069}"/>
    <cellStyle name="20% - Accent2 3 4 4" xfId="6280" xr:uid="{00000000-0005-0000-0000-0000850A0000}"/>
    <cellStyle name="20% - Accent2 3 4 4 2" xfId="14255" xr:uid="{00000000-0005-0000-0000-0000860A0000}"/>
    <cellStyle name="20% - Accent2 3 4 4 2 2" xfId="38098" xr:uid="{100232CD-73DA-4A7B-8A77-F8909E7584B8}"/>
    <cellStyle name="20% - Accent2 3 4 4 3" xfId="22202" xr:uid="{00000000-0005-0000-0000-0000870A0000}"/>
    <cellStyle name="20% - Accent2 3 4 4 3 2" xfId="46035" xr:uid="{A14F9DEC-F71E-41FE-9F4F-C40FAB6E3EFB}"/>
    <cellStyle name="20% - Accent2 3 4 4 4" xfId="30157" xr:uid="{A1CE9271-A35F-4F70-B848-CE7E7EDDC513}"/>
    <cellStyle name="20% - Accent2 3 4 5" xfId="9823" xr:uid="{00000000-0005-0000-0000-0000880A0000}"/>
    <cellStyle name="20% - Accent2 3 4 5 2" xfId="17781" xr:uid="{00000000-0005-0000-0000-0000890A0000}"/>
    <cellStyle name="20% - Accent2 3 4 5 2 2" xfId="41622" xr:uid="{C8436574-88A3-47DD-AEDC-C860DC544B0F}"/>
    <cellStyle name="20% - Accent2 3 4 5 3" xfId="25725" xr:uid="{00000000-0005-0000-0000-00008A0A0000}"/>
    <cellStyle name="20% - Accent2 3 4 5 3 2" xfId="49558" xr:uid="{AFF60EFC-2309-46CC-8FA0-C059FA607665}"/>
    <cellStyle name="20% - Accent2 3 4 5 4" xfId="33681" xr:uid="{11229F2F-DAE2-492D-9E3D-5EA543A58D02}"/>
    <cellStyle name="20% - Accent2 3 4 6" xfId="10719" xr:uid="{00000000-0005-0000-0000-00008B0A0000}"/>
    <cellStyle name="20% - Accent2 3 4 6 2" xfId="34569" xr:uid="{111CA56A-ED38-47DB-A341-EC1515D83E9B}"/>
    <cellStyle name="20% - Accent2 3 4 7" xfId="18674" xr:uid="{00000000-0005-0000-0000-00008C0A0000}"/>
    <cellStyle name="20% - Accent2 3 4 7 2" xfId="42507" xr:uid="{9B90224F-C308-4115-B88F-E2BC90625132}"/>
    <cellStyle name="20% - Accent2 3 4 8" xfId="26627" xr:uid="{8152C902-F54E-43E2-8A58-DB195CA6FCEB}"/>
    <cellStyle name="20% - Accent2 3 4_Exh G" xfId="2126" xr:uid="{00000000-0005-0000-0000-00008D0A0000}"/>
    <cellStyle name="20% - Accent2 3 5" xfId="1127" xr:uid="{00000000-0005-0000-0000-00008E0A0000}"/>
    <cellStyle name="20% - Accent2 3 5 2" xfId="4657" xr:uid="{00000000-0005-0000-0000-00008F0A0000}"/>
    <cellStyle name="20% - Accent2 3 5 2 2" xfId="8248" xr:uid="{00000000-0005-0000-0000-0000900A0000}"/>
    <cellStyle name="20% - Accent2 3 5 2 2 2" xfId="16219" xr:uid="{00000000-0005-0000-0000-0000910A0000}"/>
    <cellStyle name="20% - Accent2 3 5 2 2 2 2" xfId="40062" xr:uid="{A93A32F3-D85F-4BAF-82BC-D79C2D5BBF04}"/>
    <cellStyle name="20% - Accent2 3 5 2 2 3" xfId="24165" xr:uid="{00000000-0005-0000-0000-0000920A0000}"/>
    <cellStyle name="20% - Accent2 3 5 2 2 3 2" xfId="47998" xr:uid="{A6CFB074-E8FF-4000-8E80-666BEB5F0D24}"/>
    <cellStyle name="20% - Accent2 3 5 2 2 4" xfId="32121" xr:uid="{C49C9CB2-9D1A-49EF-8EB5-5D523F1B844A}"/>
    <cellStyle name="20% - Accent2 3 5 2 3" xfId="12681" xr:uid="{00000000-0005-0000-0000-0000930A0000}"/>
    <cellStyle name="20% - Accent2 3 5 2 3 2" xfId="36531" xr:uid="{BD456B1E-6730-4108-A305-1D4A11DACD57}"/>
    <cellStyle name="20% - Accent2 3 5 2 4" xfId="20636" xr:uid="{00000000-0005-0000-0000-0000940A0000}"/>
    <cellStyle name="20% - Accent2 3 5 2 4 2" xfId="44469" xr:uid="{E909DC0A-D9E9-433F-8DF0-1B92CE6D443F}"/>
    <cellStyle name="20% - Accent2 3 5 2 5" xfId="28590" xr:uid="{4BD3E449-FAB6-41DC-9FB8-76228AB92EA0}"/>
    <cellStyle name="20% - Accent2 3 5 3" xfId="6489" xr:uid="{00000000-0005-0000-0000-0000950A0000}"/>
    <cellStyle name="20% - Accent2 3 5 3 2" xfId="14461" xr:uid="{00000000-0005-0000-0000-0000960A0000}"/>
    <cellStyle name="20% - Accent2 3 5 3 2 2" xfId="38304" xr:uid="{7DA8032D-C3B1-4201-9018-4CE673EE58CF}"/>
    <cellStyle name="20% - Accent2 3 5 3 3" xfId="22408" xr:uid="{00000000-0005-0000-0000-0000970A0000}"/>
    <cellStyle name="20% - Accent2 3 5 3 3 2" xfId="46241" xr:uid="{58A813D7-9466-4EDF-B8E6-AC9D7C80A409}"/>
    <cellStyle name="20% - Accent2 3 5 3 4" xfId="30363" xr:uid="{05ADF54C-F2B5-4E8A-9175-997C3CCE98CA}"/>
    <cellStyle name="20% - Accent2 3 5 4" xfId="10925" xr:uid="{00000000-0005-0000-0000-0000980A0000}"/>
    <cellStyle name="20% - Accent2 3 5 4 2" xfId="34775" xr:uid="{3426EA18-843B-4AED-BAD3-4E9A879152B6}"/>
    <cellStyle name="20% - Accent2 3 5 5" xfId="18880" xr:uid="{00000000-0005-0000-0000-0000990A0000}"/>
    <cellStyle name="20% - Accent2 3 5 5 2" xfId="42713" xr:uid="{1F43D0DB-79A6-4BCC-A58C-EB8010AA4D43}"/>
    <cellStyle name="20% - Accent2 3 5 6" xfId="26833" xr:uid="{F76A5E25-A4D6-4D60-B26B-C6365DCD193D}"/>
    <cellStyle name="20% - Accent2 3 5_Exh G" xfId="2128" xr:uid="{00000000-0005-0000-0000-00009A0A0000}"/>
    <cellStyle name="20% - Accent2 3 6" xfId="3778" xr:uid="{00000000-0005-0000-0000-00009B0A0000}"/>
    <cellStyle name="20% - Accent2 3 6 2" xfId="7370" xr:uid="{00000000-0005-0000-0000-00009C0A0000}"/>
    <cellStyle name="20% - Accent2 3 6 2 2" xfId="15341" xr:uid="{00000000-0005-0000-0000-00009D0A0000}"/>
    <cellStyle name="20% - Accent2 3 6 2 2 2" xfId="39184" xr:uid="{C13F35C0-F9B2-48C8-B19A-17431FF843FC}"/>
    <cellStyle name="20% - Accent2 3 6 2 3" xfId="23287" xr:uid="{00000000-0005-0000-0000-00009E0A0000}"/>
    <cellStyle name="20% - Accent2 3 6 2 3 2" xfId="47120" xr:uid="{0B27ADAE-3387-47BC-B84C-C515B91C713E}"/>
    <cellStyle name="20% - Accent2 3 6 2 4" xfId="31243" xr:uid="{6EF00D4C-6B9A-4B10-B102-D1EF75507DBB}"/>
    <cellStyle name="20% - Accent2 3 6 3" xfId="11803" xr:uid="{00000000-0005-0000-0000-00009F0A0000}"/>
    <cellStyle name="20% - Accent2 3 6 3 2" xfId="35653" xr:uid="{B0CFDC66-3E75-43DF-A973-C97BE1456705}"/>
    <cellStyle name="20% - Accent2 3 6 4" xfId="19758" xr:uid="{00000000-0005-0000-0000-0000A00A0000}"/>
    <cellStyle name="20% - Accent2 3 6 4 2" xfId="43591" xr:uid="{23313EAF-32F8-4EE3-B837-0B9DC829D3B0}"/>
    <cellStyle name="20% - Accent2 3 6 5" xfId="27712" xr:uid="{DB3F9DC6-07CC-4831-AF96-CA9875989DE2}"/>
    <cellStyle name="20% - Accent2 3 7" xfId="5598" xr:uid="{00000000-0005-0000-0000-0000A10A0000}"/>
    <cellStyle name="20% - Accent2 3 7 2" xfId="13582" xr:uid="{00000000-0005-0000-0000-0000A20A0000}"/>
    <cellStyle name="20% - Accent2 3 7 2 2" xfId="37426" xr:uid="{70399C2E-557A-4A6B-A971-0EE3B177D56A}"/>
    <cellStyle name="20% - Accent2 3 7 3" xfId="21530" xr:uid="{00000000-0005-0000-0000-0000A30A0000}"/>
    <cellStyle name="20% - Accent2 3 7 3 2" xfId="45363" xr:uid="{419C2832-2DD8-4527-BF5D-27E810171D6A}"/>
    <cellStyle name="20% - Accent2 3 7 4" xfId="29485" xr:uid="{A9119550-D9A2-423A-9A42-87D31E9020C1}"/>
    <cellStyle name="20% - Accent2 3 8" xfId="9151" xr:uid="{00000000-0005-0000-0000-0000A40A0000}"/>
    <cellStyle name="20% - Accent2 3 8 2" xfId="17109" xr:uid="{00000000-0005-0000-0000-0000A50A0000}"/>
    <cellStyle name="20% - Accent2 3 8 2 2" xfId="40950" xr:uid="{FDD2E0E5-78B4-4EBD-AD49-88926227F6D0}"/>
    <cellStyle name="20% - Accent2 3 8 3" xfId="25053" xr:uid="{00000000-0005-0000-0000-0000A60A0000}"/>
    <cellStyle name="20% - Accent2 3 8 3 2" xfId="48886" xr:uid="{F453F858-3EF5-4D6B-854D-AFF8A15E3E74}"/>
    <cellStyle name="20% - Accent2 3 8 4" xfId="33009" xr:uid="{A129BF2D-8595-4FDE-A3DF-8F29C2758197}"/>
    <cellStyle name="20% - Accent2 3 9" xfId="10047" xr:uid="{00000000-0005-0000-0000-0000A70A0000}"/>
    <cellStyle name="20% - Accent2 3 9 2" xfId="33897" xr:uid="{E508614E-2762-4F9C-B1BC-C28FAF86D24F}"/>
    <cellStyle name="20% - Accent2 3_Exh G" xfId="2117" xr:uid="{00000000-0005-0000-0000-0000A80A0000}"/>
    <cellStyle name="20% - Accent2 4" xfId="103" xr:uid="{00000000-0005-0000-0000-0000A90A0000}"/>
    <cellStyle name="20% - Accent2 4 10" xfId="18006" xr:uid="{00000000-0005-0000-0000-0000AA0A0000}"/>
    <cellStyle name="20% - Accent2 4 10 2" xfId="41839" xr:uid="{51DFAD04-0D87-423E-B16D-44DAAED10556}"/>
    <cellStyle name="20% - Accent2 4 11" xfId="25959" xr:uid="{52B76F3F-3974-4491-B364-B65582AA9C00}"/>
    <cellStyle name="20% - Accent2 4 2" xfId="104" xr:uid="{00000000-0005-0000-0000-0000AB0A0000}"/>
    <cellStyle name="20% - Accent2 4 2 10" xfId="25960" xr:uid="{C2F7EC9B-1A4A-4B60-AC23-922ACD113DC1}"/>
    <cellStyle name="20% - Accent2 4 2 2" xfId="105" xr:uid="{00000000-0005-0000-0000-0000AC0A0000}"/>
    <cellStyle name="20% - Accent2 4 2 2 2" xfId="1133" xr:uid="{00000000-0005-0000-0000-0000AD0A0000}"/>
    <cellStyle name="20% - Accent2 4 2 2 2 2" xfId="4663" xr:uid="{00000000-0005-0000-0000-0000AE0A0000}"/>
    <cellStyle name="20% - Accent2 4 2 2 2 2 2" xfId="8254" xr:uid="{00000000-0005-0000-0000-0000AF0A0000}"/>
    <cellStyle name="20% - Accent2 4 2 2 2 2 2 2" xfId="16225" xr:uid="{00000000-0005-0000-0000-0000B00A0000}"/>
    <cellStyle name="20% - Accent2 4 2 2 2 2 2 2 2" xfId="40068" xr:uid="{4025E225-BA69-426E-AE88-0F0E0FED0CA7}"/>
    <cellStyle name="20% - Accent2 4 2 2 2 2 2 3" xfId="24171" xr:uid="{00000000-0005-0000-0000-0000B10A0000}"/>
    <cellStyle name="20% - Accent2 4 2 2 2 2 2 3 2" xfId="48004" xr:uid="{F89AB8FE-ACA8-4181-B53B-750E74F5AF5A}"/>
    <cellStyle name="20% - Accent2 4 2 2 2 2 2 4" xfId="32127" xr:uid="{78525B41-0B1B-4502-B288-53B367E46AE7}"/>
    <cellStyle name="20% - Accent2 4 2 2 2 2 3" xfId="12687" xr:uid="{00000000-0005-0000-0000-0000B20A0000}"/>
    <cellStyle name="20% - Accent2 4 2 2 2 2 3 2" xfId="36537" xr:uid="{E7FE22C6-97A1-4303-8475-7D8C1A4F31AF}"/>
    <cellStyle name="20% - Accent2 4 2 2 2 2 4" xfId="20642" xr:uid="{00000000-0005-0000-0000-0000B30A0000}"/>
    <cellStyle name="20% - Accent2 4 2 2 2 2 4 2" xfId="44475" xr:uid="{2C0C9D37-26A7-4E38-A85C-2C603698D627}"/>
    <cellStyle name="20% - Accent2 4 2 2 2 2 5" xfId="28596" xr:uid="{7225BB7E-9503-44A7-8C04-70A25F7B4D7A}"/>
    <cellStyle name="20% - Accent2 4 2 2 2 3" xfId="6495" xr:uid="{00000000-0005-0000-0000-0000B40A0000}"/>
    <cellStyle name="20% - Accent2 4 2 2 2 3 2" xfId="14467" xr:uid="{00000000-0005-0000-0000-0000B50A0000}"/>
    <cellStyle name="20% - Accent2 4 2 2 2 3 2 2" xfId="38310" xr:uid="{DC90291B-ECAF-4EF9-A637-E9EEC2A407AC}"/>
    <cellStyle name="20% - Accent2 4 2 2 2 3 3" xfId="22414" xr:uid="{00000000-0005-0000-0000-0000B60A0000}"/>
    <cellStyle name="20% - Accent2 4 2 2 2 3 3 2" xfId="46247" xr:uid="{B84923BB-54BE-457E-96DC-7D488F318634}"/>
    <cellStyle name="20% - Accent2 4 2 2 2 3 4" xfId="30369" xr:uid="{684F415F-6287-4910-832B-820848F5E21A}"/>
    <cellStyle name="20% - Accent2 4 2 2 2 4" xfId="10931" xr:uid="{00000000-0005-0000-0000-0000B70A0000}"/>
    <cellStyle name="20% - Accent2 4 2 2 2 4 2" xfId="34781" xr:uid="{33E6DCC1-A755-478E-A9E8-F00FD4D30420}"/>
    <cellStyle name="20% - Accent2 4 2 2 2 5" xfId="18886" xr:uid="{00000000-0005-0000-0000-0000B80A0000}"/>
    <cellStyle name="20% - Accent2 4 2 2 2 5 2" xfId="42719" xr:uid="{7A80272E-724E-41B0-BEAA-FD2D6FBF2848}"/>
    <cellStyle name="20% - Accent2 4 2 2 2 6" xfId="26839" xr:uid="{26F64487-0B82-4763-9B4E-9CE9AC377129}"/>
    <cellStyle name="20% - Accent2 4 2 2 2_Exh G" xfId="2132" xr:uid="{00000000-0005-0000-0000-0000B90A0000}"/>
    <cellStyle name="20% - Accent2 4 2 2 3" xfId="3784" xr:uid="{00000000-0005-0000-0000-0000BA0A0000}"/>
    <cellStyle name="20% - Accent2 4 2 2 3 2" xfId="7376" xr:uid="{00000000-0005-0000-0000-0000BB0A0000}"/>
    <cellStyle name="20% - Accent2 4 2 2 3 2 2" xfId="15347" xr:uid="{00000000-0005-0000-0000-0000BC0A0000}"/>
    <cellStyle name="20% - Accent2 4 2 2 3 2 2 2" xfId="39190" xr:uid="{625E9C2E-D0E6-47A7-8D5C-F7F65C623584}"/>
    <cellStyle name="20% - Accent2 4 2 2 3 2 3" xfId="23293" xr:uid="{00000000-0005-0000-0000-0000BD0A0000}"/>
    <cellStyle name="20% - Accent2 4 2 2 3 2 3 2" xfId="47126" xr:uid="{88D9F7D2-7BD8-4521-B6F1-8FACA5439483}"/>
    <cellStyle name="20% - Accent2 4 2 2 3 2 4" xfId="31249" xr:uid="{BCCF8544-FE57-4BF8-94A0-98B506A57D79}"/>
    <cellStyle name="20% - Accent2 4 2 2 3 3" xfId="11809" xr:uid="{00000000-0005-0000-0000-0000BE0A0000}"/>
    <cellStyle name="20% - Accent2 4 2 2 3 3 2" xfId="35659" xr:uid="{217B632D-2A0F-4B49-96B7-FB62FA5CFBD4}"/>
    <cellStyle name="20% - Accent2 4 2 2 3 4" xfId="19764" xr:uid="{00000000-0005-0000-0000-0000BF0A0000}"/>
    <cellStyle name="20% - Accent2 4 2 2 3 4 2" xfId="43597" xr:uid="{2AD598A8-7770-4BD3-89BA-CAB8CDB54F59}"/>
    <cellStyle name="20% - Accent2 4 2 2 3 5" xfId="27718" xr:uid="{706BA935-7B2B-432A-9A15-8CC9B32CBE45}"/>
    <cellStyle name="20% - Accent2 4 2 2 4" xfId="5604" xr:uid="{00000000-0005-0000-0000-0000C00A0000}"/>
    <cellStyle name="20% - Accent2 4 2 2 4 2" xfId="13588" xr:uid="{00000000-0005-0000-0000-0000C10A0000}"/>
    <cellStyle name="20% - Accent2 4 2 2 4 2 2" xfId="37432" xr:uid="{FF1CDA6F-8AF7-42C1-8A0C-080E218F84A7}"/>
    <cellStyle name="20% - Accent2 4 2 2 4 3" xfId="21536" xr:uid="{00000000-0005-0000-0000-0000C20A0000}"/>
    <cellStyle name="20% - Accent2 4 2 2 4 3 2" xfId="45369" xr:uid="{BD85AC32-C4FB-4AFE-8BEC-151409B69E60}"/>
    <cellStyle name="20% - Accent2 4 2 2 4 4" xfId="29491" xr:uid="{4ECAB4EF-2A26-4141-A3E7-4DBBD0E8A431}"/>
    <cellStyle name="20% - Accent2 4 2 2 5" xfId="9157" xr:uid="{00000000-0005-0000-0000-0000C30A0000}"/>
    <cellStyle name="20% - Accent2 4 2 2 5 2" xfId="17115" xr:uid="{00000000-0005-0000-0000-0000C40A0000}"/>
    <cellStyle name="20% - Accent2 4 2 2 5 2 2" xfId="40956" xr:uid="{2B6D71C1-3534-4DF3-A3A1-CC8C49B3CCC3}"/>
    <cellStyle name="20% - Accent2 4 2 2 5 3" xfId="25059" xr:uid="{00000000-0005-0000-0000-0000C50A0000}"/>
    <cellStyle name="20% - Accent2 4 2 2 5 3 2" xfId="48892" xr:uid="{B114FCC0-7650-40F2-9D5C-079245F732B1}"/>
    <cellStyle name="20% - Accent2 4 2 2 5 4" xfId="33015" xr:uid="{AEC538A4-0F8B-42B5-A90B-6947F221D48B}"/>
    <cellStyle name="20% - Accent2 4 2 2 6" xfId="10053" xr:uid="{00000000-0005-0000-0000-0000C60A0000}"/>
    <cellStyle name="20% - Accent2 4 2 2 6 2" xfId="33903" xr:uid="{16F184B8-6E17-42C0-9C21-A0E3B1CFAF49}"/>
    <cellStyle name="20% - Accent2 4 2 2 7" xfId="18008" xr:uid="{00000000-0005-0000-0000-0000C70A0000}"/>
    <cellStyle name="20% - Accent2 4 2 2 7 2" xfId="41841" xr:uid="{98B26822-7FBA-4221-8F71-4D845FE15628}"/>
    <cellStyle name="20% - Accent2 4 2 2 8" xfId="25961" xr:uid="{186D309C-C1DE-4883-804C-C42E6965D2BE}"/>
    <cellStyle name="20% - Accent2 4 2 2_Exh G" xfId="2131" xr:uid="{00000000-0005-0000-0000-0000C80A0000}"/>
    <cellStyle name="20% - Accent2 4 2 3" xfId="880" xr:uid="{00000000-0005-0000-0000-0000C90A0000}"/>
    <cellStyle name="20% - Accent2 4 2 3 2" xfId="1814" xr:uid="{00000000-0005-0000-0000-0000CA0A0000}"/>
    <cellStyle name="20% - Accent2 4 2 3 2 2" xfId="5332" xr:uid="{00000000-0005-0000-0000-0000CB0A0000}"/>
    <cellStyle name="20% - Accent2 4 2 3 2 2 2" xfId="8923" xr:uid="{00000000-0005-0000-0000-0000CC0A0000}"/>
    <cellStyle name="20% - Accent2 4 2 3 2 2 2 2" xfId="16894" xr:uid="{00000000-0005-0000-0000-0000CD0A0000}"/>
    <cellStyle name="20% - Accent2 4 2 3 2 2 2 2 2" xfId="40737" xr:uid="{787EAA7E-9BB0-488A-829A-25A4D2A97F7D}"/>
    <cellStyle name="20% - Accent2 4 2 3 2 2 2 3" xfId="24840" xr:uid="{00000000-0005-0000-0000-0000CE0A0000}"/>
    <cellStyle name="20% - Accent2 4 2 3 2 2 2 3 2" xfId="48673" xr:uid="{A4C437A9-9DE2-4C99-ACDD-11C8FEB9D4CD}"/>
    <cellStyle name="20% - Accent2 4 2 3 2 2 2 4" xfId="32796" xr:uid="{643B1DBF-FC70-4CF6-B063-EC66935E9821}"/>
    <cellStyle name="20% - Accent2 4 2 3 2 2 3" xfId="13356" xr:uid="{00000000-0005-0000-0000-0000CF0A0000}"/>
    <cellStyle name="20% - Accent2 4 2 3 2 2 3 2" xfId="37206" xr:uid="{CAD68C36-DFD7-4B99-AB00-D88392B79F1A}"/>
    <cellStyle name="20% - Accent2 4 2 3 2 2 4" xfId="21311" xr:uid="{00000000-0005-0000-0000-0000D00A0000}"/>
    <cellStyle name="20% - Accent2 4 2 3 2 2 4 2" xfId="45144" xr:uid="{4DCFBE34-3453-435D-AD9B-EDB58E5B3383}"/>
    <cellStyle name="20% - Accent2 4 2 3 2 2 5" xfId="29265" xr:uid="{0DB5A524-73AC-4B74-8489-06FC52CB99B5}"/>
    <cellStyle name="20% - Accent2 4 2 3 2 3" xfId="7164" xr:uid="{00000000-0005-0000-0000-0000D10A0000}"/>
    <cellStyle name="20% - Accent2 4 2 3 2 3 2" xfId="15136" xr:uid="{00000000-0005-0000-0000-0000D20A0000}"/>
    <cellStyle name="20% - Accent2 4 2 3 2 3 2 2" xfId="38979" xr:uid="{F04FCC7E-41CB-4A21-AFBC-2AF81C90722F}"/>
    <cellStyle name="20% - Accent2 4 2 3 2 3 3" xfId="23083" xr:uid="{00000000-0005-0000-0000-0000D30A0000}"/>
    <cellStyle name="20% - Accent2 4 2 3 2 3 3 2" xfId="46916" xr:uid="{0C930FCD-BFFE-4CC3-8B2C-B11B3D67D110}"/>
    <cellStyle name="20% - Accent2 4 2 3 2 3 4" xfId="31038" xr:uid="{D7DE551E-DA12-4EA8-B51C-90C55E7A6997}"/>
    <cellStyle name="20% - Accent2 4 2 3 2 4" xfId="11600" xr:uid="{00000000-0005-0000-0000-0000D40A0000}"/>
    <cellStyle name="20% - Accent2 4 2 3 2 4 2" xfId="35450" xr:uid="{D001A8E2-5A45-4D58-B7D4-E05F12EFAAD7}"/>
    <cellStyle name="20% - Accent2 4 2 3 2 5" xfId="19555" xr:uid="{00000000-0005-0000-0000-0000D50A0000}"/>
    <cellStyle name="20% - Accent2 4 2 3 2 5 2" xfId="43388" xr:uid="{41C8E076-FCE2-4F18-A60B-C7570F715C1E}"/>
    <cellStyle name="20% - Accent2 4 2 3 2 6" xfId="27508" xr:uid="{31EF162C-BD79-4D30-BB1E-4008800D1773}"/>
    <cellStyle name="20% - Accent2 4 2 3 2_Exh G" xfId="2134" xr:uid="{00000000-0005-0000-0000-0000D60A0000}"/>
    <cellStyle name="20% - Accent2 4 2 3 3" xfId="4453" xr:uid="{00000000-0005-0000-0000-0000D70A0000}"/>
    <cellStyle name="20% - Accent2 4 2 3 3 2" xfId="8045" xr:uid="{00000000-0005-0000-0000-0000D80A0000}"/>
    <cellStyle name="20% - Accent2 4 2 3 3 2 2" xfId="16016" xr:uid="{00000000-0005-0000-0000-0000D90A0000}"/>
    <cellStyle name="20% - Accent2 4 2 3 3 2 2 2" xfId="39859" xr:uid="{93286FDF-7251-4323-AEEB-E2525E00A5B3}"/>
    <cellStyle name="20% - Accent2 4 2 3 3 2 3" xfId="23962" xr:uid="{00000000-0005-0000-0000-0000DA0A0000}"/>
    <cellStyle name="20% - Accent2 4 2 3 3 2 3 2" xfId="47795" xr:uid="{D807FD9A-4CA0-4D3B-80D6-11B95938868A}"/>
    <cellStyle name="20% - Accent2 4 2 3 3 2 4" xfId="31918" xr:uid="{0602C8DC-6E8C-4014-9569-5C035F65335A}"/>
    <cellStyle name="20% - Accent2 4 2 3 3 3" xfId="12478" xr:uid="{00000000-0005-0000-0000-0000DB0A0000}"/>
    <cellStyle name="20% - Accent2 4 2 3 3 3 2" xfId="36328" xr:uid="{8C72436B-4FAB-46DB-9EA6-B3851637B025}"/>
    <cellStyle name="20% - Accent2 4 2 3 3 4" xfId="20433" xr:uid="{00000000-0005-0000-0000-0000DC0A0000}"/>
    <cellStyle name="20% - Accent2 4 2 3 3 4 2" xfId="44266" xr:uid="{97271703-F674-4541-9877-52D5368175F8}"/>
    <cellStyle name="20% - Accent2 4 2 3 3 5" xfId="28387" xr:uid="{1C35A5E3-95BD-4E45-A1DC-A44D3A70329B}"/>
    <cellStyle name="20% - Accent2 4 2 3 4" xfId="6283" xr:uid="{00000000-0005-0000-0000-0000DD0A0000}"/>
    <cellStyle name="20% - Accent2 4 2 3 4 2" xfId="14258" xr:uid="{00000000-0005-0000-0000-0000DE0A0000}"/>
    <cellStyle name="20% - Accent2 4 2 3 4 2 2" xfId="38101" xr:uid="{86AB7F0D-9E5E-4879-89C1-EF8E0B657EC4}"/>
    <cellStyle name="20% - Accent2 4 2 3 4 3" xfId="22205" xr:uid="{00000000-0005-0000-0000-0000DF0A0000}"/>
    <cellStyle name="20% - Accent2 4 2 3 4 3 2" xfId="46038" xr:uid="{95B7A735-0456-4A1D-B670-B6B53FFBCDC5}"/>
    <cellStyle name="20% - Accent2 4 2 3 4 4" xfId="30160" xr:uid="{0D51605E-BD30-4673-92BF-A75C5C543528}"/>
    <cellStyle name="20% - Accent2 4 2 3 5" xfId="9826" xr:uid="{00000000-0005-0000-0000-0000E00A0000}"/>
    <cellStyle name="20% - Accent2 4 2 3 5 2" xfId="17784" xr:uid="{00000000-0005-0000-0000-0000E10A0000}"/>
    <cellStyle name="20% - Accent2 4 2 3 5 2 2" xfId="41625" xr:uid="{48E33C1D-C9DB-4096-928F-7FE30D93E45E}"/>
    <cellStyle name="20% - Accent2 4 2 3 5 3" xfId="25728" xr:uid="{00000000-0005-0000-0000-0000E20A0000}"/>
    <cellStyle name="20% - Accent2 4 2 3 5 3 2" xfId="49561" xr:uid="{45300BB4-318F-4C3F-AFBE-3C3AEC6496E3}"/>
    <cellStyle name="20% - Accent2 4 2 3 5 4" xfId="33684" xr:uid="{BE23B913-59B6-4BC9-9A10-0E581AF35891}"/>
    <cellStyle name="20% - Accent2 4 2 3 6" xfId="10722" xr:uid="{00000000-0005-0000-0000-0000E30A0000}"/>
    <cellStyle name="20% - Accent2 4 2 3 6 2" xfId="34572" xr:uid="{ACD09E15-33D9-40CE-A1BF-60EAEF115402}"/>
    <cellStyle name="20% - Accent2 4 2 3 7" xfId="18677" xr:uid="{00000000-0005-0000-0000-0000E40A0000}"/>
    <cellStyle name="20% - Accent2 4 2 3 7 2" xfId="42510" xr:uid="{468EAFD5-7B34-4DD7-8C87-0ECD08552AC4}"/>
    <cellStyle name="20% - Accent2 4 2 3 8" xfId="26630" xr:uid="{59AB9D80-E34F-40FB-84B5-5DF00B426DA5}"/>
    <cellStyle name="20% - Accent2 4 2 3_Exh G" xfId="2133" xr:uid="{00000000-0005-0000-0000-0000E50A0000}"/>
    <cellStyle name="20% - Accent2 4 2 4" xfId="1132" xr:uid="{00000000-0005-0000-0000-0000E60A0000}"/>
    <cellStyle name="20% - Accent2 4 2 4 2" xfId="4662" xr:uid="{00000000-0005-0000-0000-0000E70A0000}"/>
    <cellStyle name="20% - Accent2 4 2 4 2 2" xfId="8253" xr:uid="{00000000-0005-0000-0000-0000E80A0000}"/>
    <cellStyle name="20% - Accent2 4 2 4 2 2 2" xfId="16224" xr:uid="{00000000-0005-0000-0000-0000E90A0000}"/>
    <cellStyle name="20% - Accent2 4 2 4 2 2 2 2" xfId="40067" xr:uid="{8D0997B0-8CA1-4381-8A84-87337E26F1CC}"/>
    <cellStyle name="20% - Accent2 4 2 4 2 2 3" xfId="24170" xr:uid="{00000000-0005-0000-0000-0000EA0A0000}"/>
    <cellStyle name="20% - Accent2 4 2 4 2 2 3 2" xfId="48003" xr:uid="{DF19D84B-31EE-476C-AC3C-4920C728EE83}"/>
    <cellStyle name="20% - Accent2 4 2 4 2 2 4" xfId="32126" xr:uid="{77FA14E5-5F46-4376-8256-21325D8DBF19}"/>
    <cellStyle name="20% - Accent2 4 2 4 2 3" xfId="12686" xr:uid="{00000000-0005-0000-0000-0000EB0A0000}"/>
    <cellStyle name="20% - Accent2 4 2 4 2 3 2" xfId="36536" xr:uid="{55B61F94-B6A9-4199-94AA-CB2AF02EB72E}"/>
    <cellStyle name="20% - Accent2 4 2 4 2 4" xfId="20641" xr:uid="{00000000-0005-0000-0000-0000EC0A0000}"/>
    <cellStyle name="20% - Accent2 4 2 4 2 4 2" xfId="44474" xr:uid="{C037FE92-138F-496D-BEF6-7ECA7EF88BB8}"/>
    <cellStyle name="20% - Accent2 4 2 4 2 5" xfId="28595" xr:uid="{350D03B6-AEC8-4318-B820-F4134B6AA836}"/>
    <cellStyle name="20% - Accent2 4 2 4 3" xfId="6494" xr:uid="{00000000-0005-0000-0000-0000ED0A0000}"/>
    <cellStyle name="20% - Accent2 4 2 4 3 2" xfId="14466" xr:uid="{00000000-0005-0000-0000-0000EE0A0000}"/>
    <cellStyle name="20% - Accent2 4 2 4 3 2 2" xfId="38309" xr:uid="{004C19FA-F4DE-4E21-A2AE-B95C32D9A917}"/>
    <cellStyle name="20% - Accent2 4 2 4 3 3" xfId="22413" xr:uid="{00000000-0005-0000-0000-0000EF0A0000}"/>
    <cellStyle name="20% - Accent2 4 2 4 3 3 2" xfId="46246" xr:uid="{C37B7FCF-364A-4776-8205-5FCE78B4E26C}"/>
    <cellStyle name="20% - Accent2 4 2 4 3 4" xfId="30368" xr:uid="{3A0B254D-50C3-44E1-9E8A-457360099C7B}"/>
    <cellStyle name="20% - Accent2 4 2 4 4" xfId="10930" xr:uid="{00000000-0005-0000-0000-0000F00A0000}"/>
    <cellStyle name="20% - Accent2 4 2 4 4 2" xfId="34780" xr:uid="{BF994B3B-BFF1-4386-AB6B-0FD7A434F48E}"/>
    <cellStyle name="20% - Accent2 4 2 4 5" xfId="18885" xr:uid="{00000000-0005-0000-0000-0000F10A0000}"/>
    <cellStyle name="20% - Accent2 4 2 4 5 2" xfId="42718" xr:uid="{1647F13B-D19D-4CCA-AF03-E2DF5ABF3E71}"/>
    <cellStyle name="20% - Accent2 4 2 4 6" xfId="26838" xr:uid="{B0F66319-CA59-4B5E-A50D-477B0AAA6518}"/>
    <cellStyle name="20% - Accent2 4 2 4_Exh G" xfId="2135" xr:uid="{00000000-0005-0000-0000-0000F20A0000}"/>
    <cellStyle name="20% - Accent2 4 2 5" xfId="3783" xr:uid="{00000000-0005-0000-0000-0000F30A0000}"/>
    <cellStyle name="20% - Accent2 4 2 5 2" xfId="7375" xr:uid="{00000000-0005-0000-0000-0000F40A0000}"/>
    <cellStyle name="20% - Accent2 4 2 5 2 2" xfId="15346" xr:uid="{00000000-0005-0000-0000-0000F50A0000}"/>
    <cellStyle name="20% - Accent2 4 2 5 2 2 2" xfId="39189" xr:uid="{96EB0141-7017-4104-B347-73BC49B0100F}"/>
    <cellStyle name="20% - Accent2 4 2 5 2 3" xfId="23292" xr:uid="{00000000-0005-0000-0000-0000F60A0000}"/>
    <cellStyle name="20% - Accent2 4 2 5 2 3 2" xfId="47125" xr:uid="{0B45C978-8446-4A4E-AF76-566C363088B3}"/>
    <cellStyle name="20% - Accent2 4 2 5 2 4" xfId="31248" xr:uid="{B8E48757-C324-49D5-9786-5B5CD915700C}"/>
    <cellStyle name="20% - Accent2 4 2 5 3" xfId="11808" xr:uid="{00000000-0005-0000-0000-0000F70A0000}"/>
    <cellStyle name="20% - Accent2 4 2 5 3 2" xfId="35658" xr:uid="{85617E5A-59F2-4B2D-A3FC-4D3D0FAD20B5}"/>
    <cellStyle name="20% - Accent2 4 2 5 4" xfId="19763" xr:uid="{00000000-0005-0000-0000-0000F80A0000}"/>
    <cellStyle name="20% - Accent2 4 2 5 4 2" xfId="43596" xr:uid="{B2579C77-476E-4E9E-A6D9-6E297ECD5A78}"/>
    <cellStyle name="20% - Accent2 4 2 5 5" xfId="27717" xr:uid="{929338B4-25B7-4B35-9D2B-C461D6A3B046}"/>
    <cellStyle name="20% - Accent2 4 2 6" xfId="5603" xr:uid="{00000000-0005-0000-0000-0000F90A0000}"/>
    <cellStyle name="20% - Accent2 4 2 6 2" xfId="13587" xr:uid="{00000000-0005-0000-0000-0000FA0A0000}"/>
    <cellStyle name="20% - Accent2 4 2 6 2 2" xfId="37431" xr:uid="{D9C1FAE8-97F0-49BB-B43C-2B0B423AFA78}"/>
    <cellStyle name="20% - Accent2 4 2 6 3" xfId="21535" xr:uid="{00000000-0005-0000-0000-0000FB0A0000}"/>
    <cellStyle name="20% - Accent2 4 2 6 3 2" xfId="45368" xr:uid="{482A33EA-95C5-4A8C-9282-5F0C6A80DBD8}"/>
    <cellStyle name="20% - Accent2 4 2 6 4" xfId="29490" xr:uid="{C3CAD9DE-BD12-4F2F-A6CF-3BB015FA94E6}"/>
    <cellStyle name="20% - Accent2 4 2 7" xfId="9156" xr:uid="{00000000-0005-0000-0000-0000FC0A0000}"/>
    <cellStyle name="20% - Accent2 4 2 7 2" xfId="17114" xr:uid="{00000000-0005-0000-0000-0000FD0A0000}"/>
    <cellStyle name="20% - Accent2 4 2 7 2 2" xfId="40955" xr:uid="{916597D5-C6B6-4708-9DB8-D31DFC0E9670}"/>
    <cellStyle name="20% - Accent2 4 2 7 3" xfId="25058" xr:uid="{00000000-0005-0000-0000-0000FE0A0000}"/>
    <cellStyle name="20% - Accent2 4 2 7 3 2" xfId="48891" xr:uid="{E9ECE8C4-CF61-4CFC-9711-F5F1C6CA08CC}"/>
    <cellStyle name="20% - Accent2 4 2 7 4" xfId="33014" xr:uid="{FA10235E-8D4E-431E-9DB3-C2EFF6F26197}"/>
    <cellStyle name="20% - Accent2 4 2 8" xfId="10052" xr:uid="{00000000-0005-0000-0000-0000FF0A0000}"/>
    <cellStyle name="20% - Accent2 4 2 8 2" xfId="33902" xr:uid="{AF22F9E6-13AC-4084-B198-8FCACA8690BB}"/>
    <cellStyle name="20% - Accent2 4 2 9" xfId="18007" xr:uid="{00000000-0005-0000-0000-0000000B0000}"/>
    <cellStyle name="20% - Accent2 4 2 9 2" xfId="41840" xr:uid="{8B630367-1E35-4A2F-BB89-2BEDE2EBB060}"/>
    <cellStyle name="20% - Accent2 4 2_Exh G" xfId="2130" xr:uid="{00000000-0005-0000-0000-0000010B0000}"/>
    <cellStyle name="20% - Accent2 4 3" xfId="106" xr:uid="{00000000-0005-0000-0000-0000020B0000}"/>
    <cellStyle name="20% - Accent2 4 3 2" xfId="1134" xr:uid="{00000000-0005-0000-0000-0000030B0000}"/>
    <cellStyle name="20% - Accent2 4 3 2 2" xfId="4664" xr:uid="{00000000-0005-0000-0000-0000040B0000}"/>
    <cellStyle name="20% - Accent2 4 3 2 2 2" xfId="8255" xr:uid="{00000000-0005-0000-0000-0000050B0000}"/>
    <cellStyle name="20% - Accent2 4 3 2 2 2 2" xfId="16226" xr:uid="{00000000-0005-0000-0000-0000060B0000}"/>
    <cellStyle name="20% - Accent2 4 3 2 2 2 2 2" xfId="40069" xr:uid="{34497475-C614-488F-A18C-9E1BBC587A96}"/>
    <cellStyle name="20% - Accent2 4 3 2 2 2 3" xfId="24172" xr:uid="{00000000-0005-0000-0000-0000070B0000}"/>
    <cellStyle name="20% - Accent2 4 3 2 2 2 3 2" xfId="48005" xr:uid="{102DBC62-CF44-4631-B014-1C179B7F02B3}"/>
    <cellStyle name="20% - Accent2 4 3 2 2 2 4" xfId="32128" xr:uid="{7119D459-1514-4532-88F9-F5F1A50E8E3E}"/>
    <cellStyle name="20% - Accent2 4 3 2 2 3" xfId="12688" xr:uid="{00000000-0005-0000-0000-0000080B0000}"/>
    <cellStyle name="20% - Accent2 4 3 2 2 3 2" xfId="36538" xr:uid="{E3EC3608-F6B7-42D9-B49B-551DC4356916}"/>
    <cellStyle name="20% - Accent2 4 3 2 2 4" xfId="20643" xr:uid="{00000000-0005-0000-0000-0000090B0000}"/>
    <cellStyle name="20% - Accent2 4 3 2 2 4 2" xfId="44476" xr:uid="{E2B5CFE4-78E0-4118-A2CC-0680AD810358}"/>
    <cellStyle name="20% - Accent2 4 3 2 2 5" xfId="28597" xr:uid="{A921ABA5-769B-453F-9CB7-6A5BFA1467EE}"/>
    <cellStyle name="20% - Accent2 4 3 2 3" xfId="6496" xr:uid="{00000000-0005-0000-0000-00000A0B0000}"/>
    <cellStyle name="20% - Accent2 4 3 2 3 2" xfId="14468" xr:uid="{00000000-0005-0000-0000-00000B0B0000}"/>
    <cellStyle name="20% - Accent2 4 3 2 3 2 2" xfId="38311" xr:uid="{B3C64B0E-71F0-45EE-9B5A-AA54E8F672AC}"/>
    <cellStyle name="20% - Accent2 4 3 2 3 3" xfId="22415" xr:uid="{00000000-0005-0000-0000-00000C0B0000}"/>
    <cellStyle name="20% - Accent2 4 3 2 3 3 2" xfId="46248" xr:uid="{B9F829F3-EAD7-4413-83C0-863209FA568F}"/>
    <cellStyle name="20% - Accent2 4 3 2 3 4" xfId="30370" xr:uid="{EF9381AE-0EA1-4D9B-8D49-74D76D660ABB}"/>
    <cellStyle name="20% - Accent2 4 3 2 4" xfId="10932" xr:uid="{00000000-0005-0000-0000-00000D0B0000}"/>
    <cellStyle name="20% - Accent2 4 3 2 4 2" xfId="34782" xr:uid="{756BA879-6094-4EBF-841C-9ADBD79CBF12}"/>
    <cellStyle name="20% - Accent2 4 3 2 5" xfId="18887" xr:uid="{00000000-0005-0000-0000-00000E0B0000}"/>
    <cellStyle name="20% - Accent2 4 3 2 5 2" xfId="42720" xr:uid="{80DABA56-1318-43FC-ABC1-93AB35346F03}"/>
    <cellStyle name="20% - Accent2 4 3 2 6" xfId="26840" xr:uid="{F9AB388D-A4C4-4584-AACD-1A63D2563904}"/>
    <cellStyle name="20% - Accent2 4 3 2_Exh G" xfId="2137" xr:uid="{00000000-0005-0000-0000-00000F0B0000}"/>
    <cellStyle name="20% - Accent2 4 3 3" xfId="3785" xr:uid="{00000000-0005-0000-0000-0000100B0000}"/>
    <cellStyle name="20% - Accent2 4 3 3 2" xfId="7377" xr:uid="{00000000-0005-0000-0000-0000110B0000}"/>
    <cellStyle name="20% - Accent2 4 3 3 2 2" xfId="15348" xr:uid="{00000000-0005-0000-0000-0000120B0000}"/>
    <cellStyle name="20% - Accent2 4 3 3 2 2 2" xfId="39191" xr:uid="{49A6C9E5-662D-4D46-B789-9C264B534248}"/>
    <cellStyle name="20% - Accent2 4 3 3 2 3" xfId="23294" xr:uid="{00000000-0005-0000-0000-0000130B0000}"/>
    <cellStyle name="20% - Accent2 4 3 3 2 3 2" xfId="47127" xr:uid="{1427C033-7DF4-4DA3-BC17-430B1E8A2372}"/>
    <cellStyle name="20% - Accent2 4 3 3 2 4" xfId="31250" xr:uid="{D39FDFDF-F34A-45D6-8FEA-FEBC53A00AAA}"/>
    <cellStyle name="20% - Accent2 4 3 3 3" xfId="11810" xr:uid="{00000000-0005-0000-0000-0000140B0000}"/>
    <cellStyle name="20% - Accent2 4 3 3 3 2" xfId="35660" xr:uid="{F820B12B-B758-4849-8EEF-0741FBCA04D4}"/>
    <cellStyle name="20% - Accent2 4 3 3 4" xfId="19765" xr:uid="{00000000-0005-0000-0000-0000150B0000}"/>
    <cellStyle name="20% - Accent2 4 3 3 4 2" xfId="43598" xr:uid="{02AA11BC-EDF7-4DEE-AE9A-EBD271F36D73}"/>
    <cellStyle name="20% - Accent2 4 3 3 5" xfId="27719" xr:uid="{D4C1CBFD-9B21-410E-9F85-1CF24F0A6C49}"/>
    <cellStyle name="20% - Accent2 4 3 4" xfId="5605" xr:uid="{00000000-0005-0000-0000-0000160B0000}"/>
    <cellStyle name="20% - Accent2 4 3 4 2" xfId="13589" xr:uid="{00000000-0005-0000-0000-0000170B0000}"/>
    <cellStyle name="20% - Accent2 4 3 4 2 2" xfId="37433" xr:uid="{629E6E60-0AB8-4262-AD7C-F774F36FF942}"/>
    <cellStyle name="20% - Accent2 4 3 4 3" xfId="21537" xr:uid="{00000000-0005-0000-0000-0000180B0000}"/>
    <cellStyle name="20% - Accent2 4 3 4 3 2" xfId="45370" xr:uid="{7F38BB0F-E2B4-4C56-9F9C-DF57EF3970E2}"/>
    <cellStyle name="20% - Accent2 4 3 4 4" xfId="29492" xr:uid="{0824F795-2BA2-44B8-BB16-A445E7014CED}"/>
    <cellStyle name="20% - Accent2 4 3 5" xfId="9158" xr:uid="{00000000-0005-0000-0000-0000190B0000}"/>
    <cellStyle name="20% - Accent2 4 3 5 2" xfId="17116" xr:uid="{00000000-0005-0000-0000-00001A0B0000}"/>
    <cellStyle name="20% - Accent2 4 3 5 2 2" xfId="40957" xr:uid="{21AB7D4F-CED3-4743-8445-CEDFE5F09C85}"/>
    <cellStyle name="20% - Accent2 4 3 5 3" xfId="25060" xr:uid="{00000000-0005-0000-0000-00001B0B0000}"/>
    <cellStyle name="20% - Accent2 4 3 5 3 2" xfId="48893" xr:uid="{5038E684-C9C9-416A-BFCE-C26F7C661222}"/>
    <cellStyle name="20% - Accent2 4 3 5 4" xfId="33016" xr:uid="{A24443BB-66FA-408C-ADF3-AF3C1440E50A}"/>
    <cellStyle name="20% - Accent2 4 3 6" xfId="10054" xr:uid="{00000000-0005-0000-0000-00001C0B0000}"/>
    <cellStyle name="20% - Accent2 4 3 6 2" xfId="33904" xr:uid="{97B61E8D-78DB-462B-A0BB-E98C75E2AD9B}"/>
    <cellStyle name="20% - Accent2 4 3 7" xfId="18009" xr:uid="{00000000-0005-0000-0000-00001D0B0000}"/>
    <cellStyle name="20% - Accent2 4 3 7 2" xfId="41842" xr:uid="{F3998C07-BFB8-42BC-B4E6-E73FF3D527CC}"/>
    <cellStyle name="20% - Accent2 4 3 8" xfId="25962" xr:uid="{ABFE936F-9A4D-40F2-BD3A-BC6ABB3DCC95}"/>
    <cellStyle name="20% - Accent2 4 3_Exh G" xfId="2136" xr:uid="{00000000-0005-0000-0000-00001E0B0000}"/>
    <cellStyle name="20% - Accent2 4 4" xfId="879" xr:uid="{00000000-0005-0000-0000-00001F0B0000}"/>
    <cellStyle name="20% - Accent2 4 4 2" xfId="1813" xr:uid="{00000000-0005-0000-0000-0000200B0000}"/>
    <cellStyle name="20% - Accent2 4 4 2 2" xfId="5331" xr:uid="{00000000-0005-0000-0000-0000210B0000}"/>
    <cellStyle name="20% - Accent2 4 4 2 2 2" xfId="8922" xr:uid="{00000000-0005-0000-0000-0000220B0000}"/>
    <cellStyle name="20% - Accent2 4 4 2 2 2 2" xfId="16893" xr:uid="{00000000-0005-0000-0000-0000230B0000}"/>
    <cellStyle name="20% - Accent2 4 4 2 2 2 2 2" xfId="40736" xr:uid="{62D957D0-6A90-4A9B-9EBF-AC7F8230C148}"/>
    <cellStyle name="20% - Accent2 4 4 2 2 2 3" xfId="24839" xr:uid="{00000000-0005-0000-0000-0000240B0000}"/>
    <cellStyle name="20% - Accent2 4 4 2 2 2 3 2" xfId="48672" xr:uid="{2D8A5475-0D75-4767-9EAD-CD6098367310}"/>
    <cellStyle name="20% - Accent2 4 4 2 2 2 4" xfId="32795" xr:uid="{F800DD78-0BE0-4736-BB05-B033A51E4149}"/>
    <cellStyle name="20% - Accent2 4 4 2 2 3" xfId="13355" xr:uid="{00000000-0005-0000-0000-0000250B0000}"/>
    <cellStyle name="20% - Accent2 4 4 2 2 3 2" xfId="37205" xr:uid="{A8D2A2A1-FFBD-4A40-8640-18825FF9F3C3}"/>
    <cellStyle name="20% - Accent2 4 4 2 2 4" xfId="21310" xr:uid="{00000000-0005-0000-0000-0000260B0000}"/>
    <cellStyle name="20% - Accent2 4 4 2 2 4 2" xfId="45143" xr:uid="{48F32209-C630-4A62-AE9E-68BCB5DA34C0}"/>
    <cellStyle name="20% - Accent2 4 4 2 2 5" xfId="29264" xr:uid="{D9939C6C-4249-4CE4-8691-C0910CA79460}"/>
    <cellStyle name="20% - Accent2 4 4 2 3" xfId="7163" xr:uid="{00000000-0005-0000-0000-0000270B0000}"/>
    <cellStyle name="20% - Accent2 4 4 2 3 2" xfId="15135" xr:uid="{00000000-0005-0000-0000-0000280B0000}"/>
    <cellStyle name="20% - Accent2 4 4 2 3 2 2" xfId="38978" xr:uid="{AB183644-2638-41A2-88D5-9D7BD1E031D3}"/>
    <cellStyle name="20% - Accent2 4 4 2 3 3" xfId="23082" xr:uid="{00000000-0005-0000-0000-0000290B0000}"/>
    <cellStyle name="20% - Accent2 4 4 2 3 3 2" xfId="46915" xr:uid="{3CE61187-A4DF-4E82-80C4-0F0570ED499C}"/>
    <cellStyle name="20% - Accent2 4 4 2 3 4" xfId="31037" xr:uid="{9916593D-219D-4B63-B9DA-AD81167C2E30}"/>
    <cellStyle name="20% - Accent2 4 4 2 4" xfId="11599" xr:uid="{00000000-0005-0000-0000-00002A0B0000}"/>
    <cellStyle name="20% - Accent2 4 4 2 4 2" xfId="35449" xr:uid="{DBB457F7-2DD8-4326-87FF-7C33A3F49D3E}"/>
    <cellStyle name="20% - Accent2 4 4 2 5" xfId="19554" xr:uid="{00000000-0005-0000-0000-00002B0B0000}"/>
    <cellStyle name="20% - Accent2 4 4 2 5 2" xfId="43387" xr:uid="{52C6E9C5-1976-45F0-B14F-9657D40DDB88}"/>
    <cellStyle name="20% - Accent2 4 4 2 6" xfId="27507" xr:uid="{68B6D6DB-4E14-4734-8AFC-FD9980B2EE3F}"/>
    <cellStyle name="20% - Accent2 4 4 2_Exh G" xfId="2139" xr:uid="{00000000-0005-0000-0000-00002C0B0000}"/>
    <cellStyle name="20% - Accent2 4 4 3" xfId="4452" xr:uid="{00000000-0005-0000-0000-00002D0B0000}"/>
    <cellStyle name="20% - Accent2 4 4 3 2" xfId="8044" xr:uid="{00000000-0005-0000-0000-00002E0B0000}"/>
    <cellStyle name="20% - Accent2 4 4 3 2 2" xfId="16015" xr:uid="{00000000-0005-0000-0000-00002F0B0000}"/>
    <cellStyle name="20% - Accent2 4 4 3 2 2 2" xfId="39858" xr:uid="{A962F570-37F4-4D56-A7D4-465E21AA6BE1}"/>
    <cellStyle name="20% - Accent2 4 4 3 2 3" xfId="23961" xr:uid="{00000000-0005-0000-0000-0000300B0000}"/>
    <cellStyle name="20% - Accent2 4 4 3 2 3 2" xfId="47794" xr:uid="{E963DFFA-6AF5-4A53-86A2-A8F155EE80DB}"/>
    <cellStyle name="20% - Accent2 4 4 3 2 4" xfId="31917" xr:uid="{DD48CC7B-2F02-457C-9BD3-26F9346A0747}"/>
    <cellStyle name="20% - Accent2 4 4 3 3" xfId="12477" xr:uid="{00000000-0005-0000-0000-0000310B0000}"/>
    <cellStyle name="20% - Accent2 4 4 3 3 2" xfId="36327" xr:uid="{3F739243-A303-4A87-AC1B-CC1EE44068F2}"/>
    <cellStyle name="20% - Accent2 4 4 3 4" xfId="20432" xr:uid="{00000000-0005-0000-0000-0000320B0000}"/>
    <cellStyle name="20% - Accent2 4 4 3 4 2" xfId="44265" xr:uid="{D82BD764-23D3-4F6F-BC2B-4A1DFC3197C5}"/>
    <cellStyle name="20% - Accent2 4 4 3 5" xfId="28386" xr:uid="{6F26099B-DF43-4E15-94A8-175689391B48}"/>
    <cellStyle name="20% - Accent2 4 4 4" xfId="6282" xr:uid="{00000000-0005-0000-0000-0000330B0000}"/>
    <cellStyle name="20% - Accent2 4 4 4 2" xfId="14257" xr:uid="{00000000-0005-0000-0000-0000340B0000}"/>
    <cellStyle name="20% - Accent2 4 4 4 2 2" xfId="38100" xr:uid="{BA862DCA-05DC-4F66-B0C4-5C25AA878627}"/>
    <cellStyle name="20% - Accent2 4 4 4 3" xfId="22204" xr:uid="{00000000-0005-0000-0000-0000350B0000}"/>
    <cellStyle name="20% - Accent2 4 4 4 3 2" xfId="46037" xr:uid="{167ABAB2-D5DA-4A84-87F6-7B43F83A10EF}"/>
    <cellStyle name="20% - Accent2 4 4 4 4" xfId="30159" xr:uid="{2EB9DD83-8DC2-49BB-8BAE-7F2DE1139087}"/>
    <cellStyle name="20% - Accent2 4 4 5" xfId="9825" xr:uid="{00000000-0005-0000-0000-0000360B0000}"/>
    <cellStyle name="20% - Accent2 4 4 5 2" xfId="17783" xr:uid="{00000000-0005-0000-0000-0000370B0000}"/>
    <cellStyle name="20% - Accent2 4 4 5 2 2" xfId="41624" xr:uid="{5C5633C4-DDBA-41B1-9CE8-05E1BEF024A7}"/>
    <cellStyle name="20% - Accent2 4 4 5 3" xfId="25727" xr:uid="{00000000-0005-0000-0000-0000380B0000}"/>
    <cellStyle name="20% - Accent2 4 4 5 3 2" xfId="49560" xr:uid="{9FBE74E4-4AA9-4B78-8710-F7FE9B01CA78}"/>
    <cellStyle name="20% - Accent2 4 4 5 4" xfId="33683" xr:uid="{2208E90C-2FD8-4336-B640-9E6B8EFE9993}"/>
    <cellStyle name="20% - Accent2 4 4 6" xfId="10721" xr:uid="{00000000-0005-0000-0000-0000390B0000}"/>
    <cellStyle name="20% - Accent2 4 4 6 2" xfId="34571" xr:uid="{A307558D-E8AE-4268-946D-9751462AE74F}"/>
    <cellStyle name="20% - Accent2 4 4 7" xfId="18676" xr:uid="{00000000-0005-0000-0000-00003A0B0000}"/>
    <cellStyle name="20% - Accent2 4 4 7 2" xfId="42509" xr:uid="{1E75B799-3586-4FC0-8E53-418018BE48F3}"/>
    <cellStyle name="20% - Accent2 4 4 8" xfId="26629" xr:uid="{C5CB5E28-0922-4941-8A4E-7DC30A31AF99}"/>
    <cellStyle name="20% - Accent2 4 4_Exh G" xfId="2138" xr:uid="{00000000-0005-0000-0000-00003B0B0000}"/>
    <cellStyle name="20% - Accent2 4 5" xfId="1131" xr:uid="{00000000-0005-0000-0000-00003C0B0000}"/>
    <cellStyle name="20% - Accent2 4 5 2" xfId="4661" xr:uid="{00000000-0005-0000-0000-00003D0B0000}"/>
    <cellStyle name="20% - Accent2 4 5 2 2" xfId="8252" xr:uid="{00000000-0005-0000-0000-00003E0B0000}"/>
    <cellStyle name="20% - Accent2 4 5 2 2 2" xfId="16223" xr:uid="{00000000-0005-0000-0000-00003F0B0000}"/>
    <cellStyle name="20% - Accent2 4 5 2 2 2 2" xfId="40066" xr:uid="{1BF7C059-9591-4DEC-AFD5-00C347245651}"/>
    <cellStyle name="20% - Accent2 4 5 2 2 3" xfId="24169" xr:uid="{00000000-0005-0000-0000-0000400B0000}"/>
    <cellStyle name="20% - Accent2 4 5 2 2 3 2" xfId="48002" xr:uid="{28361B62-E1A3-4235-8BF5-5ED159965CA9}"/>
    <cellStyle name="20% - Accent2 4 5 2 2 4" xfId="32125" xr:uid="{108BEDAC-F528-434C-A503-A3DC535BF6D3}"/>
    <cellStyle name="20% - Accent2 4 5 2 3" xfId="12685" xr:uid="{00000000-0005-0000-0000-0000410B0000}"/>
    <cellStyle name="20% - Accent2 4 5 2 3 2" xfId="36535" xr:uid="{FB9974DE-D9D2-4912-B8F2-3AB0A60A7F51}"/>
    <cellStyle name="20% - Accent2 4 5 2 4" xfId="20640" xr:uid="{00000000-0005-0000-0000-0000420B0000}"/>
    <cellStyle name="20% - Accent2 4 5 2 4 2" xfId="44473" xr:uid="{FF9C139E-5139-4EED-88E3-1B0EDB311C1A}"/>
    <cellStyle name="20% - Accent2 4 5 2 5" xfId="28594" xr:uid="{455F7B16-08BC-439C-AAEA-BD273C2BE256}"/>
    <cellStyle name="20% - Accent2 4 5 3" xfId="6493" xr:uid="{00000000-0005-0000-0000-0000430B0000}"/>
    <cellStyle name="20% - Accent2 4 5 3 2" xfId="14465" xr:uid="{00000000-0005-0000-0000-0000440B0000}"/>
    <cellStyle name="20% - Accent2 4 5 3 2 2" xfId="38308" xr:uid="{D820CD3E-CC71-4F6B-899A-8E86CE75B20A}"/>
    <cellStyle name="20% - Accent2 4 5 3 3" xfId="22412" xr:uid="{00000000-0005-0000-0000-0000450B0000}"/>
    <cellStyle name="20% - Accent2 4 5 3 3 2" xfId="46245" xr:uid="{787342D1-1D50-4F65-8EA3-F0683E40A024}"/>
    <cellStyle name="20% - Accent2 4 5 3 4" xfId="30367" xr:uid="{040EC78B-833E-4A62-918C-0329E8B680A3}"/>
    <cellStyle name="20% - Accent2 4 5 4" xfId="10929" xr:uid="{00000000-0005-0000-0000-0000460B0000}"/>
    <cellStyle name="20% - Accent2 4 5 4 2" xfId="34779" xr:uid="{69504657-D753-45EE-A74A-D482F24B4539}"/>
    <cellStyle name="20% - Accent2 4 5 5" xfId="18884" xr:uid="{00000000-0005-0000-0000-0000470B0000}"/>
    <cellStyle name="20% - Accent2 4 5 5 2" xfId="42717" xr:uid="{26CF4F04-9617-44BC-B5C6-9F5FAA7C58D7}"/>
    <cellStyle name="20% - Accent2 4 5 6" xfId="26837" xr:uid="{A50B3B62-0FC4-4F43-AEFC-466906A10370}"/>
    <cellStyle name="20% - Accent2 4 5_Exh G" xfId="2140" xr:uid="{00000000-0005-0000-0000-0000480B0000}"/>
    <cellStyle name="20% - Accent2 4 6" xfId="3782" xr:uid="{00000000-0005-0000-0000-0000490B0000}"/>
    <cellStyle name="20% - Accent2 4 6 2" xfId="7374" xr:uid="{00000000-0005-0000-0000-00004A0B0000}"/>
    <cellStyle name="20% - Accent2 4 6 2 2" xfId="15345" xr:uid="{00000000-0005-0000-0000-00004B0B0000}"/>
    <cellStyle name="20% - Accent2 4 6 2 2 2" xfId="39188" xr:uid="{4C158336-58D5-4447-9006-484B76E33EBA}"/>
    <cellStyle name="20% - Accent2 4 6 2 3" xfId="23291" xr:uid="{00000000-0005-0000-0000-00004C0B0000}"/>
    <cellStyle name="20% - Accent2 4 6 2 3 2" xfId="47124" xr:uid="{EDCD80F5-AF8C-4A65-888B-A3CF6AACA104}"/>
    <cellStyle name="20% - Accent2 4 6 2 4" xfId="31247" xr:uid="{F68D3CAF-0B72-4099-8CF9-59317DE85CFC}"/>
    <cellStyle name="20% - Accent2 4 6 3" xfId="11807" xr:uid="{00000000-0005-0000-0000-00004D0B0000}"/>
    <cellStyle name="20% - Accent2 4 6 3 2" xfId="35657" xr:uid="{168A9968-A1EA-475B-A7DB-108D688FD796}"/>
    <cellStyle name="20% - Accent2 4 6 4" xfId="19762" xr:uid="{00000000-0005-0000-0000-00004E0B0000}"/>
    <cellStyle name="20% - Accent2 4 6 4 2" xfId="43595" xr:uid="{80F87C50-0549-4713-AD53-B0F8A5532892}"/>
    <cellStyle name="20% - Accent2 4 6 5" xfId="27716" xr:uid="{D8B264B5-F5A8-438D-8EF0-25FE23A76955}"/>
    <cellStyle name="20% - Accent2 4 7" xfId="5602" xr:uid="{00000000-0005-0000-0000-00004F0B0000}"/>
    <cellStyle name="20% - Accent2 4 7 2" xfId="13586" xr:uid="{00000000-0005-0000-0000-0000500B0000}"/>
    <cellStyle name="20% - Accent2 4 7 2 2" xfId="37430" xr:uid="{5B0C2381-4676-4E1D-B78C-745771E051DD}"/>
    <cellStyle name="20% - Accent2 4 7 3" xfId="21534" xr:uid="{00000000-0005-0000-0000-0000510B0000}"/>
    <cellStyle name="20% - Accent2 4 7 3 2" xfId="45367" xr:uid="{466496DB-246E-4FB4-8FF6-5F9910287DB8}"/>
    <cellStyle name="20% - Accent2 4 7 4" xfId="29489" xr:uid="{B6851D21-B09A-4764-B946-1CCD56A5F482}"/>
    <cellStyle name="20% - Accent2 4 8" xfId="9155" xr:uid="{00000000-0005-0000-0000-0000520B0000}"/>
    <cellStyle name="20% - Accent2 4 8 2" xfId="17113" xr:uid="{00000000-0005-0000-0000-0000530B0000}"/>
    <cellStyle name="20% - Accent2 4 8 2 2" xfId="40954" xr:uid="{4729277C-A05D-445C-867A-497A798C4BBC}"/>
    <cellStyle name="20% - Accent2 4 8 3" xfId="25057" xr:uid="{00000000-0005-0000-0000-0000540B0000}"/>
    <cellStyle name="20% - Accent2 4 8 3 2" xfId="48890" xr:uid="{BB804909-F814-4091-AF40-D4D15C7C2BC5}"/>
    <cellStyle name="20% - Accent2 4 8 4" xfId="33013" xr:uid="{DC1BB712-8084-4C4A-8A08-06709E58C71D}"/>
    <cellStyle name="20% - Accent2 4 9" xfId="10051" xr:uid="{00000000-0005-0000-0000-0000550B0000}"/>
    <cellStyle name="20% - Accent2 4 9 2" xfId="33901" xr:uid="{EDEB3C8A-CF9D-4567-9D09-06D5C4AA0409}"/>
    <cellStyle name="20% - Accent2 4_Exh G" xfId="2129" xr:uid="{00000000-0005-0000-0000-0000560B0000}"/>
    <cellStyle name="20% - Accent2 5" xfId="107" xr:uid="{00000000-0005-0000-0000-0000570B0000}"/>
    <cellStyle name="20% - Accent2 5 10" xfId="18010" xr:uid="{00000000-0005-0000-0000-0000580B0000}"/>
    <cellStyle name="20% - Accent2 5 10 2" xfId="41843" xr:uid="{73C4B018-E291-4BA5-86E6-FBEDABE49922}"/>
    <cellStyle name="20% - Accent2 5 11" xfId="25963" xr:uid="{C79CD5BE-1440-4EAF-8DA8-CCEAED75F23F}"/>
    <cellStyle name="20% - Accent2 5 2" xfId="108" xr:uid="{00000000-0005-0000-0000-0000590B0000}"/>
    <cellStyle name="20% - Accent2 5 2 2" xfId="109" xr:uid="{00000000-0005-0000-0000-00005A0B0000}"/>
    <cellStyle name="20% - Accent2 5 2 2 2" xfId="1137" xr:uid="{00000000-0005-0000-0000-00005B0B0000}"/>
    <cellStyle name="20% - Accent2 5 2 2 2 2" xfId="4667" xr:uid="{00000000-0005-0000-0000-00005C0B0000}"/>
    <cellStyle name="20% - Accent2 5 2 2 2 2 2" xfId="8258" xr:uid="{00000000-0005-0000-0000-00005D0B0000}"/>
    <cellStyle name="20% - Accent2 5 2 2 2 2 2 2" xfId="16229" xr:uid="{00000000-0005-0000-0000-00005E0B0000}"/>
    <cellStyle name="20% - Accent2 5 2 2 2 2 2 2 2" xfId="40072" xr:uid="{A5D8D929-BF0F-4013-8704-EECCFA983A4B}"/>
    <cellStyle name="20% - Accent2 5 2 2 2 2 2 3" xfId="24175" xr:uid="{00000000-0005-0000-0000-00005F0B0000}"/>
    <cellStyle name="20% - Accent2 5 2 2 2 2 2 3 2" xfId="48008" xr:uid="{2B1EB3D3-A038-4D0D-ABE2-3AD2C10E91E9}"/>
    <cellStyle name="20% - Accent2 5 2 2 2 2 2 4" xfId="32131" xr:uid="{0143C563-AFB4-49F1-80F6-E10A2F287F59}"/>
    <cellStyle name="20% - Accent2 5 2 2 2 2 3" xfId="12691" xr:uid="{00000000-0005-0000-0000-0000600B0000}"/>
    <cellStyle name="20% - Accent2 5 2 2 2 2 3 2" xfId="36541" xr:uid="{8965B982-9D9C-4C7C-BD37-88538041F38E}"/>
    <cellStyle name="20% - Accent2 5 2 2 2 2 4" xfId="20646" xr:uid="{00000000-0005-0000-0000-0000610B0000}"/>
    <cellStyle name="20% - Accent2 5 2 2 2 2 4 2" xfId="44479" xr:uid="{10417B5A-46F2-4A13-8137-A3B9E2739246}"/>
    <cellStyle name="20% - Accent2 5 2 2 2 2 5" xfId="28600" xr:uid="{47A967F2-ED9F-4D88-8D4F-2D6A8CC714E0}"/>
    <cellStyle name="20% - Accent2 5 2 2 2 3" xfId="6499" xr:uid="{00000000-0005-0000-0000-0000620B0000}"/>
    <cellStyle name="20% - Accent2 5 2 2 2 3 2" xfId="14471" xr:uid="{00000000-0005-0000-0000-0000630B0000}"/>
    <cellStyle name="20% - Accent2 5 2 2 2 3 2 2" xfId="38314" xr:uid="{902C25DB-6FCF-49F6-B6F7-856932EF257D}"/>
    <cellStyle name="20% - Accent2 5 2 2 2 3 3" xfId="22418" xr:uid="{00000000-0005-0000-0000-0000640B0000}"/>
    <cellStyle name="20% - Accent2 5 2 2 2 3 3 2" xfId="46251" xr:uid="{3D213E20-91F5-440D-9DBF-FC63BBE424D7}"/>
    <cellStyle name="20% - Accent2 5 2 2 2 3 4" xfId="30373" xr:uid="{CD1986A0-E219-48F4-B8DD-3EE3EA3FAD83}"/>
    <cellStyle name="20% - Accent2 5 2 2 2 4" xfId="10935" xr:uid="{00000000-0005-0000-0000-0000650B0000}"/>
    <cellStyle name="20% - Accent2 5 2 2 2 4 2" xfId="34785" xr:uid="{7C8FE375-B0CB-4A5C-8C4A-0C73C6C6ED47}"/>
    <cellStyle name="20% - Accent2 5 2 2 2 5" xfId="18890" xr:uid="{00000000-0005-0000-0000-0000660B0000}"/>
    <cellStyle name="20% - Accent2 5 2 2 2 5 2" xfId="42723" xr:uid="{BA9A4B29-B052-4ABD-9683-2C3F504C9BB4}"/>
    <cellStyle name="20% - Accent2 5 2 2 2 6" xfId="26843" xr:uid="{A5B094BC-907B-492E-A48F-47DE1615120C}"/>
    <cellStyle name="20% - Accent2 5 2 2 2_Exh G" xfId="2144" xr:uid="{00000000-0005-0000-0000-0000670B0000}"/>
    <cellStyle name="20% - Accent2 5 2 2 3" xfId="3788" xr:uid="{00000000-0005-0000-0000-0000680B0000}"/>
    <cellStyle name="20% - Accent2 5 2 2 3 2" xfId="7380" xr:uid="{00000000-0005-0000-0000-0000690B0000}"/>
    <cellStyle name="20% - Accent2 5 2 2 3 2 2" xfId="15351" xr:uid="{00000000-0005-0000-0000-00006A0B0000}"/>
    <cellStyle name="20% - Accent2 5 2 2 3 2 2 2" xfId="39194" xr:uid="{FECBAB14-A54A-40FD-A69A-8B0AD931B0CC}"/>
    <cellStyle name="20% - Accent2 5 2 2 3 2 3" xfId="23297" xr:uid="{00000000-0005-0000-0000-00006B0B0000}"/>
    <cellStyle name="20% - Accent2 5 2 2 3 2 3 2" xfId="47130" xr:uid="{7B53245D-A390-404B-9F06-73B1B8667573}"/>
    <cellStyle name="20% - Accent2 5 2 2 3 2 4" xfId="31253" xr:uid="{CFA08CD5-31F1-4D35-9931-DDF8BC9228B7}"/>
    <cellStyle name="20% - Accent2 5 2 2 3 3" xfId="11813" xr:uid="{00000000-0005-0000-0000-00006C0B0000}"/>
    <cellStyle name="20% - Accent2 5 2 2 3 3 2" xfId="35663" xr:uid="{797A8820-5E0C-4A71-A9C0-FA8AEFA29AF6}"/>
    <cellStyle name="20% - Accent2 5 2 2 3 4" xfId="19768" xr:uid="{00000000-0005-0000-0000-00006D0B0000}"/>
    <cellStyle name="20% - Accent2 5 2 2 3 4 2" xfId="43601" xr:uid="{D1C0DA36-AFC7-48DC-B3B2-86D5A7B8902E}"/>
    <cellStyle name="20% - Accent2 5 2 2 3 5" xfId="27722" xr:uid="{24FEE5B3-4F76-4E70-B269-9046D34EC0A5}"/>
    <cellStyle name="20% - Accent2 5 2 2 4" xfId="5608" xr:uid="{00000000-0005-0000-0000-00006E0B0000}"/>
    <cellStyle name="20% - Accent2 5 2 2 4 2" xfId="13592" xr:uid="{00000000-0005-0000-0000-00006F0B0000}"/>
    <cellStyle name="20% - Accent2 5 2 2 4 2 2" xfId="37436" xr:uid="{C2D11988-8BAA-40A3-8ECC-D106E320F5CC}"/>
    <cellStyle name="20% - Accent2 5 2 2 4 3" xfId="21540" xr:uid="{00000000-0005-0000-0000-0000700B0000}"/>
    <cellStyle name="20% - Accent2 5 2 2 4 3 2" xfId="45373" xr:uid="{B22ABE0C-D3FE-45F8-B98E-7F8E5C367506}"/>
    <cellStyle name="20% - Accent2 5 2 2 4 4" xfId="29495" xr:uid="{61FA6312-40FF-4B15-AD13-BFC3263B54DB}"/>
    <cellStyle name="20% - Accent2 5 2 2 5" xfId="9161" xr:uid="{00000000-0005-0000-0000-0000710B0000}"/>
    <cellStyle name="20% - Accent2 5 2 2 5 2" xfId="17119" xr:uid="{00000000-0005-0000-0000-0000720B0000}"/>
    <cellStyle name="20% - Accent2 5 2 2 5 2 2" xfId="40960" xr:uid="{E84FB657-7658-4CF9-A3D8-BF4D9EE28012}"/>
    <cellStyle name="20% - Accent2 5 2 2 5 3" xfId="25063" xr:uid="{00000000-0005-0000-0000-0000730B0000}"/>
    <cellStyle name="20% - Accent2 5 2 2 5 3 2" xfId="48896" xr:uid="{A1E8E56C-1AD9-4948-AA0E-C992449BD321}"/>
    <cellStyle name="20% - Accent2 5 2 2 5 4" xfId="33019" xr:uid="{785A1012-7B12-4A40-B7BF-C42D80D470A2}"/>
    <cellStyle name="20% - Accent2 5 2 2 6" xfId="10057" xr:uid="{00000000-0005-0000-0000-0000740B0000}"/>
    <cellStyle name="20% - Accent2 5 2 2 6 2" xfId="33907" xr:uid="{CCAF495D-9F15-425F-A563-9AA954E59AEB}"/>
    <cellStyle name="20% - Accent2 5 2 2 7" xfId="18012" xr:uid="{00000000-0005-0000-0000-0000750B0000}"/>
    <cellStyle name="20% - Accent2 5 2 2 7 2" xfId="41845" xr:uid="{DE69A84F-4A6A-42E6-944B-5A65FC988140}"/>
    <cellStyle name="20% - Accent2 5 2 2 8" xfId="25965" xr:uid="{448CFB12-56CF-45E7-9AEF-761613A6132B}"/>
    <cellStyle name="20% - Accent2 5 2 2_Exh G" xfId="2143" xr:uid="{00000000-0005-0000-0000-0000760B0000}"/>
    <cellStyle name="20% - Accent2 5 2 3" xfId="1136" xr:uid="{00000000-0005-0000-0000-0000770B0000}"/>
    <cellStyle name="20% - Accent2 5 2 3 2" xfId="4666" xr:uid="{00000000-0005-0000-0000-0000780B0000}"/>
    <cellStyle name="20% - Accent2 5 2 3 2 2" xfId="8257" xr:uid="{00000000-0005-0000-0000-0000790B0000}"/>
    <cellStyle name="20% - Accent2 5 2 3 2 2 2" xfId="16228" xr:uid="{00000000-0005-0000-0000-00007A0B0000}"/>
    <cellStyle name="20% - Accent2 5 2 3 2 2 2 2" xfId="40071" xr:uid="{C5FD7E81-A3D2-4BDD-8086-300C354A057D}"/>
    <cellStyle name="20% - Accent2 5 2 3 2 2 3" xfId="24174" xr:uid="{00000000-0005-0000-0000-00007B0B0000}"/>
    <cellStyle name="20% - Accent2 5 2 3 2 2 3 2" xfId="48007" xr:uid="{CA177743-87D1-4810-B417-119DA951AADA}"/>
    <cellStyle name="20% - Accent2 5 2 3 2 2 4" xfId="32130" xr:uid="{A23AB186-746B-4A45-B3CC-92101E9886B3}"/>
    <cellStyle name="20% - Accent2 5 2 3 2 3" xfId="12690" xr:uid="{00000000-0005-0000-0000-00007C0B0000}"/>
    <cellStyle name="20% - Accent2 5 2 3 2 3 2" xfId="36540" xr:uid="{3FF035A2-2B6F-402E-95ED-635AD10834DF}"/>
    <cellStyle name="20% - Accent2 5 2 3 2 4" xfId="20645" xr:uid="{00000000-0005-0000-0000-00007D0B0000}"/>
    <cellStyle name="20% - Accent2 5 2 3 2 4 2" xfId="44478" xr:uid="{38DCF11D-7791-491D-81FB-B1806BB36506}"/>
    <cellStyle name="20% - Accent2 5 2 3 2 5" xfId="28599" xr:uid="{95AF05F0-CD9F-4A06-8529-C771616CD76A}"/>
    <cellStyle name="20% - Accent2 5 2 3 3" xfId="6498" xr:uid="{00000000-0005-0000-0000-00007E0B0000}"/>
    <cellStyle name="20% - Accent2 5 2 3 3 2" xfId="14470" xr:uid="{00000000-0005-0000-0000-00007F0B0000}"/>
    <cellStyle name="20% - Accent2 5 2 3 3 2 2" xfId="38313" xr:uid="{690CD144-31EE-4E6F-9755-F73E2939CE02}"/>
    <cellStyle name="20% - Accent2 5 2 3 3 3" xfId="22417" xr:uid="{00000000-0005-0000-0000-0000800B0000}"/>
    <cellStyle name="20% - Accent2 5 2 3 3 3 2" xfId="46250" xr:uid="{7BE11A33-BBCF-4A20-86B4-59DCA0295B76}"/>
    <cellStyle name="20% - Accent2 5 2 3 3 4" xfId="30372" xr:uid="{7BB9F2CB-A26D-4814-99B6-071E6C29E739}"/>
    <cellStyle name="20% - Accent2 5 2 3 4" xfId="10934" xr:uid="{00000000-0005-0000-0000-0000810B0000}"/>
    <cellStyle name="20% - Accent2 5 2 3 4 2" xfId="34784" xr:uid="{C2390B7D-DA5A-4D19-83EA-63095FE49EED}"/>
    <cellStyle name="20% - Accent2 5 2 3 5" xfId="18889" xr:uid="{00000000-0005-0000-0000-0000820B0000}"/>
    <cellStyle name="20% - Accent2 5 2 3 5 2" xfId="42722" xr:uid="{582C053C-E857-44B8-95A0-653967700CAE}"/>
    <cellStyle name="20% - Accent2 5 2 3 6" xfId="26842" xr:uid="{9E7D1339-18B2-4AB5-AD20-F45822286C26}"/>
    <cellStyle name="20% - Accent2 5 2 3_Exh G" xfId="2145" xr:uid="{00000000-0005-0000-0000-0000830B0000}"/>
    <cellStyle name="20% - Accent2 5 2 4" xfId="3787" xr:uid="{00000000-0005-0000-0000-0000840B0000}"/>
    <cellStyle name="20% - Accent2 5 2 4 2" xfId="7379" xr:uid="{00000000-0005-0000-0000-0000850B0000}"/>
    <cellStyle name="20% - Accent2 5 2 4 2 2" xfId="15350" xr:uid="{00000000-0005-0000-0000-0000860B0000}"/>
    <cellStyle name="20% - Accent2 5 2 4 2 2 2" xfId="39193" xr:uid="{7D4D5F36-C52D-41F3-98E4-AB141921EA98}"/>
    <cellStyle name="20% - Accent2 5 2 4 2 3" xfId="23296" xr:uid="{00000000-0005-0000-0000-0000870B0000}"/>
    <cellStyle name="20% - Accent2 5 2 4 2 3 2" xfId="47129" xr:uid="{07470D21-C0A2-4168-AFCB-032453E46988}"/>
    <cellStyle name="20% - Accent2 5 2 4 2 4" xfId="31252" xr:uid="{4F4A6D8C-B6C0-453C-84D5-B0D5DB6057AA}"/>
    <cellStyle name="20% - Accent2 5 2 4 3" xfId="11812" xr:uid="{00000000-0005-0000-0000-0000880B0000}"/>
    <cellStyle name="20% - Accent2 5 2 4 3 2" xfId="35662" xr:uid="{7246E44F-8B0D-4CFE-995D-1EC07599B9DA}"/>
    <cellStyle name="20% - Accent2 5 2 4 4" xfId="19767" xr:uid="{00000000-0005-0000-0000-0000890B0000}"/>
    <cellStyle name="20% - Accent2 5 2 4 4 2" xfId="43600" xr:uid="{E8957537-8A09-406D-95C5-5EC6CDD60F1C}"/>
    <cellStyle name="20% - Accent2 5 2 4 5" xfId="27721" xr:uid="{411445EA-B7F5-4CD0-A686-1895062979E9}"/>
    <cellStyle name="20% - Accent2 5 2 5" xfId="5607" xr:uid="{00000000-0005-0000-0000-00008A0B0000}"/>
    <cellStyle name="20% - Accent2 5 2 5 2" xfId="13591" xr:uid="{00000000-0005-0000-0000-00008B0B0000}"/>
    <cellStyle name="20% - Accent2 5 2 5 2 2" xfId="37435" xr:uid="{E084D6FD-81B8-444C-9DB0-724BA45B76EB}"/>
    <cellStyle name="20% - Accent2 5 2 5 3" xfId="21539" xr:uid="{00000000-0005-0000-0000-00008C0B0000}"/>
    <cellStyle name="20% - Accent2 5 2 5 3 2" xfId="45372" xr:uid="{5DEC69E5-4B0C-4D2B-AB47-C265A68B1F0A}"/>
    <cellStyle name="20% - Accent2 5 2 5 4" xfId="29494" xr:uid="{7B862A02-60D5-4658-82EE-C13AE922CFEA}"/>
    <cellStyle name="20% - Accent2 5 2 6" xfId="9160" xr:uid="{00000000-0005-0000-0000-00008D0B0000}"/>
    <cellStyle name="20% - Accent2 5 2 6 2" xfId="17118" xr:uid="{00000000-0005-0000-0000-00008E0B0000}"/>
    <cellStyle name="20% - Accent2 5 2 6 2 2" xfId="40959" xr:uid="{B54FFDF7-D709-428A-9B89-9A909CA37843}"/>
    <cellStyle name="20% - Accent2 5 2 6 3" xfId="25062" xr:uid="{00000000-0005-0000-0000-00008F0B0000}"/>
    <cellStyle name="20% - Accent2 5 2 6 3 2" xfId="48895" xr:uid="{AF246105-5475-46FE-86D9-E0C77A255887}"/>
    <cellStyle name="20% - Accent2 5 2 6 4" xfId="33018" xr:uid="{5B5BBB76-D537-44A2-B6ED-5DEA0EC36124}"/>
    <cellStyle name="20% - Accent2 5 2 7" xfId="10056" xr:uid="{00000000-0005-0000-0000-0000900B0000}"/>
    <cellStyle name="20% - Accent2 5 2 7 2" xfId="33906" xr:uid="{FFDD8E98-6C51-426A-9B8E-25A839D1F914}"/>
    <cellStyle name="20% - Accent2 5 2 8" xfId="18011" xr:uid="{00000000-0005-0000-0000-0000910B0000}"/>
    <cellStyle name="20% - Accent2 5 2 8 2" xfId="41844" xr:uid="{F8BC9D2A-F3AD-4B87-B550-ED6BF3C40810}"/>
    <cellStyle name="20% - Accent2 5 2 9" xfId="25964" xr:uid="{B3A697B4-3ADB-4B98-833C-152D04E5778C}"/>
    <cellStyle name="20% - Accent2 5 2_Exh G" xfId="2142" xr:uid="{00000000-0005-0000-0000-0000920B0000}"/>
    <cellStyle name="20% - Accent2 5 3" xfId="110" xr:uid="{00000000-0005-0000-0000-0000930B0000}"/>
    <cellStyle name="20% - Accent2 5 3 2" xfId="1138" xr:uid="{00000000-0005-0000-0000-0000940B0000}"/>
    <cellStyle name="20% - Accent2 5 3 2 2" xfId="4668" xr:uid="{00000000-0005-0000-0000-0000950B0000}"/>
    <cellStyle name="20% - Accent2 5 3 2 2 2" xfId="8259" xr:uid="{00000000-0005-0000-0000-0000960B0000}"/>
    <cellStyle name="20% - Accent2 5 3 2 2 2 2" xfId="16230" xr:uid="{00000000-0005-0000-0000-0000970B0000}"/>
    <cellStyle name="20% - Accent2 5 3 2 2 2 2 2" xfId="40073" xr:uid="{DE07C57C-41D1-4985-BE91-8285444A8BBB}"/>
    <cellStyle name="20% - Accent2 5 3 2 2 2 3" xfId="24176" xr:uid="{00000000-0005-0000-0000-0000980B0000}"/>
    <cellStyle name="20% - Accent2 5 3 2 2 2 3 2" xfId="48009" xr:uid="{031E837E-EAB7-4F03-83EE-EDB521ED0F91}"/>
    <cellStyle name="20% - Accent2 5 3 2 2 2 4" xfId="32132" xr:uid="{D8DC2D33-9C58-4B5C-B034-2AF7F96D1415}"/>
    <cellStyle name="20% - Accent2 5 3 2 2 3" xfId="12692" xr:uid="{00000000-0005-0000-0000-0000990B0000}"/>
    <cellStyle name="20% - Accent2 5 3 2 2 3 2" xfId="36542" xr:uid="{0A2BFF34-5080-458B-B644-D76EFAE4F44F}"/>
    <cellStyle name="20% - Accent2 5 3 2 2 4" xfId="20647" xr:uid="{00000000-0005-0000-0000-00009A0B0000}"/>
    <cellStyle name="20% - Accent2 5 3 2 2 4 2" xfId="44480" xr:uid="{4247B05D-121A-4D48-931D-372E12DFB32E}"/>
    <cellStyle name="20% - Accent2 5 3 2 2 5" xfId="28601" xr:uid="{254683DD-9D3B-47A7-91E7-128C3EE543A4}"/>
    <cellStyle name="20% - Accent2 5 3 2 3" xfId="6500" xr:uid="{00000000-0005-0000-0000-00009B0B0000}"/>
    <cellStyle name="20% - Accent2 5 3 2 3 2" xfId="14472" xr:uid="{00000000-0005-0000-0000-00009C0B0000}"/>
    <cellStyle name="20% - Accent2 5 3 2 3 2 2" xfId="38315" xr:uid="{CD6ED8FD-1D3F-41B6-8059-B02FFD932E84}"/>
    <cellStyle name="20% - Accent2 5 3 2 3 3" xfId="22419" xr:uid="{00000000-0005-0000-0000-00009D0B0000}"/>
    <cellStyle name="20% - Accent2 5 3 2 3 3 2" xfId="46252" xr:uid="{BFF6AC2A-690D-4BFB-97AD-0BA6DCB086AC}"/>
    <cellStyle name="20% - Accent2 5 3 2 3 4" xfId="30374" xr:uid="{4B5F1932-4DB2-44A2-A553-74EE9C3E4A61}"/>
    <cellStyle name="20% - Accent2 5 3 2 4" xfId="10936" xr:uid="{00000000-0005-0000-0000-00009E0B0000}"/>
    <cellStyle name="20% - Accent2 5 3 2 4 2" xfId="34786" xr:uid="{1ED2109C-F734-46D6-8DB9-F0D88C32F939}"/>
    <cellStyle name="20% - Accent2 5 3 2 5" xfId="18891" xr:uid="{00000000-0005-0000-0000-00009F0B0000}"/>
    <cellStyle name="20% - Accent2 5 3 2 5 2" xfId="42724" xr:uid="{C6125B20-781D-4122-ACB6-D1486130854A}"/>
    <cellStyle name="20% - Accent2 5 3 2 6" xfId="26844" xr:uid="{E582E6F5-278A-4A99-B4F4-71F5BC96EEFF}"/>
    <cellStyle name="20% - Accent2 5 3 2_Exh G" xfId="2147" xr:uid="{00000000-0005-0000-0000-0000A00B0000}"/>
    <cellStyle name="20% - Accent2 5 3 3" xfId="3789" xr:uid="{00000000-0005-0000-0000-0000A10B0000}"/>
    <cellStyle name="20% - Accent2 5 3 3 2" xfId="7381" xr:uid="{00000000-0005-0000-0000-0000A20B0000}"/>
    <cellStyle name="20% - Accent2 5 3 3 2 2" xfId="15352" xr:uid="{00000000-0005-0000-0000-0000A30B0000}"/>
    <cellStyle name="20% - Accent2 5 3 3 2 2 2" xfId="39195" xr:uid="{3B3FE30D-9006-4A17-94DD-DE3D0058EC5C}"/>
    <cellStyle name="20% - Accent2 5 3 3 2 3" xfId="23298" xr:uid="{00000000-0005-0000-0000-0000A40B0000}"/>
    <cellStyle name="20% - Accent2 5 3 3 2 3 2" xfId="47131" xr:uid="{E12FC9E7-ABCA-4DC3-B3D3-209E4A9DDD40}"/>
    <cellStyle name="20% - Accent2 5 3 3 2 4" xfId="31254" xr:uid="{BE5A05CB-C8E2-46F2-A117-6C0DCBF80913}"/>
    <cellStyle name="20% - Accent2 5 3 3 3" xfId="11814" xr:uid="{00000000-0005-0000-0000-0000A50B0000}"/>
    <cellStyle name="20% - Accent2 5 3 3 3 2" xfId="35664" xr:uid="{BA620F8C-FA6F-45E1-AE2A-A75766C4C0AF}"/>
    <cellStyle name="20% - Accent2 5 3 3 4" xfId="19769" xr:uid="{00000000-0005-0000-0000-0000A60B0000}"/>
    <cellStyle name="20% - Accent2 5 3 3 4 2" xfId="43602" xr:uid="{6B274C66-BBCD-4CE4-8D42-38CCC7BAB522}"/>
    <cellStyle name="20% - Accent2 5 3 3 5" xfId="27723" xr:uid="{2D0A1ED2-4556-42DF-B98F-A14B5889EB8E}"/>
    <cellStyle name="20% - Accent2 5 3 4" xfId="5609" xr:uid="{00000000-0005-0000-0000-0000A70B0000}"/>
    <cellStyle name="20% - Accent2 5 3 4 2" xfId="13593" xr:uid="{00000000-0005-0000-0000-0000A80B0000}"/>
    <cellStyle name="20% - Accent2 5 3 4 2 2" xfId="37437" xr:uid="{2E8716C3-5B23-471D-B11E-7BBB94D69161}"/>
    <cellStyle name="20% - Accent2 5 3 4 3" xfId="21541" xr:uid="{00000000-0005-0000-0000-0000A90B0000}"/>
    <cellStyle name="20% - Accent2 5 3 4 3 2" xfId="45374" xr:uid="{FE739D64-9B0C-4E96-9110-4DFBF99D65E4}"/>
    <cellStyle name="20% - Accent2 5 3 4 4" xfId="29496" xr:uid="{610F258A-8281-4FF9-A47B-369F6D1068C7}"/>
    <cellStyle name="20% - Accent2 5 3 5" xfId="9162" xr:uid="{00000000-0005-0000-0000-0000AA0B0000}"/>
    <cellStyle name="20% - Accent2 5 3 5 2" xfId="17120" xr:uid="{00000000-0005-0000-0000-0000AB0B0000}"/>
    <cellStyle name="20% - Accent2 5 3 5 2 2" xfId="40961" xr:uid="{00719A62-C29D-4C87-A8CD-6CA5BC32D887}"/>
    <cellStyle name="20% - Accent2 5 3 5 3" xfId="25064" xr:uid="{00000000-0005-0000-0000-0000AC0B0000}"/>
    <cellStyle name="20% - Accent2 5 3 5 3 2" xfId="48897" xr:uid="{2B4B20E3-9648-4A36-AB7C-8AA8AA674C84}"/>
    <cellStyle name="20% - Accent2 5 3 5 4" xfId="33020" xr:uid="{FE11ECF7-C62D-49F3-8857-D4144C2B4A36}"/>
    <cellStyle name="20% - Accent2 5 3 6" xfId="10058" xr:uid="{00000000-0005-0000-0000-0000AD0B0000}"/>
    <cellStyle name="20% - Accent2 5 3 6 2" xfId="33908" xr:uid="{A0F37D89-CD08-49AC-8E8A-E7805ED190F4}"/>
    <cellStyle name="20% - Accent2 5 3 7" xfId="18013" xr:uid="{00000000-0005-0000-0000-0000AE0B0000}"/>
    <cellStyle name="20% - Accent2 5 3 7 2" xfId="41846" xr:uid="{AA15363C-81BD-43EB-B251-375444BDCCD3}"/>
    <cellStyle name="20% - Accent2 5 3 8" xfId="25966" xr:uid="{6E0CC1A4-6366-425B-A7B2-B025FACAA853}"/>
    <cellStyle name="20% - Accent2 5 3_Exh G" xfId="2146" xr:uid="{00000000-0005-0000-0000-0000AF0B0000}"/>
    <cellStyle name="20% - Accent2 5 4" xfId="881" xr:uid="{00000000-0005-0000-0000-0000B00B0000}"/>
    <cellStyle name="20% - Accent2 5 5" xfId="1135" xr:uid="{00000000-0005-0000-0000-0000B10B0000}"/>
    <cellStyle name="20% - Accent2 5 5 2" xfId="4665" xr:uid="{00000000-0005-0000-0000-0000B20B0000}"/>
    <cellStyle name="20% - Accent2 5 5 2 2" xfId="8256" xr:uid="{00000000-0005-0000-0000-0000B30B0000}"/>
    <cellStyle name="20% - Accent2 5 5 2 2 2" xfId="16227" xr:uid="{00000000-0005-0000-0000-0000B40B0000}"/>
    <cellStyle name="20% - Accent2 5 5 2 2 2 2" xfId="40070" xr:uid="{DB8E850E-1849-45AC-A000-69F778FB7453}"/>
    <cellStyle name="20% - Accent2 5 5 2 2 3" xfId="24173" xr:uid="{00000000-0005-0000-0000-0000B50B0000}"/>
    <cellStyle name="20% - Accent2 5 5 2 2 3 2" xfId="48006" xr:uid="{5EFE7ACA-C31C-492F-A8C4-B048AF754699}"/>
    <cellStyle name="20% - Accent2 5 5 2 2 4" xfId="32129" xr:uid="{B2CA9C6A-F63A-4385-A36F-73DA22FF45AB}"/>
    <cellStyle name="20% - Accent2 5 5 2 3" xfId="12689" xr:uid="{00000000-0005-0000-0000-0000B60B0000}"/>
    <cellStyle name="20% - Accent2 5 5 2 3 2" xfId="36539" xr:uid="{E055D0A9-742B-4849-BB60-D49605DF2F47}"/>
    <cellStyle name="20% - Accent2 5 5 2 4" xfId="20644" xr:uid="{00000000-0005-0000-0000-0000B70B0000}"/>
    <cellStyle name="20% - Accent2 5 5 2 4 2" xfId="44477" xr:uid="{A85D02F7-EE06-48EF-86BF-B50C3B62D03B}"/>
    <cellStyle name="20% - Accent2 5 5 2 5" xfId="28598" xr:uid="{E44D9BE7-422C-4209-B51A-ADCD16F13991}"/>
    <cellStyle name="20% - Accent2 5 5 3" xfId="6497" xr:uid="{00000000-0005-0000-0000-0000B80B0000}"/>
    <cellStyle name="20% - Accent2 5 5 3 2" xfId="14469" xr:uid="{00000000-0005-0000-0000-0000B90B0000}"/>
    <cellStyle name="20% - Accent2 5 5 3 2 2" xfId="38312" xr:uid="{BE28F3CF-4527-4AB2-B49C-A8E50988B140}"/>
    <cellStyle name="20% - Accent2 5 5 3 3" xfId="22416" xr:uid="{00000000-0005-0000-0000-0000BA0B0000}"/>
    <cellStyle name="20% - Accent2 5 5 3 3 2" xfId="46249" xr:uid="{977AA1A4-D499-499E-A5C3-DFDB151EFF7D}"/>
    <cellStyle name="20% - Accent2 5 5 3 4" xfId="30371" xr:uid="{0DCA061A-9467-4AEF-AACD-15576DE87754}"/>
    <cellStyle name="20% - Accent2 5 5 4" xfId="10933" xr:uid="{00000000-0005-0000-0000-0000BB0B0000}"/>
    <cellStyle name="20% - Accent2 5 5 4 2" xfId="34783" xr:uid="{E5667430-6F4B-43A6-B99F-30859C962710}"/>
    <cellStyle name="20% - Accent2 5 5 5" xfId="18888" xr:uid="{00000000-0005-0000-0000-0000BC0B0000}"/>
    <cellStyle name="20% - Accent2 5 5 5 2" xfId="42721" xr:uid="{5A7BEB6E-1109-4D4E-9A4F-48EC2A3BC432}"/>
    <cellStyle name="20% - Accent2 5 5 6" xfId="26841" xr:uid="{4D3DE87D-4AC5-4D60-B640-4C0777EDDCF9}"/>
    <cellStyle name="20% - Accent2 5 5_Exh G" xfId="2148" xr:uid="{00000000-0005-0000-0000-0000BD0B0000}"/>
    <cellStyle name="20% - Accent2 5 6" xfId="3786" xr:uid="{00000000-0005-0000-0000-0000BE0B0000}"/>
    <cellStyle name="20% - Accent2 5 6 2" xfId="7378" xr:uid="{00000000-0005-0000-0000-0000BF0B0000}"/>
    <cellStyle name="20% - Accent2 5 6 2 2" xfId="15349" xr:uid="{00000000-0005-0000-0000-0000C00B0000}"/>
    <cellStyle name="20% - Accent2 5 6 2 2 2" xfId="39192" xr:uid="{2CC15F4E-7F92-47D7-9949-F4157753BE07}"/>
    <cellStyle name="20% - Accent2 5 6 2 3" xfId="23295" xr:uid="{00000000-0005-0000-0000-0000C10B0000}"/>
    <cellStyle name="20% - Accent2 5 6 2 3 2" xfId="47128" xr:uid="{83463516-5ADF-4147-99A2-970DA6F7417C}"/>
    <cellStyle name="20% - Accent2 5 6 2 4" xfId="31251" xr:uid="{54F92A9E-1BBF-41AA-818F-8EE93758C1A6}"/>
    <cellStyle name="20% - Accent2 5 6 3" xfId="11811" xr:uid="{00000000-0005-0000-0000-0000C20B0000}"/>
    <cellStyle name="20% - Accent2 5 6 3 2" xfId="35661" xr:uid="{C7DD6D81-4616-42B1-B08C-82B53CB8A4FB}"/>
    <cellStyle name="20% - Accent2 5 6 4" xfId="19766" xr:uid="{00000000-0005-0000-0000-0000C30B0000}"/>
    <cellStyle name="20% - Accent2 5 6 4 2" xfId="43599" xr:uid="{568859BD-DD68-489B-AB90-0E4D06B549C4}"/>
    <cellStyle name="20% - Accent2 5 6 5" xfId="27720" xr:uid="{49B4A9CD-E976-4DA1-8398-582A187FDAAB}"/>
    <cellStyle name="20% - Accent2 5 7" xfId="5606" xr:uid="{00000000-0005-0000-0000-0000C40B0000}"/>
    <cellStyle name="20% - Accent2 5 7 2" xfId="13590" xr:uid="{00000000-0005-0000-0000-0000C50B0000}"/>
    <cellStyle name="20% - Accent2 5 7 2 2" xfId="37434" xr:uid="{AD63C1CC-8876-4502-9D97-1D720BA5AD40}"/>
    <cellStyle name="20% - Accent2 5 7 3" xfId="21538" xr:uid="{00000000-0005-0000-0000-0000C60B0000}"/>
    <cellStyle name="20% - Accent2 5 7 3 2" xfId="45371" xr:uid="{A166DDAD-D64F-452E-827F-55052282334F}"/>
    <cellStyle name="20% - Accent2 5 7 4" xfId="29493" xr:uid="{34143261-A2F1-4C94-9294-D278807D0FBB}"/>
    <cellStyle name="20% - Accent2 5 8" xfId="9159" xr:uid="{00000000-0005-0000-0000-0000C70B0000}"/>
    <cellStyle name="20% - Accent2 5 8 2" xfId="17117" xr:uid="{00000000-0005-0000-0000-0000C80B0000}"/>
    <cellStyle name="20% - Accent2 5 8 2 2" xfId="40958" xr:uid="{6CCA0737-544A-4F58-B656-AD4EA625A29E}"/>
    <cellStyle name="20% - Accent2 5 8 3" xfId="25061" xr:uid="{00000000-0005-0000-0000-0000C90B0000}"/>
    <cellStyle name="20% - Accent2 5 8 3 2" xfId="48894" xr:uid="{98A76F01-97FF-4B4C-B864-1C592C1759F8}"/>
    <cellStyle name="20% - Accent2 5 8 4" xfId="33017" xr:uid="{F469FCB7-6891-4D8A-988F-87A9797AB724}"/>
    <cellStyle name="20% - Accent2 5 9" xfId="10055" xr:uid="{00000000-0005-0000-0000-0000CA0B0000}"/>
    <cellStyle name="20% - Accent2 5 9 2" xfId="33905" xr:uid="{1AA656C4-D0D1-4F7D-A9D2-6F6F45F13A9D}"/>
    <cellStyle name="20% - Accent2 5_Exh G" xfId="2141" xr:uid="{00000000-0005-0000-0000-0000CB0B0000}"/>
    <cellStyle name="20% - Accent2 6" xfId="111" xr:uid="{00000000-0005-0000-0000-0000CC0B0000}"/>
    <cellStyle name="20% - Accent2 6 10" xfId="18014" xr:uid="{00000000-0005-0000-0000-0000CD0B0000}"/>
    <cellStyle name="20% - Accent2 6 10 2" xfId="41847" xr:uid="{4E1A2A8D-2D17-43D7-92CA-6F9AB6909634}"/>
    <cellStyle name="20% - Accent2 6 11" xfId="25967" xr:uid="{FC587D53-42B0-46AA-9CDF-DC868D4957B8}"/>
    <cellStyle name="20% - Accent2 6 2" xfId="112" xr:uid="{00000000-0005-0000-0000-0000CE0B0000}"/>
    <cellStyle name="20% - Accent2 6 2 2" xfId="113" xr:uid="{00000000-0005-0000-0000-0000CF0B0000}"/>
    <cellStyle name="20% - Accent2 6 2 2 2" xfId="1141" xr:uid="{00000000-0005-0000-0000-0000D00B0000}"/>
    <cellStyle name="20% - Accent2 6 2 2 2 2" xfId="4671" xr:uid="{00000000-0005-0000-0000-0000D10B0000}"/>
    <cellStyle name="20% - Accent2 6 2 2 2 2 2" xfId="8262" xr:uid="{00000000-0005-0000-0000-0000D20B0000}"/>
    <cellStyle name="20% - Accent2 6 2 2 2 2 2 2" xfId="16233" xr:uid="{00000000-0005-0000-0000-0000D30B0000}"/>
    <cellStyle name="20% - Accent2 6 2 2 2 2 2 2 2" xfId="40076" xr:uid="{74788208-2934-4F87-940E-A199BD575AC4}"/>
    <cellStyle name="20% - Accent2 6 2 2 2 2 2 3" xfId="24179" xr:uid="{00000000-0005-0000-0000-0000D40B0000}"/>
    <cellStyle name="20% - Accent2 6 2 2 2 2 2 3 2" xfId="48012" xr:uid="{92CE8A66-D91E-4B16-8284-7EF1B324E506}"/>
    <cellStyle name="20% - Accent2 6 2 2 2 2 2 4" xfId="32135" xr:uid="{E6E7A39E-7BFF-404B-AEF7-913D4E6773CF}"/>
    <cellStyle name="20% - Accent2 6 2 2 2 2 3" xfId="12695" xr:uid="{00000000-0005-0000-0000-0000D50B0000}"/>
    <cellStyle name="20% - Accent2 6 2 2 2 2 3 2" xfId="36545" xr:uid="{25410E85-B972-4C04-A0FD-B1B8A3486AF6}"/>
    <cellStyle name="20% - Accent2 6 2 2 2 2 4" xfId="20650" xr:uid="{00000000-0005-0000-0000-0000D60B0000}"/>
    <cellStyle name="20% - Accent2 6 2 2 2 2 4 2" xfId="44483" xr:uid="{3CAFBBE1-79A0-4752-946B-36157B35CB4D}"/>
    <cellStyle name="20% - Accent2 6 2 2 2 2 5" xfId="28604" xr:uid="{1C9E29AE-090B-43AC-8C94-7C52D332F80E}"/>
    <cellStyle name="20% - Accent2 6 2 2 2 3" xfId="6503" xr:uid="{00000000-0005-0000-0000-0000D70B0000}"/>
    <cellStyle name="20% - Accent2 6 2 2 2 3 2" xfId="14475" xr:uid="{00000000-0005-0000-0000-0000D80B0000}"/>
    <cellStyle name="20% - Accent2 6 2 2 2 3 2 2" xfId="38318" xr:uid="{CDCF9B69-BAF2-4311-8939-4DF16AC3293E}"/>
    <cellStyle name="20% - Accent2 6 2 2 2 3 3" xfId="22422" xr:uid="{00000000-0005-0000-0000-0000D90B0000}"/>
    <cellStyle name="20% - Accent2 6 2 2 2 3 3 2" xfId="46255" xr:uid="{36257A18-ED99-49CC-889D-F8AC25D40A85}"/>
    <cellStyle name="20% - Accent2 6 2 2 2 3 4" xfId="30377" xr:uid="{14CC1119-0FCB-492D-8AA1-4CDE9643B39E}"/>
    <cellStyle name="20% - Accent2 6 2 2 2 4" xfId="10939" xr:uid="{00000000-0005-0000-0000-0000DA0B0000}"/>
    <cellStyle name="20% - Accent2 6 2 2 2 4 2" xfId="34789" xr:uid="{7D5FA303-8029-4D29-916E-4A3FCEE495D2}"/>
    <cellStyle name="20% - Accent2 6 2 2 2 5" xfId="18894" xr:uid="{00000000-0005-0000-0000-0000DB0B0000}"/>
    <cellStyle name="20% - Accent2 6 2 2 2 5 2" xfId="42727" xr:uid="{933D9AA3-84F9-4245-836B-E1A211645A0A}"/>
    <cellStyle name="20% - Accent2 6 2 2 2 6" xfId="26847" xr:uid="{8691C318-A8EB-43C4-8918-9F05F34B3453}"/>
    <cellStyle name="20% - Accent2 6 2 2 2_Exh G" xfId="2152" xr:uid="{00000000-0005-0000-0000-0000DC0B0000}"/>
    <cellStyle name="20% - Accent2 6 2 2 3" xfId="3792" xr:uid="{00000000-0005-0000-0000-0000DD0B0000}"/>
    <cellStyle name="20% - Accent2 6 2 2 3 2" xfId="7384" xr:uid="{00000000-0005-0000-0000-0000DE0B0000}"/>
    <cellStyle name="20% - Accent2 6 2 2 3 2 2" xfId="15355" xr:uid="{00000000-0005-0000-0000-0000DF0B0000}"/>
    <cellStyle name="20% - Accent2 6 2 2 3 2 2 2" xfId="39198" xr:uid="{7ED31645-64C4-4E41-BF0D-475ADD990294}"/>
    <cellStyle name="20% - Accent2 6 2 2 3 2 3" xfId="23301" xr:uid="{00000000-0005-0000-0000-0000E00B0000}"/>
    <cellStyle name="20% - Accent2 6 2 2 3 2 3 2" xfId="47134" xr:uid="{3F22B487-4A19-4E48-AE8F-37F0CAC9BDD4}"/>
    <cellStyle name="20% - Accent2 6 2 2 3 2 4" xfId="31257" xr:uid="{EAC2B9FB-9223-4471-8447-CAD949533C3B}"/>
    <cellStyle name="20% - Accent2 6 2 2 3 3" xfId="11817" xr:uid="{00000000-0005-0000-0000-0000E10B0000}"/>
    <cellStyle name="20% - Accent2 6 2 2 3 3 2" xfId="35667" xr:uid="{E23AFF06-DF63-4D55-B482-143B3B301656}"/>
    <cellStyle name="20% - Accent2 6 2 2 3 4" xfId="19772" xr:uid="{00000000-0005-0000-0000-0000E20B0000}"/>
    <cellStyle name="20% - Accent2 6 2 2 3 4 2" xfId="43605" xr:uid="{86B435D1-D2EB-4AD4-A3ED-DD2D5F9C1D28}"/>
    <cellStyle name="20% - Accent2 6 2 2 3 5" xfId="27726" xr:uid="{69537D67-AD8E-4FEA-B8BB-45B76DC94AD9}"/>
    <cellStyle name="20% - Accent2 6 2 2 4" xfId="5612" xr:uid="{00000000-0005-0000-0000-0000E30B0000}"/>
    <cellStyle name="20% - Accent2 6 2 2 4 2" xfId="13596" xr:uid="{00000000-0005-0000-0000-0000E40B0000}"/>
    <cellStyle name="20% - Accent2 6 2 2 4 2 2" xfId="37440" xr:uid="{8B1F4C50-52BC-4EC7-AC98-1686B0D21ABE}"/>
    <cellStyle name="20% - Accent2 6 2 2 4 3" xfId="21544" xr:uid="{00000000-0005-0000-0000-0000E50B0000}"/>
    <cellStyle name="20% - Accent2 6 2 2 4 3 2" xfId="45377" xr:uid="{6AA3E2E6-5EAB-4401-8FF0-6231B6C49355}"/>
    <cellStyle name="20% - Accent2 6 2 2 4 4" xfId="29499" xr:uid="{4C4840AD-3BCA-4CD2-867F-C3555439B52F}"/>
    <cellStyle name="20% - Accent2 6 2 2 5" xfId="9165" xr:uid="{00000000-0005-0000-0000-0000E60B0000}"/>
    <cellStyle name="20% - Accent2 6 2 2 5 2" xfId="17123" xr:uid="{00000000-0005-0000-0000-0000E70B0000}"/>
    <cellStyle name="20% - Accent2 6 2 2 5 2 2" xfId="40964" xr:uid="{7F430466-16A2-43A8-B012-3F3642D65864}"/>
    <cellStyle name="20% - Accent2 6 2 2 5 3" xfId="25067" xr:uid="{00000000-0005-0000-0000-0000E80B0000}"/>
    <cellStyle name="20% - Accent2 6 2 2 5 3 2" xfId="48900" xr:uid="{765584C8-8B69-4CE1-BF81-0BB8193D384F}"/>
    <cellStyle name="20% - Accent2 6 2 2 5 4" xfId="33023" xr:uid="{C690C2A4-F0FD-4C7B-BEF9-D3D90CD9EB33}"/>
    <cellStyle name="20% - Accent2 6 2 2 6" xfId="10061" xr:uid="{00000000-0005-0000-0000-0000E90B0000}"/>
    <cellStyle name="20% - Accent2 6 2 2 6 2" xfId="33911" xr:uid="{D83F041C-64FF-4305-BF08-F6E7C2159435}"/>
    <cellStyle name="20% - Accent2 6 2 2 7" xfId="18016" xr:uid="{00000000-0005-0000-0000-0000EA0B0000}"/>
    <cellStyle name="20% - Accent2 6 2 2 7 2" xfId="41849" xr:uid="{2BA044A4-5D7D-4688-9313-474EB47300C8}"/>
    <cellStyle name="20% - Accent2 6 2 2 8" xfId="25969" xr:uid="{0472172D-56DC-4471-A58A-69C4A6D84C5E}"/>
    <cellStyle name="20% - Accent2 6 2 2_Exh G" xfId="2151" xr:uid="{00000000-0005-0000-0000-0000EB0B0000}"/>
    <cellStyle name="20% - Accent2 6 2 3" xfId="1140" xr:uid="{00000000-0005-0000-0000-0000EC0B0000}"/>
    <cellStyle name="20% - Accent2 6 2 3 2" xfId="4670" xr:uid="{00000000-0005-0000-0000-0000ED0B0000}"/>
    <cellStyle name="20% - Accent2 6 2 3 2 2" xfId="8261" xr:uid="{00000000-0005-0000-0000-0000EE0B0000}"/>
    <cellStyle name="20% - Accent2 6 2 3 2 2 2" xfId="16232" xr:uid="{00000000-0005-0000-0000-0000EF0B0000}"/>
    <cellStyle name="20% - Accent2 6 2 3 2 2 2 2" xfId="40075" xr:uid="{3C5A23B9-1DB1-4606-A26A-61F7051154F8}"/>
    <cellStyle name="20% - Accent2 6 2 3 2 2 3" xfId="24178" xr:uid="{00000000-0005-0000-0000-0000F00B0000}"/>
    <cellStyle name="20% - Accent2 6 2 3 2 2 3 2" xfId="48011" xr:uid="{404DC781-8B25-4FA4-B55E-B2AC4133A544}"/>
    <cellStyle name="20% - Accent2 6 2 3 2 2 4" xfId="32134" xr:uid="{B803A046-A3EE-42D2-A36C-D421C3705BD0}"/>
    <cellStyle name="20% - Accent2 6 2 3 2 3" xfId="12694" xr:uid="{00000000-0005-0000-0000-0000F10B0000}"/>
    <cellStyle name="20% - Accent2 6 2 3 2 3 2" xfId="36544" xr:uid="{552B895C-A38B-4D76-9001-E4000C9C99AB}"/>
    <cellStyle name="20% - Accent2 6 2 3 2 4" xfId="20649" xr:uid="{00000000-0005-0000-0000-0000F20B0000}"/>
    <cellStyle name="20% - Accent2 6 2 3 2 4 2" xfId="44482" xr:uid="{EB963F03-AFFD-4F80-B4CC-9A4558D24571}"/>
    <cellStyle name="20% - Accent2 6 2 3 2 5" xfId="28603" xr:uid="{05E02FDF-E6A1-40CA-A82F-1F3E126DCFEB}"/>
    <cellStyle name="20% - Accent2 6 2 3 3" xfId="6502" xr:uid="{00000000-0005-0000-0000-0000F30B0000}"/>
    <cellStyle name="20% - Accent2 6 2 3 3 2" xfId="14474" xr:uid="{00000000-0005-0000-0000-0000F40B0000}"/>
    <cellStyle name="20% - Accent2 6 2 3 3 2 2" xfId="38317" xr:uid="{CB72C2CE-B20E-4777-967E-4CF6AC9F24A5}"/>
    <cellStyle name="20% - Accent2 6 2 3 3 3" xfId="22421" xr:uid="{00000000-0005-0000-0000-0000F50B0000}"/>
    <cellStyle name="20% - Accent2 6 2 3 3 3 2" xfId="46254" xr:uid="{B3020C40-AA4F-4C18-B0B9-3F8D2B446BB3}"/>
    <cellStyle name="20% - Accent2 6 2 3 3 4" xfId="30376" xr:uid="{5543938E-3966-44DA-9178-A98FED26E3D4}"/>
    <cellStyle name="20% - Accent2 6 2 3 4" xfId="10938" xr:uid="{00000000-0005-0000-0000-0000F60B0000}"/>
    <cellStyle name="20% - Accent2 6 2 3 4 2" xfId="34788" xr:uid="{D65EC0A7-1E2E-4F44-9909-172B12DC6EF5}"/>
    <cellStyle name="20% - Accent2 6 2 3 5" xfId="18893" xr:uid="{00000000-0005-0000-0000-0000F70B0000}"/>
    <cellStyle name="20% - Accent2 6 2 3 5 2" xfId="42726" xr:uid="{441DEABD-CFDC-482A-93E8-3F6455F6EDD5}"/>
    <cellStyle name="20% - Accent2 6 2 3 6" xfId="26846" xr:uid="{6EBC9FE9-2435-4A51-B946-62EB781DB410}"/>
    <cellStyle name="20% - Accent2 6 2 3_Exh G" xfId="2153" xr:uid="{00000000-0005-0000-0000-0000F80B0000}"/>
    <cellStyle name="20% - Accent2 6 2 4" xfId="3791" xr:uid="{00000000-0005-0000-0000-0000F90B0000}"/>
    <cellStyle name="20% - Accent2 6 2 4 2" xfId="7383" xr:uid="{00000000-0005-0000-0000-0000FA0B0000}"/>
    <cellStyle name="20% - Accent2 6 2 4 2 2" xfId="15354" xr:uid="{00000000-0005-0000-0000-0000FB0B0000}"/>
    <cellStyle name="20% - Accent2 6 2 4 2 2 2" xfId="39197" xr:uid="{9415A5D4-1808-4B78-A59B-954BEB6BE093}"/>
    <cellStyle name="20% - Accent2 6 2 4 2 3" xfId="23300" xr:uid="{00000000-0005-0000-0000-0000FC0B0000}"/>
    <cellStyle name="20% - Accent2 6 2 4 2 3 2" xfId="47133" xr:uid="{4B93888C-44B4-4AB6-AC02-EBBACAC6D267}"/>
    <cellStyle name="20% - Accent2 6 2 4 2 4" xfId="31256" xr:uid="{5D2A98F3-5C94-4906-84B8-D153B32FF5DB}"/>
    <cellStyle name="20% - Accent2 6 2 4 3" xfId="11816" xr:uid="{00000000-0005-0000-0000-0000FD0B0000}"/>
    <cellStyle name="20% - Accent2 6 2 4 3 2" xfId="35666" xr:uid="{C278E1C7-F415-42D1-B507-5182818E8B7F}"/>
    <cellStyle name="20% - Accent2 6 2 4 4" xfId="19771" xr:uid="{00000000-0005-0000-0000-0000FE0B0000}"/>
    <cellStyle name="20% - Accent2 6 2 4 4 2" xfId="43604" xr:uid="{74B69A6F-AB3E-4823-B5B9-6430E15F5ED2}"/>
    <cellStyle name="20% - Accent2 6 2 4 5" xfId="27725" xr:uid="{65A829FA-FFAB-454D-A452-6E5288E9FECE}"/>
    <cellStyle name="20% - Accent2 6 2 5" xfId="5611" xr:uid="{00000000-0005-0000-0000-0000FF0B0000}"/>
    <cellStyle name="20% - Accent2 6 2 5 2" xfId="13595" xr:uid="{00000000-0005-0000-0000-0000000C0000}"/>
    <cellStyle name="20% - Accent2 6 2 5 2 2" xfId="37439" xr:uid="{49919122-26EF-4788-8350-BBE5F9C0A1F4}"/>
    <cellStyle name="20% - Accent2 6 2 5 3" xfId="21543" xr:uid="{00000000-0005-0000-0000-0000010C0000}"/>
    <cellStyle name="20% - Accent2 6 2 5 3 2" xfId="45376" xr:uid="{E6368992-B1CF-48E9-9D54-A66E1659CDFF}"/>
    <cellStyle name="20% - Accent2 6 2 5 4" xfId="29498" xr:uid="{96A1821C-2108-4DBE-AAE3-07446743307F}"/>
    <cellStyle name="20% - Accent2 6 2 6" xfId="9164" xr:uid="{00000000-0005-0000-0000-0000020C0000}"/>
    <cellStyle name="20% - Accent2 6 2 6 2" xfId="17122" xr:uid="{00000000-0005-0000-0000-0000030C0000}"/>
    <cellStyle name="20% - Accent2 6 2 6 2 2" xfId="40963" xr:uid="{813DC7E2-ECD3-44A0-AE2B-BDE077904AD9}"/>
    <cellStyle name="20% - Accent2 6 2 6 3" xfId="25066" xr:uid="{00000000-0005-0000-0000-0000040C0000}"/>
    <cellStyle name="20% - Accent2 6 2 6 3 2" xfId="48899" xr:uid="{A20F0172-04D0-4384-A2E8-12905E9DE3A7}"/>
    <cellStyle name="20% - Accent2 6 2 6 4" xfId="33022" xr:uid="{E4AAA2DA-E6C3-4D95-9C0B-20A725EB8D67}"/>
    <cellStyle name="20% - Accent2 6 2 7" xfId="10060" xr:uid="{00000000-0005-0000-0000-0000050C0000}"/>
    <cellStyle name="20% - Accent2 6 2 7 2" xfId="33910" xr:uid="{E9D67EA1-CA4A-4ED6-B266-3847E8C01704}"/>
    <cellStyle name="20% - Accent2 6 2 8" xfId="18015" xr:uid="{00000000-0005-0000-0000-0000060C0000}"/>
    <cellStyle name="20% - Accent2 6 2 8 2" xfId="41848" xr:uid="{926F65A7-4774-4B99-BEF1-1D1D88876827}"/>
    <cellStyle name="20% - Accent2 6 2 9" xfId="25968" xr:uid="{98D16D82-DA3E-4860-A405-64275FACDD09}"/>
    <cellStyle name="20% - Accent2 6 2_Exh G" xfId="2150" xr:uid="{00000000-0005-0000-0000-0000070C0000}"/>
    <cellStyle name="20% - Accent2 6 3" xfId="114" xr:uid="{00000000-0005-0000-0000-0000080C0000}"/>
    <cellStyle name="20% - Accent2 6 3 2" xfId="1142" xr:uid="{00000000-0005-0000-0000-0000090C0000}"/>
    <cellStyle name="20% - Accent2 6 3 2 2" xfId="4672" xr:uid="{00000000-0005-0000-0000-00000A0C0000}"/>
    <cellStyle name="20% - Accent2 6 3 2 2 2" xfId="8263" xr:uid="{00000000-0005-0000-0000-00000B0C0000}"/>
    <cellStyle name="20% - Accent2 6 3 2 2 2 2" xfId="16234" xr:uid="{00000000-0005-0000-0000-00000C0C0000}"/>
    <cellStyle name="20% - Accent2 6 3 2 2 2 2 2" xfId="40077" xr:uid="{63FEA3D8-1436-489F-B10C-4FFCC4755FE4}"/>
    <cellStyle name="20% - Accent2 6 3 2 2 2 3" xfId="24180" xr:uid="{00000000-0005-0000-0000-00000D0C0000}"/>
    <cellStyle name="20% - Accent2 6 3 2 2 2 3 2" xfId="48013" xr:uid="{68B6EF15-C57A-4610-B7C3-235E4B57F004}"/>
    <cellStyle name="20% - Accent2 6 3 2 2 2 4" xfId="32136" xr:uid="{A275864E-7D27-47E1-BE53-55EA120B4E10}"/>
    <cellStyle name="20% - Accent2 6 3 2 2 3" xfId="12696" xr:uid="{00000000-0005-0000-0000-00000E0C0000}"/>
    <cellStyle name="20% - Accent2 6 3 2 2 3 2" xfId="36546" xr:uid="{035745A7-93DE-46B9-8547-69E81326DB86}"/>
    <cellStyle name="20% - Accent2 6 3 2 2 4" xfId="20651" xr:uid="{00000000-0005-0000-0000-00000F0C0000}"/>
    <cellStyle name="20% - Accent2 6 3 2 2 4 2" xfId="44484" xr:uid="{D817AF46-42AE-44B4-A7EE-3F23D42DD966}"/>
    <cellStyle name="20% - Accent2 6 3 2 2 5" xfId="28605" xr:uid="{AE046255-B330-4C8C-9AC2-3F0956677A3B}"/>
    <cellStyle name="20% - Accent2 6 3 2 3" xfId="6504" xr:uid="{00000000-0005-0000-0000-0000100C0000}"/>
    <cellStyle name="20% - Accent2 6 3 2 3 2" xfId="14476" xr:uid="{00000000-0005-0000-0000-0000110C0000}"/>
    <cellStyle name="20% - Accent2 6 3 2 3 2 2" xfId="38319" xr:uid="{1AE5D3E5-6DF4-4980-B144-46B11207C1E0}"/>
    <cellStyle name="20% - Accent2 6 3 2 3 3" xfId="22423" xr:uid="{00000000-0005-0000-0000-0000120C0000}"/>
    <cellStyle name="20% - Accent2 6 3 2 3 3 2" xfId="46256" xr:uid="{B325A738-D845-46D9-A56F-E6269AC4E325}"/>
    <cellStyle name="20% - Accent2 6 3 2 3 4" xfId="30378" xr:uid="{89048035-4E45-4394-B958-0CE043F98B6C}"/>
    <cellStyle name="20% - Accent2 6 3 2 4" xfId="10940" xr:uid="{00000000-0005-0000-0000-0000130C0000}"/>
    <cellStyle name="20% - Accent2 6 3 2 4 2" xfId="34790" xr:uid="{CA6D0D39-17A1-4470-B6AA-1EB42BCFF141}"/>
    <cellStyle name="20% - Accent2 6 3 2 5" xfId="18895" xr:uid="{00000000-0005-0000-0000-0000140C0000}"/>
    <cellStyle name="20% - Accent2 6 3 2 5 2" xfId="42728" xr:uid="{5977C4F5-296F-443E-A3A9-90F51ACB9A0D}"/>
    <cellStyle name="20% - Accent2 6 3 2 6" xfId="26848" xr:uid="{751A2098-0DB7-4B2C-8A9C-9247C2FE305D}"/>
    <cellStyle name="20% - Accent2 6 3 2_Exh G" xfId="2155" xr:uid="{00000000-0005-0000-0000-0000150C0000}"/>
    <cellStyle name="20% - Accent2 6 3 3" xfId="3793" xr:uid="{00000000-0005-0000-0000-0000160C0000}"/>
    <cellStyle name="20% - Accent2 6 3 3 2" xfId="7385" xr:uid="{00000000-0005-0000-0000-0000170C0000}"/>
    <cellStyle name="20% - Accent2 6 3 3 2 2" xfId="15356" xr:uid="{00000000-0005-0000-0000-0000180C0000}"/>
    <cellStyle name="20% - Accent2 6 3 3 2 2 2" xfId="39199" xr:uid="{A1F923BC-A7F1-4B1C-A0AE-324951094772}"/>
    <cellStyle name="20% - Accent2 6 3 3 2 3" xfId="23302" xr:uid="{00000000-0005-0000-0000-0000190C0000}"/>
    <cellStyle name="20% - Accent2 6 3 3 2 3 2" xfId="47135" xr:uid="{0FBE9A1D-E65E-446D-B37B-775EC7F75276}"/>
    <cellStyle name="20% - Accent2 6 3 3 2 4" xfId="31258" xr:uid="{83A26F5D-96B0-44F7-92A6-B743854F8E0E}"/>
    <cellStyle name="20% - Accent2 6 3 3 3" xfId="11818" xr:uid="{00000000-0005-0000-0000-00001A0C0000}"/>
    <cellStyle name="20% - Accent2 6 3 3 3 2" xfId="35668" xr:uid="{59747A19-8316-4515-A6A5-74070ACC6F85}"/>
    <cellStyle name="20% - Accent2 6 3 3 4" xfId="19773" xr:uid="{00000000-0005-0000-0000-00001B0C0000}"/>
    <cellStyle name="20% - Accent2 6 3 3 4 2" xfId="43606" xr:uid="{7F149BFA-407D-4282-A2DB-2846A362E9E2}"/>
    <cellStyle name="20% - Accent2 6 3 3 5" xfId="27727" xr:uid="{2C8E91E8-262E-4930-B68A-921A286E2545}"/>
    <cellStyle name="20% - Accent2 6 3 4" xfId="5613" xr:uid="{00000000-0005-0000-0000-00001C0C0000}"/>
    <cellStyle name="20% - Accent2 6 3 4 2" xfId="13597" xr:uid="{00000000-0005-0000-0000-00001D0C0000}"/>
    <cellStyle name="20% - Accent2 6 3 4 2 2" xfId="37441" xr:uid="{07B4B4FD-3AA6-4AF0-97D1-1E776A6E564B}"/>
    <cellStyle name="20% - Accent2 6 3 4 3" xfId="21545" xr:uid="{00000000-0005-0000-0000-00001E0C0000}"/>
    <cellStyle name="20% - Accent2 6 3 4 3 2" xfId="45378" xr:uid="{34A55591-52D8-4200-96D1-012109C61B71}"/>
    <cellStyle name="20% - Accent2 6 3 4 4" xfId="29500" xr:uid="{B2FC53F5-7CFF-4381-84EB-0EC32B8C740A}"/>
    <cellStyle name="20% - Accent2 6 3 5" xfId="9166" xr:uid="{00000000-0005-0000-0000-00001F0C0000}"/>
    <cellStyle name="20% - Accent2 6 3 5 2" xfId="17124" xr:uid="{00000000-0005-0000-0000-0000200C0000}"/>
    <cellStyle name="20% - Accent2 6 3 5 2 2" xfId="40965" xr:uid="{F4832575-7B55-4674-881B-E58E578DF56D}"/>
    <cellStyle name="20% - Accent2 6 3 5 3" xfId="25068" xr:uid="{00000000-0005-0000-0000-0000210C0000}"/>
    <cellStyle name="20% - Accent2 6 3 5 3 2" xfId="48901" xr:uid="{8E4394AF-7744-4FB7-A057-F82A56BF7DDC}"/>
    <cellStyle name="20% - Accent2 6 3 5 4" xfId="33024" xr:uid="{719594AD-834E-4904-BBA9-C2EC3CBDAEE6}"/>
    <cellStyle name="20% - Accent2 6 3 6" xfId="10062" xr:uid="{00000000-0005-0000-0000-0000220C0000}"/>
    <cellStyle name="20% - Accent2 6 3 6 2" xfId="33912" xr:uid="{873F653E-9AD2-4AF3-9FE4-6AA786276D79}"/>
    <cellStyle name="20% - Accent2 6 3 7" xfId="18017" xr:uid="{00000000-0005-0000-0000-0000230C0000}"/>
    <cellStyle name="20% - Accent2 6 3 7 2" xfId="41850" xr:uid="{7F339D36-C55F-4C61-98EB-777222317ECA}"/>
    <cellStyle name="20% - Accent2 6 3 8" xfId="25970" xr:uid="{210E58E8-A8FC-4521-A026-1E96B5AD6A36}"/>
    <cellStyle name="20% - Accent2 6 3_Exh G" xfId="2154" xr:uid="{00000000-0005-0000-0000-0000240C0000}"/>
    <cellStyle name="20% - Accent2 6 4" xfId="882" xr:uid="{00000000-0005-0000-0000-0000250C0000}"/>
    <cellStyle name="20% - Accent2 6 4 2" xfId="1815" xr:uid="{00000000-0005-0000-0000-0000260C0000}"/>
    <cellStyle name="20% - Accent2 6 4 2 2" xfId="5333" xr:uid="{00000000-0005-0000-0000-0000270C0000}"/>
    <cellStyle name="20% - Accent2 6 4 2 2 2" xfId="8924" xr:uid="{00000000-0005-0000-0000-0000280C0000}"/>
    <cellStyle name="20% - Accent2 6 4 2 2 2 2" xfId="16895" xr:uid="{00000000-0005-0000-0000-0000290C0000}"/>
    <cellStyle name="20% - Accent2 6 4 2 2 2 2 2" xfId="40738" xr:uid="{E52CF486-8C7E-459F-86AC-07BA10E73290}"/>
    <cellStyle name="20% - Accent2 6 4 2 2 2 3" xfId="24841" xr:uid="{00000000-0005-0000-0000-00002A0C0000}"/>
    <cellStyle name="20% - Accent2 6 4 2 2 2 3 2" xfId="48674" xr:uid="{F9D5D8F6-4640-4415-BBC0-E6DEA7AE9C63}"/>
    <cellStyle name="20% - Accent2 6 4 2 2 2 4" xfId="32797" xr:uid="{B6B6BBB8-948A-4E57-B362-9910FA535DB7}"/>
    <cellStyle name="20% - Accent2 6 4 2 2 3" xfId="13357" xr:uid="{00000000-0005-0000-0000-00002B0C0000}"/>
    <cellStyle name="20% - Accent2 6 4 2 2 3 2" xfId="37207" xr:uid="{2F38D8BD-1269-491B-B509-9D1B04FA1384}"/>
    <cellStyle name="20% - Accent2 6 4 2 2 4" xfId="21312" xr:uid="{00000000-0005-0000-0000-00002C0C0000}"/>
    <cellStyle name="20% - Accent2 6 4 2 2 4 2" xfId="45145" xr:uid="{C24A6338-6842-4E5C-96E6-0F2DE8A9D9AC}"/>
    <cellStyle name="20% - Accent2 6 4 2 2 5" xfId="29266" xr:uid="{85981997-1327-415A-85C1-C00E20DE5FBF}"/>
    <cellStyle name="20% - Accent2 6 4 2 3" xfId="7165" xr:uid="{00000000-0005-0000-0000-00002D0C0000}"/>
    <cellStyle name="20% - Accent2 6 4 2 3 2" xfId="15137" xr:uid="{00000000-0005-0000-0000-00002E0C0000}"/>
    <cellStyle name="20% - Accent2 6 4 2 3 2 2" xfId="38980" xr:uid="{6730F9A8-B85D-4E4E-B1A6-42B3D80500AD}"/>
    <cellStyle name="20% - Accent2 6 4 2 3 3" xfId="23084" xr:uid="{00000000-0005-0000-0000-00002F0C0000}"/>
    <cellStyle name="20% - Accent2 6 4 2 3 3 2" xfId="46917" xr:uid="{0A928EEA-7C23-40AB-B0FB-2B11B3293363}"/>
    <cellStyle name="20% - Accent2 6 4 2 3 4" xfId="31039" xr:uid="{F0B869B8-8AEC-4D7A-BA16-2A87480943ED}"/>
    <cellStyle name="20% - Accent2 6 4 2 4" xfId="11601" xr:uid="{00000000-0005-0000-0000-0000300C0000}"/>
    <cellStyle name="20% - Accent2 6 4 2 4 2" xfId="35451" xr:uid="{E1F0D004-EA19-4192-8062-B7F7631D9A90}"/>
    <cellStyle name="20% - Accent2 6 4 2 5" xfId="19556" xr:uid="{00000000-0005-0000-0000-0000310C0000}"/>
    <cellStyle name="20% - Accent2 6 4 2 5 2" xfId="43389" xr:uid="{BE13CEC4-6190-4FE9-84F8-96BA8BA45211}"/>
    <cellStyle name="20% - Accent2 6 4 2 6" xfId="27509" xr:uid="{BF19BA41-A617-4C3D-BA6C-ADF8E399CFFC}"/>
    <cellStyle name="20% - Accent2 6 4 2_Exh G" xfId="2157" xr:uid="{00000000-0005-0000-0000-0000320C0000}"/>
    <cellStyle name="20% - Accent2 6 4 3" xfId="4454" xr:uid="{00000000-0005-0000-0000-0000330C0000}"/>
    <cellStyle name="20% - Accent2 6 4 3 2" xfId="8046" xr:uid="{00000000-0005-0000-0000-0000340C0000}"/>
    <cellStyle name="20% - Accent2 6 4 3 2 2" xfId="16017" xr:uid="{00000000-0005-0000-0000-0000350C0000}"/>
    <cellStyle name="20% - Accent2 6 4 3 2 2 2" xfId="39860" xr:uid="{E0B25F0A-0663-415A-8593-D54AA8468A54}"/>
    <cellStyle name="20% - Accent2 6 4 3 2 3" xfId="23963" xr:uid="{00000000-0005-0000-0000-0000360C0000}"/>
    <cellStyle name="20% - Accent2 6 4 3 2 3 2" xfId="47796" xr:uid="{D1B7A68C-0396-4F60-9AA8-BC43D9433912}"/>
    <cellStyle name="20% - Accent2 6 4 3 2 4" xfId="31919" xr:uid="{DB2BE462-2213-4EFA-82E6-25A06D5DB8A8}"/>
    <cellStyle name="20% - Accent2 6 4 3 3" xfId="12479" xr:uid="{00000000-0005-0000-0000-0000370C0000}"/>
    <cellStyle name="20% - Accent2 6 4 3 3 2" xfId="36329" xr:uid="{0E8E7018-F284-46D9-A35F-3050D6F0386E}"/>
    <cellStyle name="20% - Accent2 6 4 3 4" xfId="20434" xr:uid="{00000000-0005-0000-0000-0000380C0000}"/>
    <cellStyle name="20% - Accent2 6 4 3 4 2" xfId="44267" xr:uid="{1865ACD4-6AF3-471A-ADA9-47922478F3F0}"/>
    <cellStyle name="20% - Accent2 6 4 3 5" xfId="28388" xr:uid="{1B0161A1-2E19-4C3F-8082-DE22B6FE5B11}"/>
    <cellStyle name="20% - Accent2 6 4 4" xfId="6284" xr:uid="{00000000-0005-0000-0000-0000390C0000}"/>
    <cellStyle name="20% - Accent2 6 4 4 2" xfId="14259" xr:uid="{00000000-0005-0000-0000-00003A0C0000}"/>
    <cellStyle name="20% - Accent2 6 4 4 2 2" xfId="38102" xr:uid="{F396255C-2338-4CEC-97B4-26842402DEDA}"/>
    <cellStyle name="20% - Accent2 6 4 4 3" xfId="22206" xr:uid="{00000000-0005-0000-0000-00003B0C0000}"/>
    <cellStyle name="20% - Accent2 6 4 4 3 2" xfId="46039" xr:uid="{CE39650F-008B-4790-8D1E-46E374BECAD9}"/>
    <cellStyle name="20% - Accent2 6 4 4 4" xfId="30161" xr:uid="{4F2F4FFF-3167-47FF-A9D6-63C2FEC60A6E}"/>
    <cellStyle name="20% - Accent2 6 4 5" xfId="9827" xr:uid="{00000000-0005-0000-0000-00003C0C0000}"/>
    <cellStyle name="20% - Accent2 6 4 5 2" xfId="17785" xr:uid="{00000000-0005-0000-0000-00003D0C0000}"/>
    <cellStyle name="20% - Accent2 6 4 5 2 2" xfId="41626" xr:uid="{FB96E43E-981F-49D5-AF28-4BEC9A0F22AD}"/>
    <cellStyle name="20% - Accent2 6 4 5 3" xfId="25729" xr:uid="{00000000-0005-0000-0000-00003E0C0000}"/>
    <cellStyle name="20% - Accent2 6 4 5 3 2" xfId="49562" xr:uid="{46A107BF-3E40-441F-A98C-1C5EE658BC8B}"/>
    <cellStyle name="20% - Accent2 6 4 5 4" xfId="33685" xr:uid="{B5B91906-FE87-4AD3-9177-88E23E46940B}"/>
    <cellStyle name="20% - Accent2 6 4 6" xfId="10723" xr:uid="{00000000-0005-0000-0000-00003F0C0000}"/>
    <cellStyle name="20% - Accent2 6 4 6 2" xfId="34573" xr:uid="{7C6EAF35-869F-4CC1-9776-67EB92CD8A48}"/>
    <cellStyle name="20% - Accent2 6 4 7" xfId="18678" xr:uid="{00000000-0005-0000-0000-0000400C0000}"/>
    <cellStyle name="20% - Accent2 6 4 7 2" xfId="42511" xr:uid="{3981893A-CD6F-4895-B889-105DE35BDDED}"/>
    <cellStyle name="20% - Accent2 6 4 8" xfId="26631" xr:uid="{C18FC513-3864-45C5-B93F-0C284D35D955}"/>
    <cellStyle name="20% - Accent2 6 4_Exh G" xfId="2156" xr:uid="{00000000-0005-0000-0000-0000410C0000}"/>
    <cellStyle name="20% - Accent2 6 5" xfId="1139" xr:uid="{00000000-0005-0000-0000-0000420C0000}"/>
    <cellStyle name="20% - Accent2 6 5 2" xfId="4669" xr:uid="{00000000-0005-0000-0000-0000430C0000}"/>
    <cellStyle name="20% - Accent2 6 5 2 2" xfId="8260" xr:uid="{00000000-0005-0000-0000-0000440C0000}"/>
    <cellStyle name="20% - Accent2 6 5 2 2 2" xfId="16231" xr:uid="{00000000-0005-0000-0000-0000450C0000}"/>
    <cellStyle name="20% - Accent2 6 5 2 2 2 2" xfId="40074" xr:uid="{AFBDC77E-ACBA-4F60-8EA4-918E34D8B0CF}"/>
    <cellStyle name="20% - Accent2 6 5 2 2 3" xfId="24177" xr:uid="{00000000-0005-0000-0000-0000460C0000}"/>
    <cellStyle name="20% - Accent2 6 5 2 2 3 2" xfId="48010" xr:uid="{CC77224A-07F7-4A5A-8841-FCF2318EB57B}"/>
    <cellStyle name="20% - Accent2 6 5 2 2 4" xfId="32133" xr:uid="{F1BB71F0-AFF4-46EF-8D61-60B9C4A04567}"/>
    <cellStyle name="20% - Accent2 6 5 2 3" xfId="12693" xr:uid="{00000000-0005-0000-0000-0000470C0000}"/>
    <cellStyle name="20% - Accent2 6 5 2 3 2" xfId="36543" xr:uid="{71E430A7-8F36-48C5-833F-E6410152A3A6}"/>
    <cellStyle name="20% - Accent2 6 5 2 4" xfId="20648" xr:uid="{00000000-0005-0000-0000-0000480C0000}"/>
    <cellStyle name="20% - Accent2 6 5 2 4 2" xfId="44481" xr:uid="{078D04AF-4A40-4BB6-8A2D-ED219C85B32D}"/>
    <cellStyle name="20% - Accent2 6 5 2 5" xfId="28602" xr:uid="{3B7B9D74-C56D-4A30-97BC-9D791A76FFC4}"/>
    <cellStyle name="20% - Accent2 6 5 3" xfId="6501" xr:uid="{00000000-0005-0000-0000-0000490C0000}"/>
    <cellStyle name="20% - Accent2 6 5 3 2" xfId="14473" xr:uid="{00000000-0005-0000-0000-00004A0C0000}"/>
    <cellStyle name="20% - Accent2 6 5 3 2 2" xfId="38316" xr:uid="{55848DAE-DCF0-409E-BBF3-8822A0B1777F}"/>
    <cellStyle name="20% - Accent2 6 5 3 3" xfId="22420" xr:uid="{00000000-0005-0000-0000-00004B0C0000}"/>
    <cellStyle name="20% - Accent2 6 5 3 3 2" xfId="46253" xr:uid="{B22CADC4-C527-4527-9406-2FB6888EAF78}"/>
    <cellStyle name="20% - Accent2 6 5 3 4" xfId="30375" xr:uid="{6132A121-8003-4D48-BF1A-2A2F617E98E8}"/>
    <cellStyle name="20% - Accent2 6 5 4" xfId="10937" xr:uid="{00000000-0005-0000-0000-00004C0C0000}"/>
    <cellStyle name="20% - Accent2 6 5 4 2" xfId="34787" xr:uid="{8B9543A5-445A-4645-9D78-EDF9104BADCC}"/>
    <cellStyle name="20% - Accent2 6 5 5" xfId="18892" xr:uid="{00000000-0005-0000-0000-00004D0C0000}"/>
    <cellStyle name="20% - Accent2 6 5 5 2" xfId="42725" xr:uid="{F8A079D7-2130-4FD2-AFE3-75E31D0FACF7}"/>
    <cellStyle name="20% - Accent2 6 5 6" xfId="26845" xr:uid="{F8317AF9-4D21-4108-9471-96D01E442344}"/>
    <cellStyle name="20% - Accent2 6 5_Exh G" xfId="2158" xr:uid="{00000000-0005-0000-0000-00004E0C0000}"/>
    <cellStyle name="20% - Accent2 6 6" xfId="3790" xr:uid="{00000000-0005-0000-0000-00004F0C0000}"/>
    <cellStyle name="20% - Accent2 6 6 2" xfId="7382" xr:uid="{00000000-0005-0000-0000-0000500C0000}"/>
    <cellStyle name="20% - Accent2 6 6 2 2" xfId="15353" xr:uid="{00000000-0005-0000-0000-0000510C0000}"/>
    <cellStyle name="20% - Accent2 6 6 2 2 2" xfId="39196" xr:uid="{145A655B-E2F5-43B5-A935-296D8669A112}"/>
    <cellStyle name="20% - Accent2 6 6 2 3" xfId="23299" xr:uid="{00000000-0005-0000-0000-0000520C0000}"/>
    <cellStyle name="20% - Accent2 6 6 2 3 2" xfId="47132" xr:uid="{121C5970-1271-4CB9-8CD4-E3BCE57FB340}"/>
    <cellStyle name="20% - Accent2 6 6 2 4" xfId="31255" xr:uid="{EEA7F0FD-13B9-42A3-9EAC-5FFA2359C67C}"/>
    <cellStyle name="20% - Accent2 6 6 3" xfId="11815" xr:uid="{00000000-0005-0000-0000-0000530C0000}"/>
    <cellStyle name="20% - Accent2 6 6 3 2" xfId="35665" xr:uid="{79EDC1BE-DC8A-448F-BB17-1212CD0DF922}"/>
    <cellStyle name="20% - Accent2 6 6 4" xfId="19770" xr:uid="{00000000-0005-0000-0000-0000540C0000}"/>
    <cellStyle name="20% - Accent2 6 6 4 2" xfId="43603" xr:uid="{E6148975-2055-4661-9EC3-A8A7154199DE}"/>
    <cellStyle name="20% - Accent2 6 6 5" xfId="27724" xr:uid="{1D7240DB-CF84-40D3-B8C5-F1241B1BB185}"/>
    <cellStyle name="20% - Accent2 6 7" xfId="5610" xr:uid="{00000000-0005-0000-0000-0000550C0000}"/>
    <cellStyle name="20% - Accent2 6 7 2" xfId="13594" xr:uid="{00000000-0005-0000-0000-0000560C0000}"/>
    <cellStyle name="20% - Accent2 6 7 2 2" xfId="37438" xr:uid="{B639A273-9520-4AD8-B58D-A43E312BF4D3}"/>
    <cellStyle name="20% - Accent2 6 7 3" xfId="21542" xr:uid="{00000000-0005-0000-0000-0000570C0000}"/>
    <cellStyle name="20% - Accent2 6 7 3 2" xfId="45375" xr:uid="{ADDD73EF-9647-40C9-AEDF-0D71032B3008}"/>
    <cellStyle name="20% - Accent2 6 7 4" xfId="29497" xr:uid="{19D41192-B705-4057-92CA-142776B510AF}"/>
    <cellStyle name="20% - Accent2 6 8" xfId="9163" xr:uid="{00000000-0005-0000-0000-0000580C0000}"/>
    <cellStyle name="20% - Accent2 6 8 2" xfId="17121" xr:uid="{00000000-0005-0000-0000-0000590C0000}"/>
    <cellStyle name="20% - Accent2 6 8 2 2" xfId="40962" xr:uid="{49750992-8D45-4158-8894-63FA08DD27BD}"/>
    <cellStyle name="20% - Accent2 6 8 3" xfId="25065" xr:uid="{00000000-0005-0000-0000-00005A0C0000}"/>
    <cellStyle name="20% - Accent2 6 8 3 2" xfId="48898" xr:uid="{50C40D9D-DFFE-4F60-80E5-AB1A8F57312F}"/>
    <cellStyle name="20% - Accent2 6 8 4" xfId="33021" xr:uid="{1556CD18-3230-4D4D-ADA1-3B0F5B68FFF9}"/>
    <cellStyle name="20% - Accent2 6 9" xfId="10059" xr:uid="{00000000-0005-0000-0000-00005B0C0000}"/>
    <cellStyle name="20% - Accent2 6 9 2" xfId="33909" xr:uid="{EBB03102-713F-4D3F-AF04-4114F82FF85B}"/>
    <cellStyle name="20% - Accent2 6_Exh G" xfId="2149" xr:uid="{00000000-0005-0000-0000-00005C0C0000}"/>
    <cellStyle name="20% - Accent2 7" xfId="115" xr:uid="{00000000-0005-0000-0000-00005D0C0000}"/>
    <cellStyle name="20% - Accent2 7 10" xfId="18018" xr:uid="{00000000-0005-0000-0000-00005E0C0000}"/>
    <cellStyle name="20% - Accent2 7 10 2" xfId="41851" xr:uid="{02466E02-4735-44C4-BA0D-20E168547407}"/>
    <cellStyle name="20% - Accent2 7 11" xfId="25971" xr:uid="{9C41E04B-4BFD-4FB4-9C78-836D321B3864}"/>
    <cellStyle name="20% - Accent2 7 2" xfId="116" xr:uid="{00000000-0005-0000-0000-00005F0C0000}"/>
    <cellStyle name="20% - Accent2 7 2 2" xfId="117" xr:uid="{00000000-0005-0000-0000-0000600C0000}"/>
    <cellStyle name="20% - Accent2 7 2 2 2" xfId="1145" xr:uid="{00000000-0005-0000-0000-0000610C0000}"/>
    <cellStyle name="20% - Accent2 7 2 2 2 2" xfId="4675" xr:uid="{00000000-0005-0000-0000-0000620C0000}"/>
    <cellStyle name="20% - Accent2 7 2 2 2 2 2" xfId="8266" xr:uid="{00000000-0005-0000-0000-0000630C0000}"/>
    <cellStyle name="20% - Accent2 7 2 2 2 2 2 2" xfId="16237" xr:uid="{00000000-0005-0000-0000-0000640C0000}"/>
    <cellStyle name="20% - Accent2 7 2 2 2 2 2 2 2" xfId="40080" xr:uid="{12DFACA3-623A-4586-8FEC-08EFD44268E6}"/>
    <cellStyle name="20% - Accent2 7 2 2 2 2 2 3" xfId="24183" xr:uid="{00000000-0005-0000-0000-0000650C0000}"/>
    <cellStyle name="20% - Accent2 7 2 2 2 2 2 3 2" xfId="48016" xr:uid="{7AB019B8-42AD-453B-9035-0ED3599B4E0C}"/>
    <cellStyle name="20% - Accent2 7 2 2 2 2 2 4" xfId="32139" xr:uid="{CC99C915-EC89-473F-884E-BD4A0D394A52}"/>
    <cellStyle name="20% - Accent2 7 2 2 2 2 3" xfId="12699" xr:uid="{00000000-0005-0000-0000-0000660C0000}"/>
    <cellStyle name="20% - Accent2 7 2 2 2 2 3 2" xfId="36549" xr:uid="{DF9BD85A-550E-49F6-8ECB-F5E00B54F1DB}"/>
    <cellStyle name="20% - Accent2 7 2 2 2 2 4" xfId="20654" xr:uid="{00000000-0005-0000-0000-0000670C0000}"/>
    <cellStyle name="20% - Accent2 7 2 2 2 2 4 2" xfId="44487" xr:uid="{54A0EF41-D13E-44F4-BA10-C7E6437BCD15}"/>
    <cellStyle name="20% - Accent2 7 2 2 2 2 5" xfId="28608" xr:uid="{3F9B36A3-DB4A-4AD1-9284-AD66F190275A}"/>
    <cellStyle name="20% - Accent2 7 2 2 2 3" xfId="6507" xr:uid="{00000000-0005-0000-0000-0000680C0000}"/>
    <cellStyle name="20% - Accent2 7 2 2 2 3 2" xfId="14479" xr:uid="{00000000-0005-0000-0000-0000690C0000}"/>
    <cellStyle name="20% - Accent2 7 2 2 2 3 2 2" xfId="38322" xr:uid="{975EB476-7D2D-4262-87AE-B833CEE01918}"/>
    <cellStyle name="20% - Accent2 7 2 2 2 3 3" xfId="22426" xr:uid="{00000000-0005-0000-0000-00006A0C0000}"/>
    <cellStyle name="20% - Accent2 7 2 2 2 3 3 2" xfId="46259" xr:uid="{E389E574-7E24-44B4-8380-7AD4DBD41006}"/>
    <cellStyle name="20% - Accent2 7 2 2 2 3 4" xfId="30381" xr:uid="{022133B5-E849-4CB3-83C0-8F742546EEF9}"/>
    <cellStyle name="20% - Accent2 7 2 2 2 4" xfId="10943" xr:uid="{00000000-0005-0000-0000-00006B0C0000}"/>
    <cellStyle name="20% - Accent2 7 2 2 2 4 2" xfId="34793" xr:uid="{291BF0CA-0598-4292-97FD-DA299FBE93EE}"/>
    <cellStyle name="20% - Accent2 7 2 2 2 5" xfId="18898" xr:uid="{00000000-0005-0000-0000-00006C0C0000}"/>
    <cellStyle name="20% - Accent2 7 2 2 2 5 2" xfId="42731" xr:uid="{FEB7D144-9A7B-4E7B-A181-DE6CD0E714CE}"/>
    <cellStyle name="20% - Accent2 7 2 2 2 6" xfId="26851" xr:uid="{94046AA7-D78E-412E-B59D-6C86010D1AE3}"/>
    <cellStyle name="20% - Accent2 7 2 2 2_Exh G" xfId="2162" xr:uid="{00000000-0005-0000-0000-00006D0C0000}"/>
    <cellStyle name="20% - Accent2 7 2 2 3" xfId="3796" xr:uid="{00000000-0005-0000-0000-00006E0C0000}"/>
    <cellStyle name="20% - Accent2 7 2 2 3 2" xfId="7388" xr:uid="{00000000-0005-0000-0000-00006F0C0000}"/>
    <cellStyle name="20% - Accent2 7 2 2 3 2 2" xfId="15359" xr:uid="{00000000-0005-0000-0000-0000700C0000}"/>
    <cellStyle name="20% - Accent2 7 2 2 3 2 2 2" xfId="39202" xr:uid="{13363617-33B4-4995-979F-1BB8068F237B}"/>
    <cellStyle name="20% - Accent2 7 2 2 3 2 3" xfId="23305" xr:uid="{00000000-0005-0000-0000-0000710C0000}"/>
    <cellStyle name="20% - Accent2 7 2 2 3 2 3 2" xfId="47138" xr:uid="{DB4354A6-C0D7-4A12-BCDD-C5FB1782C945}"/>
    <cellStyle name="20% - Accent2 7 2 2 3 2 4" xfId="31261" xr:uid="{BD2411E9-FD72-458C-835E-D3F2CB732795}"/>
    <cellStyle name="20% - Accent2 7 2 2 3 3" xfId="11821" xr:uid="{00000000-0005-0000-0000-0000720C0000}"/>
    <cellStyle name="20% - Accent2 7 2 2 3 3 2" xfId="35671" xr:uid="{E01EEEEA-A59D-4918-B503-22B05A86CB04}"/>
    <cellStyle name="20% - Accent2 7 2 2 3 4" xfId="19776" xr:uid="{00000000-0005-0000-0000-0000730C0000}"/>
    <cellStyle name="20% - Accent2 7 2 2 3 4 2" xfId="43609" xr:uid="{1D1123FA-F37A-4E4B-B2EC-FDBC1CD9A48D}"/>
    <cellStyle name="20% - Accent2 7 2 2 3 5" xfId="27730" xr:uid="{D8FC8BB4-F96B-4140-AB38-ADB012F28A68}"/>
    <cellStyle name="20% - Accent2 7 2 2 4" xfId="5616" xr:uid="{00000000-0005-0000-0000-0000740C0000}"/>
    <cellStyle name="20% - Accent2 7 2 2 4 2" xfId="13600" xr:uid="{00000000-0005-0000-0000-0000750C0000}"/>
    <cellStyle name="20% - Accent2 7 2 2 4 2 2" xfId="37444" xr:uid="{B9541C72-FD4E-47C5-BDA7-584096C6B8E7}"/>
    <cellStyle name="20% - Accent2 7 2 2 4 3" xfId="21548" xr:uid="{00000000-0005-0000-0000-0000760C0000}"/>
    <cellStyle name="20% - Accent2 7 2 2 4 3 2" xfId="45381" xr:uid="{3032611F-D7A7-4DEB-A129-E31303846BD5}"/>
    <cellStyle name="20% - Accent2 7 2 2 4 4" xfId="29503" xr:uid="{99723820-F0A8-4D19-AC06-FA0EC700D557}"/>
    <cellStyle name="20% - Accent2 7 2 2 5" xfId="9169" xr:uid="{00000000-0005-0000-0000-0000770C0000}"/>
    <cellStyle name="20% - Accent2 7 2 2 5 2" xfId="17127" xr:uid="{00000000-0005-0000-0000-0000780C0000}"/>
    <cellStyle name="20% - Accent2 7 2 2 5 2 2" xfId="40968" xr:uid="{D3D8B4D2-1BC2-4A08-B0C8-F7CB902E3A21}"/>
    <cellStyle name="20% - Accent2 7 2 2 5 3" xfId="25071" xr:uid="{00000000-0005-0000-0000-0000790C0000}"/>
    <cellStyle name="20% - Accent2 7 2 2 5 3 2" xfId="48904" xr:uid="{698ED7EB-8B56-470E-B784-EA4B85CA2C3D}"/>
    <cellStyle name="20% - Accent2 7 2 2 5 4" xfId="33027" xr:uid="{1C043BA2-D03E-40B2-A7FC-E78046E6F484}"/>
    <cellStyle name="20% - Accent2 7 2 2 6" xfId="10065" xr:uid="{00000000-0005-0000-0000-00007A0C0000}"/>
    <cellStyle name="20% - Accent2 7 2 2 6 2" xfId="33915" xr:uid="{F4A073D2-7C03-4EE7-ACAA-BDF5E37DF910}"/>
    <cellStyle name="20% - Accent2 7 2 2 7" xfId="18020" xr:uid="{00000000-0005-0000-0000-00007B0C0000}"/>
    <cellStyle name="20% - Accent2 7 2 2 7 2" xfId="41853" xr:uid="{0E64D98A-B7C2-48B9-BE5B-97B47DDCB481}"/>
    <cellStyle name="20% - Accent2 7 2 2 8" xfId="25973" xr:uid="{DCA9A178-4C7A-460D-ACD9-E0FB46E0B524}"/>
    <cellStyle name="20% - Accent2 7 2 2_Exh G" xfId="2161" xr:uid="{00000000-0005-0000-0000-00007C0C0000}"/>
    <cellStyle name="20% - Accent2 7 2 3" xfId="1144" xr:uid="{00000000-0005-0000-0000-00007D0C0000}"/>
    <cellStyle name="20% - Accent2 7 2 3 2" xfId="4674" xr:uid="{00000000-0005-0000-0000-00007E0C0000}"/>
    <cellStyle name="20% - Accent2 7 2 3 2 2" xfId="8265" xr:uid="{00000000-0005-0000-0000-00007F0C0000}"/>
    <cellStyle name="20% - Accent2 7 2 3 2 2 2" xfId="16236" xr:uid="{00000000-0005-0000-0000-0000800C0000}"/>
    <cellStyle name="20% - Accent2 7 2 3 2 2 2 2" xfId="40079" xr:uid="{C10D6A7D-BB80-45BA-AE0D-3006B8C68C23}"/>
    <cellStyle name="20% - Accent2 7 2 3 2 2 3" xfId="24182" xr:uid="{00000000-0005-0000-0000-0000810C0000}"/>
    <cellStyle name="20% - Accent2 7 2 3 2 2 3 2" xfId="48015" xr:uid="{76676CD4-2DC9-44C5-AE86-A5B9ADA51275}"/>
    <cellStyle name="20% - Accent2 7 2 3 2 2 4" xfId="32138" xr:uid="{23B9B65B-918C-4853-BBF7-218105A9DD57}"/>
    <cellStyle name="20% - Accent2 7 2 3 2 3" xfId="12698" xr:uid="{00000000-0005-0000-0000-0000820C0000}"/>
    <cellStyle name="20% - Accent2 7 2 3 2 3 2" xfId="36548" xr:uid="{FCAA6E46-E8C7-493E-A763-AC93B4F4FCA7}"/>
    <cellStyle name="20% - Accent2 7 2 3 2 4" xfId="20653" xr:uid="{00000000-0005-0000-0000-0000830C0000}"/>
    <cellStyle name="20% - Accent2 7 2 3 2 4 2" xfId="44486" xr:uid="{CCA63600-1C16-45EF-BFE2-BEBB966028F8}"/>
    <cellStyle name="20% - Accent2 7 2 3 2 5" xfId="28607" xr:uid="{FE36CE99-F423-4B2F-891F-23B4CDF2CDDC}"/>
    <cellStyle name="20% - Accent2 7 2 3 3" xfId="6506" xr:uid="{00000000-0005-0000-0000-0000840C0000}"/>
    <cellStyle name="20% - Accent2 7 2 3 3 2" xfId="14478" xr:uid="{00000000-0005-0000-0000-0000850C0000}"/>
    <cellStyle name="20% - Accent2 7 2 3 3 2 2" xfId="38321" xr:uid="{5197143D-6168-4263-8A6C-E86254020509}"/>
    <cellStyle name="20% - Accent2 7 2 3 3 3" xfId="22425" xr:uid="{00000000-0005-0000-0000-0000860C0000}"/>
    <cellStyle name="20% - Accent2 7 2 3 3 3 2" xfId="46258" xr:uid="{BD1A35ED-32A1-4545-9CE1-39DBC283CF6B}"/>
    <cellStyle name="20% - Accent2 7 2 3 3 4" xfId="30380" xr:uid="{2456DEE1-270A-4065-8EB1-337C1114F786}"/>
    <cellStyle name="20% - Accent2 7 2 3 4" xfId="10942" xr:uid="{00000000-0005-0000-0000-0000870C0000}"/>
    <cellStyle name="20% - Accent2 7 2 3 4 2" xfId="34792" xr:uid="{4EFFC89D-6CA6-4D3D-BBA6-E6C3A4DD238B}"/>
    <cellStyle name="20% - Accent2 7 2 3 5" xfId="18897" xr:uid="{00000000-0005-0000-0000-0000880C0000}"/>
    <cellStyle name="20% - Accent2 7 2 3 5 2" xfId="42730" xr:uid="{1C7291DD-4287-40D6-8116-0B76075165BB}"/>
    <cellStyle name="20% - Accent2 7 2 3 6" xfId="26850" xr:uid="{52745342-EB27-47F5-BA9C-907147D39D9F}"/>
    <cellStyle name="20% - Accent2 7 2 3_Exh G" xfId="2163" xr:uid="{00000000-0005-0000-0000-0000890C0000}"/>
    <cellStyle name="20% - Accent2 7 2 4" xfId="3795" xr:uid="{00000000-0005-0000-0000-00008A0C0000}"/>
    <cellStyle name="20% - Accent2 7 2 4 2" xfId="7387" xr:uid="{00000000-0005-0000-0000-00008B0C0000}"/>
    <cellStyle name="20% - Accent2 7 2 4 2 2" xfId="15358" xr:uid="{00000000-0005-0000-0000-00008C0C0000}"/>
    <cellStyle name="20% - Accent2 7 2 4 2 2 2" xfId="39201" xr:uid="{0BB36994-826A-4BAA-AC9D-F7C0FB1DF6F7}"/>
    <cellStyle name="20% - Accent2 7 2 4 2 3" xfId="23304" xr:uid="{00000000-0005-0000-0000-00008D0C0000}"/>
    <cellStyle name="20% - Accent2 7 2 4 2 3 2" xfId="47137" xr:uid="{6AE780BE-A37C-4E53-8B07-CA6DD1215E2B}"/>
    <cellStyle name="20% - Accent2 7 2 4 2 4" xfId="31260" xr:uid="{1979A817-355F-4412-9AF8-C98B96341DA0}"/>
    <cellStyle name="20% - Accent2 7 2 4 3" xfId="11820" xr:uid="{00000000-0005-0000-0000-00008E0C0000}"/>
    <cellStyle name="20% - Accent2 7 2 4 3 2" xfId="35670" xr:uid="{5023C302-2E0E-48D6-9E53-60AD7860AAE7}"/>
    <cellStyle name="20% - Accent2 7 2 4 4" xfId="19775" xr:uid="{00000000-0005-0000-0000-00008F0C0000}"/>
    <cellStyle name="20% - Accent2 7 2 4 4 2" xfId="43608" xr:uid="{69F817FB-05FE-4B59-90A0-46785C63C80A}"/>
    <cellStyle name="20% - Accent2 7 2 4 5" xfId="27729" xr:uid="{625B6349-576E-4FFE-936E-DCCCFFEF47B0}"/>
    <cellStyle name="20% - Accent2 7 2 5" xfId="5615" xr:uid="{00000000-0005-0000-0000-0000900C0000}"/>
    <cellStyle name="20% - Accent2 7 2 5 2" xfId="13599" xr:uid="{00000000-0005-0000-0000-0000910C0000}"/>
    <cellStyle name="20% - Accent2 7 2 5 2 2" xfId="37443" xr:uid="{2B57EE3C-D43B-485B-BE46-6D31D9EAC5EE}"/>
    <cellStyle name="20% - Accent2 7 2 5 3" xfId="21547" xr:uid="{00000000-0005-0000-0000-0000920C0000}"/>
    <cellStyle name="20% - Accent2 7 2 5 3 2" xfId="45380" xr:uid="{C6A8F852-7323-4E1D-9E49-2609BFF2C42F}"/>
    <cellStyle name="20% - Accent2 7 2 5 4" xfId="29502" xr:uid="{6BAC45F8-3531-4F03-8714-94FEB8A0E576}"/>
    <cellStyle name="20% - Accent2 7 2 6" xfId="9168" xr:uid="{00000000-0005-0000-0000-0000930C0000}"/>
    <cellStyle name="20% - Accent2 7 2 6 2" xfId="17126" xr:uid="{00000000-0005-0000-0000-0000940C0000}"/>
    <cellStyle name="20% - Accent2 7 2 6 2 2" xfId="40967" xr:uid="{FEA4960A-3B69-4277-92A3-20FFB432E03D}"/>
    <cellStyle name="20% - Accent2 7 2 6 3" xfId="25070" xr:uid="{00000000-0005-0000-0000-0000950C0000}"/>
    <cellStyle name="20% - Accent2 7 2 6 3 2" xfId="48903" xr:uid="{300E2879-7BEF-4E39-AEB3-B4C64F700E09}"/>
    <cellStyle name="20% - Accent2 7 2 6 4" xfId="33026" xr:uid="{534E5BB1-3D6A-4B63-8DCC-9DAAD3ED331D}"/>
    <cellStyle name="20% - Accent2 7 2 7" xfId="10064" xr:uid="{00000000-0005-0000-0000-0000960C0000}"/>
    <cellStyle name="20% - Accent2 7 2 7 2" xfId="33914" xr:uid="{A8A83ACC-FBB2-4679-8B88-C753F28B2956}"/>
    <cellStyle name="20% - Accent2 7 2 8" xfId="18019" xr:uid="{00000000-0005-0000-0000-0000970C0000}"/>
    <cellStyle name="20% - Accent2 7 2 8 2" xfId="41852" xr:uid="{02874BC8-8CD4-41F5-B21C-7D2BE881EBD3}"/>
    <cellStyle name="20% - Accent2 7 2 9" xfId="25972" xr:uid="{CA1276F8-DC63-48F8-BFD1-844198609303}"/>
    <cellStyle name="20% - Accent2 7 2_Exh G" xfId="2160" xr:uid="{00000000-0005-0000-0000-0000980C0000}"/>
    <cellStyle name="20% - Accent2 7 3" xfId="118" xr:uid="{00000000-0005-0000-0000-0000990C0000}"/>
    <cellStyle name="20% - Accent2 7 3 2" xfId="1146" xr:uid="{00000000-0005-0000-0000-00009A0C0000}"/>
    <cellStyle name="20% - Accent2 7 3 2 2" xfId="4676" xr:uid="{00000000-0005-0000-0000-00009B0C0000}"/>
    <cellStyle name="20% - Accent2 7 3 2 2 2" xfId="8267" xr:uid="{00000000-0005-0000-0000-00009C0C0000}"/>
    <cellStyle name="20% - Accent2 7 3 2 2 2 2" xfId="16238" xr:uid="{00000000-0005-0000-0000-00009D0C0000}"/>
    <cellStyle name="20% - Accent2 7 3 2 2 2 2 2" xfId="40081" xr:uid="{35E783F4-A24F-4015-8EDC-691E301D9463}"/>
    <cellStyle name="20% - Accent2 7 3 2 2 2 3" xfId="24184" xr:uid="{00000000-0005-0000-0000-00009E0C0000}"/>
    <cellStyle name="20% - Accent2 7 3 2 2 2 3 2" xfId="48017" xr:uid="{D92C2F38-1FF1-4B9B-BC92-9DD6A1B96907}"/>
    <cellStyle name="20% - Accent2 7 3 2 2 2 4" xfId="32140" xr:uid="{DE611773-5C70-439B-BC9A-C4059BB2BFC6}"/>
    <cellStyle name="20% - Accent2 7 3 2 2 3" xfId="12700" xr:uid="{00000000-0005-0000-0000-00009F0C0000}"/>
    <cellStyle name="20% - Accent2 7 3 2 2 3 2" xfId="36550" xr:uid="{4C403768-778C-40A0-AEC1-4900C156CDC2}"/>
    <cellStyle name="20% - Accent2 7 3 2 2 4" xfId="20655" xr:uid="{00000000-0005-0000-0000-0000A00C0000}"/>
    <cellStyle name="20% - Accent2 7 3 2 2 4 2" xfId="44488" xr:uid="{BF580222-4F53-4C91-B649-8F1EE92F39BA}"/>
    <cellStyle name="20% - Accent2 7 3 2 2 5" xfId="28609" xr:uid="{1A3F76D0-FD29-423A-81FB-0A60C7849CE7}"/>
    <cellStyle name="20% - Accent2 7 3 2 3" xfId="6508" xr:uid="{00000000-0005-0000-0000-0000A10C0000}"/>
    <cellStyle name="20% - Accent2 7 3 2 3 2" xfId="14480" xr:uid="{00000000-0005-0000-0000-0000A20C0000}"/>
    <cellStyle name="20% - Accent2 7 3 2 3 2 2" xfId="38323" xr:uid="{C7BBAB7E-E1E4-4305-BBD9-C334E3AFC9A1}"/>
    <cellStyle name="20% - Accent2 7 3 2 3 3" xfId="22427" xr:uid="{00000000-0005-0000-0000-0000A30C0000}"/>
    <cellStyle name="20% - Accent2 7 3 2 3 3 2" xfId="46260" xr:uid="{DF1B7C6F-3A81-4C6A-985A-387FF0177BD2}"/>
    <cellStyle name="20% - Accent2 7 3 2 3 4" xfId="30382" xr:uid="{ADB0FE6D-5FDE-4FFA-86B5-F56C0D09356E}"/>
    <cellStyle name="20% - Accent2 7 3 2 4" xfId="10944" xr:uid="{00000000-0005-0000-0000-0000A40C0000}"/>
    <cellStyle name="20% - Accent2 7 3 2 4 2" xfId="34794" xr:uid="{41F95A1B-97F6-4F85-A108-AB9F3FDC988D}"/>
    <cellStyle name="20% - Accent2 7 3 2 5" xfId="18899" xr:uid="{00000000-0005-0000-0000-0000A50C0000}"/>
    <cellStyle name="20% - Accent2 7 3 2 5 2" xfId="42732" xr:uid="{297A1DC9-72BF-4D6F-98F3-B65697FC41C6}"/>
    <cellStyle name="20% - Accent2 7 3 2 6" xfId="26852" xr:uid="{74DF31CB-4836-4D98-80E5-B918F52253BD}"/>
    <cellStyle name="20% - Accent2 7 3 2_Exh G" xfId="2165" xr:uid="{00000000-0005-0000-0000-0000A60C0000}"/>
    <cellStyle name="20% - Accent2 7 3 3" xfId="3797" xr:uid="{00000000-0005-0000-0000-0000A70C0000}"/>
    <cellStyle name="20% - Accent2 7 3 3 2" xfId="7389" xr:uid="{00000000-0005-0000-0000-0000A80C0000}"/>
    <cellStyle name="20% - Accent2 7 3 3 2 2" xfId="15360" xr:uid="{00000000-0005-0000-0000-0000A90C0000}"/>
    <cellStyle name="20% - Accent2 7 3 3 2 2 2" xfId="39203" xr:uid="{B87A63C9-2EAC-4737-BDCD-329AF1FF3649}"/>
    <cellStyle name="20% - Accent2 7 3 3 2 3" xfId="23306" xr:uid="{00000000-0005-0000-0000-0000AA0C0000}"/>
    <cellStyle name="20% - Accent2 7 3 3 2 3 2" xfId="47139" xr:uid="{BC1E4A43-C056-4B9F-A6AF-ACE71D407F31}"/>
    <cellStyle name="20% - Accent2 7 3 3 2 4" xfId="31262" xr:uid="{7E2D8A73-6DC7-45F0-8521-CA990E664150}"/>
    <cellStyle name="20% - Accent2 7 3 3 3" xfId="11822" xr:uid="{00000000-0005-0000-0000-0000AB0C0000}"/>
    <cellStyle name="20% - Accent2 7 3 3 3 2" xfId="35672" xr:uid="{4932C265-BA60-4269-B6CF-45707B8F82FE}"/>
    <cellStyle name="20% - Accent2 7 3 3 4" xfId="19777" xr:uid="{00000000-0005-0000-0000-0000AC0C0000}"/>
    <cellStyle name="20% - Accent2 7 3 3 4 2" xfId="43610" xr:uid="{7BB9172F-F46F-4FC2-A57D-41D2D89B2966}"/>
    <cellStyle name="20% - Accent2 7 3 3 5" xfId="27731" xr:uid="{E89B64F4-AE27-41AA-9A29-FA8828BC5B2B}"/>
    <cellStyle name="20% - Accent2 7 3 4" xfId="5617" xr:uid="{00000000-0005-0000-0000-0000AD0C0000}"/>
    <cellStyle name="20% - Accent2 7 3 4 2" xfId="13601" xr:uid="{00000000-0005-0000-0000-0000AE0C0000}"/>
    <cellStyle name="20% - Accent2 7 3 4 2 2" xfId="37445" xr:uid="{C87517B4-20E8-4336-A373-21A1E7E440BC}"/>
    <cellStyle name="20% - Accent2 7 3 4 3" xfId="21549" xr:uid="{00000000-0005-0000-0000-0000AF0C0000}"/>
    <cellStyle name="20% - Accent2 7 3 4 3 2" xfId="45382" xr:uid="{4064B4CE-42BC-4489-89DF-D77ADE6AD885}"/>
    <cellStyle name="20% - Accent2 7 3 4 4" xfId="29504" xr:uid="{716764B7-8516-4245-9C7C-47985A0652C5}"/>
    <cellStyle name="20% - Accent2 7 3 5" xfId="9170" xr:uid="{00000000-0005-0000-0000-0000B00C0000}"/>
    <cellStyle name="20% - Accent2 7 3 5 2" xfId="17128" xr:uid="{00000000-0005-0000-0000-0000B10C0000}"/>
    <cellStyle name="20% - Accent2 7 3 5 2 2" xfId="40969" xr:uid="{7A10EDCD-3CF7-4549-84B8-85985E5DD66C}"/>
    <cellStyle name="20% - Accent2 7 3 5 3" xfId="25072" xr:uid="{00000000-0005-0000-0000-0000B20C0000}"/>
    <cellStyle name="20% - Accent2 7 3 5 3 2" xfId="48905" xr:uid="{4C2E90BA-4B61-436E-B49C-715D79422438}"/>
    <cellStyle name="20% - Accent2 7 3 5 4" xfId="33028" xr:uid="{D98E66F4-1846-42CF-BC2A-7A1AEF5403F5}"/>
    <cellStyle name="20% - Accent2 7 3 6" xfId="10066" xr:uid="{00000000-0005-0000-0000-0000B30C0000}"/>
    <cellStyle name="20% - Accent2 7 3 6 2" xfId="33916" xr:uid="{8B000DDA-2E46-4CDB-AFBE-4B9BDE0FA924}"/>
    <cellStyle name="20% - Accent2 7 3 7" xfId="18021" xr:uid="{00000000-0005-0000-0000-0000B40C0000}"/>
    <cellStyle name="20% - Accent2 7 3 7 2" xfId="41854" xr:uid="{63F64516-949F-41DF-A210-8EA252F85F50}"/>
    <cellStyle name="20% - Accent2 7 3 8" xfId="25974" xr:uid="{C2A33086-5331-4590-A7C6-C77CA7B67F17}"/>
    <cellStyle name="20% - Accent2 7 3_Exh G" xfId="2164" xr:uid="{00000000-0005-0000-0000-0000B50C0000}"/>
    <cellStyle name="20% - Accent2 7 4" xfId="883" xr:uid="{00000000-0005-0000-0000-0000B60C0000}"/>
    <cellStyle name="20% - Accent2 7 4 2" xfId="1816" xr:uid="{00000000-0005-0000-0000-0000B70C0000}"/>
    <cellStyle name="20% - Accent2 7 4 2 2" xfId="5334" xr:uid="{00000000-0005-0000-0000-0000B80C0000}"/>
    <cellStyle name="20% - Accent2 7 4 2 2 2" xfId="8925" xr:uid="{00000000-0005-0000-0000-0000B90C0000}"/>
    <cellStyle name="20% - Accent2 7 4 2 2 2 2" xfId="16896" xr:uid="{00000000-0005-0000-0000-0000BA0C0000}"/>
    <cellStyle name="20% - Accent2 7 4 2 2 2 2 2" xfId="40739" xr:uid="{135627AE-38FA-40C6-AF8E-199B5097611F}"/>
    <cellStyle name="20% - Accent2 7 4 2 2 2 3" xfId="24842" xr:uid="{00000000-0005-0000-0000-0000BB0C0000}"/>
    <cellStyle name="20% - Accent2 7 4 2 2 2 3 2" xfId="48675" xr:uid="{161D725A-6FAF-47DD-9C96-32D4ED8DCAC5}"/>
    <cellStyle name="20% - Accent2 7 4 2 2 2 4" xfId="32798" xr:uid="{EDFD59AD-9B79-4087-9FD7-A3836F65899B}"/>
    <cellStyle name="20% - Accent2 7 4 2 2 3" xfId="13358" xr:uid="{00000000-0005-0000-0000-0000BC0C0000}"/>
    <cellStyle name="20% - Accent2 7 4 2 2 3 2" xfId="37208" xr:uid="{611B9656-5403-45FD-9682-2057805256D9}"/>
    <cellStyle name="20% - Accent2 7 4 2 2 4" xfId="21313" xr:uid="{00000000-0005-0000-0000-0000BD0C0000}"/>
    <cellStyle name="20% - Accent2 7 4 2 2 4 2" xfId="45146" xr:uid="{CFDE6EC9-24F7-4541-B040-476F99CD8926}"/>
    <cellStyle name="20% - Accent2 7 4 2 2 5" xfId="29267" xr:uid="{FBF095A1-EE6D-42D1-BBF3-1220F55D8494}"/>
    <cellStyle name="20% - Accent2 7 4 2 3" xfId="7166" xr:uid="{00000000-0005-0000-0000-0000BE0C0000}"/>
    <cellStyle name="20% - Accent2 7 4 2 3 2" xfId="15138" xr:uid="{00000000-0005-0000-0000-0000BF0C0000}"/>
    <cellStyle name="20% - Accent2 7 4 2 3 2 2" xfId="38981" xr:uid="{A69A97C0-7279-4987-9CAD-A7CEB9506137}"/>
    <cellStyle name="20% - Accent2 7 4 2 3 3" xfId="23085" xr:uid="{00000000-0005-0000-0000-0000C00C0000}"/>
    <cellStyle name="20% - Accent2 7 4 2 3 3 2" xfId="46918" xr:uid="{E84AD352-CAA4-4574-B9A1-8CC34BA54B33}"/>
    <cellStyle name="20% - Accent2 7 4 2 3 4" xfId="31040" xr:uid="{1ED1A566-3B6D-4BCB-B2F6-49DD607207B7}"/>
    <cellStyle name="20% - Accent2 7 4 2 4" xfId="11602" xr:uid="{00000000-0005-0000-0000-0000C10C0000}"/>
    <cellStyle name="20% - Accent2 7 4 2 4 2" xfId="35452" xr:uid="{CA10137A-1851-4F75-9A19-298AF17486DD}"/>
    <cellStyle name="20% - Accent2 7 4 2 5" xfId="19557" xr:uid="{00000000-0005-0000-0000-0000C20C0000}"/>
    <cellStyle name="20% - Accent2 7 4 2 5 2" xfId="43390" xr:uid="{F275B0EF-FE6D-4EBE-A843-440ED9E98805}"/>
    <cellStyle name="20% - Accent2 7 4 2 6" xfId="27510" xr:uid="{9FAAFBFE-4211-4484-8F4B-80188872C5EC}"/>
    <cellStyle name="20% - Accent2 7 4 2_Exh G" xfId="2167" xr:uid="{00000000-0005-0000-0000-0000C30C0000}"/>
    <cellStyle name="20% - Accent2 7 4 3" xfId="4455" xr:uid="{00000000-0005-0000-0000-0000C40C0000}"/>
    <cellStyle name="20% - Accent2 7 4 3 2" xfId="8047" xr:uid="{00000000-0005-0000-0000-0000C50C0000}"/>
    <cellStyle name="20% - Accent2 7 4 3 2 2" xfId="16018" xr:uid="{00000000-0005-0000-0000-0000C60C0000}"/>
    <cellStyle name="20% - Accent2 7 4 3 2 2 2" xfId="39861" xr:uid="{21C284B1-805A-4044-A4CE-9174C96C70D4}"/>
    <cellStyle name="20% - Accent2 7 4 3 2 3" xfId="23964" xr:uid="{00000000-0005-0000-0000-0000C70C0000}"/>
    <cellStyle name="20% - Accent2 7 4 3 2 3 2" xfId="47797" xr:uid="{9D548983-6EE8-4640-A126-A2A1CA01D989}"/>
    <cellStyle name="20% - Accent2 7 4 3 2 4" xfId="31920" xr:uid="{FCC17E8D-B417-4D39-A9EF-7C378841EFEE}"/>
    <cellStyle name="20% - Accent2 7 4 3 3" xfId="12480" xr:uid="{00000000-0005-0000-0000-0000C80C0000}"/>
    <cellStyle name="20% - Accent2 7 4 3 3 2" xfId="36330" xr:uid="{7BA890D7-B441-47A6-8728-4B797B43746D}"/>
    <cellStyle name="20% - Accent2 7 4 3 4" xfId="20435" xr:uid="{00000000-0005-0000-0000-0000C90C0000}"/>
    <cellStyle name="20% - Accent2 7 4 3 4 2" xfId="44268" xr:uid="{1ECB392E-9BFE-4935-AC7E-8C27CB3E8723}"/>
    <cellStyle name="20% - Accent2 7 4 3 5" xfId="28389" xr:uid="{72A62A07-6458-4827-A51E-87817F3346C5}"/>
    <cellStyle name="20% - Accent2 7 4 4" xfId="6285" xr:uid="{00000000-0005-0000-0000-0000CA0C0000}"/>
    <cellStyle name="20% - Accent2 7 4 4 2" xfId="14260" xr:uid="{00000000-0005-0000-0000-0000CB0C0000}"/>
    <cellStyle name="20% - Accent2 7 4 4 2 2" xfId="38103" xr:uid="{19295D53-D664-4BAC-853B-026EF41B2C1B}"/>
    <cellStyle name="20% - Accent2 7 4 4 3" xfId="22207" xr:uid="{00000000-0005-0000-0000-0000CC0C0000}"/>
    <cellStyle name="20% - Accent2 7 4 4 3 2" xfId="46040" xr:uid="{356F5C59-7190-43F4-BAEE-40D486AB342B}"/>
    <cellStyle name="20% - Accent2 7 4 4 4" xfId="30162" xr:uid="{B06DEEE2-0823-4B25-B1CE-09262B65A030}"/>
    <cellStyle name="20% - Accent2 7 4 5" xfId="9828" xr:uid="{00000000-0005-0000-0000-0000CD0C0000}"/>
    <cellStyle name="20% - Accent2 7 4 5 2" xfId="17786" xr:uid="{00000000-0005-0000-0000-0000CE0C0000}"/>
    <cellStyle name="20% - Accent2 7 4 5 2 2" xfId="41627" xr:uid="{14268896-AF1D-49B7-ADA1-EF8C14ACB6AB}"/>
    <cellStyle name="20% - Accent2 7 4 5 3" xfId="25730" xr:uid="{00000000-0005-0000-0000-0000CF0C0000}"/>
    <cellStyle name="20% - Accent2 7 4 5 3 2" xfId="49563" xr:uid="{A9EAC33D-BF27-4BD7-B328-AA40BD5195C8}"/>
    <cellStyle name="20% - Accent2 7 4 5 4" xfId="33686" xr:uid="{C2FB1686-3414-439A-8E52-FACF1839E441}"/>
    <cellStyle name="20% - Accent2 7 4 6" xfId="10724" xr:uid="{00000000-0005-0000-0000-0000D00C0000}"/>
    <cellStyle name="20% - Accent2 7 4 6 2" xfId="34574" xr:uid="{421C66B3-A1BD-4E6B-B287-6E41B09A5754}"/>
    <cellStyle name="20% - Accent2 7 4 7" xfId="18679" xr:uid="{00000000-0005-0000-0000-0000D10C0000}"/>
    <cellStyle name="20% - Accent2 7 4 7 2" xfId="42512" xr:uid="{AA99946C-D860-4A80-9652-670E0E2325A4}"/>
    <cellStyle name="20% - Accent2 7 4 8" xfId="26632" xr:uid="{F56EDF74-66F8-4245-B36A-D6ED9FB0527B}"/>
    <cellStyle name="20% - Accent2 7 4_Exh G" xfId="2166" xr:uid="{00000000-0005-0000-0000-0000D20C0000}"/>
    <cellStyle name="20% - Accent2 7 5" xfId="1143" xr:uid="{00000000-0005-0000-0000-0000D30C0000}"/>
    <cellStyle name="20% - Accent2 7 5 2" xfId="4673" xr:uid="{00000000-0005-0000-0000-0000D40C0000}"/>
    <cellStyle name="20% - Accent2 7 5 2 2" xfId="8264" xr:uid="{00000000-0005-0000-0000-0000D50C0000}"/>
    <cellStyle name="20% - Accent2 7 5 2 2 2" xfId="16235" xr:uid="{00000000-0005-0000-0000-0000D60C0000}"/>
    <cellStyle name="20% - Accent2 7 5 2 2 2 2" xfId="40078" xr:uid="{172207B8-D42A-4810-A15D-D1A5B1307D7B}"/>
    <cellStyle name="20% - Accent2 7 5 2 2 3" xfId="24181" xr:uid="{00000000-0005-0000-0000-0000D70C0000}"/>
    <cellStyle name="20% - Accent2 7 5 2 2 3 2" xfId="48014" xr:uid="{166E9E86-2AB2-44CD-9CE7-1BAABB8CB34C}"/>
    <cellStyle name="20% - Accent2 7 5 2 2 4" xfId="32137" xr:uid="{A67C38DD-6597-47FF-B3DE-613E6B758D1C}"/>
    <cellStyle name="20% - Accent2 7 5 2 3" xfId="12697" xr:uid="{00000000-0005-0000-0000-0000D80C0000}"/>
    <cellStyle name="20% - Accent2 7 5 2 3 2" xfId="36547" xr:uid="{26DFCE2F-8F8B-4395-BB0B-84C140038C58}"/>
    <cellStyle name="20% - Accent2 7 5 2 4" xfId="20652" xr:uid="{00000000-0005-0000-0000-0000D90C0000}"/>
    <cellStyle name="20% - Accent2 7 5 2 4 2" xfId="44485" xr:uid="{BDBDC2B3-8A1C-44DA-A38A-56EF6FBA0DDB}"/>
    <cellStyle name="20% - Accent2 7 5 2 5" xfId="28606" xr:uid="{AA82DDDC-0509-45E0-94C9-6E3DA3D35AAF}"/>
    <cellStyle name="20% - Accent2 7 5 3" xfId="6505" xr:uid="{00000000-0005-0000-0000-0000DA0C0000}"/>
    <cellStyle name="20% - Accent2 7 5 3 2" xfId="14477" xr:uid="{00000000-0005-0000-0000-0000DB0C0000}"/>
    <cellStyle name="20% - Accent2 7 5 3 2 2" xfId="38320" xr:uid="{5185B5E3-7064-45D3-982F-2F867DEB2E7D}"/>
    <cellStyle name="20% - Accent2 7 5 3 3" xfId="22424" xr:uid="{00000000-0005-0000-0000-0000DC0C0000}"/>
    <cellStyle name="20% - Accent2 7 5 3 3 2" xfId="46257" xr:uid="{99DF88BA-6AA4-4AF7-9051-C701E5B0A982}"/>
    <cellStyle name="20% - Accent2 7 5 3 4" xfId="30379" xr:uid="{3624AF52-9685-4CFC-B148-78A9BA51093E}"/>
    <cellStyle name="20% - Accent2 7 5 4" xfId="10941" xr:uid="{00000000-0005-0000-0000-0000DD0C0000}"/>
    <cellStyle name="20% - Accent2 7 5 4 2" xfId="34791" xr:uid="{55B028DF-B457-44FF-BCB4-96744B620926}"/>
    <cellStyle name="20% - Accent2 7 5 5" xfId="18896" xr:uid="{00000000-0005-0000-0000-0000DE0C0000}"/>
    <cellStyle name="20% - Accent2 7 5 5 2" xfId="42729" xr:uid="{80AD0585-317E-4228-9AAD-FED281A8B4B9}"/>
    <cellStyle name="20% - Accent2 7 5 6" xfId="26849" xr:uid="{CDD5E3A7-7E33-4DBB-8808-CC5D4E576E26}"/>
    <cellStyle name="20% - Accent2 7 5_Exh G" xfId="2168" xr:uid="{00000000-0005-0000-0000-0000DF0C0000}"/>
    <cellStyle name="20% - Accent2 7 6" xfId="3794" xr:uid="{00000000-0005-0000-0000-0000E00C0000}"/>
    <cellStyle name="20% - Accent2 7 6 2" xfId="7386" xr:uid="{00000000-0005-0000-0000-0000E10C0000}"/>
    <cellStyle name="20% - Accent2 7 6 2 2" xfId="15357" xr:uid="{00000000-0005-0000-0000-0000E20C0000}"/>
    <cellStyle name="20% - Accent2 7 6 2 2 2" xfId="39200" xr:uid="{F1EB0200-4D39-44DE-9877-C44E6AD48CD8}"/>
    <cellStyle name="20% - Accent2 7 6 2 3" xfId="23303" xr:uid="{00000000-0005-0000-0000-0000E30C0000}"/>
    <cellStyle name="20% - Accent2 7 6 2 3 2" xfId="47136" xr:uid="{1C51EB1E-15DA-4A74-9245-C324F9F27AAE}"/>
    <cellStyle name="20% - Accent2 7 6 2 4" xfId="31259" xr:uid="{9E52163F-0290-4DA6-8542-3C7D63F522AF}"/>
    <cellStyle name="20% - Accent2 7 6 3" xfId="11819" xr:uid="{00000000-0005-0000-0000-0000E40C0000}"/>
    <cellStyle name="20% - Accent2 7 6 3 2" xfId="35669" xr:uid="{68394077-111D-4E6B-9561-08C9ED288C7C}"/>
    <cellStyle name="20% - Accent2 7 6 4" xfId="19774" xr:uid="{00000000-0005-0000-0000-0000E50C0000}"/>
    <cellStyle name="20% - Accent2 7 6 4 2" xfId="43607" xr:uid="{FAE19F53-80B6-436B-A58F-B60EE6FDA184}"/>
    <cellStyle name="20% - Accent2 7 6 5" xfId="27728" xr:uid="{A5527079-224D-4C5E-994E-B28EC70F612C}"/>
    <cellStyle name="20% - Accent2 7 7" xfId="5614" xr:uid="{00000000-0005-0000-0000-0000E60C0000}"/>
    <cellStyle name="20% - Accent2 7 7 2" xfId="13598" xr:uid="{00000000-0005-0000-0000-0000E70C0000}"/>
    <cellStyle name="20% - Accent2 7 7 2 2" xfId="37442" xr:uid="{AA317410-9C6B-46FD-A134-86B18F672E6B}"/>
    <cellStyle name="20% - Accent2 7 7 3" xfId="21546" xr:uid="{00000000-0005-0000-0000-0000E80C0000}"/>
    <cellStyle name="20% - Accent2 7 7 3 2" xfId="45379" xr:uid="{54C9D09A-351B-4FA4-A33E-81F452503A6F}"/>
    <cellStyle name="20% - Accent2 7 7 4" xfId="29501" xr:uid="{CCF4426E-BB85-4761-86EE-1BA93C46C0FE}"/>
    <cellStyle name="20% - Accent2 7 8" xfId="9167" xr:uid="{00000000-0005-0000-0000-0000E90C0000}"/>
    <cellStyle name="20% - Accent2 7 8 2" xfId="17125" xr:uid="{00000000-0005-0000-0000-0000EA0C0000}"/>
    <cellStyle name="20% - Accent2 7 8 2 2" xfId="40966" xr:uid="{5FE87E09-72B9-4543-AB4D-7D134742CEDE}"/>
    <cellStyle name="20% - Accent2 7 8 3" xfId="25069" xr:uid="{00000000-0005-0000-0000-0000EB0C0000}"/>
    <cellStyle name="20% - Accent2 7 8 3 2" xfId="48902" xr:uid="{A2BD0013-0932-4CD8-A86C-C106599CF580}"/>
    <cellStyle name="20% - Accent2 7 8 4" xfId="33025" xr:uid="{078EE1EB-1CA2-4FB9-9E1A-DA369E457023}"/>
    <cellStyle name="20% - Accent2 7 9" xfId="10063" xr:uid="{00000000-0005-0000-0000-0000EC0C0000}"/>
    <cellStyle name="20% - Accent2 7 9 2" xfId="33913" xr:uid="{F88E5B83-1FDE-4D3A-835B-B174FCA7BDED}"/>
    <cellStyle name="20% - Accent2 7_Exh G" xfId="2159" xr:uid="{00000000-0005-0000-0000-0000ED0C0000}"/>
    <cellStyle name="20% - Accent2 8" xfId="119" xr:uid="{00000000-0005-0000-0000-0000EE0C0000}"/>
    <cellStyle name="20% - Accent2 8 10" xfId="18022" xr:uid="{00000000-0005-0000-0000-0000EF0C0000}"/>
    <cellStyle name="20% - Accent2 8 10 2" xfId="41855" xr:uid="{76642124-33D8-4E0D-A231-0AD9C23D304D}"/>
    <cellStyle name="20% - Accent2 8 11" xfId="25975" xr:uid="{025AB490-A20F-4E70-B8B8-DEF9F7BB675E}"/>
    <cellStyle name="20% - Accent2 8 2" xfId="120" xr:uid="{00000000-0005-0000-0000-0000F00C0000}"/>
    <cellStyle name="20% - Accent2 8 2 2" xfId="121" xr:uid="{00000000-0005-0000-0000-0000F10C0000}"/>
    <cellStyle name="20% - Accent2 8 2 2 2" xfId="1149" xr:uid="{00000000-0005-0000-0000-0000F20C0000}"/>
    <cellStyle name="20% - Accent2 8 2 2 2 2" xfId="4679" xr:uid="{00000000-0005-0000-0000-0000F30C0000}"/>
    <cellStyle name="20% - Accent2 8 2 2 2 2 2" xfId="8270" xr:uid="{00000000-0005-0000-0000-0000F40C0000}"/>
    <cellStyle name="20% - Accent2 8 2 2 2 2 2 2" xfId="16241" xr:uid="{00000000-0005-0000-0000-0000F50C0000}"/>
    <cellStyle name="20% - Accent2 8 2 2 2 2 2 2 2" xfId="40084" xr:uid="{98E4C55D-FB7E-49C3-9609-73605BA7AB85}"/>
    <cellStyle name="20% - Accent2 8 2 2 2 2 2 3" xfId="24187" xr:uid="{00000000-0005-0000-0000-0000F60C0000}"/>
    <cellStyle name="20% - Accent2 8 2 2 2 2 2 3 2" xfId="48020" xr:uid="{E607675E-3AD5-4A5F-9C17-12C9492397F0}"/>
    <cellStyle name="20% - Accent2 8 2 2 2 2 2 4" xfId="32143" xr:uid="{C5C3F718-5CD3-4F4A-B54A-9069517DEAB3}"/>
    <cellStyle name="20% - Accent2 8 2 2 2 2 3" xfId="12703" xr:uid="{00000000-0005-0000-0000-0000F70C0000}"/>
    <cellStyle name="20% - Accent2 8 2 2 2 2 3 2" xfId="36553" xr:uid="{DF70BAA7-E455-4376-8CC4-8BDE1586927A}"/>
    <cellStyle name="20% - Accent2 8 2 2 2 2 4" xfId="20658" xr:uid="{00000000-0005-0000-0000-0000F80C0000}"/>
    <cellStyle name="20% - Accent2 8 2 2 2 2 4 2" xfId="44491" xr:uid="{8F7392FE-DD0E-4F4D-ACF4-5CC7CC502815}"/>
    <cellStyle name="20% - Accent2 8 2 2 2 2 5" xfId="28612" xr:uid="{F3CCA7E6-7249-44CE-8C8A-6F5394C9F2FC}"/>
    <cellStyle name="20% - Accent2 8 2 2 2 3" xfId="6511" xr:uid="{00000000-0005-0000-0000-0000F90C0000}"/>
    <cellStyle name="20% - Accent2 8 2 2 2 3 2" xfId="14483" xr:uid="{00000000-0005-0000-0000-0000FA0C0000}"/>
    <cellStyle name="20% - Accent2 8 2 2 2 3 2 2" xfId="38326" xr:uid="{1298E9C1-1833-4019-90F8-73F4BD592E4F}"/>
    <cellStyle name="20% - Accent2 8 2 2 2 3 3" xfId="22430" xr:uid="{00000000-0005-0000-0000-0000FB0C0000}"/>
    <cellStyle name="20% - Accent2 8 2 2 2 3 3 2" xfId="46263" xr:uid="{6A2E45CC-6079-4041-A923-E3EBC0FB333D}"/>
    <cellStyle name="20% - Accent2 8 2 2 2 3 4" xfId="30385" xr:uid="{C3CDCDAC-618B-4A50-8592-ED8EC2B7514C}"/>
    <cellStyle name="20% - Accent2 8 2 2 2 4" xfId="10947" xr:uid="{00000000-0005-0000-0000-0000FC0C0000}"/>
    <cellStyle name="20% - Accent2 8 2 2 2 4 2" xfId="34797" xr:uid="{E085723B-CFB5-4DB1-8EB5-FCFCAAA3FEC9}"/>
    <cellStyle name="20% - Accent2 8 2 2 2 5" xfId="18902" xr:uid="{00000000-0005-0000-0000-0000FD0C0000}"/>
    <cellStyle name="20% - Accent2 8 2 2 2 5 2" xfId="42735" xr:uid="{76682270-AA6C-4FAE-B87F-BF2A5E1BFA74}"/>
    <cellStyle name="20% - Accent2 8 2 2 2 6" xfId="26855" xr:uid="{82F8BC75-5DA9-46A9-99FA-3A4D7ED04F30}"/>
    <cellStyle name="20% - Accent2 8 2 2 2_Exh G" xfId="2172" xr:uid="{00000000-0005-0000-0000-0000FE0C0000}"/>
    <cellStyle name="20% - Accent2 8 2 2 3" xfId="3800" xr:uid="{00000000-0005-0000-0000-0000FF0C0000}"/>
    <cellStyle name="20% - Accent2 8 2 2 3 2" xfId="7392" xr:uid="{00000000-0005-0000-0000-0000000D0000}"/>
    <cellStyle name="20% - Accent2 8 2 2 3 2 2" xfId="15363" xr:uid="{00000000-0005-0000-0000-0000010D0000}"/>
    <cellStyle name="20% - Accent2 8 2 2 3 2 2 2" xfId="39206" xr:uid="{F63E782B-4AAE-4F0E-8A31-271EF7E8E629}"/>
    <cellStyle name="20% - Accent2 8 2 2 3 2 3" xfId="23309" xr:uid="{00000000-0005-0000-0000-0000020D0000}"/>
    <cellStyle name="20% - Accent2 8 2 2 3 2 3 2" xfId="47142" xr:uid="{AA2CDD0D-B012-4E01-B108-0CFCB91F19A0}"/>
    <cellStyle name="20% - Accent2 8 2 2 3 2 4" xfId="31265" xr:uid="{6D12E4DB-437A-4655-81E1-09873C64BECF}"/>
    <cellStyle name="20% - Accent2 8 2 2 3 3" xfId="11825" xr:uid="{00000000-0005-0000-0000-0000030D0000}"/>
    <cellStyle name="20% - Accent2 8 2 2 3 3 2" xfId="35675" xr:uid="{9DCCD684-7F94-42BD-88A6-638B73BC6F16}"/>
    <cellStyle name="20% - Accent2 8 2 2 3 4" xfId="19780" xr:uid="{00000000-0005-0000-0000-0000040D0000}"/>
    <cellStyle name="20% - Accent2 8 2 2 3 4 2" xfId="43613" xr:uid="{5A9EB0DA-B409-4A2F-A7F1-30A489837627}"/>
    <cellStyle name="20% - Accent2 8 2 2 3 5" xfId="27734" xr:uid="{F8E6D09E-3060-4D67-A123-862389CB6ED6}"/>
    <cellStyle name="20% - Accent2 8 2 2 4" xfId="5620" xr:uid="{00000000-0005-0000-0000-0000050D0000}"/>
    <cellStyle name="20% - Accent2 8 2 2 4 2" xfId="13604" xr:uid="{00000000-0005-0000-0000-0000060D0000}"/>
    <cellStyle name="20% - Accent2 8 2 2 4 2 2" xfId="37448" xr:uid="{22822929-8E93-4601-9F0F-E70E095464FE}"/>
    <cellStyle name="20% - Accent2 8 2 2 4 3" xfId="21552" xr:uid="{00000000-0005-0000-0000-0000070D0000}"/>
    <cellStyle name="20% - Accent2 8 2 2 4 3 2" xfId="45385" xr:uid="{CBE605F9-A91B-4038-B7B1-EA7326F3AE6B}"/>
    <cellStyle name="20% - Accent2 8 2 2 4 4" xfId="29507" xr:uid="{BD747125-ABF6-4D37-9A63-F0DAA0610512}"/>
    <cellStyle name="20% - Accent2 8 2 2 5" xfId="9173" xr:uid="{00000000-0005-0000-0000-0000080D0000}"/>
    <cellStyle name="20% - Accent2 8 2 2 5 2" xfId="17131" xr:uid="{00000000-0005-0000-0000-0000090D0000}"/>
    <cellStyle name="20% - Accent2 8 2 2 5 2 2" xfId="40972" xr:uid="{60967961-D8E8-4CF6-BCDA-DE4C0C33413F}"/>
    <cellStyle name="20% - Accent2 8 2 2 5 3" xfId="25075" xr:uid="{00000000-0005-0000-0000-00000A0D0000}"/>
    <cellStyle name="20% - Accent2 8 2 2 5 3 2" xfId="48908" xr:uid="{6CCC42B2-C8B2-4A3A-B246-FF40811010E8}"/>
    <cellStyle name="20% - Accent2 8 2 2 5 4" xfId="33031" xr:uid="{16A34608-20F9-4114-A608-D4D864FEDFA0}"/>
    <cellStyle name="20% - Accent2 8 2 2 6" xfId="10069" xr:uid="{00000000-0005-0000-0000-00000B0D0000}"/>
    <cellStyle name="20% - Accent2 8 2 2 6 2" xfId="33919" xr:uid="{8FE0DDED-1195-47DE-AB84-74AC3E8BCD8D}"/>
    <cellStyle name="20% - Accent2 8 2 2 7" xfId="18024" xr:uid="{00000000-0005-0000-0000-00000C0D0000}"/>
    <cellStyle name="20% - Accent2 8 2 2 7 2" xfId="41857" xr:uid="{CAAFB560-631F-4305-A3EB-8D6DE5056D18}"/>
    <cellStyle name="20% - Accent2 8 2 2 8" xfId="25977" xr:uid="{92693498-426D-4247-B27B-47EDD1199F6B}"/>
    <cellStyle name="20% - Accent2 8 2 2_Exh G" xfId="2171" xr:uid="{00000000-0005-0000-0000-00000D0D0000}"/>
    <cellStyle name="20% - Accent2 8 2 3" xfId="1148" xr:uid="{00000000-0005-0000-0000-00000E0D0000}"/>
    <cellStyle name="20% - Accent2 8 2 3 2" xfId="4678" xr:uid="{00000000-0005-0000-0000-00000F0D0000}"/>
    <cellStyle name="20% - Accent2 8 2 3 2 2" xfId="8269" xr:uid="{00000000-0005-0000-0000-0000100D0000}"/>
    <cellStyle name="20% - Accent2 8 2 3 2 2 2" xfId="16240" xr:uid="{00000000-0005-0000-0000-0000110D0000}"/>
    <cellStyle name="20% - Accent2 8 2 3 2 2 2 2" xfId="40083" xr:uid="{3E35D278-5106-4842-B48B-2A1A4E1737E5}"/>
    <cellStyle name="20% - Accent2 8 2 3 2 2 3" xfId="24186" xr:uid="{00000000-0005-0000-0000-0000120D0000}"/>
    <cellStyle name="20% - Accent2 8 2 3 2 2 3 2" xfId="48019" xr:uid="{79BCEDE3-6BCA-495D-8C8C-1E9C9B8B0598}"/>
    <cellStyle name="20% - Accent2 8 2 3 2 2 4" xfId="32142" xr:uid="{0D98F144-91FA-4790-A05F-C56EA80C0F18}"/>
    <cellStyle name="20% - Accent2 8 2 3 2 3" xfId="12702" xr:uid="{00000000-0005-0000-0000-0000130D0000}"/>
    <cellStyle name="20% - Accent2 8 2 3 2 3 2" xfId="36552" xr:uid="{76155279-1DFA-41F2-903F-EC4BB0EF165F}"/>
    <cellStyle name="20% - Accent2 8 2 3 2 4" xfId="20657" xr:uid="{00000000-0005-0000-0000-0000140D0000}"/>
    <cellStyle name="20% - Accent2 8 2 3 2 4 2" xfId="44490" xr:uid="{FC67E286-1568-4402-8D85-02EF22A93B52}"/>
    <cellStyle name="20% - Accent2 8 2 3 2 5" xfId="28611" xr:uid="{2B4EAC58-6215-4FC9-9677-414B75BDC1DF}"/>
    <cellStyle name="20% - Accent2 8 2 3 3" xfId="6510" xr:uid="{00000000-0005-0000-0000-0000150D0000}"/>
    <cellStyle name="20% - Accent2 8 2 3 3 2" xfId="14482" xr:uid="{00000000-0005-0000-0000-0000160D0000}"/>
    <cellStyle name="20% - Accent2 8 2 3 3 2 2" xfId="38325" xr:uid="{A98239D7-26DE-45C0-B7E4-8C59696E346E}"/>
    <cellStyle name="20% - Accent2 8 2 3 3 3" xfId="22429" xr:uid="{00000000-0005-0000-0000-0000170D0000}"/>
    <cellStyle name="20% - Accent2 8 2 3 3 3 2" xfId="46262" xr:uid="{0C84451F-0363-421F-9F45-0DF5E134D30F}"/>
    <cellStyle name="20% - Accent2 8 2 3 3 4" xfId="30384" xr:uid="{33507F4B-0EC5-41CA-9576-2E06CBE20502}"/>
    <cellStyle name="20% - Accent2 8 2 3 4" xfId="10946" xr:uid="{00000000-0005-0000-0000-0000180D0000}"/>
    <cellStyle name="20% - Accent2 8 2 3 4 2" xfId="34796" xr:uid="{64B1EBDE-DAD8-4E8E-B437-53C12281A825}"/>
    <cellStyle name="20% - Accent2 8 2 3 5" xfId="18901" xr:uid="{00000000-0005-0000-0000-0000190D0000}"/>
    <cellStyle name="20% - Accent2 8 2 3 5 2" xfId="42734" xr:uid="{F4074E93-FBAD-41DC-B996-A6DB39B442C4}"/>
    <cellStyle name="20% - Accent2 8 2 3 6" xfId="26854" xr:uid="{4394392D-832F-4D80-9A4A-BE37FD01982F}"/>
    <cellStyle name="20% - Accent2 8 2 3_Exh G" xfId="2173" xr:uid="{00000000-0005-0000-0000-00001A0D0000}"/>
    <cellStyle name="20% - Accent2 8 2 4" xfId="3799" xr:uid="{00000000-0005-0000-0000-00001B0D0000}"/>
    <cellStyle name="20% - Accent2 8 2 4 2" xfId="7391" xr:uid="{00000000-0005-0000-0000-00001C0D0000}"/>
    <cellStyle name="20% - Accent2 8 2 4 2 2" xfId="15362" xr:uid="{00000000-0005-0000-0000-00001D0D0000}"/>
    <cellStyle name="20% - Accent2 8 2 4 2 2 2" xfId="39205" xr:uid="{C00D98E6-9F1B-45E8-96D2-66D1CCD75914}"/>
    <cellStyle name="20% - Accent2 8 2 4 2 3" xfId="23308" xr:uid="{00000000-0005-0000-0000-00001E0D0000}"/>
    <cellStyle name="20% - Accent2 8 2 4 2 3 2" xfId="47141" xr:uid="{3B43B284-8664-4F52-98B6-36DB7AF6B56B}"/>
    <cellStyle name="20% - Accent2 8 2 4 2 4" xfId="31264" xr:uid="{224B78FC-D500-4355-90F9-A0787A7713B9}"/>
    <cellStyle name="20% - Accent2 8 2 4 3" xfId="11824" xr:uid="{00000000-0005-0000-0000-00001F0D0000}"/>
    <cellStyle name="20% - Accent2 8 2 4 3 2" xfId="35674" xr:uid="{1369CC90-6738-4DB8-A3A0-165B932C9680}"/>
    <cellStyle name="20% - Accent2 8 2 4 4" xfId="19779" xr:uid="{00000000-0005-0000-0000-0000200D0000}"/>
    <cellStyle name="20% - Accent2 8 2 4 4 2" xfId="43612" xr:uid="{EC7EBEDF-3918-4293-BF5F-4BB5A6592CF4}"/>
    <cellStyle name="20% - Accent2 8 2 4 5" xfId="27733" xr:uid="{D973F34D-B4FA-45E1-A87B-AD3FE54EF9D1}"/>
    <cellStyle name="20% - Accent2 8 2 5" xfId="5619" xr:uid="{00000000-0005-0000-0000-0000210D0000}"/>
    <cellStyle name="20% - Accent2 8 2 5 2" xfId="13603" xr:uid="{00000000-0005-0000-0000-0000220D0000}"/>
    <cellStyle name="20% - Accent2 8 2 5 2 2" xfId="37447" xr:uid="{5D607C32-0E21-47FB-BF66-EB5A2F268BD3}"/>
    <cellStyle name="20% - Accent2 8 2 5 3" xfId="21551" xr:uid="{00000000-0005-0000-0000-0000230D0000}"/>
    <cellStyle name="20% - Accent2 8 2 5 3 2" xfId="45384" xr:uid="{03E52642-E7FC-4C48-BD75-6BC24C77226B}"/>
    <cellStyle name="20% - Accent2 8 2 5 4" xfId="29506" xr:uid="{52E636A9-B2F7-4BB2-BF74-575C08E13B00}"/>
    <cellStyle name="20% - Accent2 8 2 6" xfId="9172" xr:uid="{00000000-0005-0000-0000-0000240D0000}"/>
    <cellStyle name="20% - Accent2 8 2 6 2" xfId="17130" xr:uid="{00000000-0005-0000-0000-0000250D0000}"/>
    <cellStyle name="20% - Accent2 8 2 6 2 2" xfId="40971" xr:uid="{43E728AD-49D2-4DF3-A7E5-9547E2A1EBB8}"/>
    <cellStyle name="20% - Accent2 8 2 6 3" xfId="25074" xr:uid="{00000000-0005-0000-0000-0000260D0000}"/>
    <cellStyle name="20% - Accent2 8 2 6 3 2" xfId="48907" xr:uid="{902C665D-82F6-409E-8F3C-2000AD7B64FE}"/>
    <cellStyle name="20% - Accent2 8 2 6 4" xfId="33030" xr:uid="{2F2F26AD-BB4E-4D5D-98DF-12371E28CFB4}"/>
    <cellStyle name="20% - Accent2 8 2 7" xfId="10068" xr:uid="{00000000-0005-0000-0000-0000270D0000}"/>
    <cellStyle name="20% - Accent2 8 2 7 2" xfId="33918" xr:uid="{2DE36C2E-C20B-40B9-B38B-C510FBC6F589}"/>
    <cellStyle name="20% - Accent2 8 2 8" xfId="18023" xr:uid="{00000000-0005-0000-0000-0000280D0000}"/>
    <cellStyle name="20% - Accent2 8 2 8 2" xfId="41856" xr:uid="{13338CEC-784D-4AC9-B10F-DF80F26B5E8B}"/>
    <cellStyle name="20% - Accent2 8 2 9" xfId="25976" xr:uid="{C670D294-4725-4C95-B0D0-258A98C9384A}"/>
    <cellStyle name="20% - Accent2 8 2_Exh G" xfId="2170" xr:uid="{00000000-0005-0000-0000-0000290D0000}"/>
    <cellStyle name="20% - Accent2 8 3" xfId="122" xr:uid="{00000000-0005-0000-0000-00002A0D0000}"/>
    <cellStyle name="20% - Accent2 8 3 2" xfId="1150" xr:uid="{00000000-0005-0000-0000-00002B0D0000}"/>
    <cellStyle name="20% - Accent2 8 3 2 2" xfId="4680" xr:uid="{00000000-0005-0000-0000-00002C0D0000}"/>
    <cellStyle name="20% - Accent2 8 3 2 2 2" xfId="8271" xr:uid="{00000000-0005-0000-0000-00002D0D0000}"/>
    <cellStyle name="20% - Accent2 8 3 2 2 2 2" xfId="16242" xr:uid="{00000000-0005-0000-0000-00002E0D0000}"/>
    <cellStyle name="20% - Accent2 8 3 2 2 2 2 2" xfId="40085" xr:uid="{17CBC662-3A31-4D7E-90EF-E8AF630DCE02}"/>
    <cellStyle name="20% - Accent2 8 3 2 2 2 3" xfId="24188" xr:uid="{00000000-0005-0000-0000-00002F0D0000}"/>
    <cellStyle name="20% - Accent2 8 3 2 2 2 3 2" xfId="48021" xr:uid="{151A7CD2-2A59-4DA5-B741-EB8AE8ED87CC}"/>
    <cellStyle name="20% - Accent2 8 3 2 2 2 4" xfId="32144" xr:uid="{28E497D7-20BD-4E11-A63A-C638BD9CC90E}"/>
    <cellStyle name="20% - Accent2 8 3 2 2 3" xfId="12704" xr:uid="{00000000-0005-0000-0000-0000300D0000}"/>
    <cellStyle name="20% - Accent2 8 3 2 2 3 2" xfId="36554" xr:uid="{36EB222E-C33B-4DB5-AD99-990FB12474F0}"/>
    <cellStyle name="20% - Accent2 8 3 2 2 4" xfId="20659" xr:uid="{00000000-0005-0000-0000-0000310D0000}"/>
    <cellStyle name="20% - Accent2 8 3 2 2 4 2" xfId="44492" xr:uid="{D2F8C631-1FE5-4222-BAE4-7E4EB895F7E9}"/>
    <cellStyle name="20% - Accent2 8 3 2 2 5" xfId="28613" xr:uid="{575309FD-F042-4363-9A1B-90092822372E}"/>
    <cellStyle name="20% - Accent2 8 3 2 3" xfId="6512" xr:uid="{00000000-0005-0000-0000-0000320D0000}"/>
    <cellStyle name="20% - Accent2 8 3 2 3 2" xfId="14484" xr:uid="{00000000-0005-0000-0000-0000330D0000}"/>
    <cellStyle name="20% - Accent2 8 3 2 3 2 2" xfId="38327" xr:uid="{4288AC14-AC31-457C-9B8C-F679A834BD32}"/>
    <cellStyle name="20% - Accent2 8 3 2 3 3" xfId="22431" xr:uid="{00000000-0005-0000-0000-0000340D0000}"/>
    <cellStyle name="20% - Accent2 8 3 2 3 3 2" xfId="46264" xr:uid="{375BAAB5-E3C7-45B3-AE05-7434C44563C9}"/>
    <cellStyle name="20% - Accent2 8 3 2 3 4" xfId="30386" xr:uid="{EA6D87E9-584F-4C50-A225-506487A3CE93}"/>
    <cellStyle name="20% - Accent2 8 3 2 4" xfId="10948" xr:uid="{00000000-0005-0000-0000-0000350D0000}"/>
    <cellStyle name="20% - Accent2 8 3 2 4 2" xfId="34798" xr:uid="{B3E711AF-222B-401B-9CCE-AF34B98C40F1}"/>
    <cellStyle name="20% - Accent2 8 3 2 5" xfId="18903" xr:uid="{00000000-0005-0000-0000-0000360D0000}"/>
    <cellStyle name="20% - Accent2 8 3 2 5 2" xfId="42736" xr:uid="{DB38AD33-9419-4032-AE57-2744209F5061}"/>
    <cellStyle name="20% - Accent2 8 3 2 6" xfId="26856" xr:uid="{48EFC853-15C4-4175-B933-528A448C2325}"/>
    <cellStyle name="20% - Accent2 8 3 2_Exh G" xfId="2175" xr:uid="{00000000-0005-0000-0000-0000370D0000}"/>
    <cellStyle name="20% - Accent2 8 3 3" xfId="3801" xr:uid="{00000000-0005-0000-0000-0000380D0000}"/>
    <cellStyle name="20% - Accent2 8 3 3 2" xfId="7393" xr:uid="{00000000-0005-0000-0000-0000390D0000}"/>
    <cellStyle name="20% - Accent2 8 3 3 2 2" xfId="15364" xr:uid="{00000000-0005-0000-0000-00003A0D0000}"/>
    <cellStyle name="20% - Accent2 8 3 3 2 2 2" xfId="39207" xr:uid="{40648471-3D5B-46D6-84D9-932204BAF575}"/>
    <cellStyle name="20% - Accent2 8 3 3 2 3" xfId="23310" xr:uid="{00000000-0005-0000-0000-00003B0D0000}"/>
    <cellStyle name="20% - Accent2 8 3 3 2 3 2" xfId="47143" xr:uid="{678D2470-45D8-4332-905E-CA309B185957}"/>
    <cellStyle name="20% - Accent2 8 3 3 2 4" xfId="31266" xr:uid="{B97059A0-8884-491D-A762-D623DDFE1001}"/>
    <cellStyle name="20% - Accent2 8 3 3 3" xfId="11826" xr:uid="{00000000-0005-0000-0000-00003C0D0000}"/>
    <cellStyle name="20% - Accent2 8 3 3 3 2" xfId="35676" xr:uid="{4BFBE8F3-F70D-4842-979C-E50BD2C49301}"/>
    <cellStyle name="20% - Accent2 8 3 3 4" xfId="19781" xr:uid="{00000000-0005-0000-0000-00003D0D0000}"/>
    <cellStyle name="20% - Accent2 8 3 3 4 2" xfId="43614" xr:uid="{D5B73E77-375B-4744-9C40-070CAF40ADC1}"/>
    <cellStyle name="20% - Accent2 8 3 3 5" xfId="27735" xr:uid="{AB2AADF5-1528-4BC9-88FD-C25428C010C3}"/>
    <cellStyle name="20% - Accent2 8 3 4" xfId="5621" xr:uid="{00000000-0005-0000-0000-00003E0D0000}"/>
    <cellStyle name="20% - Accent2 8 3 4 2" xfId="13605" xr:uid="{00000000-0005-0000-0000-00003F0D0000}"/>
    <cellStyle name="20% - Accent2 8 3 4 2 2" xfId="37449" xr:uid="{65045AF5-61BD-493A-9DE5-BB53A49E328A}"/>
    <cellStyle name="20% - Accent2 8 3 4 3" xfId="21553" xr:uid="{00000000-0005-0000-0000-0000400D0000}"/>
    <cellStyle name="20% - Accent2 8 3 4 3 2" xfId="45386" xr:uid="{510C1E4B-F83E-4CE4-A3D2-38954767DD00}"/>
    <cellStyle name="20% - Accent2 8 3 4 4" xfId="29508" xr:uid="{D1DCF024-A40A-4688-9AAA-FC259D156111}"/>
    <cellStyle name="20% - Accent2 8 3 5" xfId="9174" xr:uid="{00000000-0005-0000-0000-0000410D0000}"/>
    <cellStyle name="20% - Accent2 8 3 5 2" xfId="17132" xr:uid="{00000000-0005-0000-0000-0000420D0000}"/>
    <cellStyle name="20% - Accent2 8 3 5 2 2" xfId="40973" xr:uid="{3B469EE7-A9C8-4C32-A120-263033E79568}"/>
    <cellStyle name="20% - Accent2 8 3 5 3" xfId="25076" xr:uid="{00000000-0005-0000-0000-0000430D0000}"/>
    <cellStyle name="20% - Accent2 8 3 5 3 2" xfId="48909" xr:uid="{460F4FDB-1548-44AE-A9BA-A7C516F2B88E}"/>
    <cellStyle name="20% - Accent2 8 3 5 4" xfId="33032" xr:uid="{DA41E0FC-6FD5-4A4C-B5D7-59CC74FFF223}"/>
    <cellStyle name="20% - Accent2 8 3 6" xfId="10070" xr:uid="{00000000-0005-0000-0000-0000440D0000}"/>
    <cellStyle name="20% - Accent2 8 3 6 2" xfId="33920" xr:uid="{D0691AF6-0F4C-4BDC-B58E-69F8613FFEA8}"/>
    <cellStyle name="20% - Accent2 8 3 7" xfId="18025" xr:uid="{00000000-0005-0000-0000-0000450D0000}"/>
    <cellStyle name="20% - Accent2 8 3 7 2" xfId="41858" xr:uid="{FC2F39F2-251A-42B0-B515-1F40BA217BE9}"/>
    <cellStyle name="20% - Accent2 8 3 8" xfId="25978" xr:uid="{B80A7B71-394C-4805-8DD5-02BF424FD205}"/>
    <cellStyle name="20% - Accent2 8 3_Exh G" xfId="2174" xr:uid="{00000000-0005-0000-0000-0000460D0000}"/>
    <cellStyle name="20% - Accent2 8 4" xfId="884" xr:uid="{00000000-0005-0000-0000-0000470D0000}"/>
    <cellStyle name="20% - Accent2 8 4 2" xfId="1817" xr:uid="{00000000-0005-0000-0000-0000480D0000}"/>
    <cellStyle name="20% - Accent2 8 4 2 2" xfId="5335" xr:uid="{00000000-0005-0000-0000-0000490D0000}"/>
    <cellStyle name="20% - Accent2 8 4 2 2 2" xfId="8926" xr:uid="{00000000-0005-0000-0000-00004A0D0000}"/>
    <cellStyle name="20% - Accent2 8 4 2 2 2 2" xfId="16897" xr:uid="{00000000-0005-0000-0000-00004B0D0000}"/>
    <cellStyle name="20% - Accent2 8 4 2 2 2 2 2" xfId="40740" xr:uid="{34AF2371-90DA-40A2-B722-3EC0E42B8A4C}"/>
    <cellStyle name="20% - Accent2 8 4 2 2 2 3" xfId="24843" xr:uid="{00000000-0005-0000-0000-00004C0D0000}"/>
    <cellStyle name="20% - Accent2 8 4 2 2 2 3 2" xfId="48676" xr:uid="{0F216D5D-6515-42D4-91CB-942A52D6E649}"/>
    <cellStyle name="20% - Accent2 8 4 2 2 2 4" xfId="32799" xr:uid="{FCA1A412-00D2-47E6-BB81-C87292973292}"/>
    <cellStyle name="20% - Accent2 8 4 2 2 3" xfId="13359" xr:uid="{00000000-0005-0000-0000-00004D0D0000}"/>
    <cellStyle name="20% - Accent2 8 4 2 2 3 2" xfId="37209" xr:uid="{33449B50-C21C-457C-9916-13C639206497}"/>
    <cellStyle name="20% - Accent2 8 4 2 2 4" xfId="21314" xr:uid="{00000000-0005-0000-0000-00004E0D0000}"/>
    <cellStyle name="20% - Accent2 8 4 2 2 4 2" xfId="45147" xr:uid="{A9A52950-9E3D-4FC4-8613-9E072E11585B}"/>
    <cellStyle name="20% - Accent2 8 4 2 2 5" xfId="29268" xr:uid="{BC0D5B12-5076-4D61-B425-731451356176}"/>
    <cellStyle name="20% - Accent2 8 4 2 3" xfId="7167" xr:uid="{00000000-0005-0000-0000-00004F0D0000}"/>
    <cellStyle name="20% - Accent2 8 4 2 3 2" xfId="15139" xr:uid="{00000000-0005-0000-0000-0000500D0000}"/>
    <cellStyle name="20% - Accent2 8 4 2 3 2 2" xfId="38982" xr:uid="{4970911F-7C89-4BE0-AEBB-ED4E24B57228}"/>
    <cellStyle name="20% - Accent2 8 4 2 3 3" xfId="23086" xr:uid="{00000000-0005-0000-0000-0000510D0000}"/>
    <cellStyle name="20% - Accent2 8 4 2 3 3 2" xfId="46919" xr:uid="{96AE97F2-AB04-4C37-989A-32FB722D5A08}"/>
    <cellStyle name="20% - Accent2 8 4 2 3 4" xfId="31041" xr:uid="{035E048A-6154-498B-8FB5-C151FC5E721F}"/>
    <cellStyle name="20% - Accent2 8 4 2 4" xfId="11603" xr:uid="{00000000-0005-0000-0000-0000520D0000}"/>
    <cellStyle name="20% - Accent2 8 4 2 4 2" xfId="35453" xr:uid="{46CFBA0E-410A-445D-91A1-77B8698A47E1}"/>
    <cellStyle name="20% - Accent2 8 4 2 5" xfId="19558" xr:uid="{00000000-0005-0000-0000-0000530D0000}"/>
    <cellStyle name="20% - Accent2 8 4 2 5 2" xfId="43391" xr:uid="{FB2BA175-5178-4697-9391-2A00503F7795}"/>
    <cellStyle name="20% - Accent2 8 4 2 6" xfId="27511" xr:uid="{024ADA64-A145-46CE-B355-343EC64D7C7F}"/>
    <cellStyle name="20% - Accent2 8 4 2_Exh G" xfId="2177" xr:uid="{00000000-0005-0000-0000-0000540D0000}"/>
    <cellStyle name="20% - Accent2 8 4 3" xfId="4456" xr:uid="{00000000-0005-0000-0000-0000550D0000}"/>
    <cellStyle name="20% - Accent2 8 4 3 2" xfId="8048" xr:uid="{00000000-0005-0000-0000-0000560D0000}"/>
    <cellStyle name="20% - Accent2 8 4 3 2 2" xfId="16019" xr:uid="{00000000-0005-0000-0000-0000570D0000}"/>
    <cellStyle name="20% - Accent2 8 4 3 2 2 2" xfId="39862" xr:uid="{C3BBFA34-77F6-4986-8CC8-21D99403291A}"/>
    <cellStyle name="20% - Accent2 8 4 3 2 3" xfId="23965" xr:uid="{00000000-0005-0000-0000-0000580D0000}"/>
    <cellStyle name="20% - Accent2 8 4 3 2 3 2" xfId="47798" xr:uid="{15A77B0A-9722-4816-83D1-EBBC2FE01E8B}"/>
    <cellStyle name="20% - Accent2 8 4 3 2 4" xfId="31921" xr:uid="{08C26BE5-DA95-4242-8318-64B843B0C3D9}"/>
    <cellStyle name="20% - Accent2 8 4 3 3" xfId="12481" xr:uid="{00000000-0005-0000-0000-0000590D0000}"/>
    <cellStyle name="20% - Accent2 8 4 3 3 2" xfId="36331" xr:uid="{9F2DC0B9-E3E2-460A-B199-1891BC0252D5}"/>
    <cellStyle name="20% - Accent2 8 4 3 4" xfId="20436" xr:uid="{00000000-0005-0000-0000-00005A0D0000}"/>
    <cellStyle name="20% - Accent2 8 4 3 4 2" xfId="44269" xr:uid="{3FF901E6-FE78-4D86-A20A-23A2B2566280}"/>
    <cellStyle name="20% - Accent2 8 4 3 5" xfId="28390" xr:uid="{0CDD8FA2-0170-422B-A42E-F119615B2924}"/>
    <cellStyle name="20% - Accent2 8 4 4" xfId="6286" xr:uid="{00000000-0005-0000-0000-00005B0D0000}"/>
    <cellStyle name="20% - Accent2 8 4 4 2" xfId="14261" xr:uid="{00000000-0005-0000-0000-00005C0D0000}"/>
    <cellStyle name="20% - Accent2 8 4 4 2 2" xfId="38104" xr:uid="{F69F884C-C3CA-440A-B055-596181830619}"/>
    <cellStyle name="20% - Accent2 8 4 4 3" xfId="22208" xr:uid="{00000000-0005-0000-0000-00005D0D0000}"/>
    <cellStyle name="20% - Accent2 8 4 4 3 2" xfId="46041" xr:uid="{426F1514-4455-422E-B0E5-872916CF18EA}"/>
    <cellStyle name="20% - Accent2 8 4 4 4" xfId="30163" xr:uid="{A0DC582D-04AB-496F-AEBC-A1D7611436BC}"/>
    <cellStyle name="20% - Accent2 8 4 5" xfId="9829" xr:uid="{00000000-0005-0000-0000-00005E0D0000}"/>
    <cellStyle name="20% - Accent2 8 4 5 2" xfId="17787" xr:uid="{00000000-0005-0000-0000-00005F0D0000}"/>
    <cellStyle name="20% - Accent2 8 4 5 2 2" xfId="41628" xr:uid="{02734A81-E9BB-47B3-8F18-35ED44BE8DD8}"/>
    <cellStyle name="20% - Accent2 8 4 5 3" xfId="25731" xr:uid="{00000000-0005-0000-0000-0000600D0000}"/>
    <cellStyle name="20% - Accent2 8 4 5 3 2" xfId="49564" xr:uid="{DAEA4321-F335-4B26-B612-118D52570640}"/>
    <cellStyle name="20% - Accent2 8 4 5 4" xfId="33687" xr:uid="{13AD9546-E98C-415F-B281-728AF1761452}"/>
    <cellStyle name="20% - Accent2 8 4 6" xfId="10725" xr:uid="{00000000-0005-0000-0000-0000610D0000}"/>
    <cellStyle name="20% - Accent2 8 4 6 2" xfId="34575" xr:uid="{A4FA42EE-96CF-4D61-A5B1-970D4011B350}"/>
    <cellStyle name="20% - Accent2 8 4 7" xfId="18680" xr:uid="{00000000-0005-0000-0000-0000620D0000}"/>
    <cellStyle name="20% - Accent2 8 4 7 2" xfId="42513" xr:uid="{777DA295-1F27-4FE9-B28C-7D629603528D}"/>
    <cellStyle name="20% - Accent2 8 4 8" xfId="26633" xr:uid="{94B28AF6-CA70-4961-ACE0-6B5CADAE38FB}"/>
    <cellStyle name="20% - Accent2 8 4_Exh G" xfId="2176" xr:uid="{00000000-0005-0000-0000-0000630D0000}"/>
    <cellStyle name="20% - Accent2 8 5" xfId="1147" xr:uid="{00000000-0005-0000-0000-0000640D0000}"/>
    <cellStyle name="20% - Accent2 8 5 2" xfId="4677" xr:uid="{00000000-0005-0000-0000-0000650D0000}"/>
    <cellStyle name="20% - Accent2 8 5 2 2" xfId="8268" xr:uid="{00000000-0005-0000-0000-0000660D0000}"/>
    <cellStyle name="20% - Accent2 8 5 2 2 2" xfId="16239" xr:uid="{00000000-0005-0000-0000-0000670D0000}"/>
    <cellStyle name="20% - Accent2 8 5 2 2 2 2" xfId="40082" xr:uid="{3EF2C22E-ED91-42A6-BCB1-F9E148E10522}"/>
    <cellStyle name="20% - Accent2 8 5 2 2 3" xfId="24185" xr:uid="{00000000-0005-0000-0000-0000680D0000}"/>
    <cellStyle name="20% - Accent2 8 5 2 2 3 2" xfId="48018" xr:uid="{1485DE29-9F18-444C-A727-D7A654D8C7AC}"/>
    <cellStyle name="20% - Accent2 8 5 2 2 4" xfId="32141" xr:uid="{175D59E5-3FBA-4B67-AA1B-398EE5E02E1F}"/>
    <cellStyle name="20% - Accent2 8 5 2 3" xfId="12701" xr:uid="{00000000-0005-0000-0000-0000690D0000}"/>
    <cellStyle name="20% - Accent2 8 5 2 3 2" xfId="36551" xr:uid="{331E757D-C411-433E-B261-82D2039DBBB9}"/>
    <cellStyle name="20% - Accent2 8 5 2 4" xfId="20656" xr:uid="{00000000-0005-0000-0000-00006A0D0000}"/>
    <cellStyle name="20% - Accent2 8 5 2 4 2" xfId="44489" xr:uid="{E45E3E26-FBCC-48CD-8393-8697BFFC556E}"/>
    <cellStyle name="20% - Accent2 8 5 2 5" xfId="28610" xr:uid="{72614A16-04BF-47F8-AE47-3E0961EE9A5F}"/>
    <cellStyle name="20% - Accent2 8 5 3" xfId="6509" xr:uid="{00000000-0005-0000-0000-00006B0D0000}"/>
    <cellStyle name="20% - Accent2 8 5 3 2" xfId="14481" xr:uid="{00000000-0005-0000-0000-00006C0D0000}"/>
    <cellStyle name="20% - Accent2 8 5 3 2 2" xfId="38324" xr:uid="{5C5947A4-E655-4A0A-AE95-662A3CB85D48}"/>
    <cellStyle name="20% - Accent2 8 5 3 3" xfId="22428" xr:uid="{00000000-0005-0000-0000-00006D0D0000}"/>
    <cellStyle name="20% - Accent2 8 5 3 3 2" xfId="46261" xr:uid="{783B0836-9DDA-4F0F-A9B3-DB9B10156763}"/>
    <cellStyle name="20% - Accent2 8 5 3 4" xfId="30383" xr:uid="{B6ED2B9A-0F97-4109-8FF9-1C440B595A85}"/>
    <cellStyle name="20% - Accent2 8 5 4" xfId="10945" xr:uid="{00000000-0005-0000-0000-00006E0D0000}"/>
    <cellStyle name="20% - Accent2 8 5 4 2" xfId="34795" xr:uid="{16989D95-0583-4333-ACFA-5A12609D3CCB}"/>
    <cellStyle name="20% - Accent2 8 5 5" xfId="18900" xr:uid="{00000000-0005-0000-0000-00006F0D0000}"/>
    <cellStyle name="20% - Accent2 8 5 5 2" xfId="42733" xr:uid="{3B6BB4E4-C54F-459B-8C1A-6ED942B031AC}"/>
    <cellStyle name="20% - Accent2 8 5 6" xfId="26853" xr:uid="{0C07FB5D-6DB1-4A26-8657-45B00F2D3EBA}"/>
    <cellStyle name="20% - Accent2 8 5_Exh G" xfId="2178" xr:uid="{00000000-0005-0000-0000-0000700D0000}"/>
    <cellStyle name="20% - Accent2 8 6" xfId="3798" xr:uid="{00000000-0005-0000-0000-0000710D0000}"/>
    <cellStyle name="20% - Accent2 8 6 2" xfId="7390" xr:uid="{00000000-0005-0000-0000-0000720D0000}"/>
    <cellStyle name="20% - Accent2 8 6 2 2" xfId="15361" xr:uid="{00000000-0005-0000-0000-0000730D0000}"/>
    <cellStyle name="20% - Accent2 8 6 2 2 2" xfId="39204" xr:uid="{24B55CF1-D928-4C56-A7E6-B68A4F6DACA1}"/>
    <cellStyle name="20% - Accent2 8 6 2 3" xfId="23307" xr:uid="{00000000-0005-0000-0000-0000740D0000}"/>
    <cellStyle name="20% - Accent2 8 6 2 3 2" xfId="47140" xr:uid="{9E878E2E-F7D3-415E-A9C5-AECBC20A31A1}"/>
    <cellStyle name="20% - Accent2 8 6 2 4" xfId="31263" xr:uid="{432B474D-BB92-4A96-A4F2-9EBC6399C4EF}"/>
    <cellStyle name="20% - Accent2 8 6 3" xfId="11823" xr:uid="{00000000-0005-0000-0000-0000750D0000}"/>
    <cellStyle name="20% - Accent2 8 6 3 2" xfId="35673" xr:uid="{19B0EFDA-34C3-46B8-8BE4-832FA0CEEE98}"/>
    <cellStyle name="20% - Accent2 8 6 4" xfId="19778" xr:uid="{00000000-0005-0000-0000-0000760D0000}"/>
    <cellStyle name="20% - Accent2 8 6 4 2" xfId="43611" xr:uid="{2F913A22-8AE0-4EF5-B448-A87A09422CBE}"/>
    <cellStyle name="20% - Accent2 8 6 5" xfId="27732" xr:uid="{459D7EAB-1EA5-4E72-B48E-EDF08328CD4F}"/>
    <cellStyle name="20% - Accent2 8 7" xfId="5618" xr:uid="{00000000-0005-0000-0000-0000770D0000}"/>
    <cellStyle name="20% - Accent2 8 7 2" xfId="13602" xr:uid="{00000000-0005-0000-0000-0000780D0000}"/>
    <cellStyle name="20% - Accent2 8 7 2 2" xfId="37446" xr:uid="{9CBF2FA4-77FC-48FA-B27C-19F9CF7FC233}"/>
    <cellStyle name="20% - Accent2 8 7 3" xfId="21550" xr:uid="{00000000-0005-0000-0000-0000790D0000}"/>
    <cellStyle name="20% - Accent2 8 7 3 2" xfId="45383" xr:uid="{33DA3673-3E91-40C0-B364-87E7F677219C}"/>
    <cellStyle name="20% - Accent2 8 7 4" xfId="29505" xr:uid="{5B27044A-970A-4B44-9880-C27CF1C0DBE4}"/>
    <cellStyle name="20% - Accent2 8 8" xfId="9171" xr:uid="{00000000-0005-0000-0000-00007A0D0000}"/>
    <cellStyle name="20% - Accent2 8 8 2" xfId="17129" xr:uid="{00000000-0005-0000-0000-00007B0D0000}"/>
    <cellStyle name="20% - Accent2 8 8 2 2" xfId="40970" xr:uid="{66E93F97-47C4-4210-82B9-AF0174EA3992}"/>
    <cellStyle name="20% - Accent2 8 8 3" xfId="25073" xr:uid="{00000000-0005-0000-0000-00007C0D0000}"/>
    <cellStyle name="20% - Accent2 8 8 3 2" xfId="48906" xr:uid="{2CC3A6A0-BE74-49C6-BD0C-1FFC637B77B8}"/>
    <cellStyle name="20% - Accent2 8 8 4" xfId="33029" xr:uid="{BA406549-49F6-404E-904B-C51224C6518E}"/>
    <cellStyle name="20% - Accent2 8 9" xfId="10067" xr:uid="{00000000-0005-0000-0000-00007D0D0000}"/>
    <cellStyle name="20% - Accent2 8 9 2" xfId="33917" xr:uid="{409BFA3E-0EFA-451D-9F32-BF2C9A708B7B}"/>
    <cellStyle name="20% - Accent2 8_Exh G" xfId="2169" xr:uid="{00000000-0005-0000-0000-00007E0D0000}"/>
    <cellStyle name="20% - Accent2 9" xfId="123" xr:uid="{00000000-0005-0000-0000-00007F0D0000}"/>
    <cellStyle name="20% - Accent2 9 10" xfId="18026" xr:uid="{00000000-0005-0000-0000-0000800D0000}"/>
    <cellStyle name="20% - Accent2 9 10 2" xfId="41859" xr:uid="{C941BED9-C77D-4CDF-89F3-F712FFDE4AF3}"/>
    <cellStyle name="20% - Accent2 9 11" xfId="25979" xr:uid="{6727140E-DAE8-4796-9753-11B672485D0F}"/>
    <cellStyle name="20% - Accent2 9 2" xfId="124" xr:uid="{00000000-0005-0000-0000-0000810D0000}"/>
    <cellStyle name="20% - Accent2 9 2 2" xfId="125" xr:uid="{00000000-0005-0000-0000-0000820D0000}"/>
    <cellStyle name="20% - Accent2 9 2 2 2" xfId="1153" xr:uid="{00000000-0005-0000-0000-0000830D0000}"/>
    <cellStyle name="20% - Accent2 9 2 2 2 2" xfId="4683" xr:uid="{00000000-0005-0000-0000-0000840D0000}"/>
    <cellStyle name="20% - Accent2 9 2 2 2 2 2" xfId="8274" xr:uid="{00000000-0005-0000-0000-0000850D0000}"/>
    <cellStyle name="20% - Accent2 9 2 2 2 2 2 2" xfId="16245" xr:uid="{00000000-0005-0000-0000-0000860D0000}"/>
    <cellStyle name="20% - Accent2 9 2 2 2 2 2 2 2" xfId="40088" xr:uid="{E97F9D27-9961-48EB-912C-ED9D6BDB2420}"/>
    <cellStyle name="20% - Accent2 9 2 2 2 2 2 3" xfId="24191" xr:uid="{00000000-0005-0000-0000-0000870D0000}"/>
    <cellStyle name="20% - Accent2 9 2 2 2 2 2 3 2" xfId="48024" xr:uid="{B088879F-06C0-4327-8056-5DB7B3358C19}"/>
    <cellStyle name="20% - Accent2 9 2 2 2 2 2 4" xfId="32147" xr:uid="{E81162BF-7E59-4320-9CC8-6D14F8BCA1E0}"/>
    <cellStyle name="20% - Accent2 9 2 2 2 2 3" xfId="12707" xr:uid="{00000000-0005-0000-0000-0000880D0000}"/>
    <cellStyle name="20% - Accent2 9 2 2 2 2 3 2" xfId="36557" xr:uid="{A175A32A-EB6C-40E8-BBCF-C6CE99F1D51F}"/>
    <cellStyle name="20% - Accent2 9 2 2 2 2 4" xfId="20662" xr:uid="{00000000-0005-0000-0000-0000890D0000}"/>
    <cellStyle name="20% - Accent2 9 2 2 2 2 4 2" xfId="44495" xr:uid="{D9AD78B3-87CE-4753-A9F4-D7391726EC82}"/>
    <cellStyle name="20% - Accent2 9 2 2 2 2 5" xfId="28616" xr:uid="{A5FF663B-C71A-4C6E-87E3-8AEDA1A6E6FA}"/>
    <cellStyle name="20% - Accent2 9 2 2 2 3" xfId="6515" xr:uid="{00000000-0005-0000-0000-00008A0D0000}"/>
    <cellStyle name="20% - Accent2 9 2 2 2 3 2" xfId="14487" xr:uid="{00000000-0005-0000-0000-00008B0D0000}"/>
    <cellStyle name="20% - Accent2 9 2 2 2 3 2 2" xfId="38330" xr:uid="{AD77F9E3-ADF0-49EF-8711-5C51A3C82D43}"/>
    <cellStyle name="20% - Accent2 9 2 2 2 3 3" xfId="22434" xr:uid="{00000000-0005-0000-0000-00008C0D0000}"/>
    <cellStyle name="20% - Accent2 9 2 2 2 3 3 2" xfId="46267" xr:uid="{62E52691-A709-4055-B1CB-F1A5A89A498A}"/>
    <cellStyle name="20% - Accent2 9 2 2 2 3 4" xfId="30389" xr:uid="{7E87999B-F78B-4FF2-B2D5-CAE0BA31B4E2}"/>
    <cellStyle name="20% - Accent2 9 2 2 2 4" xfId="10951" xr:uid="{00000000-0005-0000-0000-00008D0D0000}"/>
    <cellStyle name="20% - Accent2 9 2 2 2 4 2" xfId="34801" xr:uid="{B38391CD-858F-466F-8972-8C9E5823FBE5}"/>
    <cellStyle name="20% - Accent2 9 2 2 2 5" xfId="18906" xr:uid="{00000000-0005-0000-0000-00008E0D0000}"/>
    <cellStyle name="20% - Accent2 9 2 2 2 5 2" xfId="42739" xr:uid="{96A7AB5C-D96C-4D8D-A4D5-AB2D532F8EAA}"/>
    <cellStyle name="20% - Accent2 9 2 2 2 6" xfId="26859" xr:uid="{69A8EE4E-E1CB-4435-8670-F32BF314C13D}"/>
    <cellStyle name="20% - Accent2 9 2 2 2_Exh G" xfId="2182" xr:uid="{00000000-0005-0000-0000-00008F0D0000}"/>
    <cellStyle name="20% - Accent2 9 2 2 3" xfId="3804" xr:uid="{00000000-0005-0000-0000-0000900D0000}"/>
    <cellStyle name="20% - Accent2 9 2 2 3 2" xfId="7396" xr:uid="{00000000-0005-0000-0000-0000910D0000}"/>
    <cellStyle name="20% - Accent2 9 2 2 3 2 2" xfId="15367" xr:uid="{00000000-0005-0000-0000-0000920D0000}"/>
    <cellStyle name="20% - Accent2 9 2 2 3 2 2 2" xfId="39210" xr:uid="{49592A65-EE57-419A-8331-9D5234A0A059}"/>
    <cellStyle name="20% - Accent2 9 2 2 3 2 3" xfId="23313" xr:uid="{00000000-0005-0000-0000-0000930D0000}"/>
    <cellStyle name="20% - Accent2 9 2 2 3 2 3 2" xfId="47146" xr:uid="{038F7B5F-1530-483D-A69C-02A1873DC262}"/>
    <cellStyle name="20% - Accent2 9 2 2 3 2 4" xfId="31269" xr:uid="{F7940F84-A478-48AB-8028-C99AAC581082}"/>
    <cellStyle name="20% - Accent2 9 2 2 3 3" xfId="11829" xr:uid="{00000000-0005-0000-0000-0000940D0000}"/>
    <cellStyle name="20% - Accent2 9 2 2 3 3 2" xfId="35679" xr:uid="{A3138724-05A9-438F-A855-581172331F2D}"/>
    <cellStyle name="20% - Accent2 9 2 2 3 4" xfId="19784" xr:uid="{00000000-0005-0000-0000-0000950D0000}"/>
    <cellStyle name="20% - Accent2 9 2 2 3 4 2" xfId="43617" xr:uid="{8A829CBC-871D-40D1-A09E-D8F3F84425C3}"/>
    <cellStyle name="20% - Accent2 9 2 2 3 5" xfId="27738" xr:uid="{B910283D-8E16-4A78-8E4B-FF4951699CA7}"/>
    <cellStyle name="20% - Accent2 9 2 2 4" xfId="5624" xr:uid="{00000000-0005-0000-0000-0000960D0000}"/>
    <cellStyle name="20% - Accent2 9 2 2 4 2" xfId="13608" xr:uid="{00000000-0005-0000-0000-0000970D0000}"/>
    <cellStyle name="20% - Accent2 9 2 2 4 2 2" xfId="37452" xr:uid="{D1B4AD03-41DC-4D61-BFE7-91B6BC1E2474}"/>
    <cellStyle name="20% - Accent2 9 2 2 4 3" xfId="21556" xr:uid="{00000000-0005-0000-0000-0000980D0000}"/>
    <cellStyle name="20% - Accent2 9 2 2 4 3 2" xfId="45389" xr:uid="{32482041-642B-49DB-856F-6C6C01EE1EA3}"/>
    <cellStyle name="20% - Accent2 9 2 2 4 4" xfId="29511" xr:uid="{8B9CC86E-2C78-418C-98D6-BC69FB1C0C69}"/>
    <cellStyle name="20% - Accent2 9 2 2 5" xfId="9177" xr:uid="{00000000-0005-0000-0000-0000990D0000}"/>
    <cellStyle name="20% - Accent2 9 2 2 5 2" xfId="17135" xr:uid="{00000000-0005-0000-0000-00009A0D0000}"/>
    <cellStyle name="20% - Accent2 9 2 2 5 2 2" xfId="40976" xr:uid="{6E718AAD-7ED5-47DF-93FF-FC5124415E3F}"/>
    <cellStyle name="20% - Accent2 9 2 2 5 3" xfId="25079" xr:uid="{00000000-0005-0000-0000-00009B0D0000}"/>
    <cellStyle name="20% - Accent2 9 2 2 5 3 2" xfId="48912" xr:uid="{1F7D737F-30DB-4EEA-AE07-C81300F3584C}"/>
    <cellStyle name="20% - Accent2 9 2 2 5 4" xfId="33035" xr:uid="{A372520E-2F48-42DC-9FFB-3C7AE77360FD}"/>
    <cellStyle name="20% - Accent2 9 2 2 6" xfId="10073" xr:uid="{00000000-0005-0000-0000-00009C0D0000}"/>
    <cellStyle name="20% - Accent2 9 2 2 6 2" xfId="33923" xr:uid="{226218CB-A012-4248-A3AA-1154233DA89E}"/>
    <cellStyle name="20% - Accent2 9 2 2 7" xfId="18028" xr:uid="{00000000-0005-0000-0000-00009D0D0000}"/>
    <cellStyle name="20% - Accent2 9 2 2 7 2" xfId="41861" xr:uid="{8F7C2B36-05C4-486B-BDA5-D4B0A7E19987}"/>
    <cellStyle name="20% - Accent2 9 2 2 8" xfId="25981" xr:uid="{229EF98D-E0CC-4B13-A7CB-10CF6CC19F01}"/>
    <cellStyle name="20% - Accent2 9 2 2_Exh G" xfId="2181" xr:uid="{00000000-0005-0000-0000-00009E0D0000}"/>
    <cellStyle name="20% - Accent2 9 2 3" xfId="1152" xr:uid="{00000000-0005-0000-0000-00009F0D0000}"/>
    <cellStyle name="20% - Accent2 9 2 3 2" xfId="4682" xr:uid="{00000000-0005-0000-0000-0000A00D0000}"/>
    <cellStyle name="20% - Accent2 9 2 3 2 2" xfId="8273" xr:uid="{00000000-0005-0000-0000-0000A10D0000}"/>
    <cellStyle name="20% - Accent2 9 2 3 2 2 2" xfId="16244" xr:uid="{00000000-0005-0000-0000-0000A20D0000}"/>
    <cellStyle name="20% - Accent2 9 2 3 2 2 2 2" xfId="40087" xr:uid="{7D916317-74C3-4CC3-9ACB-AA65295D058D}"/>
    <cellStyle name="20% - Accent2 9 2 3 2 2 3" xfId="24190" xr:uid="{00000000-0005-0000-0000-0000A30D0000}"/>
    <cellStyle name="20% - Accent2 9 2 3 2 2 3 2" xfId="48023" xr:uid="{602548BC-A7A9-4978-8398-A8A18673452A}"/>
    <cellStyle name="20% - Accent2 9 2 3 2 2 4" xfId="32146" xr:uid="{1827D43E-A894-4BC2-9976-D7CA94F85EB3}"/>
    <cellStyle name="20% - Accent2 9 2 3 2 3" xfId="12706" xr:uid="{00000000-0005-0000-0000-0000A40D0000}"/>
    <cellStyle name="20% - Accent2 9 2 3 2 3 2" xfId="36556" xr:uid="{EF8514E3-7A8F-4944-B135-5ADD1C93867E}"/>
    <cellStyle name="20% - Accent2 9 2 3 2 4" xfId="20661" xr:uid="{00000000-0005-0000-0000-0000A50D0000}"/>
    <cellStyle name="20% - Accent2 9 2 3 2 4 2" xfId="44494" xr:uid="{608CA598-07F8-487C-8164-B2CF0FEDC4C3}"/>
    <cellStyle name="20% - Accent2 9 2 3 2 5" xfId="28615" xr:uid="{2CDF7BD3-5AF7-49E4-8490-8C5E77CC1BD0}"/>
    <cellStyle name="20% - Accent2 9 2 3 3" xfId="6514" xr:uid="{00000000-0005-0000-0000-0000A60D0000}"/>
    <cellStyle name="20% - Accent2 9 2 3 3 2" xfId="14486" xr:uid="{00000000-0005-0000-0000-0000A70D0000}"/>
    <cellStyle name="20% - Accent2 9 2 3 3 2 2" xfId="38329" xr:uid="{46F38894-4FE8-4E39-B2FF-4BBCC26AE9C9}"/>
    <cellStyle name="20% - Accent2 9 2 3 3 3" xfId="22433" xr:uid="{00000000-0005-0000-0000-0000A80D0000}"/>
    <cellStyle name="20% - Accent2 9 2 3 3 3 2" xfId="46266" xr:uid="{28B5D8E8-9790-40FC-92F5-6E637E40B19C}"/>
    <cellStyle name="20% - Accent2 9 2 3 3 4" xfId="30388" xr:uid="{DDE91804-5944-4FAA-999C-CD642883CC88}"/>
    <cellStyle name="20% - Accent2 9 2 3 4" xfId="10950" xr:uid="{00000000-0005-0000-0000-0000A90D0000}"/>
    <cellStyle name="20% - Accent2 9 2 3 4 2" xfId="34800" xr:uid="{222C14A3-3524-43EA-8EB1-78953D635AC9}"/>
    <cellStyle name="20% - Accent2 9 2 3 5" xfId="18905" xr:uid="{00000000-0005-0000-0000-0000AA0D0000}"/>
    <cellStyle name="20% - Accent2 9 2 3 5 2" xfId="42738" xr:uid="{79A04696-2638-4C17-A764-C5AF90E68453}"/>
    <cellStyle name="20% - Accent2 9 2 3 6" xfId="26858" xr:uid="{5B09119B-7B4B-4DA8-9982-979474CC79D4}"/>
    <cellStyle name="20% - Accent2 9 2 3_Exh G" xfId="2183" xr:uid="{00000000-0005-0000-0000-0000AB0D0000}"/>
    <cellStyle name="20% - Accent2 9 2 4" xfId="3803" xr:uid="{00000000-0005-0000-0000-0000AC0D0000}"/>
    <cellStyle name="20% - Accent2 9 2 4 2" xfId="7395" xr:uid="{00000000-0005-0000-0000-0000AD0D0000}"/>
    <cellStyle name="20% - Accent2 9 2 4 2 2" xfId="15366" xr:uid="{00000000-0005-0000-0000-0000AE0D0000}"/>
    <cellStyle name="20% - Accent2 9 2 4 2 2 2" xfId="39209" xr:uid="{B4331543-FCBB-4402-923F-643AD8E031FF}"/>
    <cellStyle name="20% - Accent2 9 2 4 2 3" xfId="23312" xr:uid="{00000000-0005-0000-0000-0000AF0D0000}"/>
    <cellStyle name="20% - Accent2 9 2 4 2 3 2" xfId="47145" xr:uid="{99776114-B9A6-4434-B9E8-75E5D83EA0E0}"/>
    <cellStyle name="20% - Accent2 9 2 4 2 4" xfId="31268" xr:uid="{1E2C7A0C-61AD-4E0D-9952-5A90747FE627}"/>
    <cellStyle name="20% - Accent2 9 2 4 3" xfId="11828" xr:uid="{00000000-0005-0000-0000-0000B00D0000}"/>
    <cellStyle name="20% - Accent2 9 2 4 3 2" xfId="35678" xr:uid="{6B7D525F-385B-4573-8F20-C867460C5DEB}"/>
    <cellStyle name="20% - Accent2 9 2 4 4" xfId="19783" xr:uid="{00000000-0005-0000-0000-0000B10D0000}"/>
    <cellStyle name="20% - Accent2 9 2 4 4 2" xfId="43616" xr:uid="{E926B0D3-E20F-4A91-90D4-8B1DAE0F1EAB}"/>
    <cellStyle name="20% - Accent2 9 2 4 5" xfId="27737" xr:uid="{A27911C5-D61D-49D6-A0B2-3C9A42935FA7}"/>
    <cellStyle name="20% - Accent2 9 2 5" xfId="5623" xr:uid="{00000000-0005-0000-0000-0000B20D0000}"/>
    <cellStyle name="20% - Accent2 9 2 5 2" xfId="13607" xr:uid="{00000000-0005-0000-0000-0000B30D0000}"/>
    <cellStyle name="20% - Accent2 9 2 5 2 2" xfId="37451" xr:uid="{29D67AD0-4557-4A3D-83B0-5C3DE7B3B7EB}"/>
    <cellStyle name="20% - Accent2 9 2 5 3" xfId="21555" xr:uid="{00000000-0005-0000-0000-0000B40D0000}"/>
    <cellStyle name="20% - Accent2 9 2 5 3 2" xfId="45388" xr:uid="{F1E57235-B9CC-4BDF-BE62-19986028DD63}"/>
    <cellStyle name="20% - Accent2 9 2 5 4" xfId="29510" xr:uid="{5F37A538-E1DB-4F78-8C0D-FF6D05174F0C}"/>
    <cellStyle name="20% - Accent2 9 2 6" xfId="9176" xr:uid="{00000000-0005-0000-0000-0000B50D0000}"/>
    <cellStyle name="20% - Accent2 9 2 6 2" xfId="17134" xr:uid="{00000000-0005-0000-0000-0000B60D0000}"/>
    <cellStyle name="20% - Accent2 9 2 6 2 2" xfId="40975" xr:uid="{D92E7086-B5D2-4B38-98D9-EFFBCB78F3FE}"/>
    <cellStyle name="20% - Accent2 9 2 6 3" xfId="25078" xr:uid="{00000000-0005-0000-0000-0000B70D0000}"/>
    <cellStyle name="20% - Accent2 9 2 6 3 2" xfId="48911" xr:uid="{1AF1397B-ADD8-4BC7-B7B5-CFF3E58AB4D0}"/>
    <cellStyle name="20% - Accent2 9 2 6 4" xfId="33034" xr:uid="{35FFE49E-3BFA-4639-9961-61B4E9089C2D}"/>
    <cellStyle name="20% - Accent2 9 2 7" xfId="10072" xr:uid="{00000000-0005-0000-0000-0000B80D0000}"/>
    <cellStyle name="20% - Accent2 9 2 7 2" xfId="33922" xr:uid="{6A0B60B6-71EA-4C1B-8AD2-7E2E68F686BF}"/>
    <cellStyle name="20% - Accent2 9 2 8" xfId="18027" xr:uid="{00000000-0005-0000-0000-0000B90D0000}"/>
    <cellStyle name="20% - Accent2 9 2 8 2" xfId="41860" xr:uid="{E89325B5-40EB-44DC-A16B-5DFD35C003A5}"/>
    <cellStyle name="20% - Accent2 9 2 9" xfId="25980" xr:uid="{7B4CBDBF-5C34-49B0-851A-A6E33EB4A968}"/>
    <cellStyle name="20% - Accent2 9 2_Exh G" xfId="2180" xr:uid="{00000000-0005-0000-0000-0000BA0D0000}"/>
    <cellStyle name="20% - Accent2 9 3" xfId="126" xr:uid="{00000000-0005-0000-0000-0000BB0D0000}"/>
    <cellStyle name="20% - Accent2 9 3 2" xfId="1154" xr:uid="{00000000-0005-0000-0000-0000BC0D0000}"/>
    <cellStyle name="20% - Accent2 9 3 2 2" xfId="4684" xr:uid="{00000000-0005-0000-0000-0000BD0D0000}"/>
    <cellStyle name="20% - Accent2 9 3 2 2 2" xfId="8275" xr:uid="{00000000-0005-0000-0000-0000BE0D0000}"/>
    <cellStyle name="20% - Accent2 9 3 2 2 2 2" xfId="16246" xr:uid="{00000000-0005-0000-0000-0000BF0D0000}"/>
    <cellStyle name="20% - Accent2 9 3 2 2 2 2 2" xfId="40089" xr:uid="{1A54CE07-E86D-4690-BC06-D4FCA0DED9D9}"/>
    <cellStyle name="20% - Accent2 9 3 2 2 2 3" xfId="24192" xr:uid="{00000000-0005-0000-0000-0000C00D0000}"/>
    <cellStyle name="20% - Accent2 9 3 2 2 2 3 2" xfId="48025" xr:uid="{EC62F35F-9550-4D9F-8039-B1D2FB7B4F02}"/>
    <cellStyle name="20% - Accent2 9 3 2 2 2 4" xfId="32148" xr:uid="{A843F50F-AC80-4284-B4A1-2AA992F4A2B1}"/>
    <cellStyle name="20% - Accent2 9 3 2 2 3" xfId="12708" xr:uid="{00000000-0005-0000-0000-0000C10D0000}"/>
    <cellStyle name="20% - Accent2 9 3 2 2 3 2" xfId="36558" xr:uid="{216341BE-560C-40C9-B8E3-31BB701C3945}"/>
    <cellStyle name="20% - Accent2 9 3 2 2 4" xfId="20663" xr:uid="{00000000-0005-0000-0000-0000C20D0000}"/>
    <cellStyle name="20% - Accent2 9 3 2 2 4 2" xfId="44496" xr:uid="{072ABEC1-6769-4361-A69D-D29B47CE9AAF}"/>
    <cellStyle name="20% - Accent2 9 3 2 2 5" xfId="28617" xr:uid="{19BE960E-D830-443A-AAE5-E71398E245EE}"/>
    <cellStyle name="20% - Accent2 9 3 2 3" xfId="6516" xr:uid="{00000000-0005-0000-0000-0000C30D0000}"/>
    <cellStyle name="20% - Accent2 9 3 2 3 2" xfId="14488" xr:uid="{00000000-0005-0000-0000-0000C40D0000}"/>
    <cellStyle name="20% - Accent2 9 3 2 3 2 2" xfId="38331" xr:uid="{1B79D50D-4304-43C0-8251-2AF7F539345A}"/>
    <cellStyle name="20% - Accent2 9 3 2 3 3" xfId="22435" xr:uid="{00000000-0005-0000-0000-0000C50D0000}"/>
    <cellStyle name="20% - Accent2 9 3 2 3 3 2" xfId="46268" xr:uid="{1855E073-71A7-467E-869A-41E878D71C53}"/>
    <cellStyle name="20% - Accent2 9 3 2 3 4" xfId="30390" xr:uid="{350A8DCA-5E58-4504-9112-98715B326C8B}"/>
    <cellStyle name="20% - Accent2 9 3 2 4" xfId="10952" xr:uid="{00000000-0005-0000-0000-0000C60D0000}"/>
    <cellStyle name="20% - Accent2 9 3 2 4 2" xfId="34802" xr:uid="{96853D6F-D18D-4399-B7E9-C5297E957BFC}"/>
    <cellStyle name="20% - Accent2 9 3 2 5" xfId="18907" xr:uid="{00000000-0005-0000-0000-0000C70D0000}"/>
    <cellStyle name="20% - Accent2 9 3 2 5 2" xfId="42740" xr:uid="{0F9E8426-8D60-41E9-816D-D45E412A58CB}"/>
    <cellStyle name="20% - Accent2 9 3 2 6" xfId="26860" xr:uid="{E2BFAA3B-A7AB-417F-9756-C87706C442B3}"/>
    <cellStyle name="20% - Accent2 9 3 2_Exh G" xfId="2185" xr:uid="{00000000-0005-0000-0000-0000C80D0000}"/>
    <cellStyle name="20% - Accent2 9 3 3" xfId="3805" xr:uid="{00000000-0005-0000-0000-0000C90D0000}"/>
    <cellStyle name="20% - Accent2 9 3 3 2" xfId="7397" xr:uid="{00000000-0005-0000-0000-0000CA0D0000}"/>
    <cellStyle name="20% - Accent2 9 3 3 2 2" xfId="15368" xr:uid="{00000000-0005-0000-0000-0000CB0D0000}"/>
    <cellStyle name="20% - Accent2 9 3 3 2 2 2" xfId="39211" xr:uid="{D49FC7FB-B6D8-4A5C-AB8B-A93B140A9322}"/>
    <cellStyle name="20% - Accent2 9 3 3 2 3" xfId="23314" xr:uid="{00000000-0005-0000-0000-0000CC0D0000}"/>
    <cellStyle name="20% - Accent2 9 3 3 2 3 2" xfId="47147" xr:uid="{4714624A-AAE2-48BF-8A76-5C6F3A0D9152}"/>
    <cellStyle name="20% - Accent2 9 3 3 2 4" xfId="31270" xr:uid="{A824AB4E-22CF-4A6D-9C8F-ED5C575BE905}"/>
    <cellStyle name="20% - Accent2 9 3 3 3" xfId="11830" xr:uid="{00000000-0005-0000-0000-0000CD0D0000}"/>
    <cellStyle name="20% - Accent2 9 3 3 3 2" xfId="35680" xr:uid="{7D2B38E7-6C59-4E8E-B724-613CC5C4F637}"/>
    <cellStyle name="20% - Accent2 9 3 3 4" xfId="19785" xr:uid="{00000000-0005-0000-0000-0000CE0D0000}"/>
    <cellStyle name="20% - Accent2 9 3 3 4 2" xfId="43618" xr:uid="{85047ED3-BD2E-49CF-97D0-1EF3AE349034}"/>
    <cellStyle name="20% - Accent2 9 3 3 5" xfId="27739" xr:uid="{9FE83A2E-319E-46AB-914C-4F071339BE8D}"/>
    <cellStyle name="20% - Accent2 9 3 4" xfId="5625" xr:uid="{00000000-0005-0000-0000-0000CF0D0000}"/>
    <cellStyle name="20% - Accent2 9 3 4 2" xfId="13609" xr:uid="{00000000-0005-0000-0000-0000D00D0000}"/>
    <cellStyle name="20% - Accent2 9 3 4 2 2" xfId="37453" xr:uid="{F7B1DD2F-A2B9-4CEC-83C9-C8365CA5F606}"/>
    <cellStyle name="20% - Accent2 9 3 4 3" xfId="21557" xr:uid="{00000000-0005-0000-0000-0000D10D0000}"/>
    <cellStyle name="20% - Accent2 9 3 4 3 2" xfId="45390" xr:uid="{C8CD360B-027A-427F-9CEC-C59275A40525}"/>
    <cellStyle name="20% - Accent2 9 3 4 4" xfId="29512" xr:uid="{90011BD4-EC2E-4AC8-8C12-F821810B8589}"/>
    <cellStyle name="20% - Accent2 9 3 5" xfId="9178" xr:uid="{00000000-0005-0000-0000-0000D20D0000}"/>
    <cellStyle name="20% - Accent2 9 3 5 2" xfId="17136" xr:uid="{00000000-0005-0000-0000-0000D30D0000}"/>
    <cellStyle name="20% - Accent2 9 3 5 2 2" xfId="40977" xr:uid="{8A4293DD-DF02-4B8E-A741-0043D90F592A}"/>
    <cellStyle name="20% - Accent2 9 3 5 3" xfId="25080" xr:uid="{00000000-0005-0000-0000-0000D40D0000}"/>
    <cellStyle name="20% - Accent2 9 3 5 3 2" xfId="48913" xr:uid="{ADDC7565-7F1F-42D8-8C32-C5F2F52B1C6A}"/>
    <cellStyle name="20% - Accent2 9 3 5 4" xfId="33036" xr:uid="{FADF9F83-F6C7-401E-8F06-0FE22DF9393E}"/>
    <cellStyle name="20% - Accent2 9 3 6" xfId="10074" xr:uid="{00000000-0005-0000-0000-0000D50D0000}"/>
    <cellStyle name="20% - Accent2 9 3 6 2" xfId="33924" xr:uid="{3E80A2F1-084A-472A-B845-08A8F868ADEF}"/>
    <cellStyle name="20% - Accent2 9 3 7" xfId="18029" xr:uid="{00000000-0005-0000-0000-0000D60D0000}"/>
    <cellStyle name="20% - Accent2 9 3 7 2" xfId="41862" xr:uid="{5AE683BB-6680-4691-B17A-9EF90C88BD2F}"/>
    <cellStyle name="20% - Accent2 9 3 8" xfId="25982" xr:uid="{D3FC5DB7-5D16-479F-BC37-A198AB3A06CE}"/>
    <cellStyle name="20% - Accent2 9 3_Exh G" xfId="2184" xr:uid="{00000000-0005-0000-0000-0000D70D0000}"/>
    <cellStyle name="20% - Accent2 9 4" xfId="885" xr:uid="{00000000-0005-0000-0000-0000D80D0000}"/>
    <cellStyle name="20% - Accent2 9 4 2" xfId="1818" xr:uid="{00000000-0005-0000-0000-0000D90D0000}"/>
    <cellStyle name="20% - Accent2 9 4 2 2" xfId="5336" xr:uid="{00000000-0005-0000-0000-0000DA0D0000}"/>
    <cellStyle name="20% - Accent2 9 4 2 2 2" xfId="8927" xr:uid="{00000000-0005-0000-0000-0000DB0D0000}"/>
    <cellStyle name="20% - Accent2 9 4 2 2 2 2" xfId="16898" xr:uid="{00000000-0005-0000-0000-0000DC0D0000}"/>
    <cellStyle name="20% - Accent2 9 4 2 2 2 2 2" xfId="40741" xr:uid="{347E43C5-6ACA-429B-86D9-B0754DAE7849}"/>
    <cellStyle name="20% - Accent2 9 4 2 2 2 3" xfId="24844" xr:uid="{00000000-0005-0000-0000-0000DD0D0000}"/>
    <cellStyle name="20% - Accent2 9 4 2 2 2 3 2" xfId="48677" xr:uid="{7AA2D51C-76EB-4E35-8503-22CF3A6A38EA}"/>
    <cellStyle name="20% - Accent2 9 4 2 2 2 4" xfId="32800" xr:uid="{99E45B63-D53E-4CA1-BA80-F14E97581702}"/>
    <cellStyle name="20% - Accent2 9 4 2 2 3" xfId="13360" xr:uid="{00000000-0005-0000-0000-0000DE0D0000}"/>
    <cellStyle name="20% - Accent2 9 4 2 2 3 2" xfId="37210" xr:uid="{7A263379-4F0A-4079-A0EA-01B79774B84C}"/>
    <cellStyle name="20% - Accent2 9 4 2 2 4" xfId="21315" xr:uid="{00000000-0005-0000-0000-0000DF0D0000}"/>
    <cellStyle name="20% - Accent2 9 4 2 2 4 2" xfId="45148" xr:uid="{75072A74-103A-4117-A385-A44FCAD957CF}"/>
    <cellStyle name="20% - Accent2 9 4 2 2 5" xfId="29269" xr:uid="{C55A29FD-76DF-4B19-AC8F-6471EB9C6355}"/>
    <cellStyle name="20% - Accent2 9 4 2 3" xfId="7168" xr:uid="{00000000-0005-0000-0000-0000E00D0000}"/>
    <cellStyle name="20% - Accent2 9 4 2 3 2" xfId="15140" xr:uid="{00000000-0005-0000-0000-0000E10D0000}"/>
    <cellStyle name="20% - Accent2 9 4 2 3 2 2" xfId="38983" xr:uid="{70125B86-4EB0-427E-AC76-56B64BF0E70F}"/>
    <cellStyle name="20% - Accent2 9 4 2 3 3" xfId="23087" xr:uid="{00000000-0005-0000-0000-0000E20D0000}"/>
    <cellStyle name="20% - Accent2 9 4 2 3 3 2" xfId="46920" xr:uid="{25CDFD88-DBF3-476F-9624-0A1EF2DBBC06}"/>
    <cellStyle name="20% - Accent2 9 4 2 3 4" xfId="31042" xr:uid="{57C3568A-7B48-45BB-9467-D0FBCFEC1E93}"/>
    <cellStyle name="20% - Accent2 9 4 2 4" xfId="11604" xr:uid="{00000000-0005-0000-0000-0000E30D0000}"/>
    <cellStyle name="20% - Accent2 9 4 2 4 2" xfId="35454" xr:uid="{B93C9C83-C198-4A75-844C-C235B1F5F945}"/>
    <cellStyle name="20% - Accent2 9 4 2 5" xfId="19559" xr:uid="{00000000-0005-0000-0000-0000E40D0000}"/>
    <cellStyle name="20% - Accent2 9 4 2 5 2" xfId="43392" xr:uid="{BA8F9FAD-680C-4975-B68C-B572CDFF693B}"/>
    <cellStyle name="20% - Accent2 9 4 2 6" xfId="27512" xr:uid="{120C81FB-57D1-48CC-B7A6-7B5450614397}"/>
    <cellStyle name="20% - Accent2 9 4 2_Exh G" xfId="2187" xr:uid="{00000000-0005-0000-0000-0000E50D0000}"/>
    <cellStyle name="20% - Accent2 9 4 3" xfId="4457" xr:uid="{00000000-0005-0000-0000-0000E60D0000}"/>
    <cellStyle name="20% - Accent2 9 4 3 2" xfId="8049" xr:uid="{00000000-0005-0000-0000-0000E70D0000}"/>
    <cellStyle name="20% - Accent2 9 4 3 2 2" xfId="16020" xr:uid="{00000000-0005-0000-0000-0000E80D0000}"/>
    <cellStyle name="20% - Accent2 9 4 3 2 2 2" xfId="39863" xr:uid="{83F603B0-5E41-458D-AC9F-5D923496F4CF}"/>
    <cellStyle name="20% - Accent2 9 4 3 2 3" xfId="23966" xr:uid="{00000000-0005-0000-0000-0000E90D0000}"/>
    <cellStyle name="20% - Accent2 9 4 3 2 3 2" xfId="47799" xr:uid="{25C87D30-0853-48A0-B447-41E1E36B5269}"/>
    <cellStyle name="20% - Accent2 9 4 3 2 4" xfId="31922" xr:uid="{2F799FAF-A571-453F-90F6-79ACB0C1B687}"/>
    <cellStyle name="20% - Accent2 9 4 3 3" xfId="12482" xr:uid="{00000000-0005-0000-0000-0000EA0D0000}"/>
    <cellStyle name="20% - Accent2 9 4 3 3 2" xfId="36332" xr:uid="{D603DBE4-318E-4D33-935E-93E2C45E4F39}"/>
    <cellStyle name="20% - Accent2 9 4 3 4" xfId="20437" xr:uid="{00000000-0005-0000-0000-0000EB0D0000}"/>
    <cellStyle name="20% - Accent2 9 4 3 4 2" xfId="44270" xr:uid="{C7E86FF8-1CA4-4AC3-907A-A419A9C3FD8E}"/>
    <cellStyle name="20% - Accent2 9 4 3 5" xfId="28391" xr:uid="{D82AB0F4-CDF5-41B2-B32D-6DFEBF8760B5}"/>
    <cellStyle name="20% - Accent2 9 4 4" xfId="6287" xr:uid="{00000000-0005-0000-0000-0000EC0D0000}"/>
    <cellStyle name="20% - Accent2 9 4 4 2" xfId="14262" xr:uid="{00000000-0005-0000-0000-0000ED0D0000}"/>
    <cellStyle name="20% - Accent2 9 4 4 2 2" xfId="38105" xr:uid="{03F6C224-40EA-4343-9A4F-13EE4603E931}"/>
    <cellStyle name="20% - Accent2 9 4 4 3" xfId="22209" xr:uid="{00000000-0005-0000-0000-0000EE0D0000}"/>
    <cellStyle name="20% - Accent2 9 4 4 3 2" xfId="46042" xr:uid="{7DCB32D5-D319-444D-A349-1A5C43BD132F}"/>
    <cellStyle name="20% - Accent2 9 4 4 4" xfId="30164" xr:uid="{32EA5D41-8AA3-4601-8841-560F2C6C3339}"/>
    <cellStyle name="20% - Accent2 9 4 5" xfId="9830" xr:uid="{00000000-0005-0000-0000-0000EF0D0000}"/>
    <cellStyle name="20% - Accent2 9 4 5 2" xfId="17788" xr:uid="{00000000-0005-0000-0000-0000F00D0000}"/>
    <cellStyle name="20% - Accent2 9 4 5 2 2" xfId="41629" xr:uid="{A4DAC697-5312-43EE-8358-E45B204ED733}"/>
    <cellStyle name="20% - Accent2 9 4 5 3" xfId="25732" xr:uid="{00000000-0005-0000-0000-0000F10D0000}"/>
    <cellStyle name="20% - Accent2 9 4 5 3 2" xfId="49565" xr:uid="{600DD84E-674A-434C-A18B-36B22212FA93}"/>
    <cellStyle name="20% - Accent2 9 4 5 4" xfId="33688" xr:uid="{839D98AC-2E8B-4553-A477-DC43795BF8B8}"/>
    <cellStyle name="20% - Accent2 9 4 6" xfId="10726" xr:uid="{00000000-0005-0000-0000-0000F20D0000}"/>
    <cellStyle name="20% - Accent2 9 4 6 2" xfId="34576" xr:uid="{3D22D6E1-63DC-476E-AE59-F21CC333A7F2}"/>
    <cellStyle name="20% - Accent2 9 4 7" xfId="18681" xr:uid="{00000000-0005-0000-0000-0000F30D0000}"/>
    <cellStyle name="20% - Accent2 9 4 7 2" xfId="42514" xr:uid="{D2D96F79-FC8F-466B-9F86-41B6C76E477E}"/>
    <cellStyle name="20% - Accent2 9 4 8" xfId="26634" xr:uid="{D37976C9-031B-48F8-AA9A-593062200256}"/>
    <cellStyle name="20% - Accent2 9 4_Exh G" xfId="2186" xr:uid="{00000000-0005-0000-0000-0000F40D0000}"/>
    <cellStyle name="20% - Accent2 9 5" xfId="1151" xr:uid="{00000000-0005-0000-0000-0000F50D0000}"/>
    <cellStyle name="20% - Accent2 9 5 2" xfId="4681" xr:uid="{00000000-0005-0000-0000-0000F60D0000}"/>
    <cellStyle name="20% - Accent2 9 5 2 2" xfId="8272" xr:uid="{00000000-0005-0000-0000-0000F70D0000}"/>
    <cellStyle name="20% - Accent2 9 5 2 2 2" xfId="16243" xr:uid="{00000000-0005-0000-0000-0000F80D0000}"/>
    <cellStyle name="20% - Accent2 9 5 2 2 2 2" xfId="40086" xr:uid="{7806A9A5-E513-41AC-B45E-2B21EEA9DC2B}"/>
    <cellStyle name="20% - Accent2 9 5 2 2 3" xfId="24189" xr:uid="{00000000-0005-0000-0000-0000F90D0000}"/>
    <cellStyle name="20% - Accent2 9 5 2 2 3 2" xfId="48022" xr:uid="{0C2E647D-E720-4D7E-B7A8-469482ACF7C2}"/>
    <cellStyle name="20% - Accent2 9 5 2 2 4" xfId="32145" xr:uid="{88308990-FB29-42F6-A35C-8D2F4EBA5C8A}"/>
    <cellStyle name="20% - Accent2 9 5 2 3" xfId="12705" xr:uid="{00000000-0005-0000-0000-0000FA0D0000}"/>
    <cellStyle name="20% - Accent2 9 5 2 3 2" xfId="36555" xr:uid="{C1F98048-A2A9-4E6D-8B85-A67E94873172}"/>
    <cellStyle name="20% - Accent2 9 5 2 4" xfId="20660" xr:uid="{00000000-0005-0000-0000-0000FB0D0000}"/>
    <cellStyle name="20% - Accent2 9 5 2 4 2" xfId="44493" xr:uid="{661C8A68-29A7-4C1C-980F-893826AFE561}"/>
    <cellStyle name="20% - Accent2 9 5 2 5" xfId="28614" xr:uid="{E8C96CA7-4C29-41FB-BF03-B8D4ECD39DD6}"/>
    <cellStyle name="20% - Accent2 9 5 3" xfId="6513" xr:uid="{00000000-0005-0000-0000-0000FC0D0000}"/>
    <cellStyle name="20% - Accent2 9 5 3 2" xfId="14485" xr:uid="{00000000-0005-0000-0000-0000FD0D0000}"/>
    <cellStyle name="20% - Accent2 9 5 3 2 2" xfId="38328" xr:uid="{79321B20-26A8-4912-A1E8-E29AC59F9113}"/>
    <cellStyle name="20% - Accent2 9 5 3 3" xfId="22432" xr:uid="{00000000-0005-0000-0000-0000FE0D0000}"/>
    <cellStyle name="20% - Accent2 9 5 3 3 2" xfId="46265" xr:uid="{981D0109-6D71-469E-A111-5F6C9FAB6529}"/>
    <cellStyle name="20% - Accent2 9 5 3 4" xfId="30387" xr:uid="{8376D341-6217-4CC8-9CF6-63982FA54F86}"/>
    <cellStyle name="20% - Accent2 9 5 4" xfId="10949" xr:uid="{00000000-0005-0000-0000-0000FF0D0000}"/>
    <cellStyle name="20% - Accent2 9 5 4 2" xfId="34799" xr:uid="{5A3B7A3B-E974-4748-890A-EDB4AE42F042}"/>
    <cellStyle name="20% - Accent2 9 5 5" xfId="18904" xr:uid="{00000000-0005-0000-0000-0000000E0000}"/>
    <cellStyle name="20% - Accent2 9 5 5 2" xfId="42737" xr:uid="{49D741F7-EEAC-4CA8-A6C6-D90E37614F81}"/>
    <cellStyle name="20% - Accent2 9 5 6" xfId="26857" xr:uid="{7474D710-DBC4-437E-A5BD-9B9ABE743CC6}"/>
    <cellStyle name="20% - Accent2 9 5_Exh G" xfId="2188" xr:uid="{00000000-0005-0000-0000-0000010E0000}"/>
    <cellStyle name="20% - Accent2 9 6" xfId="3802" xr:uid="{00000000-0005-0000-0000-0000020E0000}"/>
    <cellStyle name="20% - Accent2 9 6 2" xfId="7394" xr:uid="{00000000-0005-0000-0000-0000030E0000}"/>
    <cellStyle name="20% - Accent2 9 6 2 2" xfId="15365" xr:uid="{00000000-0005-0000-0000-0000040E0000}"/>
    <cellStyle name="20% - Accent2 9 6 2 2 2" xfId="39208" xr:uid="{FDA1A435-1A97-4A18-BBCE-D6816BA9EE23}"/>
    <cellStyle name="20% - Accent2 9 6 2 3" xfId="23311" xr:uid="{00000000-0005-0000-0000-0000050E0000}"/>
    <cellStyle name="20% - Accent2 9 6 2 3 2" xfId="47144" xr:uid="{740E78B2-62F9-4BDC-B62F-AA6AC1D33623}"/>
    <cellStyle name="20% - Accent2 9 6 2 4" xfId="31267" xr:uid="{D1D27341-6462-48EA-8C20-CF8348828A9F}"/>
    <cellStyle name="20% - Accent2 9 6 3" xfId="11827" xr:uid="{00000000-0005-0000-0000-0000060E0000}"/>
    <cellStyle name="20% - Accent2 9 6 3 2" xfId="35677" xr:uid="{FDDFD414-9489-4F56-95EE-50DBE6EC0C5E}"/>
    <cellStyle name="20% - Accent2 9 6 4" xfId="19782" xr:uid="{00000000-0005-0000-0000-0000070E0000}"/>
    <cellStyle name="20% - Accent2 9 6 4 2" xfId="43615" xr:uid="{8CB8E444-57AF-47D2-9104-095F43FD1714}"/>
    <cellStyle name="20% - Accent2 9 6 5" xfId="27736" xr:uid="{1EEF63E7-1EA4-4871-AE53-4A13C9CDCE7A}"/>
    <cellStyle name="20% - Accent2 9 7" xfId="5622" xr:uid="{00000000-0005-0000-0000-0000080E0000}"/>
    <cellStyle name="20% - Accent2 9 7 2" xfId="13606" xr:uid="{00000000-0005-0000-0000-0000090E0000}"/>
    <cellStyle name="20% - Accent2 9 7 2 2" xfId="37450" xr:uid="{02324F3C-9E86-44FD-ACD7-D54C02070FB6}"/>
    <cellStyle name="20% - Accent2 9 7 3" xfId="21554" xr:uid="{00000000-0005-0000-0000-00000A0E0000}"/>
    <cellStyle name="20% - Accent2 9 7 3 2" xfId="45387" xr:uid="{00C85549-162E-4F58-8040-46572950B9D6}"/>
    <cellStyle name="20% - Accent2 9 7 4" xfId="29509" xr:uid="{DC3EA9BD-D581-4939-939A-65F3E63A572F}"/>
    <cellStyle name="20% - Accent2 9 8" xfId="9175" xr:uid="{00000000-0005-0000-0000-00000B0E0000}"/>
    <cellStyle name="20% - Accent2 9 8 2" xfId="17133" xr:uid="{00000000-0005-0000-0000-00000C0E0000}"/>
    <cellStyle name="20% - Accent2 9 8 2 2" xfId="40974" xr:uid="{B20CFC5B-B773-49CD-BF19-7AF141165A62}"/>
    <cellStyle name="20% - Accent2 9 8 3" xfId="25077" xr:uid="{00000000-0005-0000-0000-00000D0E0000}"/>
    <cellStyle name="20% - Accent2 9 8 3 2" xfId="48910" xr:uid="{584E74C7-1999-4F35-8D3A-C55C98AFF04A}"/>
    <cellStyle name="20% - Accent2 9 8 4" xfId="33033" xr:uid="{38B3F35A-F5F5-44A0-B843-E1E69A48AC80}"/>
    <cellStyle name="20% - Accent2 9 9" xfId="10071" xr:uid="{00000000-0005-0000-0000-00000E0E0000}"/>
    <cellStyle name="20% - Accent2 9 9 2" xfId="33921" xr:uid="{D8517930-7FA2-4ED9-BA30-4ADC32819E87}"/>
    <cellStyle name="20% - Accent2 9_Exh G" xfId="2179" xr:uid="{00000000-0005-0000-0000-00000F0E0000}"/>
    <cellStyle name="20% - Accent3" xfId="49701" builtinId="38" customBuiltin="1"/>
    <cellStyle name="20% - Accent3 10" xfId="127" xr:uid="{00000000-0005-0000-0000-0000100E0000}"/>
    <cellStyle name="20% - Accent3 10 10" xfId="18030" xr:uid="{00000000-0005-0000-0000-0000110E0000}"/>
    <cellStyle name="20% - Accent3 10 10 2" xfId="41863" xr:uid="{B7EBE328-81E5-466F-8D49-6605D0B1BA71}"/>
    <cellStyle name="20% - Accent3 10 11" xfId="25983" xr:uid="{1D52A2F3-31DE-4CF3-B202-E15111EEDB45}"/>
    <cellStyle name="20% - Accent3 10 2" xfId="128" xr:uid="{00000000-0005-0000-0000-0000120E0000}"/>
    <cellStyle name="20% - Accent3 10 2 2" xfId="129" xr:uid="{00000000-0005-0000-0000-0000130E0000}"/>
    <cellStyle name="20% - Accent3 10 2 2 2" xfId="1157" xr:uid="{00000000-0005-0000-0000-0000140E0000}"/>
    <cellStyle name="20% - Accent3 10 2 2 2 2" xfId="4687" xr:uid="{00000000-0005-0000-0000-0000150E0000}"/>
    <cellStyle name="20% - Accent3 10 2 2 2 2 2" xfId="8278" xr:uid="{00000000-0005-0000-0000-0000160E0000}"/>
    <cellStyle name="20% - Accent3 10 2 2 2 2 2 2" xfId="16249" xr:uid="{00000000-0005-0000-0000-0000170E0000}"/>
    <cellStyle name="20% - Accent3 10 2 2 2 2 2 2 2" xfId="40092" xr:uid="{5D92C39E-3D8F-4429-AC7D-6BFD7CD5BEE1}"/>
    <cellStyle name="20% - Accent3 10 2 2 2 2 2 3" xfId="24195" xr:uid="{00000000-0005-0000-0000-0000180E0000}"/>
    <cellStyle name="20% - Accent3 10 2 2 2 2 2 3 2" xfId="48028" xr:uid="{A53ACEEF-87FD-482E-B040-896F31443574}"/>
    <cellStyle name="20% - Accent3 10 2 2 2 2 2 4" xfId="32151" xr:uid="{0475B26A-B346-4F18-9BD7-C2A5AE3653C8}"/>
    <cellStyle name="20% - Accent3 10 2 2 2 2 3" xfId="12711" xr:uid="{00000000-0005-0000-0000-0000190E0000}"/>
    <cellStyle name="20% - Accent3 10 2 2 2 2 3 2" xfId="36561" xr:uid="{E4C49A84-024C-436A-8E2A-5C9FC6155E0E}"/>
    <cellStyle name="20% - Accent3 10 2 2 2 2 4" xfId="20666" xr:uid="{00000000-0005-0000-0000-00001A0E0000}"/>
    <cellStyle name="20% - Accent3 10 2 2 2 2 4 2" xfId="44499" xr:uid="{1BC98692-4283-40F1-A375-0BCFE7A4A0C1}"/>
    <cellStyle name="20% - Accent3 10 2 2 2 2 5" xfId="28620" xr:uid="{F12740FE-8884-48FA-AC22-D188889C1929}"/>
    <cellStyle name="20% - Accent3 10 2 2 2 3" xfId="6519" xr:uid="{00000000-0005-0000-0000-00001B0E0000}"/>
    <cellStyle name="20% - Accent3 10 2 2 2 3 2" xfId="14491" xr:uid="{00000000-0005-0000-0000-00001C0E0000}"/>
    <cellStyle name="20% - Accent3 10 2 2 2 3 2 2" xfId="38334" xr:uid="{B8A9C665-08E8-4654-908C-769B74B8967E}"/>
    <cellStyle name="20% - Accent3 10 2 2 2 3 3" xfId="22438" xr:uid="{00000000-0005-0000-0000-00001D0E0000}"/>
    <cellStyle name="20% - Accent3 10 2 2 2 3 3 2" xfId="46271" xr:uid="{C365A8AF-B501-4E61-B1D6-354C37B29DB9}"/>
    <cellStyle name="20% - Accent3 10 2 2 2 3 4" xfId="30393" xr:uid="{B7F103E2-C58A-412D-9E91-8440FEBA1C21}"/>
    <cellStyle name="20% - Accent3 10 2 2 2 4" xfId="10955" xr:uid="{00000000-0005-0000-0000-00001E0E0000}"/>
    <cellStyle name="20% - Accent3 10 2 2 2 4 2" xfId="34805" xr:uid="{AAC0E790-C613-4EF5-9059-D0B18906615A}"/>
    <cellStyle name="20% - Accent3 10 2 2 2 5" xfId="18910" xr:uid="{00000000-0005-0000-0000-00001F0E0000}"/>
    <cellStyle name="20% - Accent3 10 2 2 2 5 2" xfId="42743" xr:uid="{480CDA6F-8CE9-4048-8FCD-0F53F9670593}"/>
    <cellStyle name="20% - Accent3 10 2 2 2 6" xfId="26863" xr:uid="{3343E50C-6FCD-4753-B6A1-5E0795AD9C1C}"/>
    <cellStyle name="20% - Accent3 10 2 2 2_Exh G" xfId="2192" xr:uid="{00000000-0005-0000-0000-0000200E0000}"/>
    <cellStyle name="20% - Accent3 10 2 2 3" xfId="3808" xr:uid="{00000000-0005-0000-0000-0000210E0000}"/>
    <cellStyle name="20% - Accent3 10 2 2 3 2" xfId="7400" xr:uid="{00000000-0005-0000-0000-0000220E0000}"/>
    <cellStyle name="20% - Accent3 10 2 2 3 2 2" xfId="15371" xr:uid="{00000000-0005-0000-0000-0000230E0000}"/>
    <cellStyle name="20% - Accent3 10 2 2 3 2 2 2" xfId="39214" xr:uid="{199B4876-7449-46EE-A83B-6BDEDC14F5DD}"/>
    <cellStyle name="20% - Accent3 10 2 2 3 2 3" xfId="23317" xr:uid="{00000000-0005-0000-0000-0000240E0000}"/>
    <cellStyle name="20% - Accent3 10 2 2 3 2 3 2" xfId="47150" xr:uid="{3427104E-4366-4732-907B-F22BE06CB9D4}"/>
    <cellStyle name="20% - Accent3 10 2 2 3 2 4" xfId="31273" xr:uid="{473290FB-EF0B-4B32-BB8C-6E256906B91C}"/>
    <cellStyle name="20% - Accent3 10 2 2 3 3" xfId="11833" xr:uid="{00000000-0005-0000-0000-0000250E0000}"/>
    <cellStyle name="20% - Accent3 10 2 2 3 3 2" xfId="35683" xr:uid="{9BDCE42F-418D-418A-AE40-F97CB5ADD992}"/>
    <cellStyle name="20% - Accent3 10 2 2 3 4" xfId="19788" xr:uid="{00000000-0005-0000-0000-0000260E0000}"/>
    <cellStyle name="20% - Accent3 10 2 2 3 4 2" xfId="43621" xr:uid="{8F637815-A938-46FE-B894-9F332EA9AF17}"/>
    <cellStyle name="20% - Accent3 10 2 2 3 5" xfId="27742" xr:uid="{C788E441-4F1E-4FE5-B1D1-2DCE8080C56A}"/>
    <cellStyle name="20% - Accent3 10 2 2 4" xfId="5628" xr:uid="{00000000-0005-0000-0000-0000270E0000}"/>
    <cellStyle name="20% - Accent3 10 2 2 4 2" xfId="13612" xr:uid="{00000000-0005-0000-0000-0000280E0000}"/>
    <cellStyle name="20% - Accent3 10 2 2 4 2 2" xfId="37456" xr:uid="{9FFF3E3F-64C2-4E9E-B8AA-304CE6941FB0}"/>
    <cellStyle name="20% - Accent3 10 2 2 4 3" xfId="21560" xr:uid="{00000000-0005-0000-0000-0000290E0000}"/>
    <cellStyle name="20% - Accent3 10 2 2 4 3 2" xfId="45393" xr:uid="{C605B754-6F3F-489E-99C0-A8933798D66F}"/>
    <cellStyle name="20% - Accent3 10 2 2 4 4" xfId="29515" xr:uid="{873278A2-AA78-4A63-858C-9A0708181BEA}"/>
    <cellStyle name="20% - Accent3 10 2 2 5" xfId="9181" xr:uid="{00000000-0005-0000-0000-00002A0E0000}"/>
    <cellStyle name="20% - Accent3 10 2 2 5 2" xfId="17139" xr:uid="{00000000-0005-0000-0000-00002B0E0000}"/>
    <cellStyle name="20% - Accent3 10 2 2 5 2 2" xfId="40980" xr:uid="{DB9221C2-C45B-4163-B258-2D498A3DBF3C}"/>
    <cellStyle name="20% - Accent3 10 2 2 5 3" xfId="25083" xr:uid="{00000000-0005-0000-0000-00002C0E0000}"/>
    <cellStyle name="20% - Accent3 10 2 2 5 3 2" xfId="48916" xr:uid="{CC80FC22-22B0-46C7-988E-A47F3C6F6807}"/>
    <cellStyle name="20% - Accent3 10 2 2 5 4" xfId="33039" xr:uid="{995A39F7-EE0E-4A17-A5CA-6DD1994CE93C}"/>
    <cellStyle name="20% - Accent3 10 2 2 6" xfId="10077" xr:uid="{00000000-0005-0000-0000-00002D0E0000}"/>
    <cellStyle name="20% - Accent3 10 2 2 6 2" xfId="33927" xr:uid="{6CD9C5C1-5AF9-4DCC-B41D-41E94700F411}"/>
    <cellStyle name="20% - Accent3 10 2 2 7" xfId="18032" xr:uid="{00000000-0005-0000-0000-00002E0E0000}"/>
    <cellStyle name="20% - Accent3 10 2 2 7 2" xfId="41865" xr:uid="{55570B46-CF76-4975-BC6B-D43D07B42439}"/>
    <cellStyle name="20% - Accent3 10 2 2 8" xfId="25985" xr:uid="{79ADE8BB-1F5B-4146-9992-2F9FCB4814EB}"/>
    <cellStyle name="20% - Accent3 10 2 2_Exh G" xfId="2191" xr:uid="{00000000-0005-0000-0000-00002F0E0000}"/>
    <cellStyle name="20% - Accent3 10 2 3" xfId="1156" xr:uid="{00000000-0005-0000-0000-0000300E0000}"/>
    <cellStyle name="20% - Accent3 10 2 3 2" xfId="4686" xr:uid="{00000000-0005-0000-0000-0000310E0000}"/>
    <cellStyle name="20% - Accent3 10 2 3 2 2" xfId="8277" xr:uid="{00000000-0005-0000-0000-0000320E0000}"/>
    <cellStyle name="20% - Accent3 10 2 3 2 2 2" xfId="16248" xr:uid="{00000000-0005-0000-0000-0000330E0000}"/>
    <cellStyle name="20% - Accent3 10 2 3 2 2 2 2" xfId="40091" xr:uid="{5C20CF58-0253-4948-84FC-8579C57F1870}"/>
    <cellStyle name="20% - Accent3 10 2 3 2 2 3" xfId="24194" xr:uid="{00000000-0005-0000-0000-0000340E0000}"/>
    <cellStyle name="20% - Accent3 10 2 3 2 2 3 2" xfId="48027" xr:uid="{E477E5CD-F0E5-4CAF-A9AB-B0C18F8B9E4E}"/>
    <cellStyle name="20% - Accent3 10 2 3 2 2 4" xfId="32150" xr:uid="{B38375DE-B0DA-4827-9765-2C75505AD8A7}"/>
    <cellStyle name="20% - Accent3 10 2 3 2 3" xfId="12710" xr:uid="{00000000-0005-0000-0000-0000350E0000}"/>
    <cellStyle name="20% - Accent3 10 2 3 2 3 2" xfId="36560" xr:uid="{E34AD436-BAFC-48C7-841B-41F4EB407535}"/>
    <cellStyle name="20% - Accent3 10 2 3 2 4" xfId="20665" xr:uid="{00000000-0005-0000-0000-0000360E0000}"/>
    <cellStyle name="20% - Accent3 10 2 3 2 4 2" xfId="44498" xr:uid="{36C3520F-B582-40DE-B5ED-A3D601835FDB}"/>
    <cellStyle name="20% - Accent3 10 2 3 2 5" xfId="28619" xr:uid="{133A4693-9E67-4FDA-BF82-C5846BFD6319}"/>
    <cellStyle name="20% - Accent3 10 2 3 3" xfId="6518" xr:uid="{00000000-0005-0000-0000-0000370E0000}"/>
    <cellStyle name="20% - Accent3 10 2 3 3 2" xfId="14490" xr:uid="{00000000-0005-0000-0000-0000380E0000}"/>
    <cellStyle name="20% - Accent3 10 2 3 3 2 2" xfId="38333" xr:uid="{0D17EE89-8C96-4BCD-88E5-4F76EB0F5C45}"/>
    <cellStyle name="20% - Accent3 10 2 3 3 3" xfId="22437" xr:uid="{00000000-0005-0000-0000-0000390E0000}"/>
    <cellStyle name="20% - Accent3 10 2 3 3 3 2" xfId="46270" xr:uid="{13036CF7-E10A-4573-9B21-2E2675CD6E71}"/>
    <cellStyle name="20% - Accent3 10 2 3 3 4" xfId="30392" xr:uid="{3C3CDD5A-A0EF-4201-9C84-FFC9947E8C7B}"/>
    <cellStyle name="20% - Accent3 10 2 3 4" xfId="10954" xr:uid="{00000000-0005-0000-0000-00003A0E0000}"/>
    <cellStyle name="20% - Accent3 10 2 3 4 2" xfId="34804" xr:uid="{B4F3B22D-5533-4267-A7C0-4FC4B5BA92C5}"/>
    <cellStyle name="20% - Accent3 10 2 3 5" xfId="18909" xr:uid="{00000000-0005-0000-0000-00003B0E0000}"/>
    <cellStyle name="20% - Accent3 10 2 3 5 2" xfId="42742" xr:uid="{F2507D79-6460-4AD2-9987-F4A35F89E8C3}"/>
    <cellStyle name="20% - Accent3 10 2 3 6" xfId="26862" xr:uid="{3A37A60C-FFC6-472E-91CB-1C69B636DF7B}"/>
    <cellStyle name="20% - Accent3 10 2 3_Exh G" xfId="2193" xr:uid="{00000000-0005-0000-0000-00003C0E0000}"/>
    <cellStyle name="20% - Accent3 10 2 4" xfId="3807" xr:uid="{00000000-0005-0000-0000-00003D0E0000}"/>
    <cellStyle name="20% - Accent3 10 2 4 2" xfId="7399" xr:uid="{00000000-0005-0000-0000-00003E0E0000}"/>
    <cellStyle name="20% - Accent3 10 2 4 2 2" xfId="15370" xr:uid="{00000000-0005-0000-0000-00003F0E0000}"/>
    <cellStyle name="20% - Accent3 10 2 4 2 2 2" xfId="39213" xr:uid="{9BEEE539-95BD-43E0-8DEB-86BE98CC9D00}"/>
    <cellStyle name="20% - Accent3 10 2 4 2 3" xfId="23316" xr:uid="{00000000-0005-0000-0000-0000400E0000}"/>
    <cellStyle name="20% - Accent3 10 2 4 2 3 2" xfId="47149" xr:uid="{85727B66-166A-4155-BF71-D7424D4A3FBC}"/>
    <cellStyle name="20% - Accent3 10 2 4 2 4" xfId="31272" xr:uid="{06425BBF-E121-4D64-8754-47F92E88777D}"/>
    <cellStyle name="20% - Accent3 10 2 4 3" xfId="11832" xr:uid="{00000000-0005-0000-0000-0000410E0000}"/>
    <cellStyle name="20% - Accent3 10 2 4 3 2" xfId="35682" xr:uid="{9622324F-CF11-464A-922D-8BEB7D21226E}"/>
    <cellStyle name="20% - Accent3 10 2 4 4" xfId="19787" xr:uid="{00000000-0005-0000-0000-0000420E0000}"/>
    <cellStyle name="20% - Accent3 10 2 4 4 2" xfId="43620" xr:uid="{3695C0EB-53B6-4A87-9C06-11C11D95CEC0}"/>
    <cellStyle name="20% - Accent3 10 2 4 5" xfId="27741" xr:uid="{CC170992-5FBB-4092-8EEB-0BD76F6B1224}"/>
    <cellStyle name="20% - Accent3 10 2 5" xfId="5627" xr:uid="{00000000-0005-0000-0000-0000430E0000}"/>
    <cellStyle name="20% - Accent3 10 2 5 2" xfId="13611" xr:uid="{00000000-0005-0000-0000-0000440E0000}"/>
    <cellStyle name="20% - Accent3 10 2 5 2 2" xfId="37455" xr:uid="{5C4D63A5-4744-494F-8EE2-31D55D13FB72}"/>
    <cellStyle name="20% - Accent3 10 2 5 3" xfId="21559" xr:uid="{00000000-0005-0000-0000-0000450E0000}"/>
    <cellStyle name="20% - Accent3 10 2 5 3 2" xfId="45392" xr:uid="{2EF88FD3-BF0E-4AA2-8D33-16AF56995FC6}"/>
    <cellStyle name="20% - Accent3 10 2 5 4" xfId="29514" xr:uid="{8C15579F-431A-4C93-A373-0A32F1CC1E85}"/>
    <cellStyle name="20% - Accent3 10 2 6" xfId="9180" xr:uid="{00000000-0005-0000-0000-0000460E0000}"/>
    <cellStyle name="20% - Accent3 10 2 6 2" xfId="17138" xr:uid="{00000000-0005-0000-0000-0000470E0000}"/>
    <cellStyle name="20% - Accent3 10 2 6 2 2" xfId="40979" xr:uid="{C2484C64-A9AB-4B33-A9A5-19C4BF89EE78}"/>
    <cellStyle name="20% - Accent3 10 2 6 3" xfId="25082" xr:uid="{00000000-0005-0000-0000-0000480E0000}"/>
    <cellStyle name="20% - Accent3 10 2 6 3 2" xfId="48915" xr:uid="{223247B2-CA2C-4E60-B1EA-2614DF4EF72D}"/>
    <cellStyle name="20% - Accent3 10 2 6 4" xfId="33038" xr:uid="{E8E44D4D-3970-490D-B646-6704968D3D2C}"/>
    <cellStyle name="20% - Accent3 10 2 7" xfId="10076" xr:uid="{00000000-0005-0000-0000-0000490E0000}"/>
    <cellStyle name="20% - Accent3 10 2 7 2" xfId="33926" xr:uid="{8CEE73CC-E94C-4E30-8A7C-94CE1878C035}"/>
    <cellStyle name="20% - Accent3 10 2 8" xfId="18031" xr:uid="{00000000-0005-0000-0000-00004A0E0000}"/>
    <cellStyle name="20% - Accent3 10 2 8 2" xfId="41864" xr:uid="{BC7CAEA2-64FF-45DF-A13A-3E4B36EB6E32}"/>
    <cellStyle name="20% - Accent3 10 2 9" xfId="25984" xr:uid="{C375759F-9744-426B-85D3-14F1BDBB6E47}"/>
    <cellStyle name="20% - Accent3 10 2_Exh G" xfId="2190" xr:uid="{00000000-0005-0000-0000-00004B0E0000}"/>
    <cellStyle name="20% - Accent3 10 3" xfId="130" xr:uid="{00000000-0005-0000-0000-00004C0E0000}"/>
    <cellStyle name="20% - Accent3 10 3 2" xfId="1158" xr:uid="{00000000-0005-0000-0000-00004D0E0000}"/>
    <cellStyle name="20% - Accent3 10 3 2 2" xfId="4688" xr:uid="{00000000-0005-0000-0000-00004E0E0000}"/>
    <cellStyle name="20% - Accent3 10 3 2 2 2" xfId="8279" xr:uid="{00000000-0005-0000-0000-00004F0E0000}"/>
    <cellStyle name="20% - Accent3 10 3 2 2 2 2" xfId="16250" xr:uid="{00000000-0005-0000-0000-0000500E0000}"/>
    <cellStyle name="20% - Accent3 10 3 2 2 2 2 2" xfId="40093" xr:uid="{8D7F4A07-7502-4F72-83E8-A0C10DD58C59}"/>
    <cellStyle name="20% - Accent3 10 3 2 2 2 3" xfId="24196" xr:uid="{00000000-0005-0000-0000-0000510E0000}"/>
    <cellStyle name="20% - Accent3 10 3 2 2 2 3 2" xfId="48029" xr:uid="{BE29FD3A-0A11-4526-91B1-25E5BF8D0C9A}"/>
    <cellStyle name="20% - Accent3 10 3 2 2 2 4" xfId="32152" xr:uid="{4CACA2C9-338F-44ED-BF6D-4D866C61E0BE}"/>
    <cellStyle name="20% - Accent3 10 3 2 2 3" xfId="12712" xr:uid="{00000000-0005-0000-0000-0000520E0000}"/>
    <cellStyle name="20% - Accent3 10 3 2 2 3 2" xfId="36562" xr:uid="{F0FBEC78-80DB-4CEA-BF2E-B5B1116895F3}"/>
    <cellStyle name="20% - Accent3 10 3 2 2 4" xfId="20667" xr:uid="{00000000-0005-0000-0000-0000530E0000}"/>
    <cellStyle name="20% - Accent3 10 3 2 2 4 2" xfId="44500" xr:uid="{EEEAF624-4EE8-411F-817C-F47B90F9E6EA}"/>
    <cellStyle name="20% - Accent3 10 3 2 2 5" xfId="28621" xr:uid="{38658BCA-F434-4ADC-AE28-A6F08B884DF1}"/>
    <cellStyle name="20% - Accent3 10 3 2 3" xfId="6520" xr:uid="{00000000-0005-0000-0000-0000540E0000}"/>
    <cellStyle name="20% - Accent3 10 3 2 3 2" xfId="14492" xr:uid="{00000000-0005-0000-0000-0000550E0000}"/>
    <cellStyle name="20% - Accent3 10 3 2 3 2 2" xfId="38335" xr:uid="{2B0D3FFD-7C2D-4D2D-8CA7-9A4DE6FF8EE8}"/>
    <cellStyle name="20% - Accent3 10 3 2 3 3" xfId="22439" xr:uid="{00000000-0005-0000-0000-0000560E0000}"/>
    <cellStyle name="20% - Accent3 10 3 2 3 3 2" xfId="46272" xr:uid="{B513305B-F7F4-41AD-9BF9-395F482235E3}"/>
    <cellStyle name="20% - Accent3 10 3 2 3 4" xfId="30394" xr:uid="{9301722C-DDDE-4B1C-BD36-83A3EE066F78}"/>
    <cellStyle name="20% - Accent3 10 3 2 4" xfId="10956" xr:uid="{00000000-0005-0000-0000-0000570E0000}"/>
    <cellStyle name="20% - Accent3 10 3 2 4 2" xfId="34806" xr:uid="{4B8DA411-0824-4502-98FC-8A82DD19E497}"/>
    <cellStyle name="20% - Accent3 10 3 2 5" xfId="18911" xr:uid="{00000000-0005-0000-0000-0000580E0000}"/>
    <cellStyle name="20% - Accent3 10 3 2 5 2" xfId="42744" xr:uid="{50BB5C2D-D9A8-4F96-B988-EBA164289794}"/>
    <cellStyle name="20% - Accent3 10 3 2 6" xfId="26864" xr:uid="{9A7E86F2-D6BC-47E2-860E-3EFAF6E79AD0}"/>
    <cellStyle name="20% - Accent3 10 3 2_Exh G" xfId="2195" xr:uid="{00000000-0005-0000-0000-0000590E0000}"/>
    <cellStyle name="20% - Accent3 10 3 3" xfId="3809" xr:uid="{00000000-0005-0000-0000-00005A0E0000}"/>
    <cellStyle name="20% - Accent3 10 3 3 2" xfId="7401" xr:uid="{00000000-0005-0000-0000-00005B0E0000}"/>
    <cellStyle name="20% - Accent3 10 3 3 2 2" xfId="15372" xr:uid="{00000000-0005-0000-0000-00005C0E0000}"/>
    <cellStyle name="20% - Accent3 10 3 3 2 2 2" xfId="39215" xr:uid="{3E20B35A-6EF2-456C-BD87-44F5F3CDE39D}"/>
    <cellStyle name="20% - Accent3 10 3 3 2 3" xfId="23318" xr:uid="{00000000-0005-0000-0000-00005D0E0000}"/>
    <cellStyle name="20% - Accent3 10 3 3 2 3 2" xfId="47151" xr:uid="{79626255-8C53-4582-881A-1060D53385B0}"/>
    <cellStyle name="20% - Accent3 10 3 3 2 4" xfId="31274" xr:uid="{7E0BFBD2-9A1D-4EB4-B131-1AE8FCF57BAE}"/>
    <cellStyle name="20% - Accent3 10 3 3 3" xfId="11834" xr:uid="{00000000-0005-0000-0000-00005E0E0000}"/>
    <cellStyle name="20% - Accent3 10 3 3 3 2" xfId="35684" xr:uid="{A440A173-C7AC-422D-A331-00433CC4200D}"/>
    <cellStyle name="20% - Accent3 10 3 3 4" xfId="19789" xr:uid="{00000000-0005-0000-0000-00005F0E0000}"/>
    <cellStyle name="20% - Accent3 10 3 3 4 2" xfId="43622" xr:uid="{B3DDE22F-E56D-4653-8BAD-38875EAA60DA}"/>
    <cellStyle name="20% - Accent3 10 3 3 5" xfId="27743" xr:uid="{34F937C3-1838-400E-B53C-208D1ADA3D78}"/>
    <cellStyle name="20% - Accent3 10 3 4" xfId="5629" xr:uid="{00000000-0005-0000-0000-0000600E0000}"/>
    <cellStyle name="20% - Accent3 10 3 4 2" xfId="13613" xr:uid="{00000000-0005-0000-0000-0000610E0000}"/>
    <cellStyle name="20% - Accent3 10 3 4 2 2" xfId="37457" xr:uid="{A8168145-B164-4649-BF3E-4B657C5BAE14}"/>
    <cellStyle name="20% - Accent3 10 3 4 3" xfId="21561" xr:uid="{00000000-0005-0000-0000-0000620E0000}"/>
    <cellStyle name="20% - Accent3 10 3 4 3 2" xfId="45394" xr:uid="{EF27572E-C240-46DF-B269-D29DE625970C}"/>
    <cellStyle name="20% - Accent3 10 3 4 4" xfId="29516" xr:uid="{7267FEB1-4F01-4F46-9569-4A4CF28C7FDF}"/>
    <cellStyle name="20% - Accent3 10 3 5" xfId="9182" xr:uid="{00000000-0005-0000-0000-0000630E0000}"/>
    <cellStyle name="20% - Accent3 10 3 5 2" xfId="17140" xr:uid="{00000000-0005-0000-0000-0000640E0000}"/>
    <cellStyle name="20% - Accent3 10 3 5 2 2" xfId="40981" xr:uid="{8D8896AE-6E00-449C-91CE-A6444554FE6A}"/>
    <cellStyle name="20% - Accent3 10 3 5 3" xfId="25084" xr:uid="{00000000-0005-0000-0000-0000650E0000}"/>
    <cellStyle name="20% - Accent3 10 3 5 3 2" xfId="48917" xr:uid="{58463BC3-68C7-4A35-9DA8-8C03D0DDF3C6}"/>
    <cellStyle name="20% - Accent3 10 3 5 4" xfId="33040" xr:uid="{38CDA251-D509-4DBC-9F50-4ECABA6B1C06}"/>
    <cellStyle name="20% - Accent3 10 3 6" xfId="10078" xr:uid="{00000000-0005-0000-0000-0000660E0000}"/>
    <cellStyle name="20% - Accent3 10 3 6 2" xfId="33928" xr:uid="{2981E06A-920E-42BC-9D2D-A393CAB71D09}"/>
    <cellStyle name="20% - Accent3 10 3 7" xfId="18033" xr:uid="{00000000-0005-0000-0000-0000670E0000}"/>
    <cellStyle name="20% - Accent3 10 3 7 2" xfId="41866" xr:uid="{66472314-EC31-4AB2-B516-9F82FC8F4136}"/>
    <cellStyle name="20% - Accent3 10 3 8" xfId="25986" xr:uid="{2BCFECC5-AA6C-4CD0-8CD2-CA93E5527A4F}"/>
    <cellStyle name="20% - Accent3 10 3_Exh G" xfId="2194" xr:uid="{00000000-0005-0000-0000-0000680E0000}"/>
    <cellStyle name="20% - Accent3 10 4" xfId="886" xr:uid="{00000000-0005-0000-0000-0000690E0000}"/>
    <cellStyle name="20% - Accent3 10 5" xfId="1155" xr:uid="{00000000-0005-0000-0000-00006A0E0000}"/>
    <cellStyle name="20% - Accent3 10 5 2" xfId="4685" xr:uid="{00000000-0005-0000-0000-00006B0E0000}"/>
    <cellStyle name="20% - Accent3 10 5 2 2" xfId="8276" xr:uid="{00000000-0005-0000-0000-00006C0E0000}"/>
    <cellStyle name="20% - Accent3 10 5 2 2 2" xfId="16247" xr:uid="{00000000-0005-0000-0000-00006D0E0000}"/>
    <cellStyle name="20% - Accent3 10 5 2 2 2 2" xfId="40090" xr:uid="{90DFC589-8AD8-48F9-8948-D198FD79757E}"/>
    <cellStyle name="20% - Accent3 10 5 2 2 3" xfId="24193" xr:uid="{00000000-0005-0000-0000-00006E0E0000}"/>
    <cellStyle name="20% - Accent3 10 5 2 2 3 2" xfId="48026" xr:uid="{F5206992-C9E7-433F-B639-F8425D6B5471}"/>
    <cellStyle name="20% - Accent3 10 5 2 2 4" xfId="32149" xr:uid="{79D964CA-1E8F-435D-A5BF-97F6BF6B625B}"/>
    <cellStyle name="20% - Accent3 10 5 2 3" xfId="12709" xr:uid="{00000000-0005-0000-0000-00006F0E0000}"/>
    <cellStyle name="20% - Accent3 10 5 2 3 2" xfId="36559" xr:uid="{15FC3E29-1091-4774-AA3D-0096B3F853E4}"/>
    <cellStyle name="20% - Accent3 10 5 2 4" xfId="20664" xr:uid="{00000000-0005-0000-0000-0000700E0000}"/>
    <cellStyle name="20% - Accent3 10 5 2 4 2" xfId="44497" xr:uid="{82FF5EF8-006E-4CF0-A1F1-3B8306742D59}"/>
    <cellStyle name="20% - Accent3 10 5 2 5" xfId="28618" xr:uid="{D1EAC9F7-EE52-403A-846E-2149C4549A3D}"/>
    <cellStyle name="20% - Accent3 10 5 3" xfId="6517" xr:uid="{00000000-0005-0000-0000-0000710E0000}"/>
    <cellStyle name="20% - Accent3 10 5 3 2" xfId="14489" xr:uid="{00000000-0005-0000-0000-0000720E0000}"/>
    <cellStyle name="20% - Accent3 10 5 3 2 2" xfId="38332" xr:uid="{D452E7A5-A953-4188-8B6E-E47849795A29}"/>
    <cellStyle name="20% - Accent3 10 5 3 3" xfId="22436" xr:uid="{00000000-0005-0000-0000-0000730E0000}"/>
    <cellStyle name="20% - Accent3 10 5 3 3 2" xfId="46269" xr:uid="{A3F97825-910D-4E77-9DF9-AEBFDD19DB75}"/>
    <cellStyle name="20% - Accent3 10 5 3 4" xfId="30391" xr:uid="{503E0C34-60EC-483D-8114-31D3A4B0ACB7}"/>
    <cellStyle name="20% - Accent3 10 5 4" xfId="10953" xr:uid="{00000000-0005-0000-0000-0000740E0000}"/>
    <cellStyle name="20% - Accent3 10 5 4 2" xfId="34803" xr:uid="{B1877F30-E410-4836-AEFB-ED818E6F0442}"/>
    <cellStyle name="20% - Accent3 10 5 5" xfId="18908" xr:uid="{00000000-0005-0000-0000-0000750E0000}"/>
    <cellStyle name="20% - Accent3 10 5 5 2" xfId="42741" xr:uid="{70E1107F-6BB3-42D2-BCDD-787BF2B933C1}"/>
    <cellStyle name="20% - Accent3 10 5 6" xfId="26861" xr:uid="{7CE2F8D9-D3E9-49A3-8604-B0AE90A8A688}"/>
    <cellStyle name="20% - Accent3 10 5_Exh G" xfId="2196" xr:uid="{00000000-0005-0000-0000-0000760E0000}"/>
    <cellStyle name="20% - Accent3 10 6" xfId="3806" xr:uid="{00000000-0005-0000-0000-0000770E0000}"/>
    <cellStyle name="20% - Accent3 10 6 2" xfId="7398" xr:uid="{00000000-0005-0000-0000-0000780E0000}"/>
    <cellStyle name="20% - Accent3 10 6 2 2" xfId="15369" xr:uid="{00000000-0005-0000-0000-0000790E0000}"/>
    <cellStyle name="20% - Accent3 10 6 2 2 2" xfId="39212" xr:uid="{FE4DA9D1-32A0-4925-BB9C-AF1038DBDBDF}"/>
    <cellStyle name="20% - Accent3 10 6 2 3" xfId="23315" xr:uid="{00000000-0005-0000-0000-00007A0E0000}"/>
    <cellStyle name="20% - Accent3 10 6 2 3 2" xfId="47148" xr:uid="{E27EB1C6-8259-4B1D-95EE-3504895C102F}"/>
    <cellStyle name="20% - Accent3 10 6 2 4" xfId="31271" xr:uid="{8845ED70-F2A9-4C51-AE4D-D91E2847F56C}"/>
    <cellStyle name="20% - Accent3 10 6 3" xfId="11831" xr:uid="{00000000-0005-0000-0000-00007B0E0000}"/>
    <cellStyle name="20% - Accent3 10 6 3 2" xfId="35681" xr:uid="{870C9DE4-041A-4A7F-B2CE-EB3BAEF556C1}"/>
    <cellStyle name="20% - Accent3 10 6 4" xfId="19786" xr:uid="{00000000-0005-0000-0000-00007C0E0000}"/>
    <cellStyle name="20% - Accent3 10 6 4 2" xfId="43619" xr:uid="{B9EBD6E9-7A2A-4F2E-BFAD-BD030A481940}"/>
    <cellStyle name="20% - Accent3 10 6 5" xfId="27740" xr:uid="{32772542-8D38-4BBA-BAC6-397F512043F1}"/>
    <cellStyle name="20% - Accent3 10 7" xfId="5626" xr:uid="{00000000-0005-0000-0000-00007D0E0000}"/>
    <cellStyle name="20% - Accent3 10 7 2" xfId="13610" xr:uid="{00000000-0005-0000-0000-00007E0E0000}"/>
    <cellStyle name="20% - Accent3 10 7 2 2" xfId="37454" xr:uid="{3D276FD5-4685-46B6-BB32-0B7A757E64BC}"/>
    <cellStyle name="20% - Accent3 10 7 3" xfId="21558" xr:uid="{00000000-0005-0000-0000-00007F0E0000}"/>
    <cellStyle name="20% - Accent3 10 7 3 2" xfId="45391" xr:uid="{6325ED19-6B0E-4089-8C50-67D12E759AA7}"/>
    <cellStyle name="20% - Accent3 10 7 4" xfId="29513" xr:uid="{1D1DD814-EDCC-4E36-B8F2-6772D61E2945}"/>
    <cellStyle name="20% - Accent3 10 8" xfId="9179" xr:uid="{00000000-0005-0000-0000-0000800E0000}"/>
    <cellStyle name="20% - Accent3 10 8 2" xfId="17137" xr:uid="{00000000-0005-0000-0000-0000810E0000}"/>
    <cellStyle name="20% - Accent3 10 8 2 2" xfId="40978" xr:uid="{3C26F5E7-2031-407F-8429-D9F21F2574AE}"/>
    <cellStyle name="20% - Accent3 10 8 3" xfId="25081" xr:uid="{00000000-0005-0000-0000-0000820E0000}"/>
    <cellStyle name="20% - Accent3 10 8 3 2" xfId="48914" xr:uid="{9914AB3F-2F2D-49FC-BB33-EABF6FF665FC}"/>
    <cellStyle name="20% - Accent3 10 8 4" xfId="33037" xr:uid="{EE56B66D-CCAF-41D9-8418-2A14C981DFDC}"/>
    <cellStyle name="20% - Accent3 10 9" xfId="10075" xr:uid="{00000000-0005-0000-0000-0000830E0000}"/>
    <cellStyle name="20% - Accent3 10 9 2" xfId="33925" xr:uid="{52053DE7-6540-49E6-A461-1365C4D07443}"/>
    <cellStyle name="20% - Accent3 10_Exh G" xfId="2189" xr:uid="{00000000-0005-0000-0000-0000840E0000}"/>
    <cellStyle name="20% - Accent3 11" xfId="131" xr:uid="{00000000-0005-0000-0000-0000850E0000}"/>
    <cellStyle name="20% - Accent3 11 10" xfId="25987" xr:uid="{DEDD596E-9FFD-472A-BF6A-2C4511DA7B1C}"/>
    <cellStyle name="20% - Accent3 11 2" xfId="132" xr:uid="{00000000-0005-0000-0000-0000860E0000}"/>
    <cellStyle name="20% - Accent3 11 2 2" xfId="133" xr:uid="{00000000-0005-0000-0000-0000870E0000}"/>
    <cellStyle name="20% - Accent3 11 2 2 2" xfId="1161" xr:uid="{00000000-0005-0000-0000-0000880E0000}"/>
    <cellStyle name="20% - Accent3 11 2 2 2 2" xfId="4691" xr:uid="{00000000-0005-0000-0000-0000890E0000}"/>
    <cellStyle name="20% - Accent3 11 2 2 2 2 2" xfId="8282" xr:uid="{00000000-0005-0000-0000-00008A0E0000}"/>
    <cellStyle name="20% - Accent3 11 2 2 2 2 2 2" xfId="16253" xr:uid="{00000000-0005-0000-0000-00008B0E0000}"/>
    <cellStyle name="20% - Accent3 11 2 2 2 2 2 2 2" xfId="40096" xr:uid="{07D891D3-D23F-47D0-9267-705453506473}"/>
    <cellStyle name="20% - Accent3 11 2 2 2 2 2 3" xfId="24199" xr:uid="{00000000-0005-0000-0000-00008C0E0000}"/>
    <cellStyle name="20% - Accent3 11 2 2 2 2 2 3 2" xfId="48032" xr:uid="{B2CEDCCE-17A9-4799-BA8A-9EFF5E1FEC44}"/>
    <cellStyle name="20% - Accent3 11 2 2 2 2 2 4" xfId="32155" xr:uid="{84E2322F-21A5-4AC2-A757-0399946182E9}"/>
    <cellStyle name="20% - Accent3 11 2 2 2 2 3" xfId="12715" xr:uid="{00000000-0005-0000-0000-00008D0E0000}"/>
    <cellStyle name="20% - Accent3 11 2 2 2 2 3 2" xfId="36565" xr:uid="{EBE2E4E5-D3C0-4ACB-A32B-7C8B2EFDC1D2}"/>
    <cellStyle name="20% - Accent3 11 2 2 2 2 4" xfId="20670" xr:uid="{00000000-0005-0000-0000-00008E0E0000}"/>
    <cellStyle name="20% - Accent3 11 2 2 2 2 4 2" xfId="44503" xr:uid="{4E432C85-A768-48D8-94B6-44D330DC5F2C}"/>
    <cellStyle name="20% - Accent3 11 2 2 2 2 5" xfId="28624" xr:uid="{BF8F2FB7-08C2-466F-945D-45C27E0A3D05}"/>
    <cellStyle name="20% - Accent3 11 2 2 2 3" xfId="6523" xr:uid="{00000000-0005-0000-0000-00008F0E0000}"/>
    <cellStyle name="20% - Accent3 11 2 2 2 3 2" xfId="14495" xr:uid="{00000000-0005-0000-0000-0000900E0000}"/>
    <cellStyle name="20% - Accent3 11 2 2 2 3 2 2" xfId="38338" xr:uid="{2738B2F5-DB6B-4461-B32D-036B22962427}"/>
    <cellStyle name="20% - Accent3 11 2 2 2 3 3" xfId="22442" xr:uid="{00000000-0005-0000-0000-0000910E0000}"/>
    <cellStyle name="20% - Accent3 11 2 2 2 3 3 2" xfId="46275" xr:uid="{D11F779B-3FD7-4B7D-8F9E-C7BBD4096A89}"/>
    <cellStyle name="20% - Accent3 11 2 2 2 3 4" xfId="30397" xr:uid="{097C023B-B34A-47E6-A23A-69EF67A0ED7A}"/>
    <cellStyle name="20% - Accent3 11 2 2 2 4" xfId="10959" xr:uid="{00000000-0005-0000-0000-0000920E0000}"/>
    <cellStyle name="20% - Accent3 11 2 2 2 4 2" xfId="34809" xr:uid="{FF435EC6-13F4-47B2-AC21-6F89117F9DCE}"/>
    <cellStyle name="20% - Accent3 11 2 2 2 5" xfId="18914" xr:uid="{00000000-0005-0000-0000-0000930E0000}"/>
    <cellStyle name="20% - Accent3 11 2 2 2 5 2" xfId="42747" xr:uid="{57C0EA3D-662A-466A-ADEF-A34022E874B6}"/>
    <cellStyle name="20% - Accent3 11 2 2 2 6" xfId="26867" xr:uid="{DAAF3C63-ECD0-42F1-9107-4CE1CEC68110}"/>
    <cellStyle name="20% - Accent3 11 2 2 2_Exh G" xfId="2200" xr:uid="{00000000-0005-0000-0000-0000940E0000}"/>
    <cellStyle name="20% - Accent3 11 2 2 3" xfId="3812" xr:uid="{00000000-0005-0000-0000-0000950E0000}"/>
    <cellStyle name="20% - Accent3 11 2 2 3 2" xfId="7404" xr:uid="{00000000-0005-0000-0000-0000960E0000}"/>
    <cellStyle name="20% - Accent3 11 2 2 3 2 2" xfId="15375" xr:uid="{00000000-0005-0000-0000-0000970E0000}"/>
    <cellStyle name="20% - Accent3 11 2 2 3 2 2 2" xfId="39218" xr:uid="{878D1CFE-91CB-42AC-A700-DACBAECFED15}"/>
    <cellStyle name="20% - Accent3 11 2 2 3 2 3" xfId="23321" xr:uid="{00000000-0005-0000-0000-0000980E0000}"/>
    <cellStyle name="20% - Accent3 11 2 2 3 2 3 2" xfId="47154" xr:uid="{8BE894F0-9698-4D84-9C1F-D82BDC7D1F2E}"/>
    <cellStyle name="20% - Accent3 11 2 2 3 2 4" xfId="31277" xr:uid="{33892D32-0A9B-476A-9481-ED05C498CC6D}"/>
    <cellStyle name="20% - Accent3 11 2 2 3 3" xfId="11837" xr:uid="{00000000-0005-0000-0000-0000990E0000}"/>
    <cellStyle name="20% - Accent3 11 2 2 3 3 2" xfId="35687" xr:uid="{7900F933-3414-4561-9E55-297F3269A8FB}"/>
    <cellStyle name="20% - Accent3 11 2 2 3 4" xfId="19792" xr:uid="{00000000-0005-0000-0000-00009A0E0000}"/>
    <cellStyle name="20% - Accent3 11 2 2 3 4 2" xfId="43625" xr:uid="{06DEC465-4342-41F4-A63B-D0A64D04487C}"/>
    <cellStyle name="20% - Accent3 11 2 2 3 5" xfId="27746" xr:uid="{10AB946A-17FA-4F36-9163-AD9E40A8D47F}"/>
    <cellStyle name="20% - Accent3 11 2 2 4" xfId="5632" xr:uid="{00000000-0005-0000-0000-00009B0E0000}"/>
    <cellStyle name="20% - Accent3 11 2 2 4 2" xfId="13616" xr:uid="{00000000-0005-0000-0000-00009C0E0000}"/>
    <cellStyle name="20% - Accent3 11 2 2 4 2 2" xfId="37460" xr:uid="{3C1969BE-D95E-4A3B-900F-F022BC8B0FE2}"/>
    <cellStyle name="20% - Accent3 11 2 2 4 3" xfId="21564" xr:uid="{00000000-0005-0000-0000-00009D0E0000}"/>
    <cellStyle name="20% - Accent3 11 2 2 4 3 2" xfId="45397" xr:uid="{62048054-1C53-4EB5-BBE5-8635E75EC0E6}"/>
    <cellStyle name="20% - Accent3 11 2 2 4 4" xfId="29519" xr:uid="{9F6502A9-C75D-427B-A706-A77658D0C87A}"/>
    <cellStyle name="20% - Accent3 11 2 2 5" xfId="9185" xr:uid="{00000000-0005-0000-0000-00009E0E0000}"/>
    <cellStyle name="20% - Accent3 11 2 2 5 2" xfId="17143" xr:uid="{00000000-0005-0000-0000-00009F0E0000}"/>
    <cellStyle name="20% - Accent3 11 2 2 5 2 2" xfId="40984" xr:uid="{880D715F-6B67-4639-A9A3-1E858F5FF5F9}"/>
    <cellStyle name="20% - Accent3 11 2 2 5 3" xfId="25087" xr:uid="{00000000-0005-0000-0000-0000A00E0000}"/>
    <cellStyle name="20% - Accent3 11 2 2 5 3 2" xfId="48920" xr:uid="{AFEE00A4-F015-4CFA-915B-9859B75C0CBD}"/>
    <cellStyle name="20% - Accent3 11 2 2 5 4" xfId="33043" xr:uid="{BC14098A-7948-443D-979E-0B24BE79CBDF}"/>
    <cellStyle name="20% - Accent3 11 2 2 6" xfId="10081" xr:uid="{00000000-0005-0000-0000-0000A10E0000}"/>
    <cellStyle name="20% - Accent3 11 2 2 6 2" xfId="33931" xr:uid="{42D9FE21-FFB8-462F-B7B9-471F384B81F9}"/>
    <cellStyle name="20% - Accent3 11 2 2 7" xfId="18036" xr:uid="{00000000-0005-0000-0000-0000A20E0000}"/>
    <cellStyle name="20% - Accent3 11 2 2 7 2" xfId="41869" xr:uid="{F206DB08-0046-4C31-8536-780E6D8DEBCF}"/>
    <cellStyle name="20% - Accent3 11 2 2 8" xfId="25989" xr:uid="{BAA19DFA-8AC0-4DA7-9CA0-C5F82E5DD704}"/>
    <cellStyle name="20% - Accent3 11 2 2_Exh G" xfId="2199" xr:uid="{00000000-0005-0000-0000-0000A30E0000}"/>
    <cellStyle name="20% - Accent3 11 2 3" xfId="1160" xr:uid="{00000000-0005-0000-0000-0000A40E0000}"/>
    <cellStyle name="20% - Accent3 11 2 3 2" xfId="4690" xr:uid="{00000000-0005-0000-0000-0000A50E0000}"/>
    <cellStyle name="20% - Accent3 11 2 3 2 2" xfId="8281" xr:uid="{00000000-0005-0000-0000-0000A60E0000}"/>
    <cellStyle name="20% - Accent3 11 2 3 2 2 2" xfId="16252" xr:uid="{00000000-0005-0000-0000-0000A70E0000}"/>
    <cellStyle name="20% - Accent3 11 2 3 2 2 2 2" xfId="40095" xr:uid="{C253D7A0-3754-4604-8CAE-006B7A3146EC}"/>
    <cellStyle name="20% - Accent3 11 2 3 2 2 3" xfId="24198" xr:uid="{00000000-0005-0000-0000-0000A80E0000}"/>
    <cellStyle name="20% - Accent3 11 2 3 2 2 3 2" xfId="48031" xr:uid="{C754788C-A48F-4DC9-963B-EB9247D8F2FF}"/>
    <cellStyle name="20% - Accent3 11 2 3 2 2 4" xfId="32154" xr:uid="{B4360445-C1D9-4AD5-B9E7-3A67866B959D}"/>
    <cellStyle name="20% - Accent3 11 2 3 2 3" xfId="12714" xr:uid="{00000000-0005-0000-0000-0000A90E0000}"/>
    <cellStyle name="20% - Accent3 11 2 3 2 3 2" xfId="36564" xr:uid="{49FE6EE6-F8A7-411C-B6FF-016C26EA6199}"/>
    <cellStyle name="20% - Accent3 11 2 3 2 4" xfId="20669" xr:uid="{00000000-0005-0000-0000-0000AA0E0000}"/>
    <cellStyle name="20% - Accent3 11 2 3 2 4 2" xfId="44502" xr:uid="{64C52458-A663-4F94-90BA-0CC6984C7AB9}"/>
    <cellStyle name="20% - Accent3 11 2 3 2 5" xfId="28623" xr:uid="{7E58E7EC-3EA2-4D1D-A872-3F6B7D62FB07}"/>
    <cellStyle name="20% - Accent3 11 2 3 3" xfId="6522" xr:uid="{00000000-0005-0000-0000-0000AB0E0000}"/>
    <cellStyle name="20% - Accent3 11 2 3 3 2" xfId="14494" xr:uid="{00000000-0005-0000-0000-0000AC0E0000}"/>
    <cellStyle name="20% - Accent3 11 2 3 3 2 2" xfId="38337" xr:uid="{71F0A7CD-4994-408A-B3FB-E8E4CF9117F5}"/>
    <cellStyle name="20% - Accent3 11 2 3 3 3" xfId="22441" xr:uid="{00000000-0005-0000-0000-0000AD0E0000}"/>
    <cellStyle name="20% - Accent3 11 2 3 3 3 2" xfId="46274" xr:uid="{D58B6ECF-82B9-4109-A922-B2205E4B48D9}"/>
    <cellStyle name="20% - Accent3 11 2 3 3 4" xfId="30396" xr:uid="{BEBA061D-F4E6-4423-A13B-6E9C28EABF9D}"/>
    <cellStyle name="20% - Accent3 11 2 3 4" xfId="10958" xr:uid="{00000000-0005-0000-0000-0000AE0E0000}"/>
    <cellStyle name="20% - Accent3 11 2 3 4 2" xfId="34808" xr:uid="{6E2FDFAB-CADE-4799-B924-3C3B518F6EDF}"/>
    <cellStyle name="20% - Accent3 11 2 3 5" xfId="18913" xr:uid="{00000000-0005-0000-0000-0000AF0E0000}"/>
    <cellStyle name="20% - Accent3 11 2 3 5 2" xfId="42746" xr:uid="{093F094E-6507-4C88-B05B-3D3B6878A8F3}"/>
    <cellStyle name="20% - Accent3 11 2 3 6" xfId="26866" xr:uid="{848576C1-D9D3-4672-A4C3-7BF1B1DC64F8}"/>
    <cellStyle name="20% - Accent3 11 2 3_Exh G" xfId="2201" xr:uid="{00000000-0005-0000-0000-0000B00E0000}"/>
    <cellStyle name="20% - Accent3 11 2 4" xfId="3811" xr:uid="{00000000-0005-0000-0000-0000B10E0000}"/>
    <cellStyle name="20% - Accent3 11 2 4 2" xfId="7403" xr:uid="{00000000-0005-0000-0000-0000B20E0000}"/>
    <cellStyle name="20% - Accent3 11 2 4 2 2" xfId="15374" xr:uid="{00000000-0005-0000-0000-0000B30E0000}"/>
    <cellStyle name="20% - Accent3 11 2 4 2 2 2" xfId="39217" xr:uid="{60164960-5CD4-4EDF-8236-EB782A9DF9D3}"/>
    <cellStyle name="20% - Accent3 11 2 4 2 3" xfId="23320" xr:uid="{00000000-0005-0000-0000-0000B40E0000}"/>
    <cellStyle name="20% - Accent3 11 2 4 2 3 2" xfId="47153" xr:uid="{F8BA81A7-F72D-4E83-9F41-E6B6D26292A7}"/>
    <cellStyle name="20% - Accent3 11 2 4 2 4" xfId="31276" xr:uid="{ADD7BB21-EE21-471F-BA5E-63B38389E2EA}"/>
    <cellStyle name="20% - Accent3 11 2 4 3" xfId="11836" xr:uid="{00000000-0005-0000-0000-0000B50E0000}"/>
    <cellStyle name="20% - Accent3 11 2 4 3 2" xfId="35686" xr:uid="{F4059E6F-B971-48B3-AE81-2CF808FA22F7}"/>
    <cellStyle name="20% - Accent3 11 2 4 4" xfId="19791" xr:uid="{00000000-0005-0000-0000-0000B60E0000}"/>
    <cellStyle name="20% - Accent3 11 2 4 4 2" xfId="43624" xr:uid="{F1FB4F8B-4866-4920-852C-542F5CF918C1}"/>
    <cellStyle name="20% - Accent3 11 2 4 5" xfId="27745" xr:uid="{5A5977B8-1E5B-4B4E-8FC6-FC291BFE68F5}"/>
    <cellStyle name="20% - Accent3 11 2 5" xfId="5631" xr:uid="{00000000-0005-0000-0000-0000B70E0000}"/>
    <cellStyle name="20% - Accent3 11 2 5 2" xfId="13615" xr:uid="{00000000-0005-0000-0000-0000B80E0000}"/>
    <cellStyle name="20% - Accent3 11 2 5 2 2" xfId="37459" xr:uid="{EC0B9A02-FA6E-4759-A13A-EED6DF70FE5A}"/>
    <cellStyle name="20% - Accent3 11 2 5 3" xfId="21563" xr:uid="{00000000-0005-0000-0000-0000B90E0000}"/>
    <cellStyle name="20% - Accent3 11 2 5 3 2" xfId="45396" xr:uid="{52C90475-209C-4F4E-BF1E-F929937D8131}"/>
    <cellStyle name="20% - Accent3 11 2 5 4" xfId="29518" xr:uid="{5A475991-E4CB-4503-9354-B05F5FB8B147}"/>
    <cellStyle name="20% - Accent3 11 2 6" xfId="9184" xr:uid="{00000000-0005-0000-0000-0000BA0E0000}"/>
    <cellStyle name="20% - Accent3 11 2 6 2" xfId="17142" xr:uid="{00000000-0005-0000-0000-0000BB0E0000}"/>
    <cellStyle name="20% - Accent3 11 2 6 2 2" xfId="40983" xr:uid="{7419C38B-8197-4AEE-85DF-25E2260AFD65}"/>
    <cellStyle name="20% - Accent3 11 2 6 3" xfId="25086" xr:uid="{00000000-0005-0000-0000-0000BC0E0000}"/>
    <cellStyle name="20% - Accent3 11 2 6 3 2" xfId="48919" xr:uid="{1AEE3D6F-7655-45F7-8CB1-BCF2EA2D57AD}"/>
    <cellStyle name="20% - Accent3 11 2 6 4" xfId="33042" xr:uid="{B2619499-47A9-40BD-9953-378C5C69A7CE}"/>
    <cellStyle name="20% - Accent3 11 2 7" xfId="10080" xr:uid="{00000000-0005-0000-0000-0000BD0E0000}"/>
    <cellStyle name="20% - Accent3 11 2 7 2" xfId="33930" xr:uid="{2C6F230D-B6D6-40C1-A3A9-88DA9FB6383C}"/>
    <cellStyle name="20% - Accent3 11 2 8" xfId="18035" xr:uid="{00000000-0005-0000-0000-0000BE0E0000}"/>
    <cellStyle name="20% - Accent3 11 2 8 2" xfId="41868" xr:uid="{72603BBE-025A-46DC-B119-2AEE5770272B}"/>
    <cellStyle name="20% - Accent3 11 2 9" xfId="25988" xr:uid="{7141A884-6FB6-4DDF-8A65-F129A5AD3250}"/>
    <cellStyle name="20% - Accent3 11 2_Exh G" xfId="2198" xr:uid="{00000000-0005-0000-0000-0000BF0E0000}"/>
    <cellStyle name="20% - Accent3 11 3" xfId="134" xr:uid="{00000000-0005-0000-0000-0000C00E0000}"/>
    <cellStyle name="20% - Accent3 11 3 2" xfId="1162" xr:uid="{00000000-0005-0000-0000-0000C10E0000}"/>
    <cellStyle name="20% - Accent3 11 3 2 2" xfId="4692" xr:uid="{00000000-0005-0000-0000-0000C20E0000}"/>
    <cellStyle name="20% - Accent3 11 3 2 2 2" xfId="8283" xr:uid="{00000000-0005-0000-0000-0000C30E0000}"/>
    <cellStyle name="20% - Accent3 11 3 2 2 2 2" xfId="16254" xr:uid="{00000000-0005-0000-0000-0000C40E0000}"/>
    <cellStyle name="20% - Accent3 11 3 2 2 2 2 2" xfId="40097" xr:uid="{3088271B-F0D0-4CD4-A348-3376C6B59B1E}"/>
    <cellStyle name="20% - Accent3 11 3 2 2 2 3" xfId="24200" xr:uid="{00000000-0005-0000-0000-0000C50E0000}"/>
    <cellStyle name="20% - Accent3 11 3 2 2 2 3 2" xfId="48033" xr:uid="{8E93E41F-A582-4A4B-87AD-3D7EA0B55455}"/>
    <cellStyle name="20% - Accent3 11 3 2 2 2 4" xfId="32156" xr:uid="{960017C3-BAAB-46D2-A63B-29003EA8D1C5}"/>
    <cellStyle name="20% - Accent3 11 3 2 2 3" xfId="12716" xr:uid="{00000000-0005-0000-0000-0000C60E0000}"/>
    <cellStyle name="20% - Accent3 11 3 2 2 3 2" xfId="36566" xr:uid="{5F05B06C-56D6-4D9A-B955-980550798F06}"/>
    <cellStyle name="20% - Accent3 11 3 2 2 4" xfId="20671" xr:uid="{00000000-0005-0000-0000-0000C70E0000}"/>
    <cellStyle name="20% - Accent3 11 3 2 2 4 2" xfId="44504" xr:uid="{FFC9EF9C-6943-4938-B64C-703B6BD9C683}"/>
    <cellStyle name="20% - Accent3 11 3 2 2 5" xfId="28625" xr:uid="{B55F2A97-D05F-478A-9DE1-7A3904A8C5F0}"/>
    <cellStyle name="20% - Accent3 11 3 2 3" xfId="6524" xr:uid="{00000000-0005-0000-0000-0000C80E0000}"/>
    <cellStyle name="20% - Accent3 11 3 2 3 2" xfId="14496" xr:uid="{00000000-0005-0000-0000-0000C90E0000}"/>
    <cellStyle name="20% - Accent3 11 3 2 3 2 2" xfId="38339" xr:uid="{1445B5E3-0EF3-4750-BAFC-C9CB425ED0AC}"/>
    <cellStyle name="20% - Accent3 11 3 2 3 3" xfId="22443" xr:uid="{00000000-0005-0000-0000-0000CA0E0000}"/>
    <cellStyle name="20% - Accent3 11 3 2 3 3 2" xfId="46276" xr:uid="{317C0771-1858-4434-9D42-6F45EBAF5322}"/>
    <cellStyle name="20% - Accent3 11 3 2 3 4" xfId="30398" xr:uid="{66800000-9586-4129-A17C-EA5B54513C83}"/>
    <cellStyle name="20% - Accent3 11 3 2 4" xfId="10960" xr:uid="{00000000-0005-0000-0000-0000CB0E0000}"/>
    <cellStyle name="20% - Accent3 11 3 2 4 2" xfId="34810" xr:uid="{FBEA62CD-488D-4B66-8DD4-CA2A4004144F}"/>
    <cellStyle name="20% - Accent3 11 3 2 5" xfId="18915" xr:uid="{00000000-0005-0000-0000-0000CC0E0000}"/>
    <cellStyle name="20% - Accent3 11 3 2 5 2" xfId="42748" xr:uid="{4E352B09-C29E-4B0D-B032-93511569F5E0}"/>
    <cellStyle name="20% - Accent3 11 3 2 6" xfId="26868" xr:uid="{4A9D680F-3024-4E78-8F2B-4F9829C4145A}"/>
    <cellStyle name="20% - Accent3 11 3 2_Exh G" xfId="2203" xr:uid="{00000000-0005-0000-0000-0000CD0E0000}"/>
    <cellStyle name="20% - Accent3 11 3 3" xfId="3813" xr:uid="{00000000-0005-0000-0000-0000CE0E0000}"/>
    <cellStyle name="20% - Accent3 11 3 3 2" xfId="7405" xr:uid="{00000000-0005-0000-0000-0000CF0E0000}"/>
    <cellStyle name="20% - Accent3 11 3 3 2 2" xfId="15376" xr:uid="{00000000-0005-0000-0000-0000D00E0000}"/>
    <cellStyle name="20% - Accent3 11 3 3 2 2 2" xfId="39219" xr:uid="{AC17FE91-7935-494D-9280-7165A53587E2}"/>
    <cellStyle name="20% - Accent3 11 3 3 2 3" xfId="23322" xr:uid="{00000000-0005-0000-0000-0000D10E0000}"/>
    <cellStyle name="20% - Accent3 11 3 3 2 3 2" xfId="47155" xr:uid="{E48F2B8C-6AA9-4F59-B214-4E10E5F56E79}"/>
    <cellStyle name="20% - Accent3 11 3 3 2 4" xfId="31278" xr:uid="{C21E6079-511B-41CC-9BAA-4EE085DDDDA7}"/>
    <cellStyle name="20% - Accent3 11 3 3 3" xfId="11838" xr:uid="{00000000-0005-0000-0000-0000D20E0000}"/>
    <cellStyle name="20% - Accent3 11 3 3 3 2" xfId="35688" xr:uid="{98B3C98A-F790-4956-98D3-7CF322A715FB}"/>
    <cellStyle name="20% - Accent3 11 3 3 4" xfId="19793" xr:uid="{00000000-0005-0000-0000-0000D30E0000}"/>
    <cellStyle name="20% - Accent3 11 3 3 4 2" xfId="43626" xr:uid="{7A78CFFB-2D0C-4D9E-8F35-1FFE009DCFE7}"/>
    <cellStyle name="20% - Accent3 11 3 3 5" xfId="27747" xr:uid="{B859855A-0A44-4E05-9D7D-7D582E6DF6C4}"/>
    <cellStyle name="20% - Accent3 11 3 4" xfId="5633" xr:uid="{00000000-0005-0000-0000-0000D40E0000}"/>
    <cellStyle name="20% - Accent3 11 3 4 2" xfId="13617" xr:uid="{00000000-0005-0000-0000-0000D50E0000}"/>
    <cellStyle name="20% - Accent3 11 3 4 2 2" xfId="37461" xr:uid="{51D643C2-5C00-44AA-9EB0-81263CD11F43}"/>
    <cellStyle name="20% - Accent3 11 3 4 3" xfId="21565" xr:uid="{00000000-0005-0000-0000-0000D60E0000}"/>
    <cellStyle name="20% - Accent3 11 3 4 3 2" xfId="45398" xr:uid="{A0CC3216-2686-4246-AAE5-E5CB08A3C2A1}"/>
    <cellStyle name="20% - Accent3 11 3 4 4" xfId="29520" xr:uid="{9CA5C75F-86E3-4287-A9E8-FD2F8397DE9F}"/>
    <cellStyle name="20% - Accent3 11 3 5" xfId="9186" xr:uid="{00000000-0005-0000-0000-0000D70E0000}"/>
    <cellStyle name="20% - Accent3 11 3 5 2" xfId="17144" xr:uid="{00000000-0005-0000-0000-0000D80E0000}"/>
    <cellStyle name="20% - Accent3 11 3 5 2 2" xfId="40985" xr:uid="{56B49C7D-E617-4D88-8C05-3B5A25BFBDFA}"/>
    <cellStyle name="20% - Accent3 11 3 5 3" xfId="25088" xr:uid="{00000000-0005-0000-0000-0000D90E0000}"/>
    <cellStyle name="20% - Accent3 11 3 5 3 2" xfId="48921" xr:uid="{9F812906-6788-444B-8C84-84971E5DAB0B}"/>
    <cellStyle name="20% - Accent3 11 3 5 4" xfId="33044" xr:uid="{B7ECBEA2-4AD8-453E-B7B4-32D991F30CCC}"/>
    <cellStyle name="20% - Accent3 11 3 6" xfId="10082" xr:uid="{00000000-0005-0000-0000-0000DA0E0000}"/>
    <cellStyle name="20% - Accent3 11 3 6 2" xfId="33932" xr:uid="{0BF8BF47-06E6-450D-AEE7-F7FC5EDC86D2}"/>
    <cellStyle name="20% - Accent3 11 3 7" xfId="18037" xr:uid="{00000000-0005-0000-0000-0000DB0E0000}"/>
    <cellStyle name="20% - Accent3 11 3 7 2" xfId="41870" xr:uid="{DD01DD44-34E4-4DF1-B99C-80045245E98B}"/>
    <cellStyle name="20% - Accent3 11 3 8" xfId="25990" xr:uid="{C87E9D1F-8F7D-4E67-8305-96CDE385FD81}"/>
    <cellStyle name="20% - Accent3 11 3_Exh G" xfId="2202" xr:uid="{00000000-0005-0000-0000-0000DC0E0000}"/>
    <cellStyle name="20% - Accent3 11 4" xfId="1159" xr:uid="{00000000-0005-0000-0000-0000DD0E0000}"/>
    <cellStyle name="20% - Accent3 11 4 2" xfId="4689" xr:uid="{00000000-0005-0000-0000-0000DE0E0000}"/>
    <cellStyle name="20% - Accent3 11 4 2 2" xfId="8280" xr:uid="{00000000-0005-0000-0000-0000DF0E0000}"/>
    <cellStyle name="20% - Accent3 11 4 2 2 2" xfId="16251" xr:uid="{00000000-0005-0000-0000-0000E00E0000}"/>
    <cellStyle name="20% - Accent3 11 4 2 2 2 2" xfId="40094" xr:uid="{02EA1351-F8D0-4A76-B1FE-51A3CB7AC525}"/>
    <cellStyle name="20% - Accent3 11 4 2 2 3" xfId="24197" xr:uid="{00000000-0005-0000-0000-0000E10E0000}"/>
    <cellStyle name="20% - Accent3 11 4 2 2 3 2" xfId="48030" xr:uid="{B1EC7C74-C315-469E-8EA5-DD92FC59625D}"/>
    <cellStyle name="20% - Accent3 11 4 2 2 4" xfId="32153" xr:uid="{7ABC91D6-E2DD-4F88-AA54-F1ED1B293EF0}"/>
    <cellStyle name="20% - Accent3 11 4 2 3" xfId="12713" xr:uid="{00000000-0005-0000-0000-0000E20E0000}"/>
    <cellStyle name="20% - Accent3 11 4 2 3 2" xfId="36563" xr:uid="{594B1BE0-EA4E-427F-883D-2C06F835B5F6}"/>
    <cellStyle name="20% - Accent3 11 4 2 4" xfId="20668" xr:uid="{00000000-0005-0000-0000-0000E30E0000}"/>
    <cellStyle name="20% - Accent3 11 4 2 4 2" xfId="44501" xr:uid="{5715CF5D-4524-4138-9CCD-C456244C4C3B}"/>
    <cellStyle name="20% - Accent3 11 4 2 5" xfId="28622" xr:uid="{02152A6A-BBAC-4177-90F2-3D3EB1818FA6}"/>
    <cellStyle name="20% - Accent3 11 4 3" xfId="6521" xr:uid="{00000000-0005-0000-0000-0000E40E0000}"/>
    <cellStyle name="20% - Accent3 11 4 3 2" xfId="14493" xr:uid="{00000000-0005-0000-0000-0000E50E0000}"/>
    <cellStyle name="20% - Accent3 11 4 3 2 2" xfId="38336" xr:uid="{FA26E868-DDF9-4DD9-9FA6-993F14CB753C}"/>
    <cellStyle name="20% - Accent3 11 4 3 3" xfId="22440" xr:uid="{00000000-0005-0000-0000-0000E60E0000}"/>
    <cellStyle name="20% - Accent3 11 4 3 3 2" xfId="46273" xr:uid="{B51C99EF-C814-44E8-A47C-B22AE7686151}"/>
    <cellStyle name="20% - Accent3 11 4 3 4" xfId="30395" xr:uid="{D870BA85-CD6D-42E8-A1A5-6C274D9A0AEB}"/>
    <cellStyle name="20% - Accent3 11 4 4" xfId="10957" xr:uid="{00000000-0005-0000-0000-0000E70E0000}"/>
    <cellStyle name="20% - Accent3 11 4 4 2" xfId="34807" xr:uid="{6927767A-CAEB-441A-A202-E4FA08F7E86A}"/>
    <cellStyle name="20% - Accent3 11 4 5" xfId="18912" xr:uid="{00000000-0005-0000-0000-0000E80E0000}"/>
    <cellStyle name="20% - Accent3 11 4 5 2" xfId="42745" xr:uid="{4FBCBB33-F6BF-471C-8C2C-6909F1D7D3A9}"/>
    <cellStyle name="20% - Accent3 11 4 6" xfId="26865" xr:uid="{1D214E6E-3C20-4878-9713-C960F6441D02}"/>
    <cellStyle name="20% - Accent3 11 4_Exh G" xfId="2204" xr:uid="{00000000-0005-0000-0000-0000E90E0000}"/>
    <cellStyle name="20% - Accent3 11 5" xfId="3810" xr:uid="{00000000-0005-0000-0000-0000EA0E0000}"/>
    <cellStyle name="20% - Accent3 11 5 2" xfId="7402" xr:uid="{00000000-0005-0000-0000-0000EB0E0000}"/>
    <cellStyle name="20% - Accent3 11 5 2 2" xfId="15373" xr:uid="{00000000-0005-0000-0000-0000EC0E0000}"/>
    <cellStyle name="20% - Accent3 11 5 2 2 2" xfId="39216" xr:uid="{7825C172-F82A-4501-BBA8-6F1C725C1FF5}"/>
    <cellStyle name="20% - Accent3 11 5 2 3" xfId="23319" xr:uid="{00000000-0005-0000-0000-0000ED0E0000}"/>
    <cellStyle name="20% - Accent3 11 5 2 3 2" xfId="47152" xr:uid="{63A97654-AB5F-4366-A7A2-23E280B384EC}"/>
    <cellStyle name="20% - Accent3 11 5 2 4" xfId="31275" xr:uid="{CF438BFE-3E7E-457F-A9D2-92E7EC237BDD}"/>
    <cellStyle name="20% - Accent3 11 5 3" xfId="11835" xr:uid="{00000000-0005-0000-0000-0000EE0E0000}"/>
    <cellStyle name="20% - Accent3 11 5 3 2" xfId="35685" xr:uid="{FF929754-E5C9-43C2-9033-B9CA29C7AD63}"/>
    <cellStyle name="20% - Accent3 11 5 4" xfId="19790" xr:uid="{00000000-0005-0000-0000-0000EF0E0000}"/>
    <cellStyle name="20% - Accent3 11 5 4 2" xfId="43623" xr:uid="{D2C8B0A4-76BC-4662-A396-B7703C05B335}"/>
    <cellStyle name="20% - Accent3 11 5 5" xfId="27744" xr:uid="{46219BF2-CCE7-4D7D-A69E-456BD6F3A76C}"/>
    <cellStyle name="20% - Accent3 11 6" xfId="5630" xr:uid="{00000000-0005-0000-0000-0000F00E0000}"/>
    <cellStyle name="20% - Accent3 11 6 2" xfId="13614" xr:uid="{00000000-0005-0000-0000-0000F10E0000}"/>
    <cellStyle name="20% - Accent3 11 6 2 2" xfId="37458" xr:uid="{81933AB6-06E0-4BFF-9003-D2D207616D87}"/>
    <cellStyle name="20% - Accent3 11 6 3" xfId="21562" xr:uid="{00000000-0005-0000-0000-0000F20E0000}"/>
    <cellStyle name="20% - Accent3 11 6 3 2" xfId="45395" xr:uid="{BB22EA99-0528-4A57-BB6C-39672FCF93EC}"/>
    <cellStyle name="20% - Accent3 11 6 4" xfId="29517" xr:uid="{563EF2A6-201B-4E00-944B-5F6E14FA4608}"/>
    <cellStyle name="20% - Accent3 11 7" xfId="9183" xr:uid="{00000000-0005-0000-0000-0000F30E0000}"/>
    <cellStyle name="20% - Accent3 11 7 2" xfId="17141" xr:uid="{00000000-0005-0000-0000-0000F40E0000}"/>
    <cellStyle name="20% - Accent3 11 7 2 2" xfId="40982" xr:uid="{3EAFFB55-6A5A-41D4-A579-59C8EBB82B50}"/>
    <cellStyle name="20% - Accent3 11 7 3" xfId="25085" xr:uid="{00000000-0005-0000-0000-0000F50E0000}"/>
    <cellStyle name="20% - Accent3 11 7 3 2" xfId="48918" xr:uid="{44A74F36-5603-458B-BA1D-EC6757FEA6C0}"/>
    <cellStyle name="20% - Accent3 11 7 4" xfId="33041" xr:uid="{CE55750C-CCE1-4A79-BB05-C8513E7F7F03}"/>
    <cellStyle name="20% - Accent3 11 8" xfId="10079" xr:uid="{00000000-0005-0000-0000-0000F60E0000}"/>
    <cellStyle name="20% - Accent3 11 8 2" xfId="33929" xr:uid="{66D7407C-671D-472F-B9A9-C37775992863}"/>
    <cellStyle name="20% - Accent3 11 9" xfId="18034" xr:uid="{00000000-0005-0000-0000-0000F70E0000}"/>
    <cellStyle name="20% - Accent3 11 9 2" xfId="41867" xr:uid="{877974FC-8FF1-4E71-8982-843397C70982}"/>
    <cellStyle name="20% - Accent3 11_Exh G" xfId="2197" xr:uid="{00000000-0005-0000-0000-0000F80E0000}"/>
    <cellStyle name="20% - Accent3 12" xfId="135" xr:uid="{00000000-0005-0000-0000-0000F90E0000}"/>
    <cellStyle name="20% - Accent3 12 10" xfId="25991" xr:uid="{96AB877A-99E6-428D-BB19-A66BCD76AFB2}"/>
    <cellStyle name="20% - Accent3 12 2" xfId="136" xr:uid="{00000000-0005-0000-0000-0000FA0E0000}"/>
    <cellStyle name="20% - Accent3 12 2 2" xfId="137" xr:uid="{00000000-0005-0000-0000-0000FB0E0000}"/>
    <cellStyle name="20% - Accent3 12 2 2 2" xfId="1165" xr:uid="{00000000-0005-0000-0000-0000FC0E0000}"/>
    <cellStyle name="20% - Accent3 12 2 2 2 2" xfId="4695" xr:uid="{00000000-0005-0000-0000-0000FD0E0000}"/>
    <cellStyle name="20% - Accent3 12 2 2 2 2 2" xfId="8286" xr:uid="{00000000-0005-0000-0000-0000FE0E0000}"/>
    <cellStyle name="20% - Accent3 12 2 2 2 2 2 2" xfId="16257" xr:uid="{00000000-0005-0000-0000-0000FF0E0000}"/>
    <cellStyle name="20% - Accent3 12 2 2 2 2 2 2 2" xfId="40100" xr:uid="{3CAF7EC9-0935-4B36-8AD9-5C8B2A23501E}"/>
    <cellStyle name="20% - Accent3 12 2 2 2 2 2 3" xfId="24203" xr:uid="{00000000-0005-0000-0000-0000000F0000}"/>
    <cellStyle name="20% - Accent3 12 2 2 2 2 2 3 2" xfId="48036" xr:uid="{A2E2392D-AF9E-4CF7-AA10-BBA84CE75838}"/>
    <cellStyle name="20% - Accent3 12 2 2 2 2 2 4" xfId="32159" xr:uid="{466DFFD8-CCDA-4D72-8C11-3C4DA3D029AB}"/>
    <cellStyle name="20% - Accent3 12 2 2 2 2 3" xfId="12719" xr:uid="{00000000-0005-0000-0000-0000010F0000}"/>
    <cellStyle name="20% - Accent3 12 2 2 2 2 3 2" xfId="36569" xr:uid="{FA29CACC-CCA1-4703-AFD5-787940AE16FA}"/>
    <cellStyle name="20% - Accent3 12 2 2 2 2 4" xfId="20674" xr:uid="{00000000-0005-0000-0000-0000020F0000}"/>
    <cellStyle name="20% - Accent3 12 2 2 2 2 4 2" xfId="44507" xr:uid="{7772DE29-266D-48C8-9E0A-C34476C1F8D6}"/>
    <cellStyle name="20% - Accent3 12 2 2 2 2 5" xfId="28628" xr:uid="{CDA5E947-6CDA-465A-87E2-1DCA772CC8C6}"/>
    <cellStyle name="20% - Accent3 12 2 2 2 3" xfId="6527" xr:uid="{00000000-0005-0000-0000-0000030F0000}"/>
    <cellStyle name="20% - Accent3 12 2 2 2 3 2" xfId="14499" xr:uid="{00000000-0005-0000-0000-0000040F0000}"/>
    <cellStyle name="20% - Accent3 12 2 2 2 3 2 2" xfId="38342" xr:uid="{F994D001-CB8E-4C6F-84AA-E2B62E378983}"/>
    <cellStyle name="20% - Accent3 12 2 2 2 3 3" xfId="22446" xr:uid="{00000000-0005-0000-0000-0000050F0000}"/>
    <cellStyle name="20% - Accent3 12 2 2 2 3 3 2" xfId="46279" xr:uid="{F65D0053-D237-42D7-8368-772D69F6D523}"/>
    <cellStyle name="20% - Accent3 12 2 2 2 3 4" xfId="30401" xr:uid="{4A6F48D5-D45B-411E-ABB0-93646917DFBD}"/>
    <cellStyle name="20% - Accent3 12 2 2 2 4" xfId="10963" xr:uid="{00000000-0005-0000-0000-0000060F0000}"/>
    <cellStyle name="20% - Accent3 12 2 2 2 4 2" xfId="34813" xr:uid="{050718E7-A085-4E27-8C2B-CADDD59BCF61}"/>
    <cellStyle name="20% - Accent3 12 2 2 2 5" xfId="18918" xr:uid="{00000000-0005-0000-0000-0000070F0000}"/>
    <cellStyle name="20% - Accent3 12 2 2 2 5 2" xfId="42751" xr:uid="{B8403056-90AB-4735-9ACB-2AFA752C1691}"/>
    <cellStyle name="20% - Accent3 12 2 2 2 6" xfId="26871" xr:uid="{3861667D-EB04-4DDD-914E-F7E67E057E34}"/>
    <cellStyle name="20% - Accent3 12 2 2 2_Exh G" xfId="2208" xr:uid="{00000000-0005-0000-0000-0000080F0000}"/>
    <cellStyle name="20% - Accent3 12 2 2 3" xfId="3816" xr:uid="{00000000-0005-0000-0000-0000090F0000}"/>
    <cellStyle name="20% - Accent3 12 2 2 3 2" xfId="7408" xr:uid="{00000000-0005-0000-0000-00000A0F0000}"/>
    <cellStyle name="20% - Accent3 12 2 2 3 2 2" xfId="15379" xr:uid="{00000000-0005-0000-0000-00000B0F0000}"/>
    <cellStyle name="20% - Accent3 12 2 2 3 2 2 2" xfId="39222" xr:uid="{887A200B-055B-4250-BC35-38B790539A2C}"/>
    <cellStyle name="20% - Accent3 12 2 2 3 2 3" xfId="23325" xr:uid="{00000000-0005-0000-0000-00000C0F0000}"/>
    <cellStyle name="20% - Accent3 12 2 2 3 2 3 2" xfId="47158" xr:uid="{DF8BB230-6287-45F3-80BA-36F8BB1784AB}"/>
    <cellStyle name="20% - Accent3 12 2 2 3 2 4" xfId="31281" xr:uid="{AD00BAB3-8EA8-4501-B980-5B5D5604F542}"/>
    <cellStyle name="20% - Accent3 12 2 2 3 3" xfId="11841" xr:uid="{00000000-0005-0000-0000-00000D0F0000}"/>
    <cellStyle name="20% - Accent3 12 2 2 3 3 2" xfId="35691" xr:uid="{9F8867FA-5D9B-413D-BAE3-DB19D66A3CAF}"/>
    <cellStyle name="20% - Accent3 12 2 2 3 4" xfId="19796" xr:uid="{00000000-0005-0000-0000-00000E0F0000}"/>
    <cellStyle name="20% - Accent3 12 2 2 3 4 2" xfId="43629" xr:uid="{2D495AEF-64CC-4102-8678-18D3DD9E1B0F}"/>
    <cellStyle name="20% - Accent3 12 2 2 3 5" xfId="27750" xr:uid="{1B2C3D28-D6D8-4E37-AE63-242CA1DA84AA}"/>
    <cellStyle name="20% - Accent3 12 2 2 4" xfId="5636" xr:uid="{00000000-0005-0000-0000-00000F0F0000}"/>
    <cellStyle name="20% - Accent3 12 2 2 4 2" xfId="13620" xr:uid="{00000000-0005-0000-0000-0000100F0000}"/>
    <cellStyle name="20% - Accent3 12 2 2 4 2 2" xfId="37464" xr:uid="{DCC55823-FEC5-418A-A539-68656A61899F}"/>
    <cellStyle name="20% - Accent3 12 2 2 4 3" xfId="21568" xr:uid="{00000000-0005-0000-0000-0000110F0000}"/>
    <cellStyle name="20% - Accent3 12 2 2 4 3 2" xfId="45401" xr:uid="{4AA917FC-1FBC-4102-8A89-0A64232E57DE}"/>
    <cellStyle name="20% - Accent3 12 2 2 4 4" xfId="29523" xr:uid="{B5C8827F-6412-4733-A1AD-33BCEC96C734}"/>
    <cellStyle name="20% - Accent3 12 2 2 5" xfId="9189" xr:uid="{00000000-0005-0000-0000-0000120F0000}"/>
    <cellStyle name="20% - Accent3 12 2 2 5 2" xfId="17147" xr:uid="{00000000-0005-0000-0000-0000130F0000}"/>
    <cellStyle name="20% - Accent3 12 2 2 5 2 2" xfId="40988" xr:uid="{5675DF44-4E59-4327-9342-5DC745EF174D}"/>
    <cellStyle name="20% - Accent3 12 2 2 5 3" xfId="25091" xr:uid="{00000000-0005-0000-0000-0000140F0000}"/>
    <cellStyle name="20% - Accent3 12 2 2 5 3 2" xfId="48924" xr:uid="{3DAE673D-B760-4037-A9CE-B41D7E86802A}"/>
    <cellStyle name="20% - Accent3 12 2 2 5 4" xfId="33047" xr:uid="{BA02927B-A1FA-4190-B80B-E12796A872B3}"/>
    <cellStyle name="20% - Accent3 12 2 2 6" xfId="10085" xr:uid="{00000000-0005-0000-0000-0000150F0000}"/>
    <cellStyle name="20% - Accent3 12 2 2 6 2" xfId="33935" xr:uid="{572CBD7A-983B-4E76-ABDF-C9A80D3A30D7}"/>
    <cellStyle name="20% - Accent3 12 2 2 7" xfId="18040" xr:uid="{00000000-0005-0000-0000-0000160F0000}"/>
    <cellStyle name="20% - Accent3 12 2 2 7 2" xfId="41873" xr:uid="{790E1F3F-E19D-49D6-ABD4-79E954780090}"/>
    <cellStyle name="20% - Accent3 12 2 2 8" xfId="25993" xr:uid="{DC35636C-057D-4AC4-8BA3-B8D11C55E7AC}"/>
    <cellStyle name="20% - Accent3 12 2 2_Exh G" xfId="2207" xr:uid="{00000000-0005-0000-0000-0000170F0000}"/>
    <cellStyle name="20% - Accent3 12 2 3" xfId="1164" xr:uid="{00000000-0005-0000-0000-0000180F0000}"/>
    <cellStyle name="20% - Accent3 12 2 3 2" xfId="4694" xr:uid="{00000000-0005-0000-0000-0000190F0000}"/>
    <cellStyle name="20% - Accent3 12 2 3 2 2" xfId="8285" xr:uid="{00000000-0005-0000-0000-00001A0F0000}"/>
    <cellStyle name="20% - Accent3 12 2 3 2 2 2" xfId="16256" xr:uid="{00000000-0005-0000-0000-00001B0F0000}"/>
    <cellStyle name="20% - Accent3 12 2 3 2 2 2 2" xfId="40099" xr:uid="{52FCBF32-E703-4268-8993-706CF5A297B3}"/>
    <cellStyle name="20% - Accent3 12 2 3 2 2 3" xfId="24202" xr:uid="{00000000-0005-0000-0000-00001C0F0000}"/>
    <cellStyle name="20% - Accent3 12 2 3 2 2 3 2" xfId="48035" xr:uid="{FB9256F9-4B90-4445-B6F2-7540D50EDBF1}"/>
    <cellStyle name="20% - Accent3 12 2 3 2 2 4" xfId="32158" xr:uid="{380A0907-EF34-4F13-8616-46D250647B2E}"/>
    <cellStyle name="20% - Accent3 12 2 3 2 3" xfId="12718" xr:uid="{00000000-0005-0000-0000-00001D0F0000}"/>
    <cellStyle name="20% - Accent3 12 2 3 2 3 2" xfId="36568" xr:uid="{67F022E3-255E-4994-9056-3BD60058E8B4}"/>
    <cellStyle name="20% - Accent3 12 2 3 2 4" xfId="20673" xr:uid="{00000000-0005-0000-0000-00001E0F0000}"/>
    <cellStyle name="20% - Accent3 12 2 3 2 4 2" xfId="44506" xr:uid="{F87255DC-04BE-4B7A-B2AB-C55C5EEC1F3B}"/>
    <cellStyle name="20% - Accent3 12 2 3 2 5" xfId="28627" xr:uid="{F6EB4843-0577-4FAA-8421-9AEAC61D9F28}"/>
    <cellStyle name="20% - Accent3 12 2 3 3" xfId="6526" xr:uid="{00000000-0005-0000-0000-00001F0F0000}"/>
    <cellStyle name="20% - Accent3 12 2 3 3 2" xfId="14498" xr:uid="{00000000-0005-0000-0000-0000200F0000}"/>
    <cellStyle name="20% - Accent3 12 2 3 3 2 2" xfId="38341" xr:uid="{5AB9A405-019C-4149-A9B3-4315FEF904DE}"/>
    <cellStyle name="20% - Accent3 12 2 3 3 3" xfId="22445" xr:uid="{00000000-0005-0000-0000-0000210F0000}"/>
    <cellStyle name="20% - Accent3 12 2 3 3 3 2" xfId="46278" xr:uid="{F322A7D5-824F-4509-8BB2-220080FFE85D}"/>
    <cellStyle name="20% - Accent3 12 2 3 3 4" xfId="30400" xr:uid="{88A306E9-E921-48C5-A962-D775E607C84D}"/>
    <cellStyle name="20% - Accent3 12 2 3 4" xfId="10962" xr:uid="{00000000-0005-0000-0000-0000220F0000}"/>
    <cellStyle name="20% - Accent3 12 2 3 4 2" xfId="34812" xr:uid="{334978EC-0A9C-4EFE-9B2D-05885A610259}"/>
    <cellStyle name="20% - Accent3 12 2 3 5" xfId="18917" xr:uid="{00000000-0005-0000-0000-0000230F0000}"/>
    <cellStyle name="20% - Accent3 12 2 3 5 2" xfId="42750" xr:uid="{62439268-F587-4593-8405-F4679B33A416}"/>
    <cellStyle name="20% - Accent3 12 2 3 6" xfId="26870" xr:uid="{57658744-9448-4CCC-9019-95771F48C87E}"/>
    <cellStyle name="20% - Accent3 12 2 3_Exh G" xfId="2209" xr:uid="{00000000-0005-0000-0000-0000240F0000}"/>
    <cellStyle name="20% - Accent3 12 2 4" xfId="3815" xr:uid="{00000000-0005-0000-0000-0000250F0000}"/>
    <cellStyle name="20% - Accent3 12 2 4 2" xfId="7407" xr:uid="{00000000-0005-0000-0000-0000260F0000}"/>
    <cellStyle name="20% - Accent3 12 2 4 2 2" xfId="15378" xr:uid="{00000000-0005-0000-0000-0000270F0000}"/>
    <cellStyle name="20% - Accent3 12 2 4 2 2 2" xfId="39221" xr:uid="{367F23E7-9485-454E-9673-3A04824C687C}"/>
    <cellStyle name="20% - Accent3 12 2 4 2 3" xfId="23324" xr:uid="{00000000-0005-0000-0000-0000280F0000}"/>
    <cellStyle name="20% - Accent3 12 2 4 2 3 2" xfId="47157" xr:uid="{7AFBE97B-5A72-4954-B62C-269F42288F96}"/>
    <cellStyle name="20% - Accent3 12 2 4 2 4" xfId="31280" xr:uid="{6C3EEF5C-9654-406B-8310-30A5AAD2132C}"/>
    <cellStyle name="20% - Accent3 12 2 4 3" xfId="11840" xr:uid="{00000000-0005-0000-0000-0000290F0000}"/>
    <cellStyle name="20% - Accent3 12 2 4 3 2" xfId="35690" xr:uid="{CEED7063-326F-485E-8152-0DFF1B257081}"/>
    <cellStyle name="20% - Accent3 12 2 4 4" xfId="19795" xr:uid="{00000000-0005-0000-0000-00002A0F0000}"/>
    <cellStyle name="20% - Accent3 12 2 4 4 2" xfId="43628" xr:uid="{520BB110-805C-455D-A7FE-421CEEEA819A}"/>
    <cellStyle name="20% - Accent3 12 2 4 5" xfId="27749" xr:uid="{0ED1A3EA-09D7-448C-8360-F9C92C29F178}"/>
    <cellStyle name="20% - Accent3 12 2 5" xfId="5635" xr:uid="{00000000-0005-0000-0000-00002B0F0000}"/>
    <cellStyle name="20% - Accent3 12 2 5 2" xfId="13619" xr:uid="{00000000-0005-0000-0000-00002C0F0000}"/>
    <cellStyle name="20% - Accent3 12 2 5 2 2" xfId="37463" xr:uid="{D0BDB96D-AD52-4541-8833-0F41A592A75E}"/>
    <cellStyle name="20% - Accent3 12 2 5 3" xfId="21567" xr:uid="{00000000-0005-0000-0000-00002D0F0000}"/>
    <cellStyle name="20% - Accent3 12 2 5 3 2" xfId="45400" xr:uid="{63592970-4E6D-432A-8D82-8B17DE11FF89}"/>
    <cellStyle name="20% - Accent3 12 2 5 4" xfId="29522" xr:uid="{F65DC496-FE1B-4609-89F6-F4F4F8BB8E64}"/>
    <cellStyle name="20% - Accent3 12 2 6" xfId="9188" xr:uid="{00000000-0005-0000-0000-00002E0F0000}"/>
    <cellStyle name="20% - Accent3 12 2 6 2" xfId="17146" xr:uid="{00000000-0005-0000-0000-00002F0F0000}"/>
    <cellStyle name="20% - Accent3 12 2 6 2 2" xfId="40987" xr:uid="{543D6A01-9D30-43C2-B7CC-194E83621123}"/>
    <cellStyle name="20% - Accent3 12 2 6 3" xfId="25090" xr:uid="{00000000-0005-0000-0000-0000300F0000}"/>
    <cellStyle name="20% - Accent3 12 2 6 3 2" xfId="48923" xr:uid="{F0455BF2-B9E1-4D59-9ADF-D9D8EB6571A6}"/>
    <cellStyle name="20% - Accent3 12 2 6 4" xfId="33046" xr:uid="{A8651F58-2CC9-42E8-A4E3-1D9052F47F0B}"/>
    <cellStyle name="20% - Accent3 12 2 7" xfId="10084" xr:uid="{00000000-0005-0000-0000-0000310F0000}"/>
    <cellStyle name="20% - Accent3 12 2 7 2" xfId="33934" xr:uid="{D6F2A34C-ED85-4315-B182-A8FA4707389F}"/>
    <cellStyle name="20% - Accent3 12 2 8" xfId="18039" xr:uid="{00000000-0005-0000-0000-0000320F0000}"/>
    <cellStyle name="20% - Accent3 12 2 8 2" xfId="41872" xr:uid="{79DAFD42-E76F-4E51-B000-C9505B9191B4}"/>
    <cellStyle name="20% - Accent3 12 2 9" xfId="25992" xr:uid="{C0B00D61-9F80-4254-8CDF-18688D698C12}"/>
    <cellStyle name="20% - Accent3 12 2_Exh G" xfId="2206" xr:uid="{00000000-0005-0000-0000-0000330F0000}"/>
    <cellStyle name="20% - Accent3 12 3" xfId="138" xr:uid="{00000000-0005-0000-0000-0000340F0000}"/>
    <cellStyle name="20% - Accent3 12 3 2" xfId="1166" xr:uid="{00000000-0005-0000-0000-0000350F0000}"/>
    <cellStyle name="20% - Accent3 12 3 2 2" xfId="4696" xr:uid="{00000000-0005-0000-0000-0000360F0000}"/>
    <cellStyle name="20% - Accent3 12 3 2 2 2" xfId="8287" xr:uid="{00000000-0005-0000-0000-0000370F0000}"/>
    <cellStyle name="20% - Accent3 12 3 2 2 2 2" xfId="16258" xr:uid="{00000000-0005-0000-0000-0000380F0000}"/>
    <cellStyle name="20% - Accent3 12 3 2 2 2 2 2" xfId="40101" xr:uid="{E0720EA9-DD20-46FB-AD6F-5B8C66D60E46}"/>
    <cellStyle name="20% - Accent3 12 3 2 2 2 3" xfId="24204" xr:uid="{00000000-0005-0000-0000-0000390F0000}"/>
    <cellStyle name="20% - Accent3 12 3 2 2 2 3 2" xfId="48037" xr:uid="{D05341E7-E23C-4685-AB60-9A924DFBF796}"/>
    <cellStyle name="20% - Accent3 12 3 2 2 2 4" xfId="32160" xr:uid="{B6A095B7-82BC-4738-9468-DCFF955978CC}"/>
    <cellStyle name="20% - Accent3 12 3 2 2 3" xfId="12720" xr:uid="{00000000-0005-0000-0000-00003A0F0000}"/>
    <cellStyle name="20% - Accent3 12 3 2 2 3 2" xfId="36570" xr:uid="{C8F06757-AEBE-4216-BCB0-DD0A4B31E6D2}"/>
    <cellStyle name="20% - Accent3 12 3 2 2 4" xfId="20675" xr:uid="{00000000-0005-0000-0000-00003B0F0000}"/>
    <cellStyle name="20% - Accent3 12 3 2 2 4 2" xfId="44508" xr:uid="{7DCE7469-95C6-4F32-ABD6-B0B1D50356B7}"/>
    <cellStyle name="20% - Accent3 12 3 2 2 5" xfId="28629" xr:uid="{C6707751-BFF4-4544-A4E4-6D47E7E28B8A}"/>
    <cellStyle name="20% - Accent3 12 3 2 3" xfId="6528" xr:uid="{00000000-0005-0000-0000-00003C0F0000}"/>
    <cellStyle name="20% - Accent3 12 3 2 3 2" xfId="14500" xr:uid="{00000000-0005-0000-0000-00003D0F0000}"/>
    <cellStyle name="20% - Accent3 12 3 2 3 2 2" xfId="38343" xr:uid="{A4665754-16F5-48C0-B59D-08B7CCB41700}"/>
    <cellStyle name="20% - Accent3 12 3 2 3 3" xfId="22447" xr:uid="{00000000-0005-0000-0000-00003E0F0000}"/>
    <cellStyle name="20% - Accent3 12 3 2 3 3 2" xfId="46280" xr:uid="{E2795DB1-040E-4F73-AF7D-0E69B07B217F}"/>
    <cellStyle name="20% - Accent3 12 3 2 3 4" xfId="30402" xr:uid="{528C10F6-963E-4AAB-863C-9A4949DDC348}"/>
    <cellStyle name="20% - Accent3 12 3 2 4" xfId="10964" xr:uid="{00000000-0005-0000-0000-00003F0F0000}"/>
    <cellStyle name="20% - Accent3 12 3 2 4 2" xfId="34814" xr:uid="{5C003975-9D52-4550-BF18-1E259BF597DA}"/>
    <cellStyle name="20% - Accent3 12 3 2 5" xfId="18919" xr:uid="{00000000-0005-0000-0000-0000400F0000}"/>
    <cellStyle name="20% - Accent3 12 3 2 5 2" xfId="42752" xr:uid="{4B1CD3BF-6FEC-402A-8ED4-47BFD5B0EADD}"/>
    <cellStyle name="20% - Accent3 12 3 2 6" xfId="26872" xr:uid="{8D7D02B0-AA15-476F-A89C-FCDB865E3D73}"/>
    <cellStyle name="20% - Accent3 12 3 2_Exh G" xfId="2211" xr:uid="{00000000-0005-0000-0000-0000410F0000}"/>
    <cellStyle name="20% - Accent3 12 3 3" xfId="3817" xr:uid="{00000000-0005-0000-0000-0000420F0000}"/>
    <cellStyle name="20% - Accent3 12 3 3 2" xfId="7409" xr:uid="{00000000-0005-0000-0000-0000430F0000}"/>
    <cellStyle name="20% - Accent3 12 3 3 2 2" xfId="15380" xr:uid="{00000000-0005-0000-0000-0000440F0000}"/>
    <cellStyle name="20% - Accent3 12 3 3 2 2 2" xfId="39223" xr:uid="{DCBC72A5-8BBD-41DB-A710-175E11E4247E}"/>
    <cellStyle name="20% - Accent3 12 3 3 2 3" xfId="23326" xr:uid="{00000000-0005-0000-0000-0000450F0000}"/>
    <cellStyle name="20% - Accent3 12 3 3 2 3 2" xfId="47159" xr:uid="{33B80BD8-B391-4D4F-85F0-DD6E8777979E}"/>
    <cellStyle name="20% - Accent3 12 3 3 2 4" xfId="31282" xr:uid="{C81F3534-2038-42DA-870E-D037FE013F9D}"/>
    <cellStyle name="20% - Accent3 12 3 3 3" xfId="11842" xr:uid="{00000000-0005-0000-0000-0000460F0000}"/>
    <cellStyle name="20% - Accent3 12 3 3 3 2" xfId="35692" xr:uid="{6A1BC841-2E8F-4A9F-A6DB-D71712A40DD3}"/>
    <cellStyle name="20% - Accent3 12 3 3 4" xfId="19797" xr:uid="{00000000-0005-0000-0000-0000470F0000}"/>
    <cellStyle name="20% - Accent3 12 3 3 4 2" xfId="43630" xr:uid="{3886621F-9722-4260-B9D3-E91D061C5FBD}"/>
    <cellStyle name="20% - Accent3 12 3 3 5" xfId="27751" xr:uid="{1C431D04-5DCB-488A-8316-E91030778451}"/>
    <cellStyle name="20% - Accent3 12 3 4" xfId="5637" xr:uid="{00000000-0005-0000-0000-0000480F0000}"/>
    <cellStyle name="20% - Accent3 12 3 4 2" xfId="13621" xr:uid="{00000000-0005-0000-0000-0000490F0000}"/>
    <cellStyle name="20% - Accent3 12 3 4 2 2" xfId="37465" xr:uid="{C7D9049F-ADEA-4A75-AD72-47268D417888}"/>
    <cellStyle name="20% - Accent3 12 3 4 3" xfId="21569" xr:uid="{00000000-0005-0000-0000-00004A0F0000}"/>
    <cellStyle name="20% - Accent3 12 3 4 3 2" xfId="45402" xr:uid="{05EA433F-260E-490B-A321-851A13371D83}"/>
    <cellStyle name="20% - Accent3 12 3 4 4" xfId="29524" xr:uid="{BE8F238C-64F1-4631-9AA1-BAFBA46F8D78}"/>
    <cellStyle name="20% - Accent3 12 3 5" xfId="9190" xr:uid="{00000000-0005-0000-0000-00004B0F0000}"/>
    <cellStyle name="20% - Accent3 12 3 5 2" xfId="17148" xr:uid="{00000000-0005-0000-0000-00004C0F0000}"/>
    <cellStyle name="20% - Accent3 12 3 5 2 2" xfId="40989" xr:uid="{E2C1ED24-C3BB-45C7-8D5D-2012682A0ACF}"/>
    <cellStyle name="20% - Accent3 12 3 5 3" xfId="25092" xr:uid="{00000000-0005-0000-0000-00004D0F0000}"/>
    <cellStyle name="20% - Accent3 12 3 5 3 2" xfId="48925" xr:uid="{F332D264-515B-400A-B07F-59AA26A35312}"/>
    <cellStyle name="20% - Accent3 12 3 5 4" xfId="33048" xr:uid="{A53C850D-B6DE-4E3E-9162-CC1BBA5D2DC0}"/>
    <cellStyle name="20% - Accent3 12 3 6" xfId="10086" xr:uid="{00000000-0005-0000-0000-00004E0F0000}"/>
    <cellStyle name="20% - Accent3 12 3 6 2" xfId="33936" xr:uid="{6B44CE81-CB50-486E-9692-F5A6F149C2C4}"/>
    <cellStyle name="20% - Accent3 12 3 7" xfId="18041" xr:uid="{00000000-0005-0000-0000-00004F0F0000}"/>
    <cellStyle name="20% - Accent3 12 3 7 2" xfId="41874" xr:uid="{E9574ED3-1830-4ABB-BF53-C77491511686}"/>
    <cellStyle name="20% - Accent3 12 3 8" xfId="25994" xr:uid="{E94EE6CC-7FCD-4764-8ED4-0588154C86EA}"/>
    <cellStyle name="20% - Accent3 12 3_Exh G" xfId="2210" xr:uid="{00000000-0005-0000-0000-0000500F0000}"/>
    <cellStyle name="20% - Accent3 12 4" xfId="1163" xr:uid="{00000000-0005-0000-0000-0000510F0000}"/>
    <cellStyle name="20% - Accent3 12 4 2" xfId="4693" xr:uid="{00000000-0005-0000-0000-0000520F0000}"/>
    <cellStyle name="20% - Accent3 12 4 2 2" xfId="8284" xr:uid="{00000000-0005-0000-0000-0000530F0000}"/>
    <cellStyle name="20% - Accent3 12 4 2 2 2" xfId="16255" xr:uid="{00000000-0005-0000-0000-0000540F0000}"/>
    <cellStyle name="20% - Accent3 12 4 2 2 2 2" xfId="40098" xr:uid="{67E06420-51FB-460B-B449-4811BB159CAC}"/>
    <cellStyle name="20% - Accent3 12 4 2 2 3" xfId="24201" xr:uid="{00000000-0005-0000-0000-0000550F0000}"/>
    <cellStyle name="20% - Accent3 12 4 2 2 3 2" xfId="48034" xr:uid="{62982C59-90D1-4DCB-B34D-B627F76A076B}"/>
    <cellStyle name="20% - Accent3 12 4 2 2 4" xfId="32157" xr:uid="{D37ABB03-0E8B-46F1-9A01-F39A981F6D65}"/>
    <cellStyle name="20% - Accent3 12 4 2 3" xfId="12717" xr:uid="{00000000-0005-0000-0000-0000560F0000}"/>
    <cellStyle name="20% - Accent3 12 4 2 3 2" xfId="36567" xr:uid="{6FBE3A7D-F9E9-4896-9BD8-28D106496F1B}"/>
    <cellStyle name="20% - Accent3 12 4 2 4" xfId="20672" xr:uid="{00000000-0005-0000-0000-0000570F0000}"/>
    <cellStyle name="20% - Accent3 12 4 2 4 2" xfId="44505" xr:uid="{14C0D255-3347-4DF1-BAA3-B802AF5A9CD1}"/>
    <cellStyle name="20% - Accent3 12 4 2 5" xfId="28626" xr:uid="{D2D48C71-3A2C-4D22-9B20-9F8458EC7D2D}"/>
    <cellStyle name="20% - Accent3 12 4 3" xfId="6525" xr:uid="{00000000-0005-0000-0000-0000580F0000}"/>
    <cellStyle name="20% - Accent3 12 4 3 2" xfId="14497" xr:uid="{00000000-0005-0000-0000-0000590F0000}"/>
    <cellStyle name="20% - Accent3 12 4 3 2 2" xfId="38340" xr:uid="{4A6F547D-F87A-4115-A19C-C4778BD04F3D}"/>
    <cellStyle name="20% - Accent3 12 4 3 3" xfId="22444" xr:uid="{00000000-0005-0000-0000-00005A0F0000}"/>
    <cellStyle name="20% - Accent3 12 4 3 3 2" xfId="46277" xr:uid="{067FBB1A-C89E-42F4-B453-DA8951F973DC}"/>
    <cellStyle name="20% - Accent3 12 4 3 4" xfId="30399" xr:uid="{5EE017A8-1350-4E0A-A982-4B917F062CD3}"/>
    <cellStyle name="20% - Accent3 12 4 4" xfId="10961" xr:uid="{00000000-0005-0000-0000-00005B0F0000}"/>
    <cellStyle name="20% - Accent3 12 4 4 2" xfId="34811" xr:uid="{9B9CD402-DAB2-41E0-9B67-2D439DBD6E1C}"/>
    <cellStyle name="20% - Accent3 12 4 5" xfId="18916" xr:uid="{00000000-0005-0000-0000-00005C0F0000}"/>
    <cellStyle name="20% - Accent3 12 4 5 2" xfId="42749" xr:uid="{3F246B3A-D1DA-4A8B-AAA5-831BCAD602C3}"/>
    <cellStyle name="20% - Accent3 12 4 6" xfId="26869" xr:uid="{D5AB9024-E8B8-471D-AF81-B7F6961E97CE}"/>
    <cellStyle name="20% - Accent3 12 4_Exh G" xfId="2212" xr:uid="{00000000-0005-0000-0000-00005D0F0000}"/>
    <cellStyle name="20% - Accent3 12 5" xfId="3814" xr:uid="{00000000-0005-0000-0000-00005E0F0000}"/>
    <cellStyle name="20% - Accent3 12 5 2" xfId="7406" xr:uid="{00000000-0005-0000-0000-00005F0F0000}"/>
    <cellStyle name="20% - Accent3 12 5 2 2" xfId="15377" xr:uid="{00000000-0005-0000-0000-0000600F0000}"/>
    <cellStyle name="20% - Accent3 12 5 2 2 2" xfId="39220" xr:uid="{FE0E3E3A-F0E5-4C53-BE19-54E67B701F91}"/>
    <cellStyle name="20% - Accent3 12 5 2 3" xfId="23323" xr:uid="{00000000-0005-0000-0000-0000610F0000}"/>
    <cellStyle name="20% - Accent3 12 5 2 3 2" xfId="47156" xr:uid="{C27B4DD0-7B52-4AFC-816A-B4A618E8207D}"/>
    <cellStyle name="20% - Accent3 12 5 2 4" xfId="31279" xr:uid="{F6004FCD-1DAC-4B6C-A3B6-8C4C8CD6A07D}"/>
    <cellStyle name="20% - Accent3 12 5 3" xfId="11839" xr:uid="{00000000-0005-0000-0000-0000620F0000}"/>
    <cellStyle name="20% - Accent3 12 5 3 2" xfId="35689" xr:uid="{31825A7B-D512-4755-8575-3636F35278BC}"/>
    <cellStyle name="20% - Accent3 12 5 4" xfId="19794" xr:uid="{00000000-0005-0000-0000-0000630F0000}"/>
    <cellStyle name="20% - Accent3 12 5 4 2" xfId="43627" xr:uid="{DA1F457D-4B92-4578-A002-A106419A4075}"/>
    <cellStyle name="20% - Accent3 12 5 5" xfId="27748" xr:uid="{378E93D8-C350-4F97-8563-7AFFFD5A35B4}"/>
    <cellStyle name="20% - Accent3 12 6" xfId="5634" xr:uid="{00000000-0005-0000-0000-0000640F0000}"/>
    <cellStyle name="20% - Accent3 12 6 2" xfId="13618" xr:uid="{00000000-0005-0000-0000-0000650F0000}"/>
    <cellStyle name="20% - Accent3 12 6 2 2" xfId="37462" xr:uid="{B461DAD9-B7DE-4B2F-9EC8-870C6E0FB366}"/>
    <cellStyle name="20% - Accent3 12 6 3" xfId="21566" xr:uid="{00000000-0005-0000-0000-0000660F0000}"/>
    <cellStyle name="20% - Accent3 12 6 3 2" xfId="45399" xr:uid="{B0311834-BADC-45B3-9B7F-021461A54470}"/>
    <cellStyle name="20% - Accent3 12 6 4" xfId="29521" xr:uid="{9BE20DE6-F3D5-434A-9483-0EFE99261475}"/>
    <cellStyle name="20% - Accent3 12 7" xfId="9187" xr:uid="{00000000-0005-0000-0000-0000670F0000}"/>
    <cellStyle name="20% - Accent3 12 7 2" xfId="17145" xr:uid="{00000000-0005-0000-0000-0000680F0000}"/>
    <cellStyle name="20% - Accent3 12 7 2 2" xfId="40986" xr:uid="{D285D9AF-C714-4A6A-95E7-90F26D612889}"/>
    <cellStyle name="20% - Accent3 12 7 3" xfId="25089" xr:uid="{00000000-0005-0000-0000-0000690F0000}"/>
    <cellStyle name="20% - Accent3 12 7 3 2" xfId="48922" xr:uid="{0C3211D7-08B9-46C4-8ED3-219C4A2DE521}"/>
    <cellStyle name="20% - Accent3 12 7 4" xfId="33045" xr:uid="{1E755B30-85A8-49AC-AF36-113BB1B618CE}"/>
    <cellStyle name="20% - Accent3 12 8" xfId="10083" xr:uid="{00000000-0005-0000-0000-00006A0F0000}"/>
    <cellStyle name="20% - Accent3 12 8 2" xfId="33933" xr:uid="{187AADC5-B47A-46D1-B7FB-C96A9CCAF5D8}"/>
    <cellStyle name="20% - Accent3 12 9" xfId="18038" xr:uid="{00000000-0005-0000-0000-00006B0F0000}"/>
    <cellStyle name="20% - Accent3 12 9 2" xfId="41871" xr:uid="{941FC88D-DC64-40E6-922B-AD399CA80896}"/>
    <cellStyle name="20% - Accent3 12_Exh G" xfId="2205" xr:uid="{00000000-0005-0000-0000-00006C0F0000}"/>
    <cellStyle name="20% - Accent3 13" xfId="139" xr:uid="{00000000-0005-0000-0000-00006D0F0000}"/>
    <cellStyle name="20% - Accent3 13 10" xfId="25995" xr:uid="{91F198F5-07A9-45D6-8497-ADFBA58B924F}"/>
    <cellStyle name="20% - Accent3 13 2" xfId="140" xr:uid="{00000000-0005-0000-0000-00006E0F0000}"/>
    <cellStyle name="20% - Accent3 13 2 2" xfId="141" xr:uid="{00000000-0005-0000-0000-00006F0F0000}"/>
    <cellStyle name="20% - Accent3 13 2 2 2" xfId="1169" xr:uid="{00000000-0005-0000-0000-0000700F0000}"/>
    <cellStyle name="20% - Accent3 13 2 2 2 2" xfId="4699" xr:uid="{00000000-0005-0000-0000-0000710F0000}"/>
    <cellStyle name="20% - Accent3 13 2 2 2 2 2" xfId="8290" xr:uid="{00000000-0005-0000-0000-0000720F0000}"/>
    <cellStyle name="20% - Accent3 13 2 2 2 2 2 2" xfId="16261" xr:uid="{00000000-0005-0000-0000-0000730F0000}"/>
    <cellStyle name="20% - Accent3 13 2 2 2 2 2 2 2" xfId="40104" xr:uid="{5849A291-69BD-45A7-ADBC-21161E01D174}"/>
    <cellStyle name="20% - Accent3 13 2 2 2 2 2 3" xfId="24207" xr:uid="{00000000-0005-0000-0000-0000740F0000}"/>
    <cellStyle name="20% - Accent3 13 2 2 2 2 2 3 2" xfId="48040" xr:uid="{D91EABC2-5BAE-428A-A822-1F8B0A18D3EF}"/>
    <cellStyle name="20% - Accent3 13 2 2 2 2 2 4" xfId="32163" xr:uid="{23D3C1F0-7931-4E03-92A9-16218C7AEAA1}"/>
    <cellStyle name="20% - Accent3 13 2 2 2 2 3" xfId="12723" xr:uid="{00000000-0005-0000-0000-0000750F0000}"/>
    <cellStyle name="20% - Accent3 13 2 2 2 2 3 2" xfId="36573" xr:uid="{31E42A53-84D9-4D82-B04A-46C3F2023A0A}"/>
    <cellStyle name="20% - Accent3 13 2 2 2 2 4" xfId="20678" xr:uid="{00000000-0005-0000-0000-0000760F0000}"/>
    <cellStyle name="20% - Accent3 13 2 2 2 2 4 2" xfId="44511" xr:uid="{54F7C2C7-2357-4765-9757-3E50FB29B821}"/>
    <cellStyle name="20% - Accent3 13 2 2 2 2 5" xfId="28632" xr:uid="{561431F5-51FC-4AAE-86A6-641BADBE6E8B}"/>
    <cellStyle name="20% - Accent3 13 2 2 2 3" xfId="6531" xr:uid="{00000000-0005-0000-0000-0000770F0000}"/>
    <cellStyle name="20% - Accent3 13 2 2 2 3 2" xfId="14503" xr:uid="{00000000-0005-0000-0000-0000780F0000}"/>
    <cellStyle name="20% - Accent3 13 2 2 2 3 2 2" xfId="38346" xr:uid="{3804F529-8D04-48DF-9602-A0EA6F448FDD}"/>
    <cellStyle name="20% - Accent3 13 2 2 2 3 3" xfId="22450" xr:uid="{00000000-0005-0000-0000-0000790F0000}"/>
    <cellStyle name="20% - Accent3 13 2 2 2 3 3 2" xfId="46283" xr:uid="{0532154D-8DD0-4E55-B6A4-C795F6887BE2}"/>
    <cellStyle name="20% - Accent3 13 2 2 2 3 4" xfId="30405" xr:uid="{8AC2B4CB-4338-495C-99A4-76CFA77409D3}"/>
    <cellStyle name="20% - Accent3 13 2 2 2 4" xfId="10967" xr:uid="{00000000-0005-0000-0000-00007A0F0000}"/>
    <cellStyle name="20% - Accent3 13 2 2 2 4 2" xfId="34817" xr:uid="{4789ADAC-E2DD-44C4-B939-09B88F00B551}"/>
    <cellStyle name="20% - Accent3 13 2 2 2 5" xfId="18922" xr:uid="{00000000-0005-0000-0000-00007B0F0000}"/>
    <cellStyle name="20% - Accent3 13 2 2 2 5 2" xfId="42755" xr:uid="{7ABFCF41-CE8B-4D90-ACF5-1706F4169CF5}"/>
    <cellStyle name="20% - Accent3 13 2 2 2 6" xfId="26875" xr:uid="{EDB17272-38DF-4B61-A706-1E2E5D54CD94}"/>
    <cellStyle name="20% - Accent3 13 2 2 2_Exh G" xfId="2216" xr:uid="{00000000-0005-0000-0000-00007C0F0000}"/>
    <cellStyle name="20% - Accent3 13 2 2 3" xfId="3820" xr:uid="{00000000-0005-0000-0000-00007D0F0000}"/>
    <cellStyle name="20% - Accent3 13 2 2 3 2" xfId="7412" xr:uid="{00000000-0005-0000-0000-00007E0F0000}"/>
    <cellStyle name="20% - Accent3 13 2 2 3 2 2" xfId="15383" xr:uid="{00000000-0005-0000-0000-00007F0F0000}"/>
    <cellStyle name="20% - Accent3 13 2 2 3 2 2 2" xfId="39226" xr:uid="{E0F24ECF-4026-4614-873A-4089C0E08D34}"/>
    <cellStyle name="20% - Accent3 13 2 2 3 2 3" xfId="23329" xr:uid="{00000000-0005-0000-0000-0000800F0000}"/>
    <cellStyle name="20% - Accent3 13 2 2 3 2 3 2" xfId="47162" xr:uid="{FBE236F1-3A70-457C-BB55-399F34B12322}"/>
    <cellStyle name="20% - Accent3 13 2 2 3 2 4" xfId="31285" xr:uid="{4D847CDA-C9FF-4CFB-829E-EFEA08F9AB9E}"/>
    <cellStyle name="20% - Accent3 13 2 2 3 3" xfId="11845" xr:uid="{00000000-0005-0000-0000-0000810F0000}"/>
    <cellStyle name="20% - Accent3 13 2 2 3 3 2" xfId="35695" xr:uid="{69D41052-FBDD-4C4F-B901-19BDFD466348}"/>
    <cellStyle name="20% - Accent3 13 2 2 3 4" xfId="19800" xr:uid="{00000000-0005-0000-0000-0000820F0000}"/>
    <cellStyle name="20% - Accent3 13 2 2 3 4 2" xfId="43633" xr:uid="{656249BB-9CFD-43F6-B02F-D777C1B539AB}"/>
    <cellStyle name="20% - Accent3 13 2 2 3 5" xfId="27754" xr:uid="{5EFB1AC3-8C53-4497-BF74-F19ABE5699DF}"/>
    <cellStyle name="20% - Accent3 13 2 2 4" xfId="5640" xr:uid="{00000000-0005-0000-0000-0000830F0000}"/>
    <cellStyle name="20% - Accent3 13 2 2 4 2" xfId="13624" xr:uid="{00000000-0005-0000-0000-0000840F0000}"/>
    <cellStyle name="20% - Accent3 13 2 2 4 2 2" xfId="37468" xr:uid="{EF211E80-31CA-42E0-8200-BE5BE0495ED1}"/>
    <cellStyle name="20% - Accent3 13 2 2 4 3" xfId="21572" xr:uid="{00000000-0005-0000-0000-0000850F0000}"/>
    <cellStyle name="20% - Accent3 13 2 2 4 3 2" xfId="45405" xr:uid="{CD8CBFF8-15A7-49EF-9CB9-50BAAAE6B7DA}"/>
    <cellStyle name="20% - Accent3 13 2 2 4 4" xfId="29527" xr:uid="{C1CC9775-A659-497D-8048-17041956A035}"/>
    <cellStyle name="20% - Accent3 13 2 2 5" xfId="9193" xr:uid="{00000000-0005-0000-0000-0000860F0000}"/>
    <cellStyle name="20% - Accent3 13 2 2 5 2" xfId="17151" xr:uid="{00000000-0005-0000-0000-0000870F0000}"/>
    <cellStyle name="20% - Accent3 13 2 2 5 2 2" xfId="40992" xr:uid="{28177CFB-D3BD-4F14-B098-F010CF2AFF73}"/>
    <cellStyle name="20% - Accent3 13 2 2 5 3" xfId="25095" xr:uid="{00000000-0005-0000-0000-0000880F0000}"/>
    <cellStyle name="20% - Accent3 13 2 2 5 3 2" xfId="48928" xr:uid="{22BE77AD-DF08-4E54-8F6E-55BEAE24946D}"/>
    <cellStyle name="20% - Accent3 13 2 2 5 4" xfId="33051" xr:uid="{38DC6B34-2D47-4151-8AAE-A353DF9649D7}"/>
    <cellStyle name="20% - Accent3 13 2 2 6" xfId="10089" xr:uid="{00000000-0005-0000-0000-0000890F0000}"/>
    <cellStyle name="20% - Accent3 13 2 2 6 2" xfId="33939" xr:uid="{B237F4BD-EFC0-42CB-8B01-37FC94C16135}"/>
    <cellStyle name="20% - Accent3 13 2 2 7" xfId="18044" xr:uid="{00000000-0005-0000-0000-00008A0F0000}"/>
    <cellStyle name="20% - Accent3 13 2 2 7 2" xfId="41877" xr:uid="{EFCFE390-F77D-4EF2-B651-736FC2390FE6}"/>
    <cellStyle name="20% - Accent3 13 2 2 8" xfId="25997" xr:uid="{A09A44C6-6AC9-453C-AC10-C65A2C8FC259}"/>
    <cellStyle name="20% - Accent3 13 2 2_Exh G" xfId="2215" xr:uid="{00000000-0005-0000-0000-00008B0F0000}"/>
    <cellStyle name="20% - Accent3 13 2 3" xfId="1168" xr:uid="{00000000-0005-0000-0000-00008C0F0000}"/>
    <cellStyle name="20% - Accent3 13 2 3 2" xfId="4698" xr:uid="{00000000-0005-0000-0000-00008D0F0000}"/>
    <cellStyle name="20% - Accent3 13 2 3 2 2" xfId="8289" xr:uid="{00000000-0005-0000-0000-00008E0F0000}"/>
    <cellStyle name="20% - Accent3 13 2 3 2 2 2" xfId="16260" xr:uid="{00000000-0005-0000-0000-00008F0F0000}"/>
    <cellStyle name="20% - Accent3 13 2 3 2 2 2 2" xfId="40103" xr:uid="{30C9B4BD-08E4-4253-8079-B9AA984BF787}"/>
    <cellStyle name="20% - Accent3 13 2 3 2 2 3" xfId="24206" xr:uid="{00000000-0005-0000-0000-0000900F0000}"/>
    <cellStyle name="20% - Accent3 13 2 3 2 2 3 2" xfId="48039" xr:uid="{9F60CD77-CC11-4582-8EC4-3400C5392395}"/>
    <cellStyle name="20% - Accent3 13 2 3 2 2 4" xfId="32162" xr:uid="{76F69DA6-D4F0-4DA6-8241-7AC0BDC39F19}"/>
    <cellStyle name="20% - Accent3 13 2 3 2 3" xfId="12722" xr:uid="{00000000-0005-0000-0000-0000910F0000}"/>
    <cellStyle name="20% - Accent3 13 2 3 2 3 2" xfId="36572" xr:uid="{882D6F2C-04D0-4EAB-A982-7B33A4370637}"/>
    <cellStyle name="20% - Accent3 13 2 3 2 4" xfId="20677" xr:uid="{00000000-0005-0000-0000-0000920F0000}"/>
    <cellStyle name="20% - Accent3 13 2 3 2 4 2" xfId="44510" xr:uid="{2028B013-4962-4237-A5D0-AFEE622668B4}"/>
    <cellStyle name="20% - Accent3 13 2 3 2 5" xfId="28631" xr:uid="{14259A4D-4DDA-46D9-867A-FE92F561F47E}"/>
    <cellStyle name="20% - Accent3 13 2 3 3" xfId="6530" xr:uid="{00000000-0005-0000-0000-0000930F0000}"/>
    <cellStyle name="20% - Accent3 13 2 3 3 2" xfId="14502" xr:uid="{00000000-0005-0000-0000-0000940F0000}"/>
    <cellStyle name="20% - Accent3 13 2 3 3 2 2" xfId="38345" xr:uid="{8A05C2DA-8F15-4881-AE4B-FE9820F9CA6C}"/>
    <cellStyle name="20% - Accent3 13 2 3 3 3" xfId="22449" xr:uid="{00000000-0005-0000-0000-0000950F0000}"/>
    <cellStyle name="20% - Accent3 13 2 3 3 3 2" xfId="46282" xr:uid="{8A08B359-C552-4889-811A-9DDED9EC1244}"/>
    <cellStyle name="20% - Accent3 13 2 3 3 4" xfId="30404" xr:uid="{51F11E89-5784-4581-8A62-23E4218CE29B}"/>
    <cellStyle name="20% - Accent3 13 2 3 4" xfId="10966" xr:uid="{00000000-0005-0000-0000-0000960F0000}"/>
    <cellStyle name="20% - Accent3 13 2 3 4 2" xfId="34816" xr:uid="{6ECCE27E-2DC3-43F4-BE31-F031B6A86344}"/>
    <cellStyle name="20% - Accent3 13 2 3 5" xfId="18921" xr:uid="{00000000-0005-0000-0000-0000970F0000}"/>
    <cellStyle name="20% - Accent3 13 2 3 5 2" xfId="42754" xr:uid="{41CCB2B8-8E79-49B5-A3AA-ECB6306E8D72}"/>
    <cellStyle name="20% - Accent3 13 2 3 6" xfId="26874" xr:uid="{2DE7FA46-891E-4A73-A542-987A31A5B769}"/>
    <cellStyle name="20% - Accent3 13 2 3_Exh G" xfId="2217" xr:uid="{00000000-0005-0000-0000-0000980F0000}"/>
    <cellStyle name="20% - Accent3 13 2 4" xfId="3819" xr:uid="{00000000-0005-0000-0000-0000990F0000}"/>
    <cellStyle name="20% - Accent3 13 2 4 2" xfId="7411" xr:uid="{00000000-0005-0000-0000-00009A0F0000}"/>
    <cellStyle name="20% - Accent3 13 2 4 2 2" xfId="15382" xr:uid="{00000000-0005-0000-0000-00009B0F0000}"/>
    <cellStyle name="20% - Accent3 13 2 4 2 2 2" xfId="39225" xr:uid="{1824185B-B1ED-408E-AFB7-173ACBE396C2}"/>
    <cellStyle name="20% - Accent3 13 2 4 2 3" xfId="23328" xr:uid="{00000000-0005-0000-0000-00009C0F0000}"/>
    <cellStyle name="20% - Accent3 13 2 4 2 3 2" xfId="47161" xr:uid="{C3C44B92-5533-47FF-8154-D58973099775}"/>
    <cellStyle name="20% - Accent3 13 2 4 2 4" xfId="31284" xr:uid="{50456791-99FD-4B00-BC81-183B7E2DC920}"/>
    <cellStyle name="20% - Accent3 13 2 4 3" xfId="11844" xr:uid="{00000000-0005-0000-0000-00009D0F0000}"/>
    <cellStyle name="20% - Accent3 13 2 4 3 2" xfId="35694" xr:uid="{20E18331-ADAB-4665-B96F-3B40FC0D6D80}"/>
    <cellStyle name="20% - Accent3 13 2 4 4" xfId="19799" xr:uid="{00000000-0005-0000-0000-00009E0F0000}"/>
    <cellStyle name="20% - Accent3 13 2 4 4 2" xfId="43632" xr:uid="{BDD373C2-851B-4232-9600-7E49FAA3653E}"/>
    <cellStyle name="20% - Accent3 13 2 4 5" xfId="27753" xr:uid="{CD8F6C5D-504E-4E20-97AC-271A52D14457}"/>
    <cellStyle name="20% - Accent3 13 2 5" xfId="5639" xr:uid="{00000000-0005-0000-0000-00009F0F0000}"/>
    <cellStyle name="20% - Accent3 13 2 5 2" xfId="13623" xr:uid="{00000000-0005-0000-0000-0000A00F0000}"/>
    <cellStyle name="20% - Accent3 13 2 5 2 2" xfId="37467" xr:uid="{22D5AF91-74D2-472B-863D-0C8BF33EB15B}"/>
    <cellStyle name="20% - Accent3 13 2 5 3" xfId="21571" xr:uid="{00000000-0005-0000-0000-0000A10F0000}"/>
    <cellStyle name="20% - Accent3 13 2 5 3 2" xfId="45404" xr:uid="{672AD121-6A94-4094-B55D-1CFC853BD954}"/>
    <cellStyle name="20% - Accent3 13 2 5 4" xfId="29526" xr:uid="{612DD2D8-D1C7-4FE6-9901-A1CD8BC13C24}"/>
    <cellStyle name="20% - Accent3 13 2 6" xfId="9192" xr:uid="{00000000-0005-0000-0000-0000A20F0000}"/>
    <cellStyle name="20% - Accent3 13 2 6 2" xfId="17150" xr:uid="{00000000-0005-0000-0000-0000A30F0000}"/>
    <cellStyle name="20% - Accent3 13 2 6 2 2" xfId="40991" xr:uid="{A6AD1B8A-B75C-4767-BB70-F31B44134E9D}"/>
    <cellStyle name="20% - Accent3 13 2 6 3" xfId="25094" xr:uid="{00000000-0005-0000-0000-0000A40F0000}"/>
    <cellStyle name="20% - Accent3 13 2 6 3 2" xfId="48927" xr:uid="{45637382-AA63-4BFD-B075-945DB03FE142}"/>
    <cellStyle name="20% - Accent3 13 2 6 4" xfId="33050" xr:uid="{C60CF818-EE0B-489B-AF55-D43CCD26BB37}"/>
    <cellStyle name="20% - Accent3 13 2 7" xfId="10088" xr:uid="{00000000-0005-0000-0000-0000A50F0000}"/>
    <cellStyle name="20% - Accent3 13 2 7 2" xfId="33938" xr:uid="{ABD90775-CC00-4A7C-83A7-35A19DB01C3D}"/>
    <cellStyle name="20% - Accent3 13 2 8" xfId="18043" xr:uid="{00000000-0005-0000-0000-0000A60F0000}"/>
    <cellStyle name="20% - Accent3 13 2 8 2" xfId="41876" xr:uid="{6C9AE403-19B4-4CB2-B870-9EE02A077BCB}"/>
    <cellStyle name="20% - Accent3 13 2 9" xfId="25996" xr:uid="{910ADA2E-2480-47B0-9E6A-B9060FB72F53}"/>
    <cellStyle name="20% - Accent3 13 2_Exh G" xfId="2214" xr:uid="{00000000-0005-0000-0000-0000A70F0000}"/>
    <cellStyle name="20% - Accent3 13 3" xfId="142" xr:uid="{00000000-0005-0000-0000-0000A80F0000}"/>
    <cellStyle name="20% - Accent3 13 3 2" xfId="1170" xr:uid="{00000000-0005-0000-0000-0000A90F0000}"/>
    <cellStyle name="20% - Accent3 13 3 2 2" xfId="4700" xr:uid="{00000000-0005-0000-0000-0000AA0F0000}"/>
    <cellStyle name="20% - Accent3 13 3 2 2 2" xfId="8291" xr:uid="{00000000-0005-0000-0000-0000AB0F0000}"/>
    <cellStyle name="20% - Accent3 13 3 2 2 2 2" xfId="16262" xr:uid="{00000000-0005-0000-0000-0000AC0F0000}"/>
    <cellStyle name="20% - Accent3 13 3 2 2 2 2 2" xfId="40105" xr:uid="{D03D4BA2-43D3-482F-8069-A481D7274B0D}"/>
    <cellStyle name="20% - Accent3 13 3 2 2 2 3" xfId="24208" xr:uid="{00000000-0005-0000-0000-0000AD0F0000}"/>
    <cellStyle name="20% - Accent3 13 3 2 2 2 3 2" xfId="48041" xr:uid="{9BBD010B-95AB-400B-8CEC-FAA862656B7C}"/>
    <cellStyle name="20% - Accent3 13 3 2 2 2 4" xfId="32164" xr:uid="{133CC84F-589E-4066-9518-2CC30EED2158}"/>
    <cellStyle name="20% - Accent3 13 3 2 2 3" xfId="12724" xr:uid="{00000000-0005-0000-0000-0000AE0F0000}"/>
    <cellStyle name="20% - Accent3 13 3 2 2 3 2" xfId="36574" xr:uid="{5E4A9F35-87BD-4F3B-AD4B-B903578599D3}"/>
    <cellStyle name="20% - Accent3 13 3 2 2 4" xfId="20679" xr:uid="{00000000-0005-0000-0000-0000AF0F0000}"/>
    <cellStyle name="20% - Accent3 13 3 2 2 4 2" xfId="44512" xr:uid="{1DF30F83-1DFE-44FD-8F46-81FF5F48007B}"/>
    <cellStyle name="20% - Accent3 13 3 2 2 5" xfId="28633" xr:uid="{7DCCD342-61D3-4342-AD19-15FDA7BC8A42}"/>
    <cellStyle name="20% - Accent3 13 3 2 3" xfId="6532" xr:uid="{00000000-0005-0000-0000-0000B00F0000}"/>
    <cellStyle name="20% - Accent3 13 3 2 3 2" xfId="14504" xr:uid="{00000000-0005-0000-0000-0000B10F0000}"/>
    <cellStyle name="20% - Accent3 13 3 2 3 2 2" xfId="38347" xr:uid="{6ADD151B-CBDC-4C4A-90B4-CDE80B6F7B40}"/>
    <cellStyle name="20% - Accent3 13 3 2 3 3" xfId="22451" xr:uid="{00000000-0005-0000-0000-0000B20F0000}"/>
    <cellStyle name="20% - Accent3 13 3 2 3 3 2" xfId="46284" xr:uid="{B94D89C0-FF4A-4C96-B311-C313146C9AEA}"/>
    <cellStyle name="20% - Accent3 13 3 2 3 4" xfId="30406" xr:uid="{EF2E01B6-53E5-4217-A3D3-0396FB3EFE50}"/>
    <cellStyle name="20% - Accent3 13 3 2 4" xfId="10968" xr:uid="{00000000-0005-0000-0000-0000B30F0000}"/>
    <cellStyle name="20% - Accent3 13 3 2 4 2" xfId="34818" xr:uid="{1FC4795B-3A7F-41E4-AAB2-072B1A6DA2B1}"/>
    <cellStyle name="20% - Accent3 13 3 2 5" xfId="18923" xr:uid="{00000000-0005-0000-0000-0000B40F0000}"/>
    <cellStyle name="20% - Accent3 13 3 2 5 2" xfId="42756" xr:uid="{E3DD6EAA-01B3-4CE7-858B-517701803203}"/>
    <cellStyle name="20% - Accent3 13 3 2 6" xfId="26876" xr:uid="{48027043-41B7-4033-8D50-C4B8F58DC96D}"/>
    <cellStyle name="20% - Accent3 13 3 2_Exh G" xfId="2219" xr:uid="{00000000-0005-0000-0000-0000B50F0000}"/>
    <cellStyle name="20% - Accent3 13 3 3" xfId="3821" xr:uid="{00000000-0005-0000-0000-0000B60F0000}"/>
    <cellStyle name="20% - Accent3 13 3 3 2" xfId="7413" xr:uid="{00000000-0005-0000-0000-0000B70F0000}"/>
    <cellStyle name="20% - Accent3 13 3 3 2 2" xfId="15384" xr:uid="{00000000-0005-0000-0000-0000B80F0000}"/>
    <cellStyle name="20% - Accent3 13 3 3 2 2 2" xfId="39227" xr:uid="{A2744F0A-4983-4A9E-AA09-6EF3956A3151}"/>
    <cellStyle name="20% - Accent3 13 3 3 2 3" xfId="23330" xr:uid="{00000000-0005-0000-0000-0000B90F0000}"/>
    <cellStyle name="20% - Accent3 13 3 3 2 3 2" xfId="47163" xr:uid="{82A7445A-FA11-437D-8C0B-8CB86D4EF75E}"/>
    <cellStyle name="20% - Accent3 13 3 3 2 4" xfId="31286" xr:uid="{A8843A31-84B3-42FB-8236-33768DEC4682}"/>
    <cellStyle name="20% - Accent3 13 3 3 3" xfId="11846" xr:uid="{00000000-0005-0000-0000-0000BA0F0000}"/>
    <cellStyle name="20% - Accent3 13 3 3 3 2" xfId="35696" xr:uid="{A5DEF4AA-E355-4D98-826A-3AA223651D76}"/>
    <cellStyle name="20% - Accent3 13 3 3 4" xfId="19801" xr:uid="{00000000-0005-0000-0000-0000BB0F0000}"/>
    <cellStyle name="20% - Accent3 13 3 3 4 2" xfId="43634" xr:uid="{2806ECC2-7DF2-4702-9381-F9680901BC5C}"/>
    <cellStyle name="20% - Accent3 13 3 3 5" xfId="27755" xr:uid="{325C1DB3-3938-4819-B9FE-07C2D40CA63F}"/>
    <cellStyle name="20% - Accent3 13 3 4" xfId="5641" xr:uid="{00000000-0005-0000-0000-0000BC0F0000}"/>
    <cellStyle name="20% - Accent3 13 3 4 2" xfId="13625" xr:uid="{00000000-0005-0000-0000-0000BD0F0000}"/>
    <cellStyle name="20% - Accent3 13 3 4 2 2" xfId="37469" xr:uid="{F3113672-ADCD-4213-B96D-5D050440FAB8}"/>
    <cellStyle name="20% - Accent3 13 3 4 3" xfId="21573" xr:uid="{00000000-0005-0000-0000-0000BE0F0000}"/>
    <cellStyle name="20% - Accent3 13 3 4 3 2" xfId="45406" xr:uid="{15933424-C131-4DCB-8533-882D6342AF76}"/>
    <cellStyle name="20% - Accent3 13 3 4 4" xfId="29528" xr:uid="{4F981B05-8CA4-4BCB-8D2C-E29F08D61711}"/>
    <cellStyle name="20% - Accent3 13 3 5" xfId="9194" xr:uid="{00000000-0005-0000-0000-0000BF0F0000}"/>
    <cellStyle name="20% - Accent3 13 3 5 2" xfId="17152" xr:uid="{00000000-0005-0000-0000-0000C00F0000}"/>
    <cellStyle name="20% - Accent3 13 3 5 2 2" xfId="40993" xr:uid="{E8F22928-0D33-4D9C-A9B2-2381F361CCB2}"/>
    <cellStyle name="20% - Accent3 13 3 5 3" xfId="25096" xr:uid="{00000000-0005-0000-0000-0000C10F0000}"/>
    <cellStyle name="20% - Accent3 13 3 5 3 2" xfId="48929" xr:uid="{29972C61-77C3-4FA1-A891-D3112CBBDE31}"/>
    <cellStyle name="20% - Accent3 13 3 5 4" xfId="33052" xr:uid="{001C0686-9602-4660-BC9D-C668C8BB6A02}"/>
    <cellStyle name="20% - Accent3 13 3 6" xfId="10090" xr:uid="{00000000-0005-0000-0000-0000C20F0000}"/>
    <cellStyle name="20% - Accent3 13 3 6 2" xfId="33940" xr:uid="{6A260EF8-7690-45B7-8D86-E0FBCB2AA343}"/>
    <cellStyle name="20% - Accent3 13 3 7" xfId="18045" xr:uid="{00000000-0005-0000-0000-0000C30F0000}"/>
    <cellStyle name="20% - Accent3 13 3 7 2" xfId="41878" xr:uid="{6EFCAF3F-85FA-4FFF-9CDE-97102D85469A}"/>
    <cellStyle name="20% - Accent3 13 3 8" xfId="25998" xr:uid="{9716B2F6-2A2E-4DA4-8811-1B6B94998C09}"/>
    <cellStyle name="20% - Accent3 13 3_Exh G" xfId="2218" xr:uid="{00000000-0005-0000-0000-0000C40F0000}"/>
    <cellStyle name="20% - Accent3 13 4" xfId="1167" xr:uid="{00000000-0005-0000-0000-0000C50F0000}"/>
    <cellStyle name="20% - Accent3 13 4 2" xfId="4697" xr:uid="{00000000-0005-0000-0000-0000C60F0000}"/>
    <cellStyle name="20% - Accent3 13 4 2 2" xfId="8288" xr:uid="{00000000-0005-0000-0000-0000C70F0000}"/>
    <cellStyle name="20% - Accent3 13 4 2 2 2" xfId="16259" xr:uid="{00000000-0005-0000-0000-0000C80F0000}"/>
    <cellStyle name="20% - Accent3 13 4 2 2 2 2" xfId="40102" xr:uid="{A22D25CC-E4F1-4F5D-AE52-4BFFE691FB4F}"/>
    <cellStyle name="20% - Accent3 13 4 2 2 3" xfId="24205" xr:uid="{00000000-0005-0000-0000-0000C90F0000}"/>
    <cellStyle name="20% - Accent3 13 4 2 2 3 2" xfId="48038" xr:uid="{00027753-F930-4B03-81D5-2D11FDB4B160}"/>
    <cellStyle name="20% - Accent3 13 4 2 2 4" xfId="32161" xr:uid="{5BD64B11-73A7-4198-B936-58E9335333D4}"/>
    <cellStyle name="20% - Accent3 13 4 2 3" xfId="12721" xr:uid="{00000000-0005-0000-0000-0000CA0F0000}"/>
    <cellStyle name="20% - Accent3 13 4 2 3 2" xfId="36571" xr:uid="{60F69C86-8A40-4F1D-B096-B8880B9D602F}"/>
    <cellStyle name="20% - Accent3 13 4 2 4" xfId="20676" xr:uid="{00000000-0005-0000-0000-0000CB0F0000}"/>
    <cellStyle name="20% - Accent3 13 4 2 4 2" xfId="44509" xr:uid="{5FD83D8D-3DF1-4EB5-9596-3937A22EF78E}"/>
    <cellStyle name="20% - Accent3 13 4 2 5" xfId="28630" xr:uid="{4B72F36F-750E-4F11-86B7-F5FD3A89E871}"/>
    <cellStyle name="20% - Accent3 13 4 3" xfId="6529" xr:uid="{00000000-0005-0000-0000-0000CC0F0000}"/>
    <cellStyle name="20% - Accent3 13 4 3 2" xfId="14501" xr:uid="{00000000-0005-0000-0000-0000CD0F0000}"/>
    <cellStyle name="20% - Accent3 13 4 3 2 2" xfId="38344" xr:uid="{FAA3FA3B-5D09-420F-A76C-2C49C7C038DF}"/>
    <cellStyle name="20% - Accent3 13 4 3 3" xfId="22448" xr:uid="{00000000-0005-0000-0000-0000CE0F0000}"/>
    <cellStyle name="20% - Accent3 13 4 3 3 2" xfId="46281" xr:uid="{73E769B9-AF6E-4E7D-9D25-AA51B39B877F}"/>
    <cellStyle name="20% - Accent3 13 4 3 4" xfId="30403" xr:uid="{349D5227-E4C9-4BE5-880E-814B24E426CF}"/>
    <cellStyle name="20% - Accent3 13 4 4" xfId="10965" xr:uid="{00000000-0005-0000-0000-0000CF0F0000}"/>
    <cellStyle name="20% - Accent3 13 4 4 2" xfId="34815" xr:uid="{5E8E59BC-95F9-4AED-B7FB-2E4A326DA10E}"/>
    <cellStyle name="20% - Accent3 13 4 5" xfId="18920" xr:uid="{00000000-0005-0000-0000-0000D00F0000}"/>
    <cellStyle name="20% - Accent3 13 4 5 2" xfId="42753" xr:uid="{878A51D2-7061-4048-B38C-FA98D9929E6F}"/>
    <cellStyle name="20% - Accent3 13 4 6" xfId="26873" xr:uid="{1D2A9AA7-29CE-463A-8770-C3D7FBD5524C}"/>
    <cellStyle name="20% - Accent3 13 4_Exh G" xfId="2220" xr:uid="{00000000-0005-0000-0000-0000D10F0000}"/>
    <cellStyle name="20% - Accent3 13 5" xfId="3818" xr:uid="{00000000-0005-0000-0000-0000D20F0000}"/>
    <cellStyle name="20% - Accent3 13 5 2" xfId="7410" xr:uid="{00000000-0005-0000-0000-0000D30F0000}"/>
    <cellStyle name="20% - Accent3 13 5 2 2" xfId="15381" xr:uid="{00000000-0005-0000-0000-0000D40F0000}"/>
    <cellStyle name="20% - Accent3 13 5 2 2 2" xfId="39224" xr:uid="{DFC841F0-2250-4E2E-9BD4-05039725CD7F}"/>
    <cellStyle name="20% - Accent3 13 5 2 3" xfId="23327" xr:uid="{00000000-0005-0000-0000-0000D50F0000}"/>
    <cellStyle name="20% - Accent3 13 5 2 3 2" xfId="47160" xr:uid="{0DBC58BB-26AF-4B40-B569-16891D9513C6}"/>
    <cellStyle name="20% - Accent3 13 5 2 4" xfId="31283" xr:uid="{96FE6386-53B0-4D5A-83F1-7E971A201805}"/>
    <cellStyle name="20% - Accent3 13 5 3" xfId="11843" xr:uid="{00000000-0005-0000-0000-0000D60F0000}"/>
    <cellStyle name="20% - Accent3 13 5 3 2" xfId="35693" xr:uid="{98B031F4-CBAC-4A1C-9C36-D75BB8A0BD03}"/>
    <cellStyle name="20% - Accent3 13 5 4" xfId="19798" xr:uid="{00000000-0005-0000-0000-0000D70F0000}"/>
    <cellStyle name="20% - Accent3 13 5 4 2" xfId="43631" xr:uid="{A97B63D0-43C7-493F-925C-992E5A018EB9}"/>
    <cellStyle name="20% - Accent3 13 5 5" xfId="27752" xr:uid="{65DFF4CE-3EC5-4B48-9700-4231E2118E1F}"/>
    <cellStyle name="20% - Accent3 13 6" xfId="5638" xr:uid="{00000000-0005-0000-0000-0000D80F0000}"/>
    <cellStyle name="20% - Accent3 13 6 2" xfId="13622" xr:uid="{00000000-0005-0000-0000-0000D90F0000}"/>
    <cellStyle name="20% - Accent3 13 6 2 2" xfId="37466" xr:uid="{F0214DDA-468D-424D-B6CD-F3D6557D2CE5}"/>
    <cellStyle name="20% - Accent3 13 6 3" xfId="21570" xr:uid="{00000000-0005-0000-0000-0000DA0F0000}"/>
    <cellStyle name="20% - Accent3 13 6 3 2" xfId="45403" xr:uid="{1F2EF341-A5DC-4E00-AA10-D70D0758A53A}"/>
    <cellStyle name="20% - Accent3 13 6 4" xfId="29525" xr:uid="{EB8A03E0-1406-4FD5-83D3-A89F0B449E10}"/>
    <cellStyle name="20% - Accent3 13 7" xfId="9191" xr:uid="{00000000-0005-0000-0000-0000DB0F0000}"/>
    <cellStyle name="20% - Accent3 13 7 2" xfId="17149" xr:uid="{00000000-0005-0000-0000-0000DC0F0000}"/>
    <cellStyle name="20% - Accent3 13 7 2 2" xfId="40990" xr:uid="{1E413141-98AC-41E8-8E1A-155213585EDC}"/>
    <cellStyle name="20% - Accent3 13 7 3" xfId="25093" xr:uid="{00000000-0005-0000-0000-0000DD0F0000}"/>
    <cellStyle name="20% - Accent3 13 7 3 2" xfId="48926" xr:uid="{C980E070-00A0-4BE5-82A7-7243B9442000}"/>
    <cellStyle name="20% - Accent3 13 7 4" xfId="33049" xr:uid="{627DFD76-9E01-45DF-B376-982CF8D9139A}"/>
    <cellStyle name="20% - Accent3 13 8" xfId="10087" xr:uid="{00000000-0005-0000-0000-0000DE0F0000}"/>
    <cellStyle name="20% - Accent3 13 8 2" xfId="33937" xr:uid="{ABD32BAA-2E8A-4E69-AD6C-519CC0F00CFD}"/>
    <cellStyle name="20% - Accent3 13 9" xfId="18042" xr:uid="{00000000-0005-0000-0000-0000DF0F0000}"/>
    <cellStyle name="20% - Accent3 13 9 2" xfId="41875" xr:uid="{3523917F-2E1E-4A70-9C51-CC7428CF797B}"/>
    <cellStyle name="20% - Accent3 13_Exh G" xfId="2213" xr:uid="{00000000-0005-0000-0000-0000E00F0000}"/>
    <cellStyle name="20% - Accent3 14" xfId="143" xr:uid="{00000000-0005-0000-0000-0000E10F0000}"/>
    <cellStyle name="20% - Accent3 14 2" xfId="144" xr:uid="{00000000-0005-0000-0000-0000E20F0000}"/>
    <cellStyle name="20% - Accent3 14 2 2" xfId="1172" xr:uid="{00000000-0005-0000-0000-0000E30F0000}"/>
    <cellStyle name="20% - Accent3 14 2 2 2" xfId="4702" xr:uid="{00000000-0005-0000-0000-0000E40F0000}"/>
    <cellStyle name="20% - Accent3 14 2 2 2 2" xfId="8293" xr:uid="{00000000-0005-0000-0000-0000E50F0000}"/>
    <cellStyle name="20% - Accent3 14 2 2 2 2 2" xfId="16264" xr:uid="{00000000-0005-0000-0000-0000E60F0000}"/>
    <cellStyle name="20% - Accent3 14 2 2 2 2 2 2" xfId="40107" xr:uid="{A2FD584B-337B-41C1-B13D-71701109E44D}"/>
    <cellStyle name="20% - Accent3 14 2 2 2 2 3" xfId="24210" xr:uid="{00000000-0005-0000-0000-0000E70F0000}"/>
    <cellStyle name="20% - Accent3 14 2 2 2 2 3 2" xfId="48043" xr:uid="{9D137C4F-0BC1-401C-8D19-8C822CDC6698}"/>
    <cellStyle name="20% - Accent3 14 2 2 2 2 4" xfId="32166" xr:uid="{D0AE2B7C-186B-4658-918F-CC1808B17133}"/>
    <cellStyle name="20% - Accent3 14 2 2 2 3" xfId="12726" xr:uid="{00000000-0005-0000-0000-0000E80F0000}"/>
    <cellStyle name="20% - Accent3 14 2 2 2 3 2" xfId="36576" xr:uid="{20D730FD-1BD6-45F2-920A-C6FBB9A5E7ED}"/>
    <cellStyle name="20% - Accent3 14 2 2 2 4" xfId="20681" xr:uid="{00000000-0005-0000-0000-0000E90F0000}"/>
    <cellStyle name="20% - Accent3 14 2 2 2 4 2" xfId="44514" xr:uid="{E0F914C1-795C-4272-A74D-2FF8C98579B2}"/>
    <cellStyle name="20% - Accent3 14 2 2 2 5" xfId="28635" xr:uid="{488DA431-2A17-4C68-AFEC-5458BBA7B256}"/>
    <cellStyle name="20% - Accent3 14 2 2 3" xfId="6534" xr:uid="{00000000-0005-0000-0000-0000EA0F0000}"/>
    <cellStyle name="20% - Accent3 14 2 2 3 2" xfId="14506" xr:uid="{00000000-0005-0000-0000-0000EB0F0000}"/>
    <cellStyle name="20% - Accent3 14 2 2 3 2 2" xfId="38349" xr:uid="{17E13A81-3ECE-4843-9FC3-95DFBD417DD2}"/>
    <cellStyle name="20% - Accent3 14 2 2 3 3" xfId="22453" xr:uid="{00000000-0005-0000-0000-0000EC0F0000}"/>
    <cellStyle name="20% - Accent3 14 2 2 3 3 2" xfId="46286" xr:uid="{762AC48D-2C9E-4D6B-8448-CFED1ABCC265}"/>
    <cellStyle name="20% - Accent3 14 2 2 3 4" xfId="30408" xr:uid="{D93CB011-DB39-4E51-83B1-2538A2AAFC21}"/>
    <cellStyle name="20% - Accent3 14 2 2 4" xfId="10970" xr:uid="{00000000-0005-0000-0000-0000ED0F0000}"/>
    <cellStyle name="20% - Accent3 14 2 2 4 2" xfId="34820" xr:uid="{4DCE6BFA-FF82-4EA0-88F2-47106EF52069}"/>
    <cellStyle name="20% - Accent3 14 2 2 5" xfId="18925" xr:uid="{00000000-0005-0000-0000-0000EE0F0000}"/>
    <cellStyle name="20% - Accent3 14 2 2 5 2" xfId="42758" xr:uid="{D5E5823D-3054-4AD5-9207-43054D85D9B6}"/>
    <cellStyle name="20% - Accent3 14 2 2 6" xfId="26878" xr:uid="{95BE2CBA-9C5D-4D31-A506-83BA3A48ABFF}"/>
    <cellStyle name="20% - Accent3 14 2 2_Exh G" xfId="2223" xr:uid="{00000000-0005-0000-0000-0000EF0F0000}"/>
    <cellStyle name="20% - Accent3 14 2 3" xfId="3823" xr:uid="{00000000-0005-0000-0000-0000F00F0000}"/>
    <cellStyle name="20% - Accent3 14 2 3 2" xfId="7415" xr:uid="{00000000-0005-0000-0000-0000F10F0000}"/>
    <cellStyle name="20% - Accent3 14 2 3 2 2" xfId="15386" xr:uid="{00000000-0005-0000-0000-0000F20F0000}"/>
    <cellStyle name="20% - Accent3 14 2 3 2 2 2" xfId="39229" xr:uid="{E33A87E5-6941-4ED7-A273-83B991A43842}"/>
    <cellStyle name="20% - Accent3 14 2 3 2 3" xfId="23332" xr:uid="{00000000-0005-0000-0000-0000F30F0000}"/>
    <cellStyle name="20% - Accent3 14 2 3 2 3 2" xfId="47165" xr:uid="{74447DC8-AB05-4C22-8E40-E1A8AF72BECA}"/>
    <cellStyle name="20% - Accent3 14 2 3 2 4" xfId="31288" xr:uid="{6300C90F-076B-41D6-8677-FC8C1BD0FB22}"/>
    <cellStyle name="20% - Accent3 14 2 3 3" xfId="11848" xr:uid="{00000000-0005-0000-0000-0000F40F0000}"/>
    <cellStyle name="20% - Accent3 14 2 3 3 2" xfId="35698" xr:uid="{4090D752-07AD-4E0B-922D-2FE3B32384A0}"/>
    <cellStyle name="20% - Accent3 14 2 3 4" xfId="19803" xr:uid="{00000000-0005-0000-0000-0000F50F0000}"/>
    <cellStyle name="20% - Accent3 14 2 3 4 2" xfId="43636" xr:uid="{B3646DAD-B0B1-4DFA-861C-CF50C0A3A751}"/>
    <cellStyle name="20% - Accent3 14 2 3 5" xfId="27757" xr:uid="{76A9973E-161C-4D68-812A-1E1F737D4A9E}"/>
    <cellStyle name="20% - Accent3 14 2 4" xfId="5643" xr:uid="{00000000-0005-0000-0000-0000F60F0000}"/>
    <cellStyle name="20% - Accent3 14 2 4 2" xfId="13627" xr:uid="{00000000-0005-0000-0000-0000F70F0000}"/>
    <cellStyle name="20% - Accent3 14 2 4 2 2" xfId="37471" xr:uid="{7078B6C6-8E00-4019-9F3E-6F0B22F22707}"/>
    <cellStyle name="20% - Accent3 14 2 4 3" xfId="21575" xr:uid="{00000000-0005-0000-0000-0000F80F0000}"/>
    <cellStyle name="20% - Accent3 14 2 4 3 2" xfId="45408" xr:uid="{F87EBBD2-9F78-4515-9878-D1531C49E4DF}"/>
    <cellStyle name="20% - Accent3 14 2 4 4" xfId="29530" xr:uid="{CB7A3A84-7DFE-4B09-8142-CB6347363C36}"/>
    <cellStyle name="20% - Accent3 14 2 5" xfId="9196" xr:uid="{00000000-0005-0000-0000-0000F90F0000}"/>
    <cellStyle name="20% - Accent3 14 2 5 2" xfId="17154" xr:uid="{00000000-0005-0000-0000-0000FA0F0000}"/>
    <cellStyle name="20% - Accent3 14 2 5 2 2" xfId="40995" xr:uid="{56738862-5073-438A-AA6E-F9AE39B735E3}"/>
    <cellStyle name="20% - Accent3 14 2 5 3" xfId="25098" xr:uid="{00000000-0005-0000-0000-0000FB0F0000}"/>
    <cellStyle name="20% - Accent3 14 2 5 3 2" xfId="48931" xr:uid="{6F8DE297-D374-487B-8E8C-4CA99985BF4B}"/>
    <cellStyle name="20% - Accent3 14 2 5 4" xfId="33054" xr:uid="{74788E61-F54C-4AD5-9309-8F01F6699F40}"/>
    <cellStyle name="20% - Accent3 14 2 6" xfId="10092" xr:uid="{00000000-0005-0000-0000-0000FC0F0000}"/>
    <cellStyle name="20% - Accent3 14 2 6 2" xfId="33942" xr:uid="{3C7824A7-1306-402B-A057-52CD10B14CC5}"/>
    <cellStyle name="20% - Accent3 14 2 7" xfId="18047" xr:uid="{00000000-0005-0000-0000-0000FD0F0000}"/>
    <cellStyle name="20% - Accent3 14 2 7 2" xfId="41880" xr:uid="{78AC2D7F-7FCC-48B3-A78A-51CDDC188668}"/>
    <cellStyle name="20% - Accent3 14 2 8" xfId="26000" xr:uid="{98B52D42-0310-4CB8-B48A-2A73E66D2FA3}"/>
    <cellStyle name="20% - Accent3 14 2_Exh G" xfId="2222" xr:uid="{00000000-0005-0000-0000-0000FE0F0000}"/>
    <cellStyle name="20% - Accent3 14 3" xfId="1171" xr:uid="{00000000-0005-0000-0000-0000FF0F0000}"/>
    <cellStyle name="20% - Accent3 14 3 2" xfId="4701" xr:uid="{00000000-0005-0000-0000-000000100000}"/>
    <cellStyle name="20% - Accent3 14 3 2 2" xfId="8292" xr:uid="{00000000-0005-0000-0000-000001100000}"/>
    <cellStyle name="20% - Accent3 14 3 2 2 2" xfId="16263" xr:uid="{00000000-0005-0000-0000-000002100000}"/>
    <cellStyle name="20% - Accent3 14 3 2 2 2 2" xfId="40106" xr:uid="{34BFFC90-06E5-4460-9931-5440399CC5A8}"/>
    <cellStyle name="20% - Accent3 14 3 2 2 3" xfId="24209" xr:uid="{00000000-0005-0000-0000-000003100000}"/>
    <cellStyle name="20% - Accent3 14 3 2 2 3 2" xfId="48042" xr:uid="{47921CD1-2AA3-49F2-819C-4EFB09D9A654}"/>
    <cellStyle name="20% - Accent3 14 3 2 2 4" xfId="32165" xr:uid="{E032E893-714E-4AA6-A603-2868972BC2E6}"/>
    <cellStyle name="20% - Accent3 14 3 2 3" xfId="12725" xr:uid="{00000000-0005-0000-0000-000004100000}"/>
    <cellStyle name="20% - Accent3 14 3 2 3 2" xfId="36575" xr:uid="{5E497CD8-6D77-48B5-9323-C4B1A78B0F89}"/>
    <cellStyle name="20% - Accent3 14 3 2 4" xfId="20680" xr:uid="{00000000-0005-0000-0000-000005100000}"/>
    <cellStyle name="20% - Accent3 14 3 2 4 2" xfId="44513" xr:uid="{6359CEA3-A5D3-473D-BF21-31C5FA273CAF}"/>
    <cellStyle name="20% - Accent3 14 3 2 5" xfId="28634" xr:uid="{C2EA0B30-8903-4000-BBEB-D7920CEDF7FE}"/>
    <cellStyle name="20% - Accent3 14 3 3" xfId="6533" xr:uid="{00000000-0005-0000-0000-000006100000}"/>
    <cellStyle name="20% - Accent3 14 3 3 2" xfId="14505" xr:uid="{00000000-0005-0000-0000-000007100000}"/>
    <cellStyle name="20% - Accent3 14 3 3 2 2" xfId="38348" xr:uid="{D2233F53-3978-4F06-9006-A4D988D3CDE9}"/>
    <cellStyle name="20% - Accent3 14 3 3 3" xfId="22452" xr:uid="{00000000-0005-0000-0000-000008100000}"/>
    <cellStyle name="20% - Accent3 14 3 3 3 2" xfId="46285" xr:uid="{C758A33B-7873-414A-91F9-4498C0D1AF44}"/>
    <cellStyle name="20% - Accent3 14 3 3 4" xfId="30407" xr:uid="{8D0286E4-A3E5-47BC-9D4D-9FD7594B2634}"/>
    <cellStyle name="20% - Accent3 14 3 4" xfId="10969" xr:uid="{00000000-0005-0000-0000-000009100000}"/>
    <cellStyle name="20% - Accent3 14 3 4 2" xfId="34819" xr:uid="{F9B32712-FC25-4B8E-9393-7A1F11257065}"/>
    <cellStyle name="20% - Accent3 14 3 5" xfId="18924" xr:uid="{00000000-0005-0000-0000-00000A100000}"/>
    <cellStyle name="20% - Accent3 14 3 5 2" xfId="42757" xr:uid="{948DDB4A-820C-45A0-85CA-B3E074FF3DC3}"/>
    <cellStyle name="20% - Accent3 14 3 6" xfId="26877" xr:uid="{122753CE-B4A2-4592-AAB8-FF6D5AD5AE06}"/>
    <cellStyle name="20% - Accent3 14 3_Exh G" xfId="2224" xr:uid="{00000000-0005-0000-0000-00000B100000}"/>
    <cellStyle name="20% - Accent3 14 4" xfId="3822" xr:uid="{00000000-0005-0000-0000-00000C100000}"/>
    <cellStyle name="20% - Accent3 14 4 2" xfId="7414" xr:uid="{00000000-0005-0000-0000-00000D100000}"/>
    <cellStyle name="20% - Accent3 14 4 2 2" xfId="15385" xr:uid="{00000000-0005-0000-0000-00000E100000}"/>
    <cellStyle name="20% - Accent3 14 4 2 2 2" xfId="39228" xr:uid="{CC2688B5-14A5-46E9-AF30-7E132D832EFA}"/>
    <cellStyle name="20% - Accent3 14 4 2 3" xfId="23331" xr:uid="{00000000-0005-0000-0000-00000F100000}"/>
    <cellStyle name="20% - Accent3 14 4 2 3 2" xfId="47164" xr:uid="{CB155442-1604-4637-AE75-4C6254726728}"/>
    <cellStyle name="20% - Accent3 14 4 2 4" xfId="31287" xr:uid="{A3825A41-34F0-4DD6-B806-B37D45D3469F}"/>
    <cellStyle name="20% - Accent3 14 4 3" xfId="11847" xr:uid="{00000000-0005-0000-0000-000010100000}"/>
    <cellStyle name="20% - Accent3 14 4 3 2" xfId="35697" xr:uid="{AAADDF69-AEE4-467E-9630-E28D596510A4}"/>
    <cellStyle name="20% - Accent3 14 4 4" xfId="19802" xr:uid="{00000000-0005-0000-0000-000011100000}"/>
    <cellStyle name="20% - Accent3 14 4 4 2" xfId="43635" xr:uid="{022A9E58-30A8-4CD7-9B67-F11DCEC491EE}"/>
    <cellStyle name="20% - Accent3 14 4 5" xfId="27756" xr:uid="{E36AACFB-5D2C-4785-94C4-3D11DDD4013D}"/>
    <cellStyle name="20% - Accent3 14 5" xfId="5642" xr:uid="{00000000-0005-0000-0000-000012100000}"/>
    <cellStyle name="20% - Accent3 14 5 2" xfId="13626" xr:uid="{00000000-0005-0000-0000-000013100000}"/>
    <cellStyle name="20% - Accent3 14 5 2 2" xfId="37470" xr:uid="{2FAAAA2D-B47F-4B61-B5FB-080F925047CB}"/>
    <cellStyle name="20% - Accent3 14 5 3" xfId="21574" xr:uid="{00000000-0005-0000-0000-000014100000}"/>
    <cellStyle name="20% - Accent3 14 5 3 2" xfId="45407" xr:uid="{C9B5F1F5-9746-4DEC-B9F0-75A5519C6E1F}"/>
    <cellStyle name="20% - Accent3 14 5 4" xfId="29529" xr:uid="{BABFE98E-2607-4A06-A700-4809F40490B8}"/>
    <cellStyle name="20% - Accent3 14 6" xfId="9195" xr:uid="{00000000-0005-0000-0000-000015100000}"/>
    <cellStyle name="20% - Accent3 14 6 2" xfId="17153" xr:uid="{00000000-0005-0000-0000-000016100000}"/>
    <cellStyle name="20% - Accent3 14 6 2 2" xfId="40994" xr:uid="{8B381E33-D24C-49F9-BE54-2BA45423DAB4}"/>
    <cellStyle name="20% - Accent3 14 6 3" xfId="25097" xr:uid="{00000000-0005-0000-0000-000017100000}"/>
    <cellStyle name="20% - Accent3 14 6 3 2" xfId="48930" xr:uid="{8A77DA2F-BEBD-47C2-AA7D-33E5BE6A89E8}"/>
    <cellStyle name="20% - Accent3 14 6 4" xfId="33053" xr:uid="{36A5E80C-5569-4877-9DE3-6F0F7C7953B4}"/>
    <cellStyle name="20% - Accent3 14 7" xfId="10091" xr:uid="{00000000-0005-0000-0000-000018100000}"/>
    <cellStyle name="20% - Accent3 14 7 2" xfId="33941" xr:uid="{78E3E9A9-E367-4A9E-87FD-8497F1CB3AA9}"/>
    <cellStyle name="20% - Accent3 14 8" xfId="18046" xr:uid="{00000000-0005-0000-0000-000019100000}"/>
    <cellStyle name="20% - Accent3 14 8 2" xfId="41879" xr:uid="{C6BBF415-5567-4033-94A9-AD7ABF59FDD3}"/>
    <cellStyle name="20% - Accent3 14 9" xfId="25999" xr:uid="{4F482B42-491F-4CBE-AE6C-1B9D4075EE68}"/>
    <cellStyle name="20% - Accent3 14_Exh G" xfId="2221" xr:uid="{00000000-0005-0000-0000-00001A100000}"/>
    <cellStyle name="20% - Accent3 15" xfId="145" xr:uid="{00000000-0005-0000-0000-00001B100000}"/>
    <cellStyle name="20% - Accent3 15 2" xfId="1173" xr:uid="{00000000-0005-0000-0000-00001C100000}"/>
    <cellStyle name="20% - Accent3 15 2 2" xfId="4703" xr:uid="{00000000-0005-0000-0000-00001D100000}"/>
    <cellStyle name="20% - Accent3 15 2 2 2" xfId="8294" xr:uid="{00000000-0005-0000-0000-00001E100000}"/>
    <cellStyle name="20% - Accent3 15 2 2 2 2" xfId="16265" xr:uid="{00000000-0005-0000-0000-00001F100000}"/>
    <cellStyle name="20% - Accent3 15 2 2 2 2 2" xfId="40108" xr:uid="{70914615-6EEE-4D10-8DBD-08ECCDEAEBE3}"/>
    <cellStyle name="20% - Accent3 15 2 2 2 3" xfId="24211" xr:uid="{00000000-0005-0000-0000-000020100000}"/>
    <cellStyle name="20% - Accent3 15 2 2 2 3 2" xfId="48044" xr:uid="{08CEA411-5915-44C9-BF8C-7DD38F046950}"/>
    <cellStyle name="20% - Accent3 15 2 2 2 4" xfId="32167" xr:uid="{3E555CC1-CF9A-4D43-947B-723B2437E1DE}"/>
    <cellStyle name="20% - Accent3 15 2 2 3" xfId="12727" xr:uid="{00000000-0005-0000-0000-000021100000}"/>
    <cellStyle name="20% - Accent3 15 2 2 3 2" xfId="36577" xr:uid="{93AB5672-DF9A-4603-B960-A0D74937AA8B}"/>
    <cellStyle name="20% - Accent3 15 2 2 4" xfId="20682" xr:uid="{00000000-0005-0000-0000-000022100000}"/>
    <cellStyle name="20% - Accent3 15 2 2 4 2" xfId="44515" xr:uid="{16B26F5E-DD12-4101-B6C0-7E9E4C8414BF}"/>
    <cellStyle name="20% - Accent3 15 2 2 5" xfId="28636" xr:uid="{F726DFC5-C9A3-4085-83F6-1B0B5BE74ACC}"/>
    <cellStyle name="20% - Accent3 15 2 3" xfId="6535" xr:uid="{00000000-0005-0000-0000-000023100000}"/>
    <cellStyle name="20% - Accent3 15 2 3 2" xfId="14507" xr:uid="{00000000-0005-0000-0000-000024100000}"/>
    <cellStyle name="20% - Accent3 15 2 3 2 2" xfId="38350" xr:uid="{7D760FFD-98E3-4359-A580-7A7E26F91EE7}"/>
    <cellStyle name="20% - Accent3 15 2 3 3" xfId="22454" xr:uid="{00000000-0005-0000-0000-000025100000}"/>
    <cellStyle name="20% - Accent3 15 2 3 3 2" xfId="46287" xr:uid="{B1A9CFBC-E9F9-4EC9-BA2E-95820120F7E3}"/>
    <cellStyle name="20% - Accent3 15 2 3 4" xfId="30409" xr:uid="{3CB22BAA-3727-4935-B240-940D3C83FAD0}"/>
    <cellStyle name="20% - Accent3 15 2 4" xfId="10971" xr:uid="{00000000-0005-0000-0000-000026100000}"/>
    <cellStyle name="20% - Accent3 15 2 4 2" xfId="34821" xr:uid="{4BFA1BDB-3DF5-472B-8777-E0EE979B9C3E}"/>
    <cellStyle name="20% - Accent3 15 2 5" xfId="18926" xr:uid="{00000000-0005-0000-0000-000027100000}"/>
    <cellStyle name="20% - Accent3 15 2 5 2" xfId="42759" xr:uid="{267509CF-3AED-421E-8BF3-024B637B4944}"/>
    <cellStyle name="20% - Accent3 15 2 6" xfId="26879" xr:uid="{18A06609-3B45-4610-87B1-0ED6368C8C3E}"/>
    <cellStyle name="20% - Accent3 15 2_Exh G" xfId="2226" xr:uid="{00000000-0005-0000-0000-000028100000}"/>
    <cellStyle name="20% - Accent3 15 3" xfId="3824" xr:uid="{00000000-0005-0000-0000-000029100000}"/>
    <cellStyle name="20% - Accent3 15 3 2" xfId="7416" xr:uid="{00000000-0005-0000-0000-00002A100000}"/>
    <cellStyle name="20% - Accent3 15 3 2 2" xfId="15387" xr:uid="{00000000-0005-0000-0000-00002B100000}"/>
    <cellStyle name="20% - Accent3 15 3 2 2 2" xfId="39230" xr:uid="{D4E07ED0-6181-499D-8D0D-3C1A2484BF80}"/>
    <cellStyle name="20% - Accent3 15 3 2 3" xfId="23333" xr:uid="{00000000-0005-0000-0000-00002C100000}"/>
    <cellStyle name="20% - Accent3 15 3 2 3 2" xfId="47166" xr:uid="{9B9B6281-87C7-494F-A5E6-5448E811AB02}"/>
    <cellStyle name="20% - Accent3 15 3 2 4" xfId="31289" xr:uid="{6B6574A3-A783-4A79-AFFA-27F08F462E61}"/>
    <cellStyle name="20% - Accent3 15 3 3" xfId="11849" xr:uid="{00000000-0005-0000-0000-00002D100000}"/>
    <cellStyle name="20% - Accent3 15 3 3 2" xfId="35699" xr:uid="{983A787B-335B-417B-B6C6-A423135452DE}"/>
    <cellStyle name="20% - Accent3 15 3 4" xfId="19804" xr:uid="{00000000-0005-0000-0000-00002E100000}"/>
    <cellStyle name="20% - Accent3 15 3 4 2" xfId="43637" xr:uid="{5688EA38-0F61-4A91-BAD4-9DA2A992EEDC}"/>
    <cellStyle name="20% - Accent3 15 3 5" xfId="27758" xr:uid="{237092F2-1609-4B95-B004-89F70C0784B8}"/>
    <cellStyle name="20% - Accent3 15 4" xfId="5644" xr:uid="{00000000-0005-0000-0000-00002F100000}"/>
    <cellStyle name="20% - Accent3 15 4 2" xfId="13628" xr:uid="{00000000-0005-0000-0000-000030100000}"/>
    <cellStyle name="20% - Accent3 15 4 2 2" xfId="37472" xr:uid="{F93A985E-90F2-4213-90C4-06692C25C218}"/>
    <cellStyle name="20% - Accent3 15 4 3" xfId="21576" xr:uid="{00000000-0005-0000-0000-000031100000}"/>
    <cellStyle name="20% - Accent3 15 4 3 2" xfId="45409" xr:uid="{17A97B2D-FCD9-42EE-B3A6-60CE50303C4B}"/>
    <cellStyle name="20% - Accent3 15 4 4" xfId="29531" xr:uid="{8A0EA5FB-9203-49C2-93DA-EA6D18B350AF}"/>
    <cellStyle name="20% - Accent3 15 5" xfId="9197" xr:uid="{00000000-0005-0000-0000-000032100000}"/>
    <cellStyle name="20% - Accent3 15 5 2" xfId="17155" xr:uid="{00000000-0005-0000-0000-000033100000}"/>
    <cellStyle name="20% - Accent3 15 5 2 2" xfId="40996" xr:uid="{0E902255-D68D-4C30-98CB-B4218F08444E}"/>
    <cellStyle name="20% - Accent3 15 5 3" xfId="25099" xr:uid="{00000000-0005-0000-0000-000034100000}"/>
    <cellStyle name="20% - Accent3 15 5 3 2" xfId="48932" xr:uid="{5D954AE2-4C13-4A5E-8C1B-DAB96078D06D}"/>
    <cellStyle name="20% - Accent3 15 5 4" xfId="33055" xr:uid="{132E4E3F-5C95-4EC4-A139-AE3C5434FADA}"/>
    <cellStyle name="20% - Accent3 15 6" xfId="10093" xr:uid="{00000000-0005-0000-0000-000035100000}"/>
    <cellStyle name="20% - Accent3 15 6 2" xfId="33943" xr:uid="{FEFC2CFE-E764-4599-9632-44491B63D0A9}"/>
    <cellStyle name="20% - Accent3 15 7" xfId="18048" xr:uid="{00000000-0005-0000-0000-000036100000}"/>
    <cellStyle name="20% - Accent3 15 7 2" xfId="41881" xr:uid="{EC234595-CB7B-4C31-BF6C-EDA003ACBACB}"/>
    <cellStyle name="20% - Accent3 15 8" xfId="26001" xr:uid="{B513E0C4-ECC3-4348-B83B-F04EF2510CBF}"/>
    <cellStyle name="20% - Accent3 15_Exh G" xfId="2225" xr:uid="{00000000-0005-0000-0000-000037100000}"/>
    <cellStyle name="20% - Accent3 16" xfId="845" xr:uid="{00000000-0005-0000-0000-000038100000}"/>
    <cellStyle name="20% - Accent3 16 2" xfId="1784" xr:uid="{00000000-0005-0000-0000-000039100000}"/>
    <cellStyle name="20% - Accent3 16 2 2" xfId="5305" xr:uid="{00000000-0005-0000-0000-00003A100000}"/>
    <cellStyle name="20% - Accent3 16 2 2 2" xfId="8896" xr:uid="{00000000-0005-0000-0000-00003B100000}"/>
    <cellStyle name="20% - Accent3 16 2 2 2 2" xfId="16867" xr:uid="{00000000-0005-0000-0000-00003C100000}"/>
    <cellStyle name="20% - Accent3 16 2 2 2 2 2" xfId="40710" xr:uid="{D2FAE53D-BB5E-465B-A7A5-F36EB5DCAE24}"/>
    <cellStyle name="20% - Accent3 16 2 2 2 3" xfId="24813" xr:uid="{00000000-0005-0000-0000-00003D100000}"/>
    <cellStyle name="20% - Accent3 16 2 2 2 3 2" xfId="48646" xr:uid="{6394EC0B-52BE-4379-B5EA-82747DEA2F04}"/>
    <cellStyle name="20% - Accent3 16 2 2 2 4" xfId="32769" xr:uid="{8F76059D-0FE3-4426-BA00-083EAB226DBE}"/>
    <cellStyle name="20% - Accent3 16 2 2 3" xfId="13329" xr:uid="{00000000-0005-0000-0000-00003E100000}"/>
    <cellStyle name="20% - Accent3 16 2 2 3 2" xfId="37179" xr:uid="{15736504-2A15-4B06-9ACD-A63C8A7DB3DB}"/>
    <cellStyle name="20% - Accent3 16 2 2 4" xfId="21284" xr:uid="{00000000-0005-0000-0000-00003F100000}"/>
    <cellStyle name="20% - Accent3 16 2 2 4 2" xfId="45117" xr:uid="{FCC5F6EE-4F0C-47C1-AD2A-25575FA575FA}"/>
    <cellStyle name="20% - Accent3 16 2 2 5" xfId="29238" xr:uid="{3FCEA4E7-080D-4A27-93B9-22924E5DDA36}"/>
    <cellStyle name="20% - Accent3 16 2 3" xfId="7137" xr:uid="{00000000-0005-0000-0000-000040100000}"/>
    <cellStyle name="20% - Accent3 16 2 3 2" xfId="15109" xr:uid="{00000000-0005-0000-0000-000041100000}"/>
    <cellStyle name="20% - Accent3 16 2 3 2 2" xfId="38952" xr:uid="{9A97F3D3-F77D-48F8-AA57-1E93FC27ED70}"/>
    <cellStyle name="20% - Accent3 16 2 3 3" xfId="23056" xr:uid="{00000000-0005-0000-0000-000042100000}"/>
    <cellStyle name="20% - Accent3 16 2 3 3 2" xfId="46889" xr:uid="{31EA5A4D-03CE-41EF-BDA5-C06B23F7B2B5}"/>
    <cellStyle name="20% - Accent3 16 2 3 4" xfId="31011" xr:uid="{6232270D-448A-4822-980E-3CD9A81BB317}"/>
    <cellStyle name="20% - Accent3 16 2 4" xfId="11573" xr:uid="{00000000-0005-0000-0000-000043100000}"/>
    <cellStyle name="20% - Accent3 16 2 4 2" xfId="35423" xr:uid="{8404D14E-8438-4F33-8939-DBA6839EE292}"/>
    <cellStyle name="20% - Accent3 16 2 5" xfId="19528" xr:uid="{00000000-0005-0000-0000-000044100000}"/>
    <cellStyle name="20% - Accent3 16 2 5 2" xfId="43361" xr:uid="{2AA7D867-EE97-4A02-BEBE-B6A1E2A636CF}"/>
    <cellStyle name="20% - Accent3 16 2 6" xfId="27481" xr:uid="{49FBAD85-53C0-46AD-BA31-F91A1E57423D}"/>
    <cellStyle name="20% - Accent3 16 2_Exh G" xfId="2228" xr:uid="{00000000-0005-0000-0000-000045100000}"/>
    <cellStyle name="20% - Accent3 16 3" xfId="4426" xr:uid="{00000000-0005-0000-0000-000046100000}"/>
    <cellStyle name="20% - Accent3 16 3 2" xfId="8018" xr:uid="{00000000-0005-0000-0000-000047100000}"/>
    <cellStyle name="20% - Accent3 16 3 2 2" xfId="15989" xr:uid="{00000000-0005-0000-0000-000048100000}"/>
    <cellStyle name="20% - Accent3 16 3 2 2 2" xfId="39832" xr:uid="{B227F19E-EC4B-4CBC-8BFA-12F0547ECDF8}"/>
    <cellStyle name="20% - Accent3 16 3 2 3" xfId="23935" xr:uid="{00000000-0005-0000-0000-000049100000}"/>
    <cellStyle name="20% - Accent3 16 3 2 3 2" xfId="47768" xr:uid="{6EEB1033-CC90-4A58-BEF2-A9731FF5392B}"/>
    <cellStyle name="20% - Accent3 16 3 2 4" xfId="31891" xr:uid="{89002077-FD61-420B-8B9E-AA30C47747F5}"/>
    <cellStyle name="20% - Accent3 16 3 3" xfId="12451" xr:uid="{00000000-0005-0000-0000-00004A100000}"/>
    <cellStyle name="20% - Accent3 16 3 3 2" xfId="36301" xr:uid="{FA6EBF80-DEB5-4922-9506-F1FB0A0559C4}"/>
    <cellStyle name="20% - Accent3 16 3 4" xfId="20406" xr:uid="{00000000-0005-0000-0000-00004B100000}"/>
    <cellStyle name="20% - Accent3 16 3 4 2" xfId="44239" xr:uid="{C2F84232-67D7-4328-8688-4EFE4E014590}"/>
    <cellStyle name="20% - Accent3 16 3 5" xfId="28360" xr:uid="{F81B2295-D43E-48E2-A13D-41706CB977CE}"/>
    <cellStyle name="20% - Accent3 16 4" xfId="6256" xr:uid="{00000000-0005-0000-0000-00004C100000}"/>
    <cellStyle name="20% - Accent3 16 4 2" xfId="14231" xr:uid="{00000000-0005-0000-0000-00004D100000}"/>
    <cellStyle name="20% - Accent3 16 4 2 2" xfId="38074" xr:uid="{7A51D122-1FB0-466A-8668-7728B8E88355}"/>
    <cellStyle name="20% - Accent3 16 4 3" xfId="22178" xr:uid="{00000000-0005-0000-0000-00004E100000}"/>
    <cellStyle name="20% - Accent3 16 4 3 2" xfId="46011" xr:uid="{FF9DF59D-97E2-4BB8-A21A-1D37D7DBA17E}"/>
    <cellStyle name="20% - Accent3 16 4 4" xfId="30133" xr:uid="{C8A6B8DD-9F36-463A-A3CC-583BC75446BC}"/>
    <cellStyle name="20% - Accent3 16 5" xfId="9799" xr:uid="{00000000-0005-0000-0000-00004F100000}"/>
    <cellStyle name="20% - Accent3 16 5 2" xfId="17757" xr:uid="{00000000-0005-0000-0000-000050100000}"/>
    <cellStyle name="20% - Accent3 16 5 2 2" xfId="41598" xr:uid="{3F0CEF08-4982-4878-9EB8-655258379364}"/>
    <cellStyle name="20% - Accent3 16 5 3" xfId="25701" xr:uid="{00000000-0005-0000-0000-000051100000}"/>
    <cellStyle name="20% - Accent3 16 5 3 2" xfId="49534" xr:uid="{BC85315B-EF89-4A8B-A179-0E7DB6B0BC04}"/>
    <cellStyle name="20% - Accent3 16 5 4" xfId="33657" xr:uid="{7C97FF52-EBD3-45FB-B7F0-C2DB5CCC12FA}"/>
    <cellStyle name="20% - Accent3 16 6" xfId="10695" xr:uid="{00000000-0005-0000-0000-000052100000}"/>
    <cellStyle name="20% - Accent3 16 6 2" xfId="34545" xr:uid="{F11103D4-BC66-4166-8659-9356B0B917B1}"/>
    <cellStyle name="20% - Accent3 16 7" xfId="18650" xr:uid="{00000000-0005-0000-0000-000053100000}"/>
    <cellStyle name="20% - Accent3 16 7 2" xfId="42483" xr:uid="{785933B2-091A-4D41-8785-4D4C004A010D}"/>
    <cellStyle name="20% - Accent3 16 8" xfId="26603" xr:uid="{519B685E-29FE-4ADE-9104-5516FD718BBB}"/>
    <cellStyle name="20% - Accent3 16_Exh G" xfId="2227" xr:uid="{00000000-0005-0000-0000-000054100000}"/>
    <cellStyle name="20% - Accent3 17" xfId="49799" xr:uid="{DB6CC688-E3D5-4727-A2A7-DC444F6247D5}"/>
    <cellStyle name="20% - Accent3 2" xfId="146" xr:uid="{00000000-0005-0000-0000-000055100000}"/>
    <cellStyle name="20% - Accent3 2 10" xfId="18049" xr:uid="{00000000-0005-0000-0000-000056100000}"/>
    <cellStyle name="20% - Accent3 2 10 2" xfId="41882" xr:uid="{C705E65B-E8E2-4012-A3D3-3BA7260781A8}"/>
    <cellStyle name="20% - Accent3 2 11" xfId="26002" xr:uid="{081CF791-15B4-40CC-86E7-94FC8514EEFC}"/>
    <cellStyle name="20% - Accent3 2 12" xfId="49784" xr:uid="{E56AE9A0-7888-4ED3-B2D9-2911EB824B94}"/>
    <cellStyle name="20% - Accent3 2 13" xfId="49812" xr:uid="{47C185E8-F829-49A6-A144-8E08F480EBDA}"/>
    <cellStyle name="20% - Accent3 2 2" xfId="147" xr:uid="{00000000-0005-0000-0000-000057100000}"/>
    <cellStyle name="20% - Accent3 2 2 10" xfId="26003" xr:uid="{215F627A-E8D3-4967-9F07-EF2D62D1FF76}"/>
    <cellStyle name="20% - Accent3 2 2 2" xfId="148" xr:uid="{00000000-0005-0000-0000-000058100000}"/>
    <cellStyle name="20% - Accent3 2 2 2 2" xfId="1176" xr:uid="{00000000-0005-0000-0000-000059100000}"/>
    <cellStyle name="20% - Accent3 2 2 2 2 2" xfId="4706" xr:uid="{00000000-0005-0000-0000-00005A100000}"/>
    <cellStyle name="20% - Accent3 2 2 2 2 2 2" xfId="8297" xr:uid="{00000000-0005-0000-0000-00005B100000}"/>
    <cellStyle name="20% - Accent3 2 2 2 2 2 2 2" xfId="16268" xr:uid="{00000000-0005-0000-0000-00005C100000}"/>
    <cellStyle name="20% - Accent3 2 2 2 2 2 2 2 2" xfId="40111" xr:uid="{515CDD62-EB09-4250-A4C0-046C6E4F7BD6}"/>
    <cellStyle name="20% - Accent3 2 2 2 2 2 2 3" xfId="24214" xr:uid="{00000000-0005-0000-0000-00005D100000}"/>
    <cellStyle name="20% - Accent3 2 2 2 2 2 2 3 2" xfId="48047" xr:uid="{0A8A77A0-0A1D-4664-A5CE-FFF0E2D9A7B8}"/>
    <cellStyle name="20% - Accent3 2 2 2 2 2 2 4" xfId="32170" xr:uid="{B818F9DC-9406-4131-994D-537CBA365E3A}"/>
    <cellStyle name="20% - Accent3 2 2 2 2 2 3" xfId="12730" xr:uid="{00000000-0005-0000-0000-00005E100000}"/>
    <cellStyle name="20% - Accent3 2 2 2 2 2 3 2" xfId="36580" xr:uid="{18DFAC26-E212-4714-9E71-7DF13F12EBA9}"/>
    <cellStyle name="20% - Accent3 2 2 2 2 2 4" xfId="20685" xr:uid="{00000000-0005-0000-0000-00005F100000}"/>
    <cellStyle name="20% - Accent3 2 2 2 2 2 4 2" xfId="44518" xr:uid="{23EBAE12-4306-4905-92E0-FAEAEEA944E9}"/>
    <cellStyle name="20% - Accent3 2 2 2 2 2 5" xfId="28639" xr:uid="{E798AAEE-9B42-4AE4-B1DB-C6105062D3FB}"/>
    <cellStyle name="20% - Accent3 2 2 2 2 3" xfId="6538" xr:uid="{00000000-0005-0000-0000-000060100000}"/>
    <cellStyle name="20% - Accent3 2 2 2 2 3 2" xfId="14510" xr:uid="{00000000-0005-0000-0000-000061100000}"/>
    <cellStyle name="20% - Accent3 2 2 2 2 3 2 2" xfId="38353" xr:uid="{489B298F-3FCE-49EA-98E7-124AB5698594}"/>
    <cellStyle name="20% - Accent3 2 2 2 2 3 3" xfId="22457" xr:uid="{00000000-0005-0000-0000-000062100000}"/>
    <cellStyle name="20% - Accent3 2 2 2 2 3 3 2" xfId="46290" xr:uid="{F6D413F9-3114-43CD-96BD-F735C4388602}"/>
    <cellStyle name="20% - Accent3 2 2 2 2 3 4" xfId="30412" xr:uid="{A55D59DA-E012-49E7-A9D5-D89134CD9195}"/>
    <cellStyle name="20% - Accent3 2 2 2 2 4" xfId="10974" xr:uid="{00000000-0005-0000-0000-000063100000}"/>
    <cellStyle name="20% - Accent3 2 2 2 2 4 2" xfId="34824" xr:uid="{B03F0965-4F5A-4098-8266-34DE4AF54C63}"/>
    <cellStyle name="20% - Accent3 2 2 2 2 5" xfId="18929" xr:uid="{00000000-0005-0000-0000-000064100000}"/>
    <cellStyle name="20% - Accent3 2 2 2 2 5 2" xfId="42762" xr:uid="{5EDECB62-0075-401B-AE6E-0550DBF5AA4D}"/>
    <cellStyle name="20% - Accent3 2 2 2 2 6" xfId="26882" xr:uid="{72870D03-BE39-49D9-BF9D-3BEABE6F7C7C}"/>
    <cellStyle name="20% - Accent3 2 2 2 2_Exh G" xfId="2232" xr:uid="{00000000-0005-0000-0000-000065100000}"/>
    <cellStyle name="20% - Accent3 2 2 2 3" xfId="3827" xr:uid="{00000000-0005-0000-0000-000066100000}"/>
    <cellStyle name="20% - Accent3 2 2 2 3 2" xfId="7419" xr:uid="{00000000-0005-0000-0000-000067100000}"/>
    <cellStyle name="20% - Accent3 2 2 2 3 2 2" xfId="15390" xr:uid="{00000000-0005-0000-0000-000068100000}"/>
    <cellStyle name="20% - Accent3 2 2 2 3 2 2 2" xfId="39233" xr:uid="{B072D117-E9E1-4884-86B4-ABB1F0DE125E}"/>
    <cellStyle name="20% - Accent3 2 2 2 3 2 3" xfId="23336" xr:uid="{00000000-0005-0000-0000-000069100000}"/>
    <cellStyle name="20% - Accent3 2 2 2 3 2 3 2" xfId="47169" xr:uid="{01B925BC-6DE9-4CFD-BFB7-70A890CFBC51}"/>
    <cellStyle name="20% - Accent3 2 2 2 3 2 4" xfId="31292" xr:uid="{0811B7B3-9DCC-4F18-BD3A-78A10D7183CD}"/>
    <cellStyle name="20% - Accent3 2 2 2 3 3" xfId="11852" xr:uid="{00000000-0005-0000-0000-00006A100000}"/>
    <cellStyle name="20% - Accent3 2 2 2 3 3 2" xfId="35702" xr:uid="{ECC17740-74C2-479B-91E9-ABFC03CE005C}"/>
    <cellStyle name="20% - Accent3 2 2 2 3 4" xfId="19807" xr:uid="{00000000-0005-0000-0000-00006B100000}"/>
    <cellStyle name="20% - Accent3 2 2 2 3 4 2" xfId="43640" xr:uid="{997B6F08-93D4-4635-A66C-D32468C02783}"/>
    <cellStyle name="20% - Accent3 2 2 2 3 5" xfId="27761" xr:uid="{7EBC0822-305B-4E17-9ECD-3F33F95BD715}"/>
    <cellStyle name="20% - Accent3 2 2 2 4" xfId="5647" xr:uid="{00000000-0005-0000-0000-00006C100000}"/>
    <cellStyle name="20% - Accent3 2 2 2 4 2" xfId="13631" xr:uid="{00000000-0005-0000-0000-00006D100000}"/>
    <cellStyle name="20% - Accent3 2 2 2 4 2 2" xfId="37475" xr:uid="{8466B959-4477-4CB2-B13D-8DEC85B8CD32}"/>
    <cellStyle name="20% - Accent3 2 2 2 4 3" xfId="21579" xr:uid="{00000000-0005-0000-0000-00006E100000}"/>
    <cellStyle name="20% - Accent3 2 2 2 4 3 2" xfId="45412" xr:uid="{ECBA444A-CC5E-4034-9D17-063D3000DEED}"/>
    <cellStyle name="20% - Accent3 2 2 2 4 4" xfId="29534" xr:uid="{5BC38AFD-04BD-4C24-87D8-00E512A0D391}"/>
    <cellStyle name="20% - Accent3 2 2 2 5" xfId="9200" xr:uid="{00000000-0005-0000-0000-00006F100000}"/>
    <cellStyle name="20% - Accent3 2 2 2 5 2" xfId="17158" xr:uid="{00000000-0005-0000-0000-000070100000}"/>
    <cellStyle name="20% - Accent3 2 2 2 5 2 2" xfId="40999" xr:uid="{396681A2-B187-4FD5-A069-420BD5754573}"/>
    <cellStyle name="20% - Accent3 2 2 2 5 3" xfId="25102" xr:uid="{00000000-0005-0000-0000-000071100000}"/>
    <cellStyle name="20% - Accent3 2 2 2 5 3 2" xfId="48935" xr:uid="{7AD5F9D0-CD17-44D6-8703-1B7A7B477D62}"/>
    <cellStyle name="20% - Accent3 2 2 2 5 4" xfId="33058" xr:uid="{F11DE7BE-0BCF-4879-AD1F-5DFA6A8EB022}"/>
    <cellStyle name="20% - Accent3 2 2 2 6" xfId="10096" xr:uid="{00000000-0005-0000-0000-000072100000}"/>
    <cellStyle name="20% - Accent3 2 2 2 6 2" xfId="33946" xr:uid="{BA523777-154D-4C1D-A2C1-50123D764894}"/>
    <cellStyle name="20% - Accent3 2 2 2 7" xfId="18051" xr:uid="{00000000-0005-0000-0000-000073100000}"/>
    <cellStyle name="20% - Accent3 2 2 2 7 2" xfId="41884" xr:uid="{80F6D5C5-F8D1-4C29-B3E3-B26D5C1E5894}"/>
    <cellStyle name="20% - Accent3 2 2 2 8" xfId="26004" xr:uid="{E3F8C2AC-9304-466E-B012-47D2811EC003}"/>
    <cellStyle name="20% - Accent3 2 2 2_Exh G" xfId="2231" xr:uid="{00000000-0005-0000-0000-000074100000}"/>
    <cellStyle name="20% - Accent3 2 2 3" xfId="888" xr:uid="{00000000-0005-0000-0000-000075100000}"/>
    <cellStyle name="20% - Accent3 2 2 3 2" xfId="1820" xr:uid="{00000000-0005-0000-0000-000076100000}"/>
    <cellStyle name="20% - Accent3 2 2 3 2 2" xfId="5338" xr:uid="{00000000-0005-0000-0000-000077100000}"/>
    <cellStyle name="20% - Accent3 2 2 3 2 2 2" xfId="8929" xr:uid="{00000000-0005-0000-0000-000078100000}"/>
    <cellStyle name="20% - Accent3 2 2 3 2 2 2 2" xfId="16900" xr:uid="{00000000-0005-0000-0000-000079100000}"/>
    <cellStyle name="20% - Accent3 2 2 3 2 2 2 2 2" xfId="40743" xr:uid="{E7811A80-1FE4-4995-A327-AD0CEE2B8EBB}"/>
    <cellStyle name="20% - Accent3 2 2 3 2 2 2 3" xfId="24846" xr:uid="{00000000-0005-0000-0000-00007A100000}"/>
    <cellStyle name="20% - Accent3 2 2 3 2 2 2 3 2" xfId="48679" xr:uid="{760F81BF-8454-4B6E-B0D0-BA1F966D5982}"/>
    <cellStyle name="20% - Accent3 2 2 3 2 2 2 4" xfId="32802" xr:uid="{598C23F6-1193-4A29-928C-9424833E5E0B}"/>
    <cellStyle name="20% - Accent3 2 2 3 2 2 3" xfId="13362" xr:uid="{00000000-0005-0000-0000-00007B100000}"/>
    <cellStyle name="20% - Accent3 2 2 3 2 2 3 2" xfId="37212" xr:uid="{85DAE197-179A-4F17-8F96-D66BA3899375}"/>
    <cellStyle name="20% - Accent3 2 2 3 2 2 4" xfId="21317" xr:uid="{00000000-0005-0000-0000-00007C100000}"/>
    <cellStyle name="20% - Accent3 2 2 3 2 2 4 2" xfId="45150" xr:uid="{8169FB42-0482-471B-8F6C-20F772836279}"/>
    <cellStyle name="20% - Accent3 2 2 3 2 2 5" xfId="29271" xr:uid="{DDFD136A-8566-4B07-BACA-245E24505DE7}"/>
    <cellStyle name="20% - Accent3 2 2 3 2 3" xfId="7170" xr:uid="{00000000-0005-0000-0000-00007D100000}"/>
    <cellStyle name="20% - Accent3 2 2 3 2 3 2" xfId="15142" xr:uid="{00000000-0005-0000-0000-00007E100000}"/>
    <cellStyle name="20% - Accent3 2 2 3 2 3 2 2" xfId="38985" xr:uid="{00F22628-231D-4BA9-8091-4B81CC3A728D}"/>
    <cellStyle name="20% - Accent3 2 2 3 2 3 3" xfId="23089" xr:uid="{00000000-0005-0000-0000-00007F100000}"/>
    <cellStyle name="20% - Accent3 2 2 3 2 3 3 2" xfId="46922" xr:uid="{A765E15E-AD66-4748-BA20-658E52DE631B}"/>
    <cellStyle name="20% - Accent3 2 2 3 2 3 4" xfId="31044" xr:uid="{918E4610-D05E-4DBD-B3C1-83306A247F79}"/>
    <cellStyle name="20% - Accent3 2 2 3 2 4" xfId="11606" xr:uid="{00000000-0005-0000-0000-000080100000}"/>
    <cellStyle name="20% - Accent3 2 2 3 2 4 2" xfId="35456" xr:uid="{55B8F34D-696D-4FC4-ACBA-192B41C1ABC2}"/>
    <cellStyle name="20% - Accent3 2 2 3 2 5" xfId="19561" xr:uid="{00000000-0005-0000-0000-000081100000}"/>
    <cellStyle name="20% - Accent3 2 2 3 2 5 2" xfId="43394" xr:uid="{DACFCCFB-D730-45FB-B647-B1CFE20044AB}"/>
    <cellStyle name="20% - Accent3 2 2 3 2 6" xfId="27514" xr:uid="{87AAA4D4-89C6-4BBF-84B8-71BD81F3D1EB}"/>
    <cellStyle name="20% - Accent3 2 2 3 2_Exh G" xfId="2234" xr:uid="{00000000-0005-0000-0000-000082100000}"/>
    <cellStyle name="20% - Accent3 2 2 3 3" xfId="4459" xr:uid="{00000000-0005-0000-0000-000083100000}"/>
    <cellStyle name="20% - Accent3 2 2 3 3 2" xfId="8051" xr:uid="{00000000-0005-0000-0000-000084100000}"/>
    <cellStyle name="20% - Accent3 2 2 3 3 2 2" xfId="16022" xr:uid="{00000000-0005-0000-0000-000085100000}"/>
    <cellStyle name="20% - Accent3 2 2 3 3 2 2 2" xfId="39865" xr:uid="{9BD1E431-D952-4B47-B0FA-CE9B91CBA332}"/>
    <cellStyle name="20% - Accent3 2 2 3 3 2 3" xfId="23968" xr:uid="{00000000-0005-0000-0000-000086100000}"/>
    <cellStyle name="20% - Accent3 2 2 3 3 2 3 2" xfId="47801" xr:uid="{CE6CADE9-85BA-48F5-8FEA-A978D8D9052D}"/>
    <cellStyle name="20% - Accent3 2 2 3 3 2 4" xfId="31924" xr:uid="{200DFDA7-AC8B-4EB6-A57B-0767CC1E6196}"/>
    <cellStyle name="20% - Accent3 2 2 3 3 3" xfId="12484" xr:uid="{00000000-0005-0000-0000-000087100000}"/>
    <cellStyle name="20% - Accent3 2 2 3 3 3 2" xfId="36334" xr:uid="{3F9EFF60-DBDA-4CEA-B26C-1D6F016B3474}"/>
    <cellStyle name="20% - Accent3 2 2 3 3 4" xfId="20439" xr:uid="{00000000-0005-0000-0000-000088100000}"/>
    <cellStyle name="20% - Accent3 2 2 3 3 4 2" xfId="44272" xr:uid="{BB24A2A0-73D2-4462-BF75-A4038411080B}"/>
    <cellStyle name="20% - Accent3 2 2 3 3 5" xfId="28393" xr:uid="{BAD98E10-CCDD-4563-94FA-FFB287EEA81F}"/>
    <cellStyle name="20% - Accent3 2 2 3 4" xfId="6289" xr:uid="{00000000-0005-0000-0000-000089100000}"/>
    <cellStyle name="20% - Accent3 2 2 3 4 2" xfId="14264" xr:uid="{00000000-0005-0000-0000-00008A100000}"/>
    <cellStyle name="20% - Accent3 2 2 3 4 2 2" xfId="38107" xr:uid="{3B40B9FB-C110-4CF7-9F6F-9A378594C12B}"/>
    <cellStyle name="20% - Accent3 2 2 3 4 3" xfId="22211" xr:uid="{00000000-0005-0000-0000-00008B100000}"/>
    <cellStyle name="20% - Accent3 2 2 3 4 3 2" xfId="46044" xr:uid="{4AFB6DF9-B4EB-4557-862D-C6FB46E89085}"/>
    <cellStyle name="20% - Accent3 2 2 3 4 4" xfId="30166" xr:uid="{D8CD93CE-5FD6-440F-842A-D7D51076284C}"/>
    <cellStyle name="20% - Accent3 2 2 3 5" xfId="9832" xr:uid="{00000000-0005-0000-0000-00008C100000}"/>
    <cellStyle name="20% - Accent3 2 2 3 5 2" xfId="17790" xr:uid="{00000000-0005-0000-0000-00008D100000}"/>
    <cellStyle name="20% - Accent3 2 2 3 5 2 2" xfId="41631" xr:uid="{C3858517-DC9F-4A61-91D2-C0A473619D79}"/>
    <cellStyle name="20% - Accent3 2 2 3 5 3" xfId="25734" xr:uid="{00000000-0005-0000-0000-00008E100000}"/>
    <cellStyle name="20% - Accent3 2 2 3 5 3 2" xfId="49567" xr:uid="{8A07B9CB-EEDD-42AF-BAA6-9C9E5CF01420}"/>
    <cellStyle name="20% - Accent3 2 2 3 5 4" xfId="33690" xr:uid="{F7907D09-DA59-48AD-B3CB-5FF41AEA1F8C}"/>
    <cellStyle name="20% - Accent3 2 2 3 6" xfId="10728" xr:uid="{00000000-0005-0000-0000-00008F100000}"/>
    <cellStyle name="20% - Accent3 2 2 3 6 2" xfId="34578" xr:uid="{D3EB7442-E931-414A-994B-18FD4A6B8A14}"/>
    <cellStyle name="20% - Accent3 2 2 3 7" xfId="18683" xr:uid="{00000000-0005-0000-0000-000090100000}"/>
    <cellStyle name="20% - Accent3 2 2 3 7 2" xfId="42516" xr:uid="{BFF32B50-3120-4F74-88CE-C31DA71CAF84}"/>
    <cellStyle name="20% - Accent3 2 2 3 8" xfId="26636" xr:uid="{6A0E66E4-7C26-4B06-AB1F-C87DFEB94702}"/>
    <cellStyle name="20% - Accent3 2 2 3_Exh G" xfId="2233" xr:uid="{00000000-0005-0000-0000-000091100000}"/>
    <cellStyle name="20% - Accent3 2 2 4" xfId="1175" xr:uid="{00000000-0005-0000-0000-000092100000}"/>
    <cellStyle name="20% - Accent3 2 2 4 2" xfId="4705" xr:uid="{00000000-0005-0000-0000-000093100000}"/>
    <cellStyle name="20% - Accent3 2 2 4 2 2" xfId="8296" xr:uid="{00000000-0005-0000-0000-000094100000}"/>
    <cellStyle name="20% - Accent3 2 2 4 2 2 2" xfId="16267" xr:uid="{00000000-0005-0000-0000-000095100000}"/>
    <cellStyle name="20% - Accent3 2 2 4 2 2 2 2" xfId="40110" xr:uid="{876C3B6F-2325-4272-969C-916009AD820D}"/>
    <cellStyle name="20% - Accent3 2 2 4 2 2 3" xfId="24213" xr:uid="{00000000-0005-0000-0000-000096100000}"/>
    <cellStyle name="20% - Accent3 2 2 4 2 2 3 2" xfId="48046" xr:uid="{856AFB5C-BB62-43CF-9FC3-600975889A11}"/>
    <cellStyle name="20% - Accent3 2 2 4 2 2 4" xfId="32169" xr:uid="{B2BDCD7E-B2AD-477B-9B59-559E7E23603F}"/>
    <cellStyle name="20% - Accent3 2 2 4 2 3" xfId="12729" xr:uid="{00000000-0005-0000-0000-000097100000}"/>
    <cellStyle name="20% - Accent3 2 2 4 2 3 2" xfId="36579" xr:uid="{8EC68858-794A-4B46-B488-A879A2EB4CE4}"/>
    <cellStyle name="20% - Accent3 2 2 4 2 4" xfId="20684" xr:uid="{00000000-0005-0000-0000-000098100000}"/>
    <cellStyle name="20% - Accent3 2 2 4 2 4 2" xfId="44517" xr:uid="{CCA3FAB3-F291-4EBE-9BAA-1D2B91F19FED}"/>
    <cellStyle name="20% - Accent3 2 2 4 2 5" xfId="28638" xr:uid="{128D25D0-9598-4A33-8571-7E8E357534CD}"/>
    <cellStyle name="20% - Accent3 2 2 4 3" xfId="6537" xr:uid="{00000000-0005-0000-0000-000099100000}"/>
    <cellStyle name="20% - Accent3 2 2 4 3 2" xfId="14509" xr:uid="{00000000-0005-0000-0000-00009A100000}"/>
    <cellStyle name="20% - Accent3 2 2 4 3 2 2" xfId="38352" xr:uid="{EB1F928E-403C-47B9-AB5A-799647A0B2BE}"/>
    <cellStyle name="20% - Accent3 2 2 4 3 3" xfId="22456" xr:uid="{00000000-0005-0000-0000-00009B100000}"/>
    <cellStyle name="20% - Accent3 2 2 4 3 3 2" xfId="46289" xr:uid="{802761B0-E3B5-4C43-A22F-5EDC73481BC5}"/>
    <cellStyle name="20% - Accent3 2 2 4 3 4" xfId="30411" xr:uid="{4CA6C231-4A56-4BAC-9022-B3E6ECE59870}"/>
    <cellStyle name="20% - Accent3 2 2 4 4" xfId="10973" xr:uid="{00000000-0005-0000-0000-00009C100000}"/>
    <cellStyle name="20% - Accent3 2 2 4 4 2" xfId="34823" xr:uid="{BB4D0D80-414A-4E88-8843-4C885CE1F047}"/>
    <cellStyle name="20% - Accent3 2 2 4 5" xfId="18928" xr:uid="{00000000-0005-0000-0000-00009D100000}"/>
    <cellStyle name="20% - Accent3 2 2 4 5 2" xfId="42761" xr:uid="{811EE855-9446-495E-A961-8B3F2D23D27D}"/>
    <cellStyle name="20% - Accent3 2 2 4 6" xfId="26881" xr:uid="{16D6709D-A76D-47FC-9C18-E563A78E1105}"/>
    <cellStyle name="20% - Accent3 2 2 4_Exh G" xfId="2235" xr:uid="{00000000-0005-0000-0000-00009E100000}"/>
    <cellStyle name="20% - Accent3 2 2 5" xfId="3826" xr:uid="{00000000-0005-0000-0000-00009F100000}"/>
    <cellStyle name="20% - Accent3 2 2 5 2" xfId="7418" xr:uid="{00000000-0005-0000-0000-0000A0100000}"/>
    <cellStyle name="20% - Accent3 2 2 5 2 2" xfId="15389" xr:uid="{00000000-0005-0000-0000-0000A1100000}"/>
    <cellStyle name="20% - Accent3 2 2 5 2 2 2" xfId="39232" xr:uid="{CA9A16A6-A0F1-4B63-B86C-D14FBD6CC2E2}"/>
    <cellStyle name="20% - Accent3 2 2 5 2 3" xfId="23335" xr:uid="{00000000-0005-0000-0000-0000A2100000}"/>
    <cellStyle name="20% - Accent3 2 2 5 2 3 2" xfId="47168" xr:uid="{80E128F2-7C86-4D25-9BD4-B8D9B0F4832F}"/>
    <cellStyle name="20% - Accent3 2 2 5 2 4" xfId="31291" xr:uid="{F147DCAB-C7CC-4AF6-9FED-211884AC50B8}"/>
    <cellStyle name="20% - Accent3 2 2 5 3" xfId="11851" xr:uid="{00000000-0005-0000-0000-0000A3100000}"/>
    <cellStyle name="20% - Accent3 2 2 5 3 2" xfId="35701" xr:uid="{65B76EB0-0949-4E12-9E22-5F8964EE2C70}"/>
    <cellStyle name="20% - Accent3 2 2 5 4" xfId="19806" xr:uid="{00000000-0005-0000-0000-0000A4100000}"/>
    <cellStyle name="20% - Accent3 2 2 5 4 2" xfId="43639" xr:uid="{EC8908BB-4BBC-4BFC-9FE3-F5C3E89AA31C}"/>
    <cellStyle name="20% - Accent3 2 2 5 5" xfId="27760" xr:uid="{778E3D75-34F1-4043-A627-9D47052AEF66}"/>
    <cellStyle name="20% - Accent3 2 2 6" xfId="5646" xr:uid="{00000000-0005-0000-0000-0000A5100000}"/>
    <cellStyle name="20% - Accent3 2 2 6 2" xfId="13630" xr:uid="{00000000-0005-0000-0000-0000A6100000}"/>
    <cellStyle name="20% - Accent3 2 2 6 2 2" xfId="37474" xr:uid="{EB8ACEA3-8C7B-4C1D-9628-F37B0B6E130F}"/>
    <cellStyle name="20% - Accent3 2 2 6 3" xfId="21578" xr:uid="{00000000-0005-0000-0000-0000A7100000}"/>
    <cellStyle name="20% - Accent3 2 2 6 3 2" xfId="45411" xr:uid="{0A52FEBC-8F12-48A9-884C-345BD1F19AA4}"/>
    <cellStyle name="20% - Accent3 2 2 6 4" xfId="29533" xr:uid="{314A6D39-B974-4F8F-80E0-FA4DCA586C4A}"/>
    <cellStyle name="20% - Accent3 2 2 7" xfId="9199" xr:uid="{00000000-0005-0000-0000-0000A8100000}"/>
    <cellStyle name="20% - Accent3 2 2 7 2" xfId="17157" xr:uid="{00000000-0005-0000-0000-0000A9100000}"/>
    <cellStyle name="20% - Accent3 2 2 7 2 2" xfId="40998" xr:uid="{D114BB70-9BC6-40F8-9CF0-EAA09D8DFC87}"/>
    <cellStyle name="20% - Accent3 2 2 7 3" xfId="25101" xr:uid="{00000000-0005-0000-0000-0000AA100000}"/>
    <cellStyle name="20% - Accent3 2 2 7 3 2" xfId="48934" xr:uid="{5A6DE8A4-182F-43AC-9C79-189BDB055186}"/>
    <cellStyle name="20% - Accent3 2 2 7 4" xfId="33057" xr:uid="{8EE6DD80-560D-4C51-B623-8B957E20AC55}"/>
    <cellStyle name="20% - Accent3 2 2 8" xfId="10095" xr:uid="{00000000-0005-0000-0000-0000AB100000}"/>
    <cellStyle name="20% - Accent3 2 2 8 2" xfId="33945" xr:uid="{BE88BB93-47EA-43E5-B4D5-A72D56ED9E1E}"/>
    <cellStyle name="20% - Accent3 2 2 9" xfId="18050" xr:uid="{00000000-0005-0000-0000-0000AC100000}"/>
    <cellStyle name="20% - Accent3 2 2 9 2" xfId="41883" xr:uid="{90423A8C-CE9D-4548-886F-B8AB89AE129C}"/>
    <cellStyle name="20% - Accent3 2 2_Exh G" xfId="2230" xr:uid="{00000000-0005-0000-0000-0000AD100000}"/>
    <cellStyle name="20% - Accent3 2 3" xfId="149" xr:uid="{00000000-0005-0000-0000-0000AE100000}"/>
    <cellStyle name="20% - Accent3 2 3 2" xfId="1177" xr:uid="{00000000-0005-0000-0000-0000AF100000}"/>
    <cellStyle name="20% - Accent3 2 3 2 2" xfId="4707" xr:uid="{00000000-0005-0000-0000-0000B0100000}"/>
    <cellStyle name="20% - Accent3 2 3 2 2 2" xfId="8298" xr:uid="{00000000-0005-0000-0000-0000B1100000}"/>
    <cellStyle name="20% - Accent3 2 3 2 2 2 2" xfId="16269" xr:uid="{00000000-0005-0000-0000-0000B2100000}"/>
    <cellStyle name="20% - Accent3 2 3 2 2 2 2 2" xfId="40112" xr:uid="{DC0E59E4-D067-4E68-8A40-79741F683543}"/>
    <cellStyle name="20% - Accent3 2 3 2 2 2 3" xfId="24215" xr:uid="{00000000-0005-0000-0000-0000B3100000}"/>
    <cellStyle name="20% - Accent3 2 3 2 2 2 3 2" xfId="48048" xr:uid="{AA120EAC-BB04-4CDA-B1A3-42EDA0787490}"/>
    <cellStyle name="20% - Accent3 2 3 2 2 2 4" xfId="32171" xr:uid="{023DD547-3C22-4D55-B453-670B4DC276E0}"/>
    <cellStyle name="20% - Accent3 2 3 2 2 3" xfId="12731" xr:uid="{00000000-0005-0000-0000-0000B4100000}"/>
    <cellStyle name="20% - Accent3 2 3 2 2 3 2" xfId="36581" xr:uid="{CE00397F-0706-43F4-B908-235D226CA81B}"/>
    <cellStyle name="20% - Accent3 2 3 2 2 4" xfId="20686" xr:uid="{00000000-0005-0000-0000-0000B5100000}"/>
    <cellStyle name="20% - Accent3 2 3 2 2 4 2" xfId="44519" xr:uid="{34A62BFE-81D5-46C7-94CA-A873B39EB957}"/>
    <cellStyle name="20% - Accent3 2 3 2 2 5" xfId="28640" xr:uid="{83D392B7-640F-4473-A99F-BA0659369329}"/>
    <cellStyle name="20% - Accent3 2 3 2 3" xfId="6539" xr:uid="{00000000-0005-0000-0000-0000B6100000}"/>
    <cellStyle name="20% - Accent3 2 3 2 3 2" xfId="14511" xr:uid="{00000000-0005-0000-0000-0000B7100000}"/>
    <cellStyle name="20% - Accent3 2 3 2 3 2 2" xfId="38354" xr:uid="{52E7BC96-24C9-4368-8C4D-1ED929DF7C70}"/>
    <cellStyle name="20% - Accent3 2 3 2 3 3" xfId="22458" xr:uid="{00000000-0005-0000-0000-0000B8100000}"/>
    <cellStyle name="20% - Accent3 2 3 2 3 3 2" xfId="46291" xr:uid="{C8F100DF-881F-4899-A99D-D9FACB59B8BD}"/>
    <cellStyle name="20% - Accent3 2 3 2 3 4" xfId="30413" xr:uid="{07780B16-A09C-42C6-9F13-AC34BAAA73B3}"/>
    <cellStyle name="20% - Accent3 2 3 2 4" xfId="10975" xr:uid="{00000000-0005-0000-0000-0000B9100000}"/>
    <cellStyle name="20% - Accent3 2 3 2 4 2" xfId="34825" xr:uid="{CC4A9BF8-E650-4CD4-A3FA-137A09474402}"/>
    <cellStyle name="20% - Accent3 2 3 2 5" xfId="18930" xr:uid="{00000000-0005-0000-0000-0000BA100000}"/>
    <cellStyle name="20% - Accent3 2 3 2 5 2" xfId="42763" xr:uid="{FED41EB9-3C9C-42D4-9FB5-C25B4C5474C0}"/>
    <cellStyle name="20% - Accent3 2 3 2 6" xfId="26883" xr:uid="{F642225A-B277-40EA-842B-5B401724217C}"/>
    <cellStyle name="20% - Accent3 2 3 2_Exh G" xfId="2237" xr:uid="{00000000-0005-0000-0000-0000BB100000}"/>
    <cellStyle name="20% - Accent3 2 3 3" xfId="3828" xr:uid="{00000000-0005-0000-0000-0000BC100000}"/>
    <cellStyle name="20% - Accent3 2 3 3 2" xfId="7420" xr:uid="{00000000-0005-0000-0000-0000BD100000}"/>
    <cellStyle name="20% - Accent3 2 3 3 2 2" xfId="15391" xr:uid="{00000000-0005-0000-0000-0000BE100000}"/>
    <cellStyle name="20% - Accent3 2 3 3 2 2 2" xfId="39234" xr:uid="{D8ECD8BD-6592-4E8C-8A0E-1A4E08918F01}"/>
    <cellStyle name="20% - Accent3 2 3 3 2 3" xfId="23337" xr:uid="{00000000-0005-0000-0000-0000BF100000}"/>
    <cellStyle name="20% - Accent3 2 3 3 2 3 2" xfId="47170" xr:uid="{4A0B1ACD-1951-4B8A-94B6-3D56CA337A7C}"/>
    <cellStyle name="20% - Accent3 2 3 3 2 4" xfId="31293" xr:uid="{41AEB8FE-02DE-4469-BF9C-1E0F80176BE4}"/>
    <cellStyle name="20% - Accent3 2 3 3 3" xfId="11853" xr:uid="{00000000-0005-0000-0000-0000C0100000}"/>
    <cellStyle name="20% - Accent3 2 3 3 3 2" xfId="35703" xr:uid="{9FE5A840-861F-4FB0-AFF2-E7FE2CDC94D5}"/>
    <cellStyle name="20% - Accent3 2 3 3 4" xfId="19808" xr:uid="{00000000-0005-0000-0000-0000C1100000}"/>
    <cellStyle name="20% - Accent3 2 3 3 4 2" xfId="43641" xr:uid="{B7EAE1B5-75BB-4148-A80C-7E89762A3147}"/>
    <cellStyle name="20% - Accent3 2 3 3 5" xfId="27762" xr:uid="{3D20AA71-B72C-43CD-B5D3-AA39B2B7E38B}"/>
    <cellStyle name="20% - Accent3 2 3 4" xfId="5648" xr:uid="{00000000-0005-0000-0000-0000C2100000}"/>
    <cellStyle name="20% - Accent3 2 3 4 2" xfId="13632" xr:uid="{00000000-0005-0000-0000-0000C3100000}"/>
    <cellStyle name="20% - Accent3 2 3 4 2 2" xfId="37476" xr:uid="{05EE8B9D-1862-460E-A02B-B8695E8E5127}"/>
    <cellStyle name="20% - Accent3 2 3 4 3" xfId="21580" xr:uid="{00000000-0005-0000-0000-0000C4100000}"/>
    <cellStyle name="20% - Accent3 2 3 4 3 2" xfId="45413" xr:uid="{56BBD1F9-2DAE-453E-B3AE-00226B9D5771}"/>
    <cellStyle name="20% - Accent3 2 3 4 4" xfId="29535" xr:uid="{B604A635-4294-4538-A92E-8B5727E97D10}"/>
    <cellStyle name="20% - Accent3 2 3 5" xfId="9201" xr:uid="{00000000-0005-0000-0000-0000C5100000}"/>
    <cellStyle name="20% - Accent3 2 3 5 2" xfId="17159" xr:uid="{00000000-0005-0000-0000-0000C6100000}"/>
    <cellStyle name="20% - Accent3 2 3 5 2 2" xfId="41000" xr:uid="{AE75AEEB-6A34-496C-AA5C-C26FA42849DB}"/>
    <cellStyle name="20% - Accent3 2 3 5 3" xfId="25103" xr:uid="{00000000-0005-0000-0000-0000C7100000}"/>
    <cellStyle name="20% - Accent3 2 3 5 3 2" xfId="48936" xr:uid="{EC67A32B-8F99-4BBA-AE83-374FBF4D88AB}"/>
    <cellStyle name="20% - Accent3 2 3 5 4" xfId="33059" xr:uid="{BA6127AD-2781-478E-9E9F-AE819D11DF82}"/>
    <cellStyle name="20% - Accent3 2 3 6" xfId="10097" xr:uid="{00000000-0005-0000-0000-0000C8100000}"/>
    <cellStyle name="20% - Accent3 2 3 6 2" xfId="33947" xr:uid="{561D10D0-2D11-423C-AAD7-8D5096BC25FB}"/>
    <cellStyle name="20% - Accent3 2 3 7" xfId="18052" xr:uid="{00000000-0005-0000-0000-0000C9100000}"/>
    <cellStyle name="20% - Accent3 2 3 7 2" xfId="41885" xr:uid="{AA34C8CA-1929-4770-961E-E2AC972EB127}"/>
    <cellStyle name="20% - Accent3 2 3 8" xfId="26005" xr:uid="{6A888F19-C86C-4C01-AEA3-3ED47FF4FC6C}"/>
    <cellStyle name="20% - Accent3 2 3_Exh G" xfId="2236" xr:uid="{00000000-0005-0000-0000-0000CA100000}"/>
    <cellStyle name="20% - Accent3 2 4" xfId="887" xr:uid="{00000000-0005-0000-0000-0000CB100000}"/>
    <cellStyle name="20% - Accent3 2 4 2" xfId="1819" xr:uid="{00000000-0005-0000-0000-0000CC100000}"/>
    <cellStyle name="20% - Accent3 2 4 2 2" xfId="5337" xr:uid="{00000000-0005-0000-0000-0000CD100000}"/>
    <cellStyle name="20% - Accent3 2 4 2 2 2" xfId="8928" xr:uid="{00000000-0005-0000-0000-0000CE100000}"/>
    <cellStyle name="20% - Accent3 2 4 2 2 2 2" xfId="16899" xr:uid="{00000000-0005-0000-0000-0000CF100000}"/>
    <cellStyle name="20% - Accent3 2 4 2 2 2 2 2" xfId="40742" xr:uid="{84C5A620-157C-4EB8-89CD-A94FD5819D11}"/>
    <cellStyle name="20% - Accent3 2 4 2 2 2 3" xfId="24845" xr:uid="{00000000-0005-0000-0000-0000D0100000}"/>
    <cellStyle name="20% - Accent3 2 4 2 2 2 3 2" xfId="48678" xr:uid="{E19C2E72-79C9-487F-B9ED-D62618F4E271}"/>
    <cellStyle name="20% - Accent3 2 4 2 2 2 4" xfId="32801" xr:uid="{6D223C6C-7294-4BFD-899C-D3986ACBC28A}"/>
    <cellStyle name="20% - Accent3 2 4 2 2 3" xfId="13361" xr:uid="{00000000-0005-0000-0000-0000D1100000}"/>
    <cellStyle name="20% - Accent3 2 4 2 2 3 2" xfId="37211" xr:uid="{D16920C3-388E-4FE9-8C75-8D93AA0A17EC}"/>
    <cellStyle name="20% - Accent3 2 4 2 2 4" xfId="21316" xr:uid="{00000000-0005-0000-0000-0000D2100000}"/>
    <cellStyle name="20% - Accent3 2 4 2 2 4 2" xfId="45149" xr:uid="{3BAFCDFF-14B2-42BB-86E8-5E5A50760FDF}"/>
    <cellStyle name="20% - Accent3 2 4 2 2 5" xfId="29270" xr:uid="{64ABAE8F-ABD8-4664-8767-F0EE5753FF02}"/>
    <cellStyle name="20% - Accent3 2 4 2 3" xfId="7169" xr:uid="{00000000-0005-0000-0000-0000D3100000}"/>
    <cellStyle name="20% - Accent3 2 4 2 3 2" xfId="15141" xr:uid="{00000000-0005-0000-0000-0000D4100000}"/>
    <cellStyle name="20% - Accent3 2 4 2 3 2 2" xfId="38984" xr:uid="{5194B528-38B6-4433-A4DB-991B21B56A0D}"/>
    <cellStyle name="20% - Accent3 2 4 2 3 3" xfId="23088" xr:uid="{00000000-0005-0000-0000-0000D5100000}"/>
    <cellStyle name="20% - Accent3 2 4 2 3 3 2" xfId="46921" xr:uid="{0139BA7C-CFAC-4046-ADCB-4035F2D793FB}"/>
    <cellStyle name="20% - Accent3 2 4 2 3 4" xfId="31043" xr:uid="{FAFBD0C8-CD1E-455F-AC2A-E882B1FCD18D}"/>
    <cellStyle name="20% - Accent3 2 4 2 4" xfId="11605" xr:uid="{00000000-0005-0000-0000-0000D6100000}"/>
    <cellStyle name="20% - Accent3 2 4 2 4 2" xfId="35455" xr:uid="{677550C6-88B9-48DB-BF7F-24C9E720E48E}"/>
    <cellStyle name="20% - Accent3 2 4 2 5" xfId="19560" xr:uid="{00000000-0005-0000-0000-0000D7100000}"/>
    <cellStyle name="20% - Accent3 2 4 2 5 2" xfId="43393" xr:uid="{343510BD-142D-4D96-9E05-FBF64E146070}"/>
    <cellStyle name="20% - Accent3 2 4 2 6" xfId="27513" xr:uid="{8449EED3-6249-46B7-8377-3BEC80FCEFA8}"/>
    <cellStyle name="20% - Accent3 2 4 2_Exh G" xfId="2239" xr:uid="{00000000-0005-0000-0000-0000D8100000}"/>
    <cellStyle name="20% - Accent3 2 4 3" xfId="4458" xr:uid="{00000000-0005-0000-0000-0000D9100000}"/>
    <cellStyle name="20% - Accent3 2 4 3 2" xfId="8050" xr:uid="{00000000-0005-0000-0000-0000DA100000}"/>
    <cellStyle name="20% - Accent3 2 4 3 2 2" xfId="16021" xr:uid="{00000000-0005-0000-0000-0000DB100000}"/>
    <cellStyle name="20% - Accent3 2 4 3 2 2 2" xfId="39864" xr:uid="{8104E706-9175-4B80-888D-E807D8377308}"/>
    <cellStyle name="20% - Accent3 2 4 3 2 3" xfId="23967" xr:uid="{00000000-0005-0000-0000-0000DC100000}"/>
    <cellStyle name="20% - Accent3 2 4 3 2 3 2" xfId="47800" xr:uid="{C2CCDAE2-B1A6-4927-BDF2-1B02C99AAABD}"/>
    <cellStyle name="20% - Accent3 2 4 3 2 4" xfId="31923" xr:uid="{34479D9A-F7A4-43E2-A2CF-33C2904C000E}"/>
    <cellStyle name="20% - Accent3 2 4 3 3" xfId="12483" xr:uid="{00000000-0005-0000-0000-0000DD100000}"/>
    <cellStyle name="20% - Accent3 2 4 3 3 2" xfId="36333" xr:uid="{3BF3436B-891D-4378-98C4-A83F17EFB6B8}"/>
    <cellStyle name="20% - Accent3 2 4 3 4" xfId="20438" xr:uid="{00000000-0005-0000-0000-0000DE100000}"/>
    <cellStyle name="20% - Accent3 2 4 3 4 2" xfId="44271" xr:uid="{018C9D0E-C337-4DE0-8AA8-2F96DD428299}"/>
    <cellStyle name="20% - Accent3 2 4 3 5" xfId="28392" xr:uid="{0C4900EA-7DAA-4CE5-B706-7304E175A2B3}"/>
    <cellStyle name="20% - Accent3 2 4 4" xfId="6288" xr:uid="{00000000-0005-0000-0000-0000DF100000}"/>
    <cellStyle name="20% - Accent3 2 4 4 2" xfId="14263" xr:uid="{00000000-0005-0000-0000-0000E0100000}"/>
    <cellStyle name="20% - Accent3 2 4 4 2 2" xfId="38106" xr:uid="{8F814DF7-4DE9-465B-A675-60E149750095}"/>
    <cellStyle name="20% - Accent3 2 4 4 3" xfId="22210" xr:uid="{00000000-0005-0000-0000-0000E1100000}"/>
    <cellStyle name="20% - Accent3 2 4 4 3 2" xfId="46043" xr:uid="{D5CE6114-DC28-4BDE-9B37-C884EC7FB6ED}"/>
    <cellStyle name="20% - Accent3 2 4 4 4" xfId="30165" xr:uid="{E5801268-0299-4A68-93C0-2A51FA7BF0BF}"/>
    <cellStyle name="20% - Accent3 2 4 5" xfId="9831" xr:uid="{00000000-0005-0000-0000-0000E2100000}"/>
    <cellStyle name="20% - Accent3 2 4 5 2" xfId="17789" xr:uid="{00000000-0005-0000-0000-0000E3100000}"/>
    <cellStyle name="20% - Accent3 2 4 5 2 2" xfId="41630" xr:uid="{2B35D5EA-27E1-444D-90F1-841396107A59}"/>
    <cellStyle name="20% - Accent3 2 4 5 3" xfId="25733" xr:uid="{00000000-0005-0000-0000-0000E4100000}"/>
    <cellStyle name="20% - Accent3 2 4 5 3 2" xfId="49566" xr:uid="{C8F8AE57-C58F-49D5-84F8-56E4211267B5}"/>
    <cellStyle name="20% - Accent3 2 4 5 4" xfId="33689" xr:uid="{53EE03DA-BD1B-483E-B9CA-74F32DA7F8A7}"/>
    <cellStyle name="20% - Accent3 2 4 6" xfId="10727" xr:uid="{00000000-0005-0000-0000-0000E5100000}"/>
    <cellStyle name="20% - Accent3 2 4 6 2" xfId="34577" xr:uid="{56AD8EDE-E42E-4DD8-A7A1-8CD950AF14DB}"/>
    <cellStyle name="20% - Accent3 2 4 7" xfId="18682" xr:uid="{00000000-0005-0000-0000-0000E6100000}"/>
    <cellStyle name="20% - Accent3 2 4 7 2" xfId="42515" xr:uid="{4EA8F603-B746-48B4-8238-6C3908D0C1BF}"/>
    <cellStyle name="20% - Accent3 2 4 8" xfId="26635" xr:uid="{693AC9A4-EABB-4EEF-97FB-86E2782B8F18}"/>
    <cellStyle name="20% - Accent3 2 4_Exh G" xfId="2238" xr:uid="{00000000-0005-0000-0000-0000E7100000}"/>
    <cellStyle name="20% - Accent3 2 5" xfId="1174" xr:uid="{00000000-0005-0000-0000-0000E8100000}"/>
    <cellStyle name="20% - Accent3 2 5 2" xfId="4704" xr:uid="{00000000-0005-0000-0000-0000E9100000}"/>
    <cellStyle name="20% - Accent3 2 5 2 2" xfId="8295" xr:uid="{00000000-0005-0000-0000-0000EA100000}"/>
    <cellStyle name="20% - Accent3 2 5 2 2 2" xfId="16266" xr:uid="{00000000-0005-0000-0000-0000EB100000}"/>
    <cellStyle name="20% - Accent3 2 5 2 2 2 2" xfId="40109" xr:uid="{7C8D4F85-C14A-4C5B-8B03-929A6F63959E}"/>
    <cellStyle name="20% - Accent3 2 5 2 2 3" xfId="24212" xr:uid="{00000000-0005-0000-0000-0000EC100000}"/>
    <cellStyle name="20% - Accent3 2 5 2 2 3 2" xfId="48045" xr:uid="{E7289D68-1D81-43FE-87AD-6A671E0AE116}"/>
    <cellStyle name="20% - Accent3 2 5 2 2 4" xfId="32168" xr:uid="{BC8E65D2-8730-4C0E-8334-48A9BB8DDC34}"/>
    <cellStyle name="20% - Accent3 2 5 2 3" xfId="12728" xr:uid="{00000000-0005-0000-0000-0000ED100000}"/>
    <cellStyle name="20% - Accent3 2 5 2 3 2" xfId="36578" xr:uid="{C0447495-707C-4912-9433-98F84D4EA6D6}"/>
    <cellStyle name="20% - Accent3 2 5 2 4" xfId="20683" xr:uid="{00000000-0005-0000-0000-0000EE100000}"/>
    <cellStyle name="20% - Accent3 2 5 2 4 2" xfId="44516" xr:uid="{94ED6537-A5F1-4B4F-B8E1-F85CFF801220}"/>
    <cellStyle name="20% - Accent3 2 5 2 5" xfId="28637" xr:uid="{D4968BC5-D34A-4E02-90C2-D62E636C693A}"/>
    <cellStyle name="20% - Accent3 2 5 3" xfId="6536" xr:uid="{00000000-0005-0000-0000-0000EF100000}"/>
    <cellStyle name="20% - Accent3 2 5 3 2" xfId="14508" xr:uid="{00000000-0005-0000-0000-0000F0100000}"/>
    <cellStyle name="20% - Accent3 2 5 3 2 2" xfId="38351" xr:uid="{D7D784BB-9CCC-4A21-BFF9-C9139261CAED}"/>
    <cellStyle name="20% - Accent3 2 5 3 3" xfId="22455" xr:uid="{00000000-0005-0000-0000-0000F1100000}"/>
    <cellStyle name="20% - Accent3 2 5 3 3 2" xfId="46288" xr:uid="{14DEDEEC-E5D0-4C09-8117-7F2C4A55E495}"/>
    <cellStyle name="20% - Accent3 2 5 3 4" xfId="30410" xr:uid="{97F40FD4-3384-49D2-A141-C8B0DA7FD766}"/>
    <cellStyle name="20% - Accent3 2 5 4" xfId="10972" xr:uid="{00000000-0005-0000-0000-0000F2100000}"/>
    <cellStyle name="20% - Accent3 2 5 4 2" xfId="34822" xr:uid="{21CA7674-CD77-4F83-AFA7-6AD03D7281BE}"/>
    <cellStyle name="20% - Accent3 2 5 5" xfId="18927" xr:uid="{00000000-0005-0000-0000-0000F3100000}"/>
    <cellStyle name="20% - Accent3 2 5 5 2" xfId="42760" xr:uid="{C61CB26F-9ACB-447A-9E16-9310143D2442}"/>
    <cellStyle name="20% - Accent3 2 5 6" xfId="26880" xr:uid="{6E8ECB2A-2498-4F47-9A8B-E78E682A9AAE}"/>
    <cellStyle name="20% - Accent3 2 5_Exh G" xfId="2240" xr:uid="{00000000-0005-0000-0000-0000F4100000}"/>
    <cellStyle name="20% - Accent3 2 6" xfId="3825" xr:uid="{00000000-0005-0000-0000-0000F5100000}"/>
    <cellStyle name="20% - Accent3 2 6 2" xfId="7417" xr:uid="{00000000-0005-0000-0000-0000F6100000}"/>
    <cellStyle name="20% - Accent3 2 6 2 2" xfId="15388" xr:uid="{00000000-0005-0000-0000-0000F7100000}"/>
    <cellStyle name="20% - Accent3 2 6 2 2 2" xfId="39231" xr:uid="{715F4299-868A-42AF-8B78-7B9A389F3948}"/>
    <cellStyle name="20% - Accent3 2 6 2 3" xfId="23334" xr:uid="{00000000-0005-0000-0000-0000F8100000}"/>
    <cellStyle name="20% - Accent3 2 6 2 3 2" xfId="47167" xr:uid="{8D51EA9C-FD61-4020-9CF5-E61B2155C357}"/>
    <cellStyle name="20% - Accent3 2 6 2 4" xfId="31290" xr:uid="{5AF7F7C8-8F72-408D-84A4-600D1E82CDDB}"/>
    <cellStyle name="20% - Accent3 2 6 3" xfId="11850" xr:uid="{00000000-0005-0000-0000-0000F9100000}"/>
    <cellStyle name="20% - Accent3 2 6 3 2" xfId="35700" xr:uid="{A9D3855C-A9F3-420D-B15C-432118BCB120}"/>
    <cellStyle name="20% - Accent3 2 6 4" xfId="19805" xr:uid="{00000000-0005-0000-0000-0000FA100000}"/>
    <cellStyle name="20% - Accent3 2 6 4 2" xfId="43638" xr:uid="{5212F338-7FB5-4BF8-BC5A-1DE725674AD0}"/>
    <cellStyle name="20% - Accent3 2 6 5" xfId="27759" xr:uid="{1ACFDEB8-4A52-41A6-B463-DC082650E51C}"/>
    <cellStyle name="20% - Accent3 2 7" xfId="5645" xr:uid="{00000000-0005-0000-0000-0000FB100000}"/>
    <cellStyle name="20% - Accent3 2 7 2" xfId="13629" xr:uid="{00000000-0005-0000-0000-0000FC100000}"/>
    <cellStyle name="20% - Accent3 2 7 2 2" xfId="37473" xr:uid="{BC85502C-E1B5-4B8B-B413-2F0B2452BFDA}"/>
    <cellStyle name="20% - Accent3 2 7 3" xfId="21577" xr:uid="{00000000-0005-0000-0000-0000FD100000}"/>
    <cellStyle name="20% - Accent3 2 7 3 2" xfId="45410" xr:uid="{44358F39-64C1-4447-BBA0-224CC136BC39}"/>
    <cellStyle name="20% - Accent3 2 7 4" xfId="29532" xr:uid="{9FA25383-908F-4CE6-AC52-35052E9DF679}"/>
    <cellStyle name="20% - Accent3 2 8" xfId="9198" xr:uid="{00000000-0005-0000-0000-0000FE100000}"/>
    <cellStyle name="20% - Accent3 2 8 2" xfId="17156" xr:uid="{00000000-0005-0000-0000-0000FF100000}"/>
    <cellStyle name="20% - Accent3 2 8 2 2" xfId="40997" xr:uid="{73684FB1-BCCF-4E93-94D8-AFD29A20AAB8}"/>
    <cellStyle name="20% - Accent3 2 8 3" xfId="25100" xr:uid="{00000000-0005-0000-0000-000000110000}"/>
    <cellStyle name="20% - Accent3 2 8 3 2" xfId="48933" xr:uid="{6E0E0E90-FCF7-48F3-BDD2-9F1193ABEAC8}"/>
    <cellStyle name="20% - Accent3 2 8 4" xfId="33056" xr:uid="{5B7B9966-3BFF-4B96-9B8E-07F6026F0993}"/>
    <cellStyle name="20% - Accent3 2 9" xfId="10094" xr:uid="{00000000-0005-0000-0000-000001110000}"/>
    <cellStyle name="20% - Accent3 2 9 2" xfId="33944" xr:uid="{42BC4D13-62F4-4DE3-8CE7-9F6F869E8241}"/>
    <cellStyle name="20% - Accent3 2_Exh G" xfId="2229" xr:uid="{00000000-0005-0000-0000-000002110000}"/>
    <cellStyle name="20% - Accent3 3" xfId="150" xr:uid="{00000000-0005-0000-0000-000003110000}"/>
    <cellStyle name="20% - Accent3 3 10" xfId="18053" xr:uid="{00000000-0005-0000-0000-000004110000}"/>
    <cellStyle name="20% - Accent3 3 10 2" xfId="41886" xr:uid="{B6640E53-07BE-47A5-B7D8-9A3968FE0788}"/>
    <cellStyle name="20% - Accent3 3 11" xfId="26006" xr:uid="{E33CD951-3B31-4820-9110-7FC01A26248F}"/>
    <cellStyle name="20% - Accent3 3 12" xfId="49770" xr:uid="{44423A31-A165-4E2F-A96B-1B515125CDFD}"/>
    <cellStyle name="20% - Accent3 3 13" xfId="49824" xr:uid="{FD0A2C74-BFAF-4DD1-9F8B-1384F2D6860F}"/>
    <cellStyle name="20% - Accent3 3 2" xfId="151" xr:uid="{00000000-0005-0000-0000-000005110000}"/>
    <cellStyle name="20% - Accent3 3 2 10" xfId="26007" xr:uid="{6765FC4D-0F1C-47D3-845B-7FAEF81FC25E}"/>
    <cellStyle name="20% - Accent3 3 2 2" xfId="152" xr:uid="{00000000-0005-0000-0000-000006110000}"/>
    <cellStyle name="20% - Accent3 3 2 2 2" xfId="1180" xr:uid="{00000000-0005-0000-0000-000007110000}"/>
    <cellStyle name="20% - Accent3 3 2 2 2 2" xfId="4710" xr:uid="{00000000-0005-0000-0000-000008110000}"/>
    <cellStyle name="20% - Accent3 3 2 2 2 2 2" xfId="8301" xr:uid="{00000000-0005-0000-0000-000009110000}"/>
    <cellStyle name="20% - Accent3 3 2 2 2 2 2 2" xfId="16272" xr:uid="{00000000-0005-0000-0000-00000A110000}"/>
    <cellStyle name="20% - Accent3 3 2 2 2 2 2 2 2" xfId="40115" xr:uid="{7AA3C23B-3CE7-4EB3-84AD-2DB770639934}"/>
    <cellStyle name="20% - Accent3 3 2 2 2 2 2 3" xfId="24218" xr:uid="{00000000-0005-0000-0000-00000B110000}"/>
    <cellStyle name="20% - Accent3 3 2 2 2 2 2 3 2" xfId="48051" xr:uid="{F581D678-588E-411C-960A-1CD7BCD065C6}"/>
    <cellStyle name="20% - Accent3 3 2 2 2 2 2 4" xfId="32174" xr:uid="{8716416D-3ABF-429A-B9D5-79C720C90350}"/>
    <cellStyle name="20% - Accent3 3 2 2 2 2 3" xfId="12734" xr:uid="{00000000-0005-0000-0000-00000C110000}"/>
    <cellStyle name="20% - Accent3 3 2 2 2 2 3 2" xfId="36584" xr:uid="{9C994AA1-BACC-4B6A-8320-292328331062}"/>
    <cellStyle name="20% - Accent3 3 2 2 2 2 4" xfId="20689" xr:uid="{00000000-0005-0000-0000-00000D110000}"/>
    <cellStyle name="20% - Accent3 3 2 2 2 2 4 2" xfId="44522" xr:uid="{E278D113-4DD1-4350-8A19-476315E31408}"/>
    <cellStyle name="20% - Accent3 3 2 2 2 2 5" xfId="28643" xr:uid="{B8CED45F-16B6-4F49-88D9-992719F17154}"/>
    <cellStyle name="20% - Accent3 3 2 2 2 3" xfId="6542" xr:uid="{00000000-0005-0000-0000-00000E110000}"/>
    <cellStyle name="20% - Accent3 3 2 2 2 3 2" xfId="14514" xr:uid="{00000000-0005-0000-0000-00000F110000}"/>
    <cellStyle name="20% - Accent3 3 2 2 2 3 2 2" xfId="38357" xr:uid="{8C8FAF62-DAA6-47E6-B229-1F4874F45F48}"/>
    <cellStyle name="20% - Accent3 3 2 2 2 3 3" xfId="22461" xr:uid="{00000000-0005-0000-0000-000010110000}"/>
    <cellStyle name="20% - Accent3 3 2 2 2 3 3 2" xfId="46294" xr:uid="{BFD2A558-DC07-4185-A49F-7E37DAF175EB}"/>
    <cellStyle name="20% - Accent3 3 2 2 2 3 4" xfId="30416" xr:uid="{3FD0A461-9F2A-43E6-A0C3-8D7E00970525}"/>
    <cellStyle name="20% - Accent3 3 2 2 2 4" xfId="10978" xr:uid="{00000000-0005-0000-0000-000011110000}"/>
    <cellStyle name="20% - Accent3 3 2 2 2 4 2" xfId="34828" xr:uid="{72158BF1-0A92-4403-B6F7-F42D90A14323}"/>
    <cellStyle name="20% - Accent3 3 2 2 2 5" xfId="18933" xr:uid="{00000000-0005-0000-0000-000012110000}"/>
    <cellStyle name="20% - Accent3 3 2 2 2 5 2" xfId="42766" xr:uid="{99A1FA0D-C64B-48A4-9B35-18913CE113EF}"/>
    <cellStyle name="20% - Accent3 3 2 2 2 6" xfId="26886" xr:uid="{7C989B61-DB3E-492D-A038-5B9190B01930}"/>
    <cellStyle name="20% - Accent3 3 2 2 2_Exh G" xfId="2244" xr:uid="{00000000-0005-0000-0000-000013110000}"/>
    <cellStyle name="20% - Accent3 3 2 2 3" xfId="3831" xr:uid="{00000000-0005-0000-0000-000014110000}"/>
    <cellStyle name="20% - Accent3 3 2 2 3 2" xfId="7423" xr:uid="{00000000-0005-0000-0000-000015110000}"/>
    <cellStyle name="20% - Accent3 3 2 2 3 2 2" xfId="15394" xr:uid="{00000000-0005-0000-0000-000016110000}"/>
    <cellStyle name="20% - Accent3 3 2 2 3 2 2 2" xfId="39237" xr:uid="{BC73361E-029C-4BF6-B2B8-A1B0C7118023}"/>
    <cellStyle name="20% - Accent3 3 2 2 3 2 3" xfId="23340" xr:uid="{00000000-0005-0000-0000-000017110000}"/>
    <cellStyle name="20% - Accent3 3 2 2 3 2 3 2" xfId="47173" xr:uid="{2F51992F-ACCA-46CD-9BE3-10F17D2196BC}"/>
    <cellStyle name="20% - Accent3 3 2 2 3 2 4" xfId="31296" xr:uid="{A4E0527E-FF01-43A3-B9AF-E3DF9919BF46}"/>
    <cellStyle name="20% - Accent3 3 2 2 3 3" xfId="11856" xr:uid="{00000000-0005-0000-0000-000018110000}"/>
    <cellStyle name="20% - Accent3 3 2 2 3 3 2" xfId="35706" xr:uid="{0F8C5A18-FA04-4E02-A89E-6A2A196ED5D9}"/>
    <cellStyle name="20% - Accent3 3 2 2 3 4" xfId="19811" xr:uid="{00000000-0005-0000-0000-000019110000}"/>
    <cellStyle name="20% - Accent3 3 2 2 3 4 2" xfId="43644" xr:uid="{FF89FC8F-57B4-4766-A6F3-E9B70770CF25}"/>
    <cellStyle name="20% - Accent3 3 2 2 3 5" xfId="27765" xr:uid="{CD93CDDB-63CD-422D-9366-D9827031D074}"/>
    <cellStyle name="20% - Accent3 3 2 2 4" xfId="5651" xr:uid="{00000000-0005-0000-0000-00001A110000}"/>
    <cellStyle name="20% - Accent3 3 2 2 4 2" xfId="13635" xr:uid="{00000000-0005-0000-0000-00001B110000}"/>
    <cellStyle name="20% - Accent3 3 2 2 4 2 2" xfId="37479" xr:uid="{694A13F4-CB98-449F-92C2-793A505D209D}"/>
    <cellStyle name="20% - Accent3 3 2 2 4 3" xfId="21583" xr:uid="{00000000-0005-0000-0000-00001C110000}"/>
    <cellStyle name="20% - Accent3 3 2 2 4 3 2" xfId="45416" xr:uid="{E93798FE-8350-4580-9BA0-B01F196A5A2E}"/>
    <cellStyle name="20% - Accent3 3 2 2 4 4" xfId="29538" xr:uid="{AAB24E8A-4330-4B38-B624-D8EA68B94461}"/>
    <cellStyle name="20% - Accent3 3 2 2 5" xfId="9204" xr:uid="{00000000-0005-0000-0000-00001D110000}"/>
    <cellStyle name="20% - Accent3 3 2 2 5 2" xfId="17162" xr:uid="{00000000-0005-0000-0000-00001E110000}"/>
    <cellStyle name="20% - Accent3 3 2 2 5 2 2" xfId="41003" xr:uid="{C69C2F05-2231-4DEA-9366-A3B11B9C5682}"/>
    <cellStyle name="20% - Accent3 3 2 2 5 3" xfId="25106" xr:uid="{00000000-0005-0000-0000-00001F110000}"/>
    <cellStyle name="20% - Accent3 3 2 2 5 3 2" xfId="48939" xr:uid="{B798CB7A-56A2-4F8A-B0F0-9027DA0A080B}"/>
    <cellStyle name="20% - Accent3 3 2 2 5 4" xfId="33062" xr:uid="{368CF842-24C4-4A88-8486-707A61DD9D87}"/>
    <cellStyle name="20% - Accent3 3 2 2 6" xfId="10100" xr:uid="{00000000-0005-0000-0000-000020110000}"/>
    <cellStyle name="20% - Accent3 3 2 2 6 2" xfId="33950" xr:uid="{A731CD04-7654-4942-9A9E-37FC2C44EAEB}"/>
    <cellStyle name="20% - Accent3 3 2 2 7" xfId="18055" xr:uid="{00000000-0005-0000-0000-000021110000}"/>
    <cellStyle name="20% - Accent3 3 2 2 7 2" xfId="41888" xr:uid="{F47729C4-7B86-4D10-9F79-39AB2E3428ED}"/>
    <cellStyle name="20% - Accent3 3 2 2 8" xfId="26008" xr:uid="{11C8EF43-ED95-4CDC-BB32-0289BAAA3A27}"/>
    <cellStyle name="20% - Accent3 3 2 2_Exh G" xfId="2243" xr:uid="{00000000-0005-0000-0000-000022110000}"/>
    <cellStyle name="20% - Accent3 3 2 3" xfId="890" xr:uid="{00000000-0005-0000-0000-000023110000}"/>
    <cellStyle name="20% - Accent3 3 2 3 2" xfId="1822" xr:uid="{00000000-0005-0000-0000-000024110000}"/>
    <cellStyle name="20% - Accent3 3 2 3 2 2" xfId="5340" xr:uid="{00000000-0005-0000-0000-000025110000}"/>
    <cellStyle name="20% - Accent3 3 2 3 2 2 2" xfId="8931" xr:uid="{00000000-0005-0000-0000-000026110000}"/>
    <cellStyle name="20% - Accent3 3 2 3 2 2 2 2" xfId="16902" xr:uid="{00000000-0005-0000-0000-000027110000}"/>
    <cellStyle name="20% - Accent3 3 2 3 2 2 2 2 2" xfId="40745" xr:uid="{75166FA3-CE47-460A-A8F4-3054F2A4FE2F}"/>
    <cellStyle name="20% - Accent3 3 2 3 2 2 2 3" xfId="24848" xr:uid="{00000000-0005-0000-0000-000028110000}"/>
    <cellStyle name="20% - Accent3 3 2 3 2 2 2 3 2" xfId="48681" xr:uid="{0DF50CCE-6C9A-40B4-B43B-F52614A1C9A0}"/>
    <cellStyle name="20% - Accent3 3 2 3 2 2 2 4" xfId="32804" xr:uid="{FF15A37D-9125-4A8E-B3C4-7D257DFA2B9F}"/>
    <cellStyle name="20% - Accent3 3 2 3 2 2 3" xfId="13364" xr:uid="{00000000-0005-0000-0000-000029110000}"/>
    <cellStyle name="20% - Accent3 3 2 3 2 2 3 2" xfId="37214" xr:uid="{B40C1BA1-00C5-481F-B10B-60F368ACD2F3}"/>
    <cellStyle name="20% - Accent3 3 2 3 2 2 4" xfId="21319" xr:uid="{00000000-0005-0000-0000-00002A110000}"/>
    <cellStyle name="20% - Accent3 3 2 3 2 2 4 2" xfId="45152" xr:uid="{14C4D09B-E0ED-431F-9114-0BC8C652B81A}"/>
    <cellStyle name="20% - Accent3 3 2 3 2 2 5" xfId="29273" xr:uid="{4642E083-0874-45D7-A99C-80A45A35BCA3}"/>
    <cellStyle name="20% - Accent3 3 2 3 2 3" xfId="7172" xr:uid="{00000000-0005-0000-0000-00002B110000}"/>
    <cellStyle name="20% - Accent3 3 2 3 2 3 2" xfId="15144" xr:uid="{00000000-0005-0000-0000-00002C110000}"/>
    <cellStyle name="20% - Accent3 3 2 3 2 3 2 2" xfId="38987" xr:uid="{A9D7C917-644E-4FED-8017-48B029D4D06C}"/>
    <cellStyle name="20% - Accent3 3 2 3 2 3 3" xfId="23091" xr:uid="{00000000-0005-0000-0000-00002D110000}"/>
    <cellStyle name="20% - Accent3 3 2 3 2 3 3 2" xfId="46924" xr:uid="{6DAAC91E-C9BE-4727-A8A5-33E93F9EAB0E}"/>
    <cellStyle name="20% - Accent3 3 2 3 2 3 4" xfId="31046" xr:uid="{B191C312-5CBA-4108-8762-007DC6D0B848}"/>
    <cellStyle name="20% - Accent3 3 2 3 2 4" xfId="11608" xr:uid="{00000000-0005-0000-0000-00002E110000}"/>
    <cellStyle name="20% - Accent3 3 2 3 2 4 2" xfId="35458" xr:uid="{FAAB74FB-B621-4353-9BD4-F9BA4700A247}"/>
    <cellStyle name="20% - Accent3 3 2 3 2 5" xfId="19563" xr:uid="{00000000-0005-0000-0000-00002F110000}"/>
    <cellStyle name="20% - Accent3 3 2 3 2 5 2" xfId="43396" xr:uid="{992F19A0-E140-4B8A-896B-EF5785C8B3DF}"/>
    <cellStyle name="20% - Accent3 3 2 3 2 6" xfId="27516" xr:uid="{6BBCD1B7-0934-42BB-A4F1-EB18D97D77C0}"/>
    <cellStyle name="20% - Accent3 3 2 3 2_Exh G" xfId="2246" xr:uid="{00000000-0005-0000-0000-000030110000}"/>
    <cellStyle name="20% - Accent3 3 2 3 3" xfId="4461" xr:uid="{00000000-0005-0000-0000-000031110000}"/>
    <cellStyle name="20% - Accent3 3 2 3 3 2" xfId="8053" xr:uid="{00000000-0005-0000-0000-000032110000}"/>
    <cellStyle name="20% - Accent3 3 2 3 3 2 2" xfId="16024" xr:uid="{00000000-0005-0000-0000-000033110000}"/>
    <cellStyle name="20% - Accent3 3 2 3 3 2 2 2" xfId="39867" xr:uid="{70FD0A5D-DF72-42C7-A600-50BB13E277DE}"/>
    <cellStyle name="20% - Accent3 3 2 3 3 2 3" xfId="23970" xr:uid="{00000000-0005-0000-0000-000034110000}"/>
    <cellStyle name="20% - Accent3 3 2 3 3 2 3 2" xfId="47803" xr:uid="{89DE9424-00B4-4FA0-9ACB-D22D86106278}"/>
    <cellStyle name="20% - Accent3 3 2 3 3 2 4" xfId="31926" xr:uid="{6B48AF1C-4E43-4697-B554-84BF4DCBDF97}"/>
    <cellStyle name="20% - Accent3 3 2 3 3 3" xfId="12486" xr:uid="{00000000-0005-0000-0000-000035110000}"/>
    <cellStyle name="20% - Accent3 3 2 3 3 3 2" xfId="36336" xr:uid="{63191912-2FD9-4367-BC5B-871BD7243F57}"/>
    <cellStyle name="20% - Accent3 3 2 3 3 4" xfId="20441" xr:uid="{00000000-0005-0000-0000-000036110000}"/>
    <cellStyle name="20% - Accent3 3 2 3 3 4 2" xfId="44274" xr:uid="{80CABD3C-6F88-4B43-A184-7F684A4A628F}"/>
    <cellStyle name="20% - Accent3 3 2 3 3 5" xfId="28395" xr:uid="{5CE15C19-97CE-4786-A10D-79B98CF7F63D}"/>
    <cellStyle name="20% - Accent3 3 2 3 4" xfId="6291" xr:uid="{00000000-0005-0000-0000-000037110000}"/>
    <cellStyle name="20% - Accent3 3 2 3 4 2" xfId="14266" xr:uid="{00000000-0005-0000-0000-000038110000}"/>
    <cellStyle name="20% - Accent3 3 2 3 4 2 2" xfId="38109" xr:uid="{DD3774A2-86B3-4A89-B001-BB2F0E1F1CA1}"/>
    <cellStyle name="20% - Accent3 3 2 3 4 3" xfId="22213" xr:uid="{00000000-0005-0000-0000-000039110000}"/>
    <cellStyle name="20% - Accent3 3 2 3 4 3 2" xfId="46046" xr:uid="{79E13012-7263-4894-A0C3-8276FEEFE144}"/>
    <cellStyle name="20% - Accent3 3 2 3 4 4" xfId="30168" xr:uid="{2460FA36-DFA1-4D9B-ADF3-0A1DCEBD196F}"/>
    <cellStyle name="20% - Accent3 3 2 3 5" xfId="9834" xr:uid="{00000000-0005-0000-0000-00003A110000}"/>
    <cellStyle name="20% - Accent3 3 2 3 5 2" xfId="17792" xr:uid="{00000000-0005-0000-0000-00003B110000}"/>
    <cellStyle name="20% - Accent3 3 2 3 5 2 2" xfId="41633" xr:uid="{80D33100-B0E3-4251-8831-9FC6333CF75D}"/>
    <cellStyle name="20% - Accent3 3 2 3 5 3" xfId="25736" xr:uid="{00000000-0005-0000-0000-00003C110000}"/>
    <cellStyle name="20% - Accent3 3 2 3 5 3 2" xfId="49569" xr:uid="{2221BE4C-AC94-44B0-A7C7-A5669618161A}"/>
    <cellStyle name="20% - Accent3 3 2 3 5 4" xfId="33692" xr:uid="{07571BA0-C3FB-4B23-B80C-D41642102A51}"/>
    <cellStyle name="20% - Accent3 3 2 3 6" xfId="10730" xr:uid="{00000000-0005-0000-0000-00003D110000}"/>
    <cellStyle name="20% - Accent3 3 2 3 6 2" xfId="34580" xr:uid="{6EC427FD-45AF-4E19-A794-A19158979792}"/>
    <cellStyle name="20% - Accent3 3 2 3 7" xfId="18685" xr:uid="{00000000-0005-0000-0000-00003E110000}"/>
    <cellStyle name="20% - Accent3 3 2 3 7 2" xfId="42518" xr:uid="{8429BBED-97F0-4F57-A90E-C4F031241568}"/>
    <cellStyle name="20% - Accent3 3 2 3 8" xfId="26638" xr:uid="{478A6804-56D2-4403-BC4C-D32C39D5E2A1}"/>
    <cellStyle name="20% - Accent3 3 2 3_Exh G" xfId="2245" xr:uid="{00000000-0005-0000-0000-00003F110000}"/>
    <cellStyle name="20% - Accent3 3 2 4" xfId="1179" xr:uid="{00000000-0005-0000-0000-000040110000}"/>
    <cellStyle name="20% - Accent3 3 2 4 2" xfId="4709" xr:uid="{00000000-0005-0000-0000-000041110000}"/>
    <cellStyle name="20% - Accent3 3 2 4 2 2" xfId="8300" xr:uid="{00000000-0005-0000-0000-000042110000}"/>
    <cellStyle name="20% - Accent3 3 2 4 2 2 2" xfId="16271" xr:uid="{00000000-0005-0000-0000-000043110000}"/>
    <cellStyle name="20% - Accent3 3 2 4 2 2 2 2" xfId="40114" xr:uid="{409625B8-B2D9-40EE-910F-3B99694BB163}"/>
    <cellStyle name="20% - Accent3 3 2 4 2 2 3" xfId="24217" xr:uid="{00000000-0005-0000-0000-000044110000}"/>
    <cellStyle name="20% - Accent3 3 2 4 2 2 3 2" xfId="48050" xr:uid="{383086C4-A2A9-44C8-9870-CAC7B1344B35}"/>
    <cellStyle name="20% - Accent3 3 2 4 2 2 4" xfId="32173" xr:uid="{0D734858-D989-46AE-895C-11CDA1C26441}"/>
    <cellStyle name="20% - Accent3 3 2 4 2 3" xfId="12733" xr:uid="{00000000-0005-0000-0000-000045110000}"/>
    <cellStyle name="20% - Accent3 3 2 4 2 3 2" xfId="36583" xr:uid="{FC89607E-AED3-41F1-87F5-CEF5E69B7053}"/>
    <cellStyle name="20% - Accent3 3 2 4 2 4" xfId="20688" xr:uid="{00000000-0005-0000-0000-000046110000}"/>
    <cellStyle name="20% - Accent3 3 2 4 2 4 2" xfId="44521" xr:uid="{3C36ADBD-E1BD-4EA7-941B-4FC42BEB86C1}"/>
    <cellStyle name="20% - Accent3 3 2 4 2 5" xfId="28642" xr:uid="{8B506D6A-FB67-40FA-876C-8ABF57E62F9B}"/>
    <cellStyle name="20% - Accent3 3 2 4 3" xfId="6541" xr:uid="{00000000-0005-0000-0000-000047110000}"/>
    <cellStyle name="20% - Accent3 3 2 4 3 2" xfId="14513" xr:uid="{00000000-0005-0000-0000-000048110000}"/>
    <cellStyle name="20% - Accent3 3 2 4 3 2 2" xfId="38356" xr:uid="{C589E230-9FD6-4F65-8F51-D18BB5C3A151}"/>
    <cellStyle name="20% - Accent3 3 2 4 3 3" xfId="22460" xr:uid="{00000000-0005-0000-0000-000049110000}"/>
    <cellStyle name="20% - Accent3 3 2 4 3 3 2" xfId="46293" xr:uid="{40E62B21-ED33-4759-B3B1-71988C99C434}"/>
    <cellStyle name="20% - Accent3 3 2 4 3 4" xfId="30415" xr:uid="{72051928-62EC-4563-9A12-F9F83CCE354E}"/>
    <cellStyle name="20% - Accent3 3 2 4 4" xfId="10977" xr:uid="{00000000-0005-0000-0000-00004A110000}"/>
    <cellStyle name="20% - Accent3 3 2 4 4 2" xfId="34827" xr:uid="{E4FBB09E-7FAD-4A27-9031-00A7F3696A39}"/>
    <cellStyle name="20% - Accent3 3 2 4 5" xfId="18932" xr:uid="{00000000-0005-0000-0000-00004B110000}"/>
    <cellStyle name="20% - Accent3 3 2 4 5 2" xfId="42765" xr:uid="{60CAC234-6003-4A0E-8A07-44D7617CD1C2}"/>
    <cellStyle name="20% - Accent3 3 2 4 6" xfId="26885" xr:uid="{AA75BFD0-E161-4011-BC25-EF46E08FD5B5}"/>
    <cellStyle name="20% - Accent3 3 2 4_Exh G" xfId="2247" xr:uid="{00000000-0005-0000-0000-00004C110000}"/>
    <cellStyle name="20% - Accent3 3 2 5" xfId="3830" xr:uid="{00000000-0005-0000-0000-00004D110000}"/>
    <cellStyle name="20% - Accent3 3 2 5 2" xfId="7422" xr:uid="{00000000-0005-0000-0000-00004E110000}"/>
    <cellStyle name="20% - Accent3 3 2 5 2 2" xfId="15393" xr:uid="{00000000-0005-0000-0000-00004F110000}"/>
    <cellStyle name="20% - Accent3 3 2 5 2 2 2" xfId="39236" xr:uid="{BAC1FCA6-5A9C-46E4-9BA1-8D155B2A377F}"/>
    <cellStyle name="20% - Accent3 3 2 5 2 3" xfId="23339" xr:uid="{00000000-0005-0000-0000-000050110000}"/>
    <cellStyle name="20% - Accent3 3 2 5 2 3 2" xfId="47172" xr:uid="{905D3FF3-12CA-4AC7-A104-2CC11CD8B942}"/>
    <cellStyle name="20% - Accent3 3 2 5 2 4" xfId="31295" xr:uid="{6A09254D-F7F2-4D67-8291-956CC146A9A0}"/>
    <cellStyle name="20% - Accent3 3 2 5 3" xfId="11855" xr:uid="{00000000-0005-0000-0000-000051110000}"/>
    <cellStyle name="20% - Accent3 3 2 5 3 2" xfId="35705" xr:uid="{63EABB8F-5239-4D1F-A331-B4DC135723DC}"/>
    <cellStyle name="20% - Accent3 3 2 5 4" xfId="19810" xr:uid="{00000000-0005-0000-0000-000052110000}"/>
    <cellStyle name="20% - Accent3 3 2 5 4 2" xfId="43643" xr:uid="{F62DB139-D8EB-41EF-A50A-67BF0F1C00D4}"/>
    <cellStyle name="20% - Accent3 3 2 5 5" xfId="27764" xr:uid="{94BF17A6-D9AE-4D9E-A549-96907B072852}"/>
    <cellStyle name="20% - Accent3 3 2 6" xfId="5650" xr:uid="{00000000-0005-0000-0000-000053110000}"/>
    <cellStyle name="20% - Accent3 3 2 6 2" xfId="13634" xr:uid="{00000000-0005-0000-0000-000054110000}"/>
    <cellStyle name="20% - Accent3 3 2 6 2 2" xfId="37478" xr:uid="{22A480B9-F1D6-4CE7-9915-2E15EAAE75ED}"/>
    <cellStyle name="20% - Accent3 3 2 6 3" xfId="21582" xr:uid="{00000000-0005-0000-0000-000055110000}"/>
    <cellStyle name="20% - Accent3 3 2 6 3 2" xfId="45415" xr:uid="{ED174961-E37E-4EB6-A797-FDF335F2A437}"/>
    <cellStyle name="20% - Accent3 3 2 6 4" xfId="29537" xr:uid="{BB26E9B6-193F-48F3-9B28-9479EA887B01}"/>
    <cellStyle name="20% - Accent3 3 2 7" xfId="9203" xr:uid="{00000000-0005-0000-0000-000056110000}"/>
    <cellStyle name="20% - Accent3 3 2 7 2" xfId="17161" xr:uid="{00000000-0005-0000-0000-000057110000}"/>
    <cellStyle name="20% - Accent3 3 2 7 2 2" xfId="41002" xr:uid="{7F243350-8A5C-4586-B52E-A3A28B7E2A7D}"/>
    <cellStyle name="20% - Accent3 3 2 7 3" xfId="25105" xr:uid="{00000000-0005-0000-0000-000058110000}"/>
    <cellStyle name="20% - Accent3 3 2 7 3 2" xfId="48938" xr:uid="{6D30F59D-D66D-449F-94D0-9AE0C3318EF9}"/>
    <cellStyle name="20% - Accent3 3 2 7 4" xfId="33061" xr:uid="{6CCA5956-BCF2-4A33-A679-9D23012B5E4C}"/>
    <cellStyle name="20% - Accent3 3 2 8" xfId="10099" xr:uid="{00000000-0005-0000-0000-000059110000}"/>
    <cellStyle name="20% - Accent3 3 2 8 2" xfId="33949" xr:uid="{EEFC7A69-314B-45A5-9B6F-CFA0A3154850}"/>
    <cellStyle name="20% - Accent3 3 2 9" xfId="18054" xr:uid="{00000000-0005-0000-0000-00005A110000}"/>
    <cellStyle name="20% - Accent3 3 2 9 2" xfId="41887" xr:uid="{BB936050-64B0-4325-8A9C-08DEDC0B6451}"/>
    <cellStyle name="20% - Accent3 3 2_Exh G" xfId="2242" xr:uid="{00000000-0005-0000-0000-00005B110000}"/>
    <cellStyle name="20% - Accent3 3 3" xfId="153" xr:uid="{00000000-0005-0000-0000-00005C110000}"/>
    <cellStyle name="20% - Accent3 3 3 2" xfId="1181" xr:uid="{00000000-0005-0000-0000-00005D110000}"/>
    <cellStyle name="20% - Accent3 3 3 2 2" xfId="4711" xr:uid="{00000000-0005-0000-0000-00005E110000}"/>
    <cellStyle name="20% - Accent3 3 3 2 2 2" xfId="8302" xr:uid="{00000000-0005-0000-0000-00005F110000}"/>
    <cellStyle name="20% - Accent3 3 3 2 2 2 2" xfId="16273" xr:uid="{00000000-0005-0000-0000-000060110000}"/>
    <cellStyle name="20% - Accent3 3 3 2 2 2 2 2" xfId="40116" xr:uid="{91930C91-F9C1-458D-8AF0-3B2C2432D4FC}"/>
    <cellStyle name="20% - Accent3 3 3 2 2 2 3" xfId="24219" xr:uid="{00000000-0005-0000-0000-000061110000}"/>
    <cellStyle name="20% - Accent3 3 3 2 2 2 3 2" xfId="48052" xr:uid="{EF5EADE7-D86E-4649-80D7-29BC7746C887}"/>
    <cellStyle name="20% - Accent3 3 3 2 2 2 4" xfId="32175" xr:uid="{38A758B1-A7C9-46DA-B8ED-774A6D90A14C}"/>
    <cellStyle name="20% - Accent3 3 3 2 2 3" xfId="12735" xr:uid="{00000000-0005-0000-0000-000062110000}"/>
    <cellStyle name="20% - Accent3 3 3 2 2 3 2" xfId="36585" xr:uid="{D054BC52-F33E-4BD4-B8DC-7694C9D5EFEB}"/>
    <cellStyle name="20% - Accent3 3 3 2 2 4" xfId="20690" xr:uid="{00000000-0005-0000-0000-000063110000}"/>
    <cellStyle name="20% - Accent3 3 3 2 2 4 2" xfId="44523" xr:uid="{FCF89643-4EDB-4587-B9BE-2A0CE0C67A1A}"/>
    <cellStyle name="20% - Accent3 3 3 2 2 5" xfId="28644" xr:uid="{13BC6123-612E-49DD-817F-C3F3CEAD6DAA}"/>
    <cellStyle name="20% - Accent3 3 3 2 3" xfId="6543" xr:uid="{00000000-0005-0000-0000-000064110000}"/>
    <cellStyle name="20% - Accent3 3 3 2 3 2" xfId="14515" xr:uid="{00000000-0005-0000-0000-000065110000}"/>
    <cellStyle name="20% - Accent3 3 3 2 3 2 2" xfId="38358" xr:uid="{112E1F46-4F3C-489F-BB96-DDBDAD4A5488}"/>
    <cellStyle name="20% - Accent3 3 3 2 3 3" xfId="22462" xr:uid="{00000000-0005-0000-0000-000066110000}"/>
    <cellStyle name="20% - Accent3 3 3 2 3 3 2" xfId="46295" xr:uid="{0C35D33B-9F35-473B-BD68-F46D7A962244}"/>
    <cellStyle name="20% - Accent3 3 3 2 3 4" xfId="30417" xr:uid="{1DBC491D-DF74-493B-8CE2-85FE2FA59F0D}"/>
    <cellStyle name="20% - Accent3 3 3 2 4" xfId="10979" xr:uid="{00000000-0005-0000-0000-000067110000}"/>
    <cellStyle name="20% - Accent3 3 3 2 4 2" xfId="34829" xr:uid="{3EFFBA70-8252-4E60-8E5B-5CA2E25D65FF}"/>
    <cellStyle name="20% - Accent3 3 3 2 5" xfId="18934" xr:uid="{00000000-0005-0000-0000-000068110000}"/>
    <cellStyle name="20% - Accent3 3 3 2 5 2" xfId="42767" xr:uid="{F2C503E2-E38D-4803-9271-E371B64D61E4}"/>
    <cellStyle name="20% - Accent3 3 3 2 6" xfId="26887" xr:uid="{3F741962-FA13-4084-9479-41F6276F708D}"/>
    <cellStyle name="20% - Accent3 3 3 2_Exh G" xfId="2249" xr:uid="{00000000-0005-0000-0000-000069110000}"/>
    <cellStyle name="20% - Accent3 3 3 3" xfId="3832" xr:uid="{00000000-0005-0000-0000-00006A110000}"/>
    <cellStyle name="20% - Accent3 3 3 3 2" xfId="7424" xr:uid="{00000000-0005-0000-0000-00006B110000}"/>
    <cellStyle name="20% - Accent3 3 3 3 2 2" xfId="15395" xr:uid="{00000000-0005-0000-0000-00006C110000}"/>
    <cellStyle name="20% - Accent3 3 3 3 2 2 2" xfId="39238" xr:uid="{1712A508-CECC-4965-9B06-80D9EB7B4100}"/>
    <cellStyle name="20% - Accent3 3 3 3 2 3" xfId="23341" xr:uid="{00000000-0005-0000-0000-00006D110000}"/>
    <cellStyle name="20% - Accent3 3 3 3 2 3 2" xfId="47174" xr:uid="{464F2E90-88F9-404E-9708-C5C4DA01A148}"/>
    <cellStyle name="20% - Accent3 3 3 3 2 4" xfId="31297" xr:uid="{E96BFB64-0D49-4C45-AEA1-6D3F9516E3FF}"/>
    <cellStyle name="20% - Accent3 3 3 3 3" xfId="11857" xr:uid="{00000000-0005-0000-0000-00006E110000}"/>
    <cellStyle name="20% - Accent3 3 3 3 3 2" xfId="35707" xr:uid="{46AB1E93-8255-424D-B37E-F405F89B0178}"/>
    <cellStyle name="20% - Accent3 3 3 3 4" xfId="19812" xr:uid="{00000000-0005-0000-0000-00006F110000}"/>
    <cellStyle name="20% - Accent3 3 3 3 4 2" xfId="43645" xr:uid="{061E8724-E46A-4A67-8991-BFB2F5EAF0B0}"/>
    <cellStyle name="20% - Accent3 3 3 3 5" xfId="27766" xr:uid="{39337CAF-6F1C-4BC9-9F15-3F7E08CAEC72}"/>
    <cellStyle name="20% - Accent3 3 3 4" xfId="5652" xr:uid="{00000000-0005-0000-0000-000070110000}"/>
    <cellStyle name="20% - Accent3 3 3 4 2" xfId="13636" xr:uid="{00000000-0005-0000-0000-000071110000}"/>
    <cellStyle name="20% - Accent3 3 3 4 2 2" xfId="37480" xr:uid="{5E924346-2F7B-4F14-927C-1D6F87846AC3}"/>
    <cellStyle name="20% - Accent3 3 3 4 3" xfId="21584" xr:uid="{00000000-0005-0000-0000-000072110000}"/>
    <cellStyle name="20% - Accent3 3 3 4 3 2" xfId="45417" xr:uid="{A8A545B6-8A78-45D6-980B-C648662EAAF6}"/>
    <cellStyle name="20% - Accent3 3 3 4 4" xfId="29539" xr:uid="{D1FC069C-F7D7-4F1C-BC1A-61F0E98D3B33}"/>
    <cellStyle name="20% - Accent3 3 3 5" xfId="9205" xr:uid="{00000000-0005-0000-0000-000073110000}"/>
    <cellStyle name="20% - Accent3 3 3 5 2" xfId="17163" xr:uid="{00000000-0005-0000-0000-000074110000}"/>
    <cellStyle name="20% - Accent3 3 3 5 2 2" xfId="41004" xr:uid="{6ACBC3B9-4958-4F06-86A9-0AB646C4132D}"/>
    <cellStyle name="20% - Accent3 3 3 5 3" xfId="25107" xr:uid="{00000000-0005-0000-0000-000075110000}"/>
    <cellStyle name="20% - Accent3 3 3 5 3 2" xfId="48940" xr:uid="{49BA78AA-DC71-4AC1-88B6-78D2225B5DAB}"/>
    <cellStyle name="20% - Accent3 3 3 5 4" xfId="33063" xr:uid="{626D7673-146A-4E2F-A749-DD9A5A0937CF}"/>
    <cellStyle name="20% - Accent3 3 3 6" xfId="10101" xr:uid="{00000000-0005-0000-0000-000076110000}"/>
    <cellStyle name="20% - Accent3 3 3 6 2" xfId="33951" xr:uid="{13DF51BA-9B67-44BB-A178-82525D036B65}"/>
    <cellStyle name="20% - Accent3 3 3 7" xfId="18056" xr:uid="{00000000-0005-0000-0000-000077110000}"/>
    <cellStyle name="20% - Accent3 3 3 7 2" xfId="41889" xr:uid="{EE087F69-E590-4A84-B976-229B39243B00}"/>
    <cellStyle name="20% - Accent3 3 3 8" xfId="26009" xr:uid="{8D28AFBA-FDE6-4E47-8267-6FC204336247}"/>
    <cellStyle name="20% - Accent3 3 3_Exh G" xfId="2248" xr:uid="{00000000-0005-0000-0000-000078110000}"/>
    <cellStyle name="20% - Accent3 3 4" xfId="889" xr:uid="{00000000-0005-0000-0000-000079110000}"/>
    <cellStyle name="20% - Accent3 3 4 2" xfId="1821" xr:uid="{00000000-0005-0000-0000-00007A110000}"/>
    <cellStyle name="20% - Accent3 3 4 2 2" xfId="5339" xr:uid="{00000000-0005-0000-0000-00007B110000}"/>
    <cellStyle name="20% - Accent3 3 4 2 2 2" xfId="8930" xr:uid="{00000000-0005-0000-0000-00007C110000}"/>
    <cellStyle name="20% - Accent3 3 4 2 2 2 2" xfId="16901" xr:uid="{00000000-0005-0000-0000-00007D110000}"/>
    <cellStyle name="20% - Accent3 3 4 2 2 2 2 2" xfId="40744" xr:uid="{D6E6A2CC-B180-45E6-A441-BD4981CEE279}"/>
    <cellStyle name="20% - Accent3 3 4 2 2 2 3" xfId="24847" xr:uid="{00000000-0005-0000-0000-00007E110000}"/>
    <cellStyle name="20% - Accent3 3 4 2 2 2 3 2" xfId="48680" xr:uid="{FD5976E8-597A-40E6-A099-1D5A364C8DDB}"/>
    <cellStyle name="20% - Accent3 3 4 2 2 2 4" xfId="32803" xr:uid="{7292CA8B-43D5-4D7C-8068-FD31C400809F}"/>
    <cellStyle name="20% - Accent3 3 4 2 2 3" xfId="13363" xr:uid="{00000000-0005-0000-0000-00007F110000}"/>
    <cellStyle name="20% - Accent3 3 4 2 2 3 2" xfId="37213" xr:uid="{38C1E8EB-7001-4648-B888-CA27DD3B97C3}"/>
    <cellStyle name="20% - Accent3 3 4 2 2 4" xfId="21318" xr:uid="{00000000-0005-0000-0000-000080110000}"/>
    <cellStyle name="20% - Accent3 3 4 2 2 4 2" xfId="45151" xr:uid="{9503B30D-F94C-4B0B-943D-3D2A75D3CB4F}"/>
    <cellStyle name="20% - Accent3 3 4 2 2 5" xfId="29272" xr:uid="{3910E0B1-7053-415F-A5CD-0326B094C021}"/>
    <cellStyle name="20% - Accent3 3 4 2 3" xfId="7171" xr:uid="{00000000-0005-0000-0000-000081110000}"/>
    <cellStyle name="20% - Accent3 3 4 2 3 2" xfId="15143" xr:uid="{00000000-0005-0000-0000-000082110000}"/>
    <cellStyle name="20% - Accent3 3 4 2 3 2 2" xfId="38986" xr:uid="{46D9EDAE-CBD8-40FC-BA26-A13B102B759E}"/>
    <cellStyle name="20% - Accent3 3 4 2 3 3" xfId="23090" xr:uid="{00000000-0005-0000-0000-000083110000}"/>
    <cellStyle name="20% - Accent3 3 4 2 3 3 2" xfId="46923" xr:uid="{543BCF4B-3C26-4C09-94AE-FD1DC50892EF}"/>
    <cellStyle name="20% - Accent3 3 4 2 3 4" xfId="31045" xr:uid="{38F3AA85-2D07-4E74-994B-45460124F748}"/>
    <cellStyle name="20% - Accent3 3 4 2 4" xfId="11607" xr:uid="{00000000-0005-0000-0000-000084110000}"/>
    <cellStyle name="20% - Accent3 3 4 2 4 2" xfId="35457" xr:uid="{055926FF-237D-4D8A-A34D-6BC77BA79033}"/>
    <cellStyle name="20% - Accent3 3 4 2 5" xfId="19562" xr:uid="{00000000-0005-0000-0000-000085110000}"/>
    <cellStyle name="20% - Accent3 3 4 2 5 2" xfId="43395" xr:uid="{6DCCE096-6751-490B-832D-BC489D4B3ACF}"/>
    <cellStyle name="20% - Accent3 3 4 2 6" xfId="27515" xr:uid="{D05909DE-C350-41C2-BE86-BA41A5E2858B}"/>
    <cellStyle name="20% - Accent3 3 4 2_Exh G" xfId="2251" xr:uid="{00000000-0005-0000-0000-000086110000}"/>
    <cellStyle name="20% - Accent3 3 4 3" xfId="4460" xr:uid="{00000000-0005-0000-0000-000087110000}"/>
    <cellStyle name="20% - Accent3 3 4 3 2" xfId="8052" xr:uid="{00000000-0005-0000-0000-000088110000}"/>
    <cellStyle name="20% - Accent3 3 4 3 2 2" xfId="16023" xr:uid="{00000000-0005-0000-0000-000089110000}"/>
    <cellStyle name="20% - Accent3 3 4 3 2 2 2" xfId="39866" xr:uid="{5B0796B1-502A-4038-AFFA-B1E9BA4EE9CE}"/>
    <cellStyle name="20% - Accent3 3 4 3 2 3" xfId="23969" xr:uid="{00000000-0005-0000-0000-00008A110000}"/>
    <cellStyle name="20% - Accent3 3 4 3 2 3 2" xfId="47802" xr:uid="{BEC42A2E-8385-4CC4-B1F4-31336C6107A0}"/>
    <cellStyle name="20% - Accent3 3 4 3 2 4" xfId="31925" xr:uid="{63E7DBA1-9BE6-4FA4-83D7-ACBA9A839E2B}"/>
    <cellStyle name="20% - Accent3 3 4 3 3" xfId="12485" xr:uid="{00000000-0005-0000-0000-00008B110000}"/>
    <cellStyle name="20% - Accent3 3 4 3 3 2" xfId="36335" xr:uid="{1416C885-67BD-4662-896C-52AD667CF187}"/>
    <cellStyle name="20% - Accent3 3 4 3 4" xfId="20440" xr:uid="{00000000-0005-0000-0000-00008C110000}"/>
    <cellStyle name="20% - Accent3 3 4 3 4 2" xfId="44273" xr:uid="{738A17AF-4022-43E3-AC01-C7AD8889A9E3}"/>
    <cellStyle name="20% - Accent3 3 4 3 5" xfId="28394" xr:uid="{672F893D-5149-43F3-B063-C1FA4C847FE5}"/>
    <cellStyle name="20% - Accent3 3 4 4" xfId="6290" xr:uid="{00000000-0005-0000-0000-00008D110000}"/>
    <cellStyle name="20% - Accent3 3 4 4 2" xfId="14265" xr:uid="{00000000-0005-0000-0000-00008E110000}"/>
    <cellStyle name="20% - Accent3 3 4 4 2 2" xfId="38108" xr:uid="{8DB639A0-CF14-46EA-9410-70E14075E32C}"/>
    <cellStyle name="20% - Accent3 3 4 4 3" xfId="22212" xr:uid="{00000000-0005-0000-0000-00008F110000}"/>
    <cellStyle name="20% - Accent3 3 4 4 3 2" xfId="46045" xr:uid="{55B679E9-45F8-4F25-B9AC-DF68022CB9EE}"/>
    <cellStyle name="20% - Accent3 3 4 4 4" xfId="30167" xr:uid="{06C7C0BB-F3C3-4F82-BC87-C658FCA2B2EB}"/>
    <cellStyle name="20% - Accent3 3 4 5" xfId="9833" xr:uid="{00000000-0005-0000-0000-000090110000}"/>
    <cellStyle name="20% - Accent3 3 4 5 2" xfId="17791" xr:uid="{00000000-0005-0000-0000-000091110000}"/>
    <cellStyle name="20% - Accent3 3 4 5 2 2" xfId="41632" xr:uid="{181E358D-9C5C-410C-B711-856BFC6322F1}"/>
    <cellStyle name="20% - Accent3 3 4 5 3" xfId="25735" xr:uid="{00000000-0005-0000-0000-000092110000}"/>
    <cellStyle name="20% - Accent3 3 4 5 3 2" xfId="49568" xr:uid="{6FEAD994-281A-43B7-A50D-2EB971C44861}"/>
    <cellStyle name="20% - Accent3 3 4 5 4" xfId="33691" xr:uid="{845E6219-F551-4763-87E8-49C96A2EBA8B}"/>
    <cellStyle name="20% - Accent3 3 4 6" xfId="10729" xr:uid="{00000000-0005-0000-0000-000093110000}"/>
    <cellStyle name="20% - Accent3 3 4 6 2" xfId="34579" xr:uid="{25760CA4-7CA8-41F9-A604-F7F297895DA9}"/>
    <cellStyle name="20% - Accent3 3 4 7" xfId="18684" xr:uid="{00000000-0005-0000-0000-000094110000}"/>
    <cellStyle name="20% - Accent3 3 4 7 2" xfId="42517" xr:uid="{A1B63FC1-1CFB-46AC-B1C2-2AA4A61FBC9D}"/>
    <cellStyle name="20% - Accent3 3 4 8" xfId="26637" xr:uid="{DB1C83F3-55A6-4CF3-859B-F5179A1AC623}"/>
    <cellStyle name="20% - Accent3 3 4_Exh G" xfId="2250" xr:uid="{00000000-0005-0000-0000-000095110000}"/>
    <cellStyle name="20% - Accent3 3 5" xfId="1178" xr:uid="{00000000-0005-0000-0000-000096110000}"/>
    <cellStyle name="20% - Accent3 3 5 2" xfId="4708" xr:uid="{00000000-0005-0000-0000-000097110000}"/>
    <cellStyle name="20% - Accent3 3 5 2 2" xfId="8299" xr:uid="{00000000-0005-0000-0000-000098110000}"/>
    <cellStyle name="20% - Accent3 3 5 2 2 2" xfId="16270" xr:uid="{00000000-0005-0000-0000-000099110000}"/>
    <cellStyle name="20% - Accent3 3 5 2 2 2 2" xfId="40113" xr:uid="{5989EBB7-1FC6-46ED-804A-7D72E0BE9AAD}"/>
    <cellStyle name="20% - Accent3 3 5 2 2 3" xfId="24216" xr:uid="{00000000-0005-0000-0000-00009A110000}"/>
    <cellStyle name="20% - Accent3 3 5 2 2 3 2" xfId="48049" xr:uid="{AE7E55DC-1621-4473-B2F5-2916CB6AF914}"/>
    <cellStyle name="20% - Accent3 3 5 2 2 4" xfId="32172" xr:uid="{86725865-5FDF-42E5-938E-532F81B433C2}"/>
    <cellStyle name="20% - Accent3 3 5 2 3" xfId="12732" xr:uid="{00000000-0005-0000-0000-00009B110000}"/>
    <cellStyle name="20% - Accent3 3 5 2 3 2" xfId="36582" xr:uid="{49F29FA6-6770-45D1-8098-F6424DA2A2A2}"/>
    <cellStyle name="20% - Accent3 3 5 2 4" xfId="20687" xr:uid="{00000000-0005-0000-0000-00009C110000}"/>
    <cellStyle name="20% - Accent3 3 5 2 4 2" xfId="44520" xr:uid="{4F844938-ED4C-4905-B1BE-3D9A42CA3BA6}"/>
    <cellStyle name="20% - Accent3 3 5 2 5" xfId="28641" xr:uid="{5ED9C179-7B06-40C7-BDA4-9F7D53D6FE51}"/>
    <cellStyle name="20% - Accent3 3 5 3" xfId="6540" xr:uid="{00000000-0005-0000-0000-00009D110000}"/>
    <cellStyle name="20% - Accent3 3 5 3 2" xfId="14512" xr:uid="{00000000-0005-0000-0000-00009E110000}"/>
    <cellStyle name="20% - Accent3 3 5 3 2 2" xfId="38355" xr:uid="{7062CF34-67B2-4DFE-B42A-D49E5EDF4745}"/>
    <cellStyle name="20% - Accent3 3 5 3 3" xfId="22459" xr:uid="{00000000-0005-0000-0000-00009F110000}"/>
    <cellStyle name="20% - Accent3 3 5 3 3 2" xfId="46292" xr:uid="{F4F25EA4-B8FC-4334-85EB-7449193429AB}"/>
    <cellStyle name="20% - Accent3 3 5 3 4" xfId="30414" xr:uid="{07DEE7BD-220B-4E80-B78B-495CFBA6D369}"/>
    <cellStyle name="20% - Accent3 3 5 4" xfId="10976" xr:uid="{00000000-0005-0000-0000-0000A0110000}"/>
    <cellStyle name="20% - Accent3 3 5 4 2" xfId="34826" xr:uid="{EC683880-CF1D-4669-ACE2-9648643F417E}"/>
    <cellStyle name="20% - Accent3 3 5 5" xfId="18931" xr:uid="{00000000-0005-0000-0000-0000A1110000}"/>
    <cellStyle name="20% - Accent3 3 5 5 2" xfId="42764" xr:uid="{231D795C-3F6B-4E92-AEE4-0BD2B239E474}"/>
    <cellStyle name="20% - Accent3 3 5 6" xfId="26884" xr:uid="{93149843-2E27-4391-8BFD-6FE4DDA8F011}"/>
    <cellStyle name="20% - Accent3 3 5_Exh G" xfId="2252" xr:uid="{00000000-0005-0000-0000-0000A2110000}"/>
    <cellStyle name="20% - Accent3 3 6" xfId="3829" xr:uid="{00000000-0005-0000-0000-0000A3110000}"/>
    <cellStyle name="20% - Accent3 3 6 2" xfId="7421" xr:uid="{00000000-0005-0000-0000-0000A4110000}"/>
    <cellStyle name="20% - Accent3 3 6 2 2" xfId="15392" xr:uid="{00000000-0005-0000-0000-0000A5110000}"/>
    <cellStyle name="20% - Accent3 3 6 2 2 2" xfId="39235" xr:uid="{E6E3E0CD-5882-4DDC-AC19-B9A0DFAC5222}"/>
    <cellStyle name="20% - Accent3 3 6 2 3" xfId="23338" xr:uid="{00000000-0005-0000-0000-0000A6110000}"/>
    <cellStyle name="20% - Accent3 3 6 2 3 2" xfId="47171" xr:uid="{5AB83E42-78F8-498A-BD59-4B658E927330}"/>
    <cellStyle name="20% - Accent3 3 6 2 4" xfId="31294" xr:uid="{2AE43878-0928-4687-8367-4EF49DA599EE}"/>
    <cellStyle name="20% - Accent3 3 6 3" xfId="11854" xr:uid="{00000000-0005-0000-0000-0000A7110000}"/>
    <cellStyle name="20% - Accent3 3 6 3 2" xfId="35704" xr:uid="{AA9AEC72-2EFB-46E4-8DA6-CDB1F92B4A6C}"/>
    <cellStyle name="20% - Accent3 3 6 4" xfId="19809" xr:uid="{00000000-0005-0000-0000-0000A8110000}"/>
    <cellStyle name="20% - Accent3 3 6 4 2" xfId="43642" xr:uid="{0379D479-35A0-43BB-A278-0D33150B3B32}"/>
    <cellStyle name="20% - Accent3 3 6 5" xfId="27763" xr:uid="{D7CF1541-02E8-47CB-8A8E-1BA82757B642}"/>
    <cellStyle name="20% - Accent3 3 7" xfId="5649" xr:uid="{00000000-0005-0000-0000-0000A9110000}"/>
    <cellStyle name="20% - Accent3 3 7 2" xfId="13633" xr:uid="{00000000-0005-0000-0000-0000AA110000}"/>
    <cellStyle name="20% - Accent3 3 7 2 2" xfId="37477" xr:uid="{588FB524-4234-4328-9829-CD7406B71A3E}"/>
    <cellStyle name="20% - Accent3 3 7 3" xfId="21581" xr:uid="{00000000-0005-0000-0000-0000AB110000}"/>
    <cellStyle name="20% - Accent3 3 7 3 2" xfId="45414" xr:uid="{6B20DA03-8386-4B46-A0B7-75336F2C2BDC}"/>
    <cellStyle name="20% - Accent3 3 7 4" xfId="29536" xr:uid="{1909E208-4FD9-4417-A9B7-384446AEFAAD}"/>
    <cellStyle name="20% - Accent3 3 8" xfId="9202" xr:uid="{00000000-0005-0000-0000-0000AC110000}"/>
    <cellStyle name="20% - Accent3 3 8 2" xfId="17160" xr:uid="{00000000-0005-0000-0000-0000AD110000}"/>
    <cellStyle name="20% - Accent3 3 8 2 2" xfId="41001" xr:uid="{06397F9D-B9D0-4E11-B5C7-43ED400192E6}"/>
    <cellStyle name="20% - Accent3 3 8 3" xfId="25104" xr:uid="{00000000-0005-0000-0000-0000AE110000}"/>
    <cellStyle name="20% - Accent3 3 8 3 2" xfId="48937" xr:uid="{A5A9FF14-D427-462D-A856-5D8E88A9DCA3}"/>
    <cellStyle name="20% - Accent3 3 8 4" xfId="33060" xr:uid="{7BACF0A9-B233-4BB7-91DA-1CBA474DA724}"/>
    <cellStyle name="20% - Accent3 3 9" xfId="10098" xr:uid="{00000000-0005-0000-0000-0000AF110000}"/>
    <cellStyle name="20% - Accent3 3 9 2" xfId="33948" xr:uid="{A0F2B8FC-72AB-4F30-959A-51C064F0810B}"/>
    <cellStyle name="20% - Accent3 3_Exh G" xfId="2241" xr:uid="{00000000-0005-0000-0000-0000B0110000}"/>
    <cellStyle name="20% - Accent3 4" xfId="154" xr:uid="{00000000-0005-0000-0000-0000B1110000}"/>
    <cellStyle name="20% - Accent3 4 10" xfId="18057" xr:uid="{00000000-0005-0000-0000-0000B2110000}"/>
    <cellStyle name="20% - Accent3 4 10 2" xfId="41890" xr:uid="{C2FB0BDE-38D6-4C3E-A418-EFA2BD558951}"/>
    <cellStyle name="20% - Accent3 4 11" xfId="26010" xr:uid="{C69058B4-6240-43B0-BCA7-753610294845}"/>
    <cellStyle name="20% - Accent3 4 2" xfId="155" xr:uid="{00000000-0005-0000-0000-0000B3110000}"/>
    <cellStyle name="20% - Accent3 4 2 10" xfId="26011" xr:uid="{199D1273-F6F4-4A11-8720-D4793967F0FF}"/>
    <cellStyle name="20% - Accent3 4 2 2" xfId="156" xr:uid="{00000000-0005-0000-0000-0000B4110000}"/>
    <cellStyle name="20% - Accent3 4 2 2 2" xfId="1184" xr:uid="{00000000-0005-0000-0000-0000B5110000}"/>
    <cellStyle name="20% - Accent3 4 2 2 2 2" xfId="4714" xr:uid="{00000000-0005-0000-0000-0000B6110000}"/>
    <cellStyle name="20% - Accent3 4 2 2 2 2 2" xfId="8305" xr:uid="{00000000-0005-0000-0000-0000B7110000}"/>
    <cellStyle name="20% - Accent3 4 2 2 2 2 2 2" xfId="16276" xr:uid="{00000000-0005-0000-0000-0000B8110000}"/>
    <cellStyle name="20% - Accent3 4 2 2 2 2 2 2 2" xfId="40119" xr:uid="{B760C253-3BB5-479D-AB50-530F7DCBF437}"/>
    <cellStyle name="20% - Accent3 4 2 2 2 2 2 3" xfId="24222" xr:uid="{00000000-0005-0000-0000-0000B9110000}"/>
    <cellStyle name="20% - Accent3 4 2 2 2 2 2 3 2" xfId="48055" xr:uid="{B6A5C9A4-B2F8-4D8E-924C-CB20CF5DB827}"/>
    <cellStyle name="20% - Accent3 4 2 2 2 2 2 4" xfId="32178" xr:uid="{B6045ACC-7EB1-4583-A6FE-FC32DF67AADC}"/>
    <cellStyle name="20% - Accent3 4 2 2 2 2 3" xfId="12738" xr:uid="{00000000-0005-0000-0000-0000BA110000}"/>
    <cellStyle name="20% - Accent3 4 2 2 2 2 3 2" xfId="36588" xr:uid="{6E71E747-5421-45BF-A5CF-AA3AC5C274D6}"/>
    <cellStyle name="20% - Accent3 4 2 2 2 2 4" xfId="20693" xr:uid="{00000000-0005-0000-0000-0000BB110000}"/>
    <cellStyle name="20% - Accent3 4 2 2 2 2 4 2" xfId="44526" xr:uid="{55F8BE68-C2A6-4465-99C2-87264EA56E3D}"/>
    <cellStyle name="20% - Accent3 4 2 2 2 2 5" xfId="28647" xr:uid="{F612ABE4-78DD-4BA7-9EE3-576BB45CD0B7}"/>
    <cellStyle name="20% - Accent3 4 2 2 2 3" xfId="6546" xr:uid="{00000000-0005-0000-0000-0000BC110000}"/>
    <cellStyle name="20% - Accent3 4 2 2 2 3 2" xfId="14518" xr:uid="{00000000-0005-0000-0000-0000BD110000}"/>
    <cellStyle name="20% - Accent3 4 2 2 2 3 2 2" xfId="38361" xr:uid="{5204F335-110E-49C7-B25F-990B79DBB4FB}"/>
    <cellStyle name="20% - Accent3 4 2 2 2 3 3" xfId="22465" xr:uid="{00000000-0005-0000-0000-0000BE110000}"/>
    <cellStyle name="20% - Accent3 4 2 2 2 3 3 2" xfId="46298" xr:uid="{7A623040-AAA9-4353-BD6B-1E7B7E87D07F}"/>
    <cellStyle name="20% - Accent3 4 2 2 2 3 4" xfId="30420" xr:uid="{36D50D05-8DA7-4A2C-8268-72004BD69457}"/>
    <cellStyle name="20% - Accent3 4 2 2 2 4" xfId="10982" xr:uid="{00000000-0005-0000-0000-0000BF110000}"/>
    <cellStyle name="20% - Accent3 4 2 2 2 4 2" xfId="34832" xr:uid="{FC0EF661-B753-4A73-B81A-74C56A8F1B05}"/>
    <cellStyle name="20% - Accent3 4 2 2 2 5" xfId="18937" xr:uid="{00000000-0005-0000-0000-0000C0110000}"/>
    <cellStyle name="20% - Accent3 4 2 2 2 5 2" xfId="42770" xr:uid="{BB2ACA80-653D-45E6-9847-E614D28E0038}"/>
    <cellStyle name="20% - Accent3 4 2 2 2 6" xfId="26890" xr:uid="{81208B0E-068D-470D-BDA8-305A157E9D59}"/>
    <cellStyle name="20% - Accent3 4 2 2 2_Exh G" xfId="2256" xr:uid="{00000000-0005-0000-0000-0000C1110000}"/>
    <cellStyle name="20% - Accent3 4 2 2 3" xfId="3835" xr:uid="{00000000-0005-0000-0000-0000C2110000}"/>
    <cellStyle name="20% - Accent3 4 2 2 3 2" xfId="7427" xr:uid="{00000000-0005-0000-0000-0000C3110000}"/>
    <cellStyle name="20% - Accent3 4 2 2 3 2 2" xfId="15398" xr:uid="{00000000-0005-0000-0000-0000C4110000}"/>
    <cellStyle name="20% - Accent3 4 2 2 3 2 2 2" xfId="39241" xr:uid="{EB5644EF-0028-40C3-B92A-0756D0DDAA8E}"/>
    <cellStyle name="20% - Accent3 4 2 2 3 2 3" xfId="23344" xr:uid="{00000000-0005-0000-0000-0000C5110000}"/>
    <cellStyle name="20% - Accent3 4 2 2 3 2 3 2" xfId="47177" xr:uid="{F16118D2-66C0-4A52-AEE5-D1C7B6428F08}"/>
    <cellStyle name="20% - Accent3 4 2 2 3 2 4" xfId="31300" xr:uid="{F1C5B673-D436-477D-BED5-FFA1FCAB06ED}"/>
    <cellStyle name="20% - Accent3 4 2 2 3 3" xfId="11860" xr:uid="{00000000-0005-0000-0000-0000C6110000}"/>
    <cellStyle name="20% - Accent3 4 2 2 3 3 2" xfId="35710" xr:uid="{481A4DB9-128D-49C0-BE71-83A7CACDB02F}"/>
    <cellStyle name="20% - Accent3 4 2 2 3 4" xfId="19815" xr:uid="{00000000-0005-0000-0000-0000C7110000}"/>
    <cellStyle name="20% - Accent3 4 2 2 3 4 2" xfId="43648" xr:uid="{76C6028D-81B2-4BAE-9173-64F626BF8E80}"/>
    <cellStyle name="20% - Accent3 4 2 2 3 5" xfId="27769" xr:uid="{10602A91-08D6-4CB9-9FC2-7669D2C4E503}"/>
    <cellStyle name="20% - Accent3 4 2 2 4" xfId="5655" xr:uid="{00000000-0005-0000-0000-0000C8110000}"/>
    <cellStyle name="20% - Accent3 4 2 2 4 2" xfId="13639" xr:uid="{00000000-0005-0000-0000-0000C9110000}"/>
    <cellStyle name="20% - Accent3 4 2 2 4 2 2" xfId="37483" xr:uid="{9B08F98F-CE49-42C0-B2B6-356921650DFE}"/>
    <cellStyle name="20% - Accent3 4 2 2 4 3" xfId="21587" xr:uid="{00000000-0005-0000-0000-0000CA110000}"/>
    <cellStyle name="20% - Accent3 4 2 2 4 3 2" xfId="45420" xr:uid="{96D32231-AD12-4054-9D04-2375367FE628}"/>
    <cellStyle name="20% - Accent3 4 2 2 4 4" xfId="29542" xr:uid="{609FAE8D-787B-4DBB-806A-36ED34FAD028}"/>
    <cellStyle name="20% - Accent3 4 2 2 5" xfId="9208" xr:uid="{00000000-0005-0000-0000-0000CB110000}"/>
    <cellStyle name="20% - Accent3 4 2 2 5 2" xfId="17166" xr:uid="{00000000-0005-0000-0000-0000CC110000}"/>
    <cellStyle name="20% - Accent3 4 2 2 5 2 2" xfId="41007" xr:uid="{D5C4E5C5-97D6-4568-8CC7-67918C1C3115}"/>
    <cellStyle name="20% - Accent3 4 2 2 5 3" xfId="25110" xr:uid="{00000000-0005-0000-0000-0000CD110000}"/>
    <cellStyle name="20% - Accent3 4 2 2 5 3 2" xfId="48943" xr:uid="{DA55D404-0099-492D-99A7-0BEB144685F9}"/>
    <cellStyle name="20% - Accent3 4 2 2 5 4" xfId="33066" xr:uid="{EAF645AB-A867-47DB-B5D5-7DDA89E5BE77}"/>
    <cellStyle name="20% - Accent3 4 2 2 6" xfId="10104" xr:uid="{00000000-0005-0000-0000-0000CE110000}"/>
    <cellStyle name="20% - Accent3 4 2 2 6 2" xfId="33954" xr:uid="{D2C63A42-1628-4BA7-8512-C1ED10896355}"/>
    <cellStyle name="20% - Accent3 4 2 2 7" xfId="18059" xr:uid="{00000000-0005-0000-0000-0000CF110000}"/>
    <cellStyle name="20% - Accent3 4 2 2 7 2" xfId="41892" xr:uid="{6752EF3D-A5FB-4482-AEC0-F4A2D506C407}"/>
    <cellStyle name="20% - Accent3 4 2 2 8" xfId="26012" xr:uid="{F28C8CD5-513B-47E4-9CD7-0B27384184DB}"/>
    <cellStyle name="20% - Accent3 4 2 2_Exh G" xfId="2255" xr:uid="{00000000-0005-0000-0000-0000D0110000}"/>
    <cellStyle name="20% - Accent3 4 2 3" xfId="892" xr:uid="{00000000-0005-0000-0000-0000D1110000}"/>
    <cellStyle name="20% - Accent3 4 2 3 2" xfId="1824" xr:uid="{00000000-0005-0000-0000-0000D2110000}"/>
    <cellStyle name="20% - Accent3 4 2 3 2 2" xfId="5342" xr:uid="{00000000-0005-0000-0000-0000D3110000}"/>
    <cellStyle name="20% - Accent3 4 2 3 2 2 2" xfId="8933" xr:uid="{00000000-0005-0000-0000-0000D4110000}"/>
    <cellStyle name="20% - Accent3 4 2 3 2 2 2 2" xfId="16904" xr:uid="{00000000-0005-0000-0000-0000D5110000}"/>
    <cellStyle name="20% - Accent3 4 2 3 2 2 2 2 2" xfId="40747" xr:uid="{500AF553-7711-41B8-9921-9FBAB6F8B728}"/>
    <cellStyle name="20% - Accent3 4 2 3 2 2 2 3" xfId="24850" xr:uid="{00000000-0005-0000-0000-0000D6110000}"/>
    <cellStyle name="20% - Accent3 4 2 3 2 2 2 3 2" xfId="48683" xr:uid="{112F48EA-5B66-4E14-916A-D0FA3C82A653}"/>
    <cellStyle name="20% - Accent3 4 2 3 2 2 2 4" xfId="32806" xr:uid="{85C8AEB9-23C0-44B6-BBC6-5E68EB86DC24}"/>
    <cellStyle name="20% - Accent3 4 2 3 2 2 3" xfId="13366" xr:uid="{00000000-0005-0000-0000-0000D7110000}"/>
    <cellStyle name="20% - Accent3 4 2 3 2 2 3 2" xfId="37216" xr:uid="{874147A0-BBA6-4B7A-9871-F41179BB9900}"/>
    <cellStyle name="20% - Accent3 4 2 3 2 2 4" xfId="21321" xr:uid="{00000000-0005-0000-0000-0000D8110000}"/>
    <cellStyle name="20% - Accent3 4 2 3 2 2 4 2" xfId="45154" xr:uid="{89E21660-9FBB-4BD0-9083-F41E769C6B74}"/>
    <cellStyle name="20% - Accent3 4 2 3 2 2 5" xfId="29275" xr:uid="{738D09E8-A3D6-408F-8C41-1D2CBC722163}"/>
    <cellStyle name="20% - Accent3 4 2 3 2 3" xfId="7174" xr:uid="{00000000-0005-0000-0000-0000D9110000}"/>
    <cellStyle name="20% - Accent3 4 2 3 2 3 2" xfId="15146" xr:uid="{00000000-0005-0000-0000-0000DA110000}"/>
    <cellStyle name="20% - Accent3 4 2 3 2 3 2 2" xfId="38989" xr:uid="{4DF69E7B-D769-4075-AE2D-43152DBC5D4B}"/>
    <cellStyle name="20% - Accent3 4 2 3 2 3 3" xfId="23093" xr:uid="{00000000-0005-0000-0000-0000DB110000}"/>
    <cellStyle name="20% - Accent3 4 2 3 2 3 3 2" xfId="46926" xr:uid="{9E227C14-5179-4809-AB6F-9D1404953B99}"/>
    <cellStyle name="20% - Accent3 4 2 3 2 3 4" xfId="31048" xr:uid="{C96F2137-2654-485D-A6AB-D5ACBECB5B34}"/>
    <cellStyle name="20% - Accent3 4 2 3 2 4" xfId="11610" xr:uid="{00000000-0005-0000-0000-0000DC110000}"/>
    <cellStyle name="20% - Accent3 4 2 3 2 4 2" xfId="35460" xr:uid="{B0E62BEB-3204-451A-9B4F-F7E26E3CC9A8}"/>
    <cellStyle name="20% - Accent3 4 2 3 2 5" xfId="19565" xr:uid="{00000000-0005-0000-0000-0000DD110000}"/>
    <cellStyle name="20% - Accent3 4 2 3 2 5 2" xfId="43398" xr:uid="{05CEB4B2-E9C8-4864-AF91-26E93966CDA8}"/>
    <cellStyle name="20% - Accent3 4 2 3 2 6" xfId="27518" xr:uid="{142E7EF1-0AFF-440A-A080-70A47900A99D}"/>
    <cellStyle name="20% - Accent3 4 2 3 2_Exh G" xfId="2258" xr:uid="{00000000-0005-0000-0000-0000DE110000}"/>
    <cellStyle name="20% - Accent3 4 2 3 3" xfId="4463" xr:uid="{00000000-0005-0000-0000-0000DF110000}"/>
    <cellStyle name="20% - Accent3 4 2 3 3 2" xfId="8055" xr:uid="{00000000-0005-0000-0000-0000E0110000}"/>
    <cellStyle name="20% - Accent3 4 2 3 3 2 2" xfId="16026" xr:uid="{00000000-0005-0000-0000-0000E1110000}"/>
    <cellStyle name="20% - Accent3 4 2 3 3 2 2 2" xfId="39869" xr:uid="{3B9D5BF1-B1F5-49CF-A45A-D5AF4834D899}"/>
    <cellStyle name="20% - Accent3 4 2 3 3 2 3" xfId="23972" xr:uid="{00000000-0005-0000-0000-0000E2110000}"/>
    <cellStyle name="20% - Accent3 4 2 3 3 2 3 2" xfId="47805" xr:uid="{890FDA5B-C2E4-422C-A176-007CCD8F0375}"/>
    <cellStyle name="20% - Accent3 4 2 3 3 2 4" xfId="31928" xr:uid="{330F431F-6C34-4377-8F52-168F4172ADB2}"/>
    <cellStyle name="20% - Accent3 4 2 3 3 3" xfId="12488" xr:uid="{00000000-0005-0000-0000-0000E3110000}"/>
    <cellStyle name="20% - Accent3 4 2 3 3 3 2" xfId="36338" xr:uid="{63A68E2B-4B21-4431-B1F8-644470A09FD9}"/>
    <cellStyle name="20% - Accent3 4 2 3 3 4" xfId="20443" xr:uid="{00000000-0005-0000-0000-0000E4110000}"/>
    <cellStyle name="20% - Accent3 4 2 3 3 4 2" xfId="44276" xr:uid="{4B2A97FD-21E7-42F6-82A2-C74FA61C86A2}"/>
    <cellStyle name="20% - Accent3 4 2 3 3 5" xfId="28397" xr:uid="{D0FA4A73-A034-428B-A1CD-883E4CD08F21}"/>
    <cellStyle name="20% - Accent3 4 2 3 4" xfId="6293" xr:uid="{00000000-0005-0000-0000-0000E5110000}"/>
    <cellStyle name="20% - Accent3 4 2 3 4 2" xfId="14268" xr:uid="{00000000-0005-0000-0000-0000E6110000}"/>
    <cellStyle name="20% - Accent3 4 2 3 4 2 2" xfId="38111" xr:uid="{4E43363C-D8AE-42DC-A24B-83AB2EFB2254}"/>
    <cellStyle name="20% - Accent3 4 2 3 4 3" xfId="22215" xr:uid="{00000000-0005-0000-0000-0000E7110000}"/>
    <cellStyle name="20% - Accent3 4 2 3 4 3 2" xfId="46048" xr:uid="{4494A1D1-CE6F-43C9-BFF8-CD60AA602808}"/>
    <cellStyle name="20% - Accent3 4 2 3 4 4" xfId="30170" xr:uid="{0348892F-7AF9-4B3B-8753-96CC4A622505}"/>
    <cellStyle name="20% - Accent3 4 2 3 5" xfId="9836" xr:uid="{00000000-0005-0000-0000-0000E8110000}"/>
    <cellStyle name="20% - Accent3 4 2 3 5 2" xfId="17794" xr:uid="{00000000-0005-0000-0000-0000E9110000}"/>
    <cellStyle name="20% - Accent3 4 2 3 5 2 2" xfId="41635" xr:uid="{DBD024FA-398C-45B3-94A1-643A985A8257}"/>
    <cellStyle name="20% - Accent3 4 2 3 5 3" xfId="25738" xr:uid="{00000000-0005-0000-0000-0000EA110000}"/>
    <cellStyle name="20% - Accent3 4 2 3 5 3 2" xfId="49571" xr:uid="{27E9E4D3-CA92-434D-989A-1041DCF70FEF}"/>
    <cellStyle name="20% - Accent3 4 2 3 5 4" xfId="33694" xr:uid="{8D6C3DDD-CF53-4378-8756-91B4D10F3125}"/>
    <cellStyle name="20% - Accent3 4 2 3 6" xfId="10732" xr:uid="{00000000-0005-0000-0000-0000EB110000}"/>
    <cellStyle name="20% - Accent3 4 2 3 6 2" xfId="34582" xr:uid="{845AF36E-B060-4C84-8E88-C308CEE804F0}"/>
    <cellStyle name="20% - Accent3 4 2 3 7" xfId="18687" xr:uid="{00000000-0005-0000-0000-0000EC110000}"/>
    <cellStyle name="20% - Accent3 4 2 3 7 2" xfId="42520" xr:uid="{7AB9895A-D17C-40E6-93DA-C80D16294081}"/>
    <cellStyle name="20% - Accent3 4 2 3 8" xfId="26640" xr:uid="{EC2BD7CA-9FCC-4C26-BA09-B2668717316B}"/>
    <cellStyle name="20% - Accent3 4 2 3_Exh G" xfId="2257" xr:uid="{00000000-0005-0000-0000-0000ED110000}"/>
    <cellStyle name="20% - Accent3 4 2 4" xfId="1183" xr:uid="{00000000-0005-0000-0000-0000EE110000}"/>
    <cellStyle name="20% - Accent3 4 2 4 2" xfId="4713" xr:uid="{00000000-0005-0000-0000-0000EF110000}"/>
    <cellStyle name="20% - Accent3 4 2 4 2 2" xfId="8304" xr:uid="{00000000-0005-0000-0000-0000F0110000}"/>
    <cellStyle name="20% - Accent3 4 2 4 2 2 2" xfId="16275" xr:uid="{00000000-0005-0000-0000-0000F1110000}"/>
    <cellStyle name="20% - Accent3 4 2 4 2 2 2 2" xfId="40118" xr:uid="{BB5EAAA8-E897-4D20-9A40-D09A5A7CC496}"/>
    <cellStyle name="20% - Accent3 4 2 4 2 2 3" xfId="24221" xr:uid="{00000000-0005-0000-0000-0000F2110000}"/>
    <cellStyle name="20% - Accent3 4 2 4 2 2 3 2" xfId="48054" xr:uid="{99A8F275-5D01-4EDC-BBF6-D404BF0A865A}"/>
    <cellStyle name="20% - Accent3 4 2 4 2 2 4" xfId="32177" xr:uid="{12A0ADFB-DE34-47B0-BA85-1CD5B71C4019}"/>
    <cellStyle name="20% - Accent3 4 2 4 2 3" xfId="12737" xr:uid="{00000000-0005-0000-0000-0000F3110000}"/>
    <cellStyle name="20% - Accent3 4 2 4 2 3 2" xfId="36587" xr:uid="{D77E02E8-E9D2-4F06-A0A1-19F1B4AA2325}"/>
    <cellStyle name="20% - Accent3 4 2 4 2 4" xfId="20692" xr:uid="{00000000-0005-0000-0000-0000F4110000}"/>
    <cellStyle name="20% - Accent3 4 2 4 2 4 2" xfId="44525" xr:uid="{C5191EAE-30AC-4C80-99B3-CBD9A32332FC}"/>
    <cellStyle name="20% - Accent3 4 2 4 2 5" xfId="28646" xr:uid="{B59A9087-6606-4DA1-8D81-392F16CD96BA}"/>
    <cellStyle name="20% - Accent3 4 2 4 3" xfId="6545" xr:uid="{00000000-0005-0000-0000-0000F5110000}"/>
    <cellStyle name="20% - Accent3 4 2 4 3 2" xfId="14517" xr:uid="{00000000-0005-0000-0000-0000F6110000}"/>
    <cellStyle name="20% - Accent3 4 2 4 3 2 2" xfId="38360" xr:uid="{700FB238-A898-4786-8A75-8454BB8971C4}"/>
    <cellStyle name="20% - Accent3 4 2 4 3 3" xfId="22464" xr:uid="{00000000-0005-0000-0000-0000F7110000}"/>
    <cellStyle name="20% - Accent3 4 2 4 3 3 2" xfId="46297" xr:uid="{02B37304-8314-4EC1-9A0A-626BB4674528}"/>
    <cellStyle name="20% - Accent3 4 2 4 3 4" xfId="30419" xr:uid="{BF3759C9-21E0-40AD-80EC-5E5A7316A168}"/>
    <cellStyle name="20% - Accent3 4 2 4 4" xfId="10981" xr:uid="{00000000-0005-0000-0000-0000F8110000}"/>
    <cellStyle name="20% - Accent3 4 2 4 4 2" xfId="34831" xr:uid="{E24D6FE7-F392-40AD-991D-0F2B55E554B4}"/>
    <cellStyle name="20% - Accent3 4 2 4 5" xfId="18936" xr:uid="{00000000-0005-0000-0000-0000F9110000}"/>
    <cellStyle name="20% - Accent3 4 2 4 5 2" xfId="42769" xr:uid="{492BC535-ABCB-4679-8F25-3AE403F3B1FA}"/>
    <cellStyle name="20% - Accent3 4 2 4 6" xfId="26889" xr:uid="{C908502D-FE1C-4D94-BC4B-D536B3A17813}"/>
    <cellStyle name="20% - Accent3 4 2 4_Exh G" xfId="2259" xr:uid="{00000000-0005-0000-0000-0000FA110000}"/>
    <cellStyle name="20% - Accent3 4 2 5" xfId="3834" xr:uid="{00000000-0005-0000-0000-0000FB110000}"/>
    <cellStyle name="20% - Accent3 4 2 5 2" xfId="7426" xr:uid="{00000000-0005-0000-0000-0000FC110000}"/>
    <cellStyle name="20% - Accent3 4 2 5 2 2" xfId="15397" xr:uid="{00000000-0005-0000-0000-0000FD110000}"/>
    <cellStyle name="20% - Accent3 4 2 5 2 2 2" xfId="39240" xr:uid="{187A6377-DD8F-4F78-B190-E5BF07B11357}"/>
    <cellStyle name="20% - Accent3 4 2 5 2 3" xfId="23343" xr:uid="{00000000-0005-0000-0000-0000FE110000}"/>
    <cellStyle name="20% - Accent3 4 2 5 2 3 2" xfId="47176" xr:uid="{B2EFFACB-EEDF-4377-B840-B88762233DE4}"/>
    <cellStyle name="20% - Accent3 4 2 5 2 4" xfId="31299" xr:uid="{B6003E23-52B7-4718-9F7F-BAD0C1A4FCA2}"/>
    <cellStyle name="20% - Accent3 4 2 5 3" xfId="11859" xr:uid="{00000000-0005-0000-0000-0000FF110000}"/>
    <cellStyle name="20% - Accent3 4 2 5 3 2" xfId="35709" xr:uid="{244DF869-B88E-4DB3-8FAE-535D659B2C10}"/>
    <cellStyle name="20% - Accent3 4 2 5 4" xfId="19814" xr:uid="{00000000-0005-0000-0000-000000120000}"/>
    <cellStyle name="20% - Accent3 4 2 5 4 2" xfId="43647" xr:uid="{2A4E13CC-8E19-4485-92DB-61AACF433DCB}"/>
    <cellStyle name="20% - Accent3 4 2 5 5" xfId="27768" xr:uid="{BBFE1010-118D-45F5-B281-7016FA4E2C43}"/>
    <cellStyle name="20% - Accent3 4 2 6" xfId="5654" xr:uid="{00000000-0005-0000-0000-000001120000}"/>
    <cellStyle name="20% - Accent3 4 2 6 2" xfId="13638" xr:uid="{00000000-0005-0000-0000-000002120000}"/>
    <cellStyle name="20% - Accent3 4 2 6 2 2" xfId="37482" xr:uid="{C4945963-24D0-40BA-AAE7-AB56052A3CB6}"/>
    <cellStyle name="20% - Accent3 4 2 6 3" xfId="21586" xr:uid="{00000000-0005-0000-0000-000003120000}"/>
    <cellStyle name="20% - Accent3 4 2 6 3 2" xfId="45419" xr:uid="{C822C895-B8CB-4566-AA2F-25B55BD2FCE5}"/>
    <cellStyle name="20% - Accent3 4 2 6 4" xfId="29541" xr:uid="{6471DDAE-5F3F-4083-8542-9CCD6E468889}"/>
    <cellStyle name="20% - Accent3 4 2 7" xfId="9207" xr:uid="{00000000-0005-0000-0000-000004120000}"/>
    <cellStyle name="20% - Accent3 4 2 7 2" xfId="17165" xr:uid="{00000000-0005-0000-0000-000005120000}"/>
    <cellStyle name="20% - Accent3 4 2 7 2 2" xfId="41006" xr:uid="{0208AA61-742B-4930-BA1D-58B2791FBDBD}"/>
    <cellStyle name="20% - Accent3 4 2 7 3" xfId="25109" xr:uid="{00000000-0005-0000-0000-000006120000}"/>
    <cellStyle name="20% - Accent3 4 2 7 3 2" xfId="48942" xr:uid="{CB2A56B5-8950-4D1E-8B26-64E8AEFA2F58}"/>
    <cellStyle name="20% - Accent3 4 2 7 4" xfId="33065" xr:uid="{07665598-70AB-4113-9D13-218F5FDC60C0}"/>
    <cellStyle name="20% - Accent3 4 2 8" xfId="10103" xr:uid="{00000000-0005-0000-0000-000007120000}"/>
    <cellStyle name="20% - Accent3 4 2 8 2" xfId="33953" xr:uid="{945B8D0E-175D-49C5-B291-5BFBD9BF546C}"/>
    <cellStyle name="20% - Accent3 4 2 9" xfId="18058" xr:uid="{00000000-0005-0000-0000-000008120000}"/>
    <cellStyle name="20% - Accent3 4 2 9 2" xfId="41891" xr:uid="{4CE12912-F2BF-43B3-B908-36C32C5E4BE6}"/>
    <cellStyle name="20% - Accent3 4 2_Exh G" xfId="2254" xr:uid="{00000000-0005-0000-0000-000009120000}"/>
    <cellStyle name="20% - Accent3 4 3" xfId="157" xr:uid="{00000000-0005-0000-0000-00000A120000}"/>
    <cellStyle name="20% - Accent3 4 3 2" xfId="1185" xr:uid="{00000000-0005-0000-0000-00000B120000}"/>
    <cellStyle name="20% - Accent3 4 3 2 2" xfId="4715" xr:uid="{00000000-0005-0000-0000-00000C120000}"/>
    <cellStyle name="20% - Accent3 4 3 2 2 2" xfId="8306" xr:uid="{00000000-0005-0000-0000-00000D120000}"/>
    <cellStyle name="20% - Accent3 4 3 2 2 2 2" xfId="16277" xr:uid="{00000000-0005-0000-0000-00000E120000}"/>
    <cellStyle name="20% - Accent3 4 3 2 2 2 2 2" xfId="40120" xr:uid="{2EB33B3B-A7EA-418F-859D-0501F291C277}"/>
    <cellStyle name="20% - Accent3 4 3 2 2 2 3" xfId="24223" xr:uid="{00000000-0005-0000-0000-00000F120000}"/>
    <cellStyle name="20% - Accent3 4 3 2 2 2 3 2" xfId="48056" xr:uid="{1C27697B-A7A2-4B7D-8D39-1E28AED2702B}"/>
    <cellStyle name="20% - Accent3 4 3 2 2 2 4" xfId="32179" xr:uid="{28519BAC-D168-417C-83A9-ADE8156B4DC9}"/>
    <cellStyle name="20% - Accent3 4 3 2 2 3" xfId="12739" xr:uid="{00000000-0005-0000-0000-000010120000}"/>
    <cellStyle name="20% - Accent3 4 3 2 2 3 2" xfId="36589" xr:uid="{076E5EF8-5E4A-4D4B-9E20-41B0A2185ECE}"/>
    <cellStyle name="20% - Accent3 4 3 2 2 4" xfId="20694" xr:uid="{00000000-0005-0000-0000-000011120000}"/>
    <cellStyle name="20% - Accent3 4 3 2 2 4 2" xfId="44527" xr:uid="{78988825-AF2D-4505-990E-FE419A7B5A93}"/>
    <cellStyle name="20% - Accent3 4 3 2 2 5" xfId="28648" xr:uid="{8F786E27-0A4B-4801-A507-A81EE108D782}"/>
    <cellStyle name="20% - Accent3 4 3 2 3" xfId="6547" xr:uid="{00000000-0005-0000-0000-000012120000}"/>
    <cellStyle name="20% - Accent3 4 3 2 3 2" xfId="14519" xr:uid="{00000000-0005-0000-0000-000013120000}"/>
    <cellStyle name="20% - Accent3 4 3 2 3 2 2" xfId="38362" xr:uid="{B58F93D9-BFBB-40DD-85C2-B94C28FDAE2D}"/>
    <cellStyle name="20% - Accent3 4 3 2 3 3" xfId="22466" xr:uid="{00000000-0005-0000-0000-000014120000}"/>
    <cellStyle name="20% - Accent3 4 3 2 3 3 2" xfId="46299" xr:uid="{90EFF5CF-A7BD-47E7-9AF1-3130EFDB2362}"/>
    <cellStyle name="20% - Accent3 4 3 2 3 4" xfId="30421" xr:uid="{40F63C8F-3A2B-4733-82C3-4164CBDB6862}"/>
    <cellStyle name="20% - Accent3 4 3 2 4" xfId="10983" xr:uid="{00000000-0005-0000-0000-000015120000}"/>
    <cellStyle name="20% - Accent3 4 3 2 4 2" xfId="34833" xr:uid="{79E56BF5-CA17-450B-B38A-6D2BF75AAB48}"/>
    <cellStyle name="20% - Accent3 4 3 2 5" xfId="18938" xr:uid="{00000000-0005-0000-0000-000016120000}"/>
    <cellStyle name="20% - Accent3 4 3 2 5 2" xfId="42771" xr:uid="{85FF6BB3-310A-4B1B-8EE1-541D4A73FEBD}"/>
    <cellStyle name="20% - Accent3 4 3 2 6" xfId="26891" xr:uid="{5CDA944C-1782-491E-A8FF-FCA04758CE62}"/>
    <cellStyle name="20% - Accent3 4 3 2_Exh G" xfId="2261" xr:uid="{00000000-0005-0000-0000-000017120000}"/>
    <cellStyle name="20% - Accent3 4 3 3" xfId="3836" xr:uid="{00000000-0005-0000-0000-000018120000}"/>
    <cellStyle name="20% - Accent3 4 3 3 2" xfId="7428" xr:uid="{00000000-0005-0000-0000-000019120000}"/>
    <cellStyle name="20% - Accent3 4 3 3 2 2" xfId="15399" xr:uid="{00000000-0005-0000-0000-00001A120000}"/>
    <cellStyle name="20% - Accent3 4 3 3 2 2 2" xfId="39242" xr:uid="{ED68CFB5-0AEB-4A86-8EC9-0DFAA359D749}"/>
    <cellStyle name="20% - Accent3 4 3 3 2 3" xfId="23345" xr:uid="{00000000-0005-0000-0000-00001B120000}"/>
    <cellStyle name="20% - Accent3 4 3 3 2 3 2" xfId="47178" xr:uid="{A4D6AA2D-B4D5-4E0F-9698-8DAFB0E84DBA}"/>
    <cellStyle name="20% - Accent3 4 3 3 2 4" xfId="31301" xr:uid="{8AD34E3C-860C-4F81-BF1B-45250DB77596}"/>
    <cellStyle name="20% - Accent3 4 3 3 3" xfId="11861" xr:uid="{00000000-0005-0000-0000-00001C120000}"/>
    <cellStyle name="20% - Accent3 4 3 3 3 2" xfId="35711" xr:uid="{30BD46E1-DB57-46CD-9C19-78A5EBC3DF31}"/>
    <cellStyle name="20% - Accent3 4 3 3 4" xfId="19816" xr:uid="{00000000-0005-0000-0000-00001D120000}"/>
    <cellStyle name="20% - Accent3 4 3 3 4 2" xfId="43649" xr:uid="{DF75AF14-E7D4-4621-B22D-59895230BEAF}"/>
    <cellStyle name="20% - Accent3 4 3 3 5" xfId="27770" xr:uid="{3784AA68-498D-41A0-B53C-13A1C07349B1}"/>
    <cellStyle name="20% - Accent3 4 3 4" xfId="5656" xr:uid="{00000000-0005-0000-0000-00001E120000}"/>
    <cellStyle name="20% - Accent3 4 3 4 2" xfId="13640" xr:uid="{00000000-0005-0000-0000-00001F120000}"/>
    <cellStyle name="20% - Accent3 4 3 4 2 2" xfId="37484" xr:uid="{6D2714E4-E78D-4123-A47E-C68890470639}"/>
    <cellStyle name="20% - Accent3 4 3 4 3" xfId="21588" xr:uid="{00000000-0005-0000-0000-000020120000}"/>
    <cellStyle name="20% - Accent3 4 3 4 3 2" xfId="45421" xr:uid="{D2FF5457-B629-4080-8E69-5BA873B45BCB}"/>
    <cellStyle name="20% - Accent3 4 3 4 4" xfId="29543" xr:uid="{1086362E-E68B-4F09-9BDB-B465095815A8}"/>
    <cellStyle name="20% - Accent3 4 3 5" xfId="9209" xr:uid="{00000000-0005-0000-0000-000021120000}"/>
    <cellStyle name="20% - Accent3 4 3 5 2" xfId="17167" xr:uid="{00000000-0005-0000-0000-000022120000}"/>
    <cellStyle name="20% - Accent3 4 3 5 2 2" xfId="41008" xr:uid="{472CEF81-E182-448C-B96F-43BA01B0ACD2}"/>
    <cellStyle name="20% - Accent3 4 3 5 3" xfId="25111" xr:uid="{00000000-0005-0000-0000-000023120000}"/>
    <cellStyle name="20% - Accent3 4 3 5 3 2" xfId="48944" xr:uid="{6CF5B5A1-34B4-46DB-92EE-AE9D593E6F0D}"/>
    <cellStyle name="20% - Accent3 4 3 5 4" xfId="33067" xr:uid="{100CDEC9-D065-4DA1-80AF-FE56E197ABB2}"/>
    <cellStyle name="20% - Accent3 4 3 6" xfId="10105" xr:uid="{00000000-0005-0000-0000-000024120000}"/>
    <cellStyle name="20% - Accent3 4 3 6 2" xfId="33955" xr:uid="{29E77854-86AF-4120-A840-DCB7C0989187}"/>
    <cellStyle name="20% - Accent3 4 3 7" xfId="18060" xr:uid="{00000000-0005-0000-0000-000025120000}"/>
    <cellStyle name="20% - Accent3 4 3 7 2" xfId="41893" xr:uid="{73B81195-51B6-4A2A-BB1D-4DC62848E686}"/>
    <cellStyle name="20% - Accent3 4 3 8" xfId="26013" xr:uid="{E865E0C2-73F3-4B18-AFBA-5A61768B3BF7}"/>
    <cellStyle name="20% - Accent3 4 3_Exh G" xfId="2260" xr:uid="{00000000-0005-0000-0000-000026120000}"/>
    <cellStyle name="20% - Accent3 4 4" xfId="891" xr:uid="{00000000-0005-0000-0000-000027120000}"/>
    <cellStyle name="20% - Accent3 4 4 2" xfId="1823" xr:uid="{00000000-0005-0000-0000-000028120000}"/>
    <cellStyle name="20% - Accent3 4 4 2 2" xfId="5341" xr:uid="{00000000-0005-0000-0000-000029120000}"/>
    <cellStyle name="20% - Accent3 4 4 2 2 2" xfId="8932" xr:uid="{00000000-0005-0000-0000-00002A120000}"/>
    <cellStyle name="20% - Accent3 4 4 2 2 2 2" xfId="16903" xr:uid="{00000000-0005-0000-0000-00002B120000}"/>
    <cellStyle name="20% - Accent3 4 4 2 2 2 2 2" xfId="40746" xr:uid="{B8810A96-EB43-43E5-9132-6EC9BE4141D8}"/>
    <cellStyle name="20% - Accent3 4 4 2 2 2 3" xfId="24849" xr:uid="{00000000-0005-0000-0000-00002C120000}"/>
    <cellStyle name="20% - Accent3 4 4 2 2 2 3 2" xfId="48682" xr:uid="{01A768ED-42FD-4A6E-B9AA-21EE83B1EDF4}"/>
    <cellStyle name="20% - Accent3 4 4 2 2 2 4" xfId="32805" xr:uid="{36253839-6500-4E44-B1A3-F6036D98A7B7}"/>
    <cellStyle name="20% - Accent3 4 4 2 2 3" xfId="13365" xr:uid="{00000000-0005-0000-0000-00002D120000}"/>
    <cellStyle name="20% - Accent3 4 4 2 2 3 2" xfId="37215" xr:uid="{165E82DC-62E9-4083-B132-B0222DCF6CCD}"/>
    <cellStyle name="20% - Accent3 4 4 2 2 4" xfId="21320" xr:uid="{00000000-0005-0000-0000-00002E120000}"/>
    <cellStyle name="20% - Accent3 4 4 2 2 4 2" xfId="45153" xr:uid="{56B4F311-F52B-4FA2-B70C-65C23B2FD629}"/>
    <cellStyle name="20% - Accent3 4 4 2 2 5" xfId="29274" xr:uid="{519DDDA0-C54C-44B2-B1A1-DE6F3D6E810F}"/>
    <cellStyle name="20% - Accent3 4 4 2 3" xfId="7173" xr:uid="{00000000-0005-0000-0000-00002F120000}"/>
    <cellStyle name="20% - Accent3 4 4 2 3 2" xfId="15145" xr:uid="{00000000-0005-0000-0000-000030120000}"/>
    <cellStyle name="20% - Accent3 4 4 2 3 2 2" xfId="38988" xr:uid="{7815D746-F18D-4716-B1B9-891242A7FE04}"/>
    <cellStyle name="20% - Accent3 4 4 2 3 3" xfId="23092" xr:uid="{00000000-0005-0000-0000-000031120000}"/>
    <cellStyle name="20% - Accent3 4 4 2 3 3 2" xfId="46925" xr:uid="{17E46B97-92A7-4917-B28C-F42AE7ECF73B}"/>
    <cellStyle name="20% - Accent3 4 4 2 3 4" xfId="31047" xr:uid="{9A0905C2-D7D7-41EA-A4F2-54C362F7B7A0}"/>
    <cellStyle name="20% - Accent3 4 4 2 4" xfId="11609" xr:uid="{00000000-0005-0000-0000-000032120000}"/>
    <cellStyle name="20% - Accent3 4 4 2 4 2" xfId="35459" xr:uid="{097B44A8-FD57-4BB5-B111-BB09952327F8}"/>
    <cellStyle name="20% - Accent3 4 4 2 5" xfId="19564" xr:uid="{00000000-0005-0000-0000-000033120000}"/>
    <cellStyle name="20% - Accent3 4 4 2 5 2" xfId="43397" xr:uid="{EFB6A902-565D-4FEF-8321-D5E64F107CDD}"/>
    <cellStyle name="20% - Accent3 4 4 2 6" xfId="27517" xr:uid="{F8847333-E37A-4980-8C45-3B2FA1E48C29}"/>
    <cellStyle name="20% - Accent3 4 4 2_Exh G" xfId="2263" xr:uid="{00000000-0005-0000-0000-000034120000}"/>
    <cellStyle name="20% - Accent3 4 4 3" xfId="4462" xr:uid="{00000000-0005-0000-0000-000035120000}"/>
    <cellStyle name="20% - Accent3 4 4 3 2" xfId="8054" xr:uid="{00000000-0005-0000-0000-000036120000}"/>
    <cellStyle name="20% - Accent3 4 4 3 2 2" xfId="16025" xr:uid="{00000000-0005-0000-0000-000037120000}"/>
    <cellStyle name="20% - Accent3 4 4 3 2 2 2" xfId="39868" xr:uid="{A2842A20-4D1D-427F-9BC9-4981487EE4E9}"/>
    <cellStyle name="20% - Accent3 4 4 3 2 3" xfId="23971" xr:uid="{00000000-0005-0000-0000-000038120000}"/>
    <cellStyle name="20% - Accent3 4 4 3 2 3 2" xfId="47804" xr:uid="{61F61B9F-C68C-458C-9527-201228BF30CC}"/>
    <cellStyle name="20% - Accent3 4 4 3 2 4" xfId="31927" xr:uid="{CA598D53-D8DD-4256-AFB7-2A516D366758}"/>
    <cellStyle name="20% - Accent3 4 4 3 3" xfId="12487" xr:uid="{00000000-0005-0000-0000-000039120000}"/>
    <cellStyle name="20% - Accent3 4 4 3 3 2" xfId="36337" xr:uid="{A1504804-95E6-494A-9D1C-CDC30A2ECD89}"/>
    <cellStyle name="20% - Accent3 4 4 3 4" xfId="20442" xr:uid="{00000000-0005-0000-0000-00003A120000}"/>
    <cellStyle name="20% - Accent3 4 4 3 4 2" xfId="44275" xr:uid="{74B59831-1A58-4B89-93B0-3B4F3AE238D1}"/>
    <cellStyle name="20% - Accent3 4 4 3 5" xfId="28396" xr:uid="{E544CB78-BF9F-4A5C-A1C1-1EDE66DC11BA}"/>
    <cellStyle name="20% - Accent3 4 4 4" xfId="6292" xr:uid="{00000000-0005-0000-0000-00003B120000}"/>
    <cellStyle name="20% - Accent3 4 4 4 2" xfId="14267" xr:uid="{00000000-0005-0000-0000-00003C120000}"/>
    <cellStyle name="20% - Accent3 4 4 4 2 2" xfId="38110" xr:uid="{C2D48462-C7A6-47F3-A785-1B00ECED8943}"/>
    <cellStyle name="20% - Accent3 4 4 4 3" xfId="22214" xr:uid="{00000000-0005-0000-0000-00003D120000}"/>
    <cellStyle name="20% - Accent3 4 4 4 3 2" xfId="46047" xr:uid="{1FC4C486-67CE-4940-A690-51B3442780C3}"/>
    <cellStyle name="20% - Accent3 4 4 4 4" xfId="30169" xr:uid="{F6235635-2C42-4B3A-B085-B49ACB8BBFD9}"/>
    <cellStyle name="20% - Accent3 4 4 5" xfId="9835" xr:uid="{00000000-0005-0000-0000-00003E120000}"/>
    <cellStyle name="20% - Accent3 4 4 5 2" xfId="17793" xr:uid="{00000000-0005-0000-0000-00003F120000}"/>
    <cellStyle name="20% - Accent3 4 4 5 2 2" xfId="41634" xr:uid="{5793DF03-44D4-4ED5-A65D-7BB82B0F2249}"/>
    <cellStyle name="20% - Accent3 4 4 5 3" xfId="25737" xr:uid="{00000000-0005-0000-0000-000040120000}"/>
    <cellStyle name="20% - Accent3 4 4 5 3 2" xfId="49570" xr:uid="{A56A6406-6B7D-4855-AF8D-61E04893E65B}"/>
    <cellStyle name="20% - Accent3 4 4 5 4" xfId="33693" xr:uid="{50E72B0A-01DD-447E-919C-608878A88582}"/>
    <cellStyle name="20% - Accent3 4 4 6" xfId="10731" xr:uid="{00000000-0005-0000-0000-000041120000}"/>
    <cellStyle name="20% - Accent3 4 4 6 2" xfId="34581" xr:uid="{5DFA53DB-FD0B-470D-B78B-C8D64D4F6DE2}"/>
    <cellStyle name="20% - Accent3 4 4 7" xfId="18686" xr:uid="{00000000-0005-0000-0000-000042120000}"/>
    <cellStyle name="20% - Accent3 4 4 7 2" xfId="42519" xr:uid="{0FBECE08-F7FC-4CF6-8635-C11FDA58AE74}"/>
    <cellStyle name="20% - Accent3 4 4 8" xfId="26639" xr:uid="{8D825A30-F7C6-48BF-82C1-F3963134EF02}"/>
    <cellStyle name="20% - Accent3 4 4_Exh G" xfId="2262" xr:uid="{00000000-0005-0000-0000-000043120000}"/>
    <cellStyle name="20% - Accent3 4 5" xfId="1182" xr:uid="{00000000-0005-0000-0000-000044120000}"/>
    <cellStyle name="20% - Accent3 4 5 2" xfId="4712" xr:uid="{00000000-0005-0000-0000-000045120000}"/>
    <cellStyle name="20% - Accent3 4 5 2 2" xfId="8303" xr:uid="{00000000-0005-0000-0000-000046120000}"/>
    <cellStyle name="20% - Accent3 4 5 2 2 2" xfId="16274" xr:uid="{00000000-0005-0000-0000-000047120000}"/>
    <cellStyle name="20% - Accent3 4 5 2 2 2 2" xfId="40117" xr:uid="{6FC9FEC2-8D82-447F-AA1C-0B7CFFE06F2A}"/>
    <cellStyle name="20% - Accent3 4 5 2 2 3" xfId="24220" xr:uid="{00000000-0005-0000-0000-000048120000}"/>
    <cellStyle name="20% - Accent3 4 5 2 2 3 2" xfId="48053" xr:uid="{190B1C07-7083-4E9D-8C7D-CDA819F84228}"/>
    <cellStyle name="20% - Accent3 4 5 2 2 4" xfId="32176" xr:uid="{4F79F662-0347-4BE8-A2C8-8286D6BD01B4}"/>
    <cellStyle name="20% - Accent3 4 5 2 3" xfId="12736" xr:uid="{00000000-0005-0000-0000-000049120000}"/>
    <cellStyle name="20% - Accent3 4 5 2 3 2" xfId="36586" xr:uid="{E7DC2DFE-4628-4984-8029-97289AF62729}"/>
    <cellStyle name="20% - Accent3 4 5 2 4" xfId="20691" xr:uid="{00000000-0005-0000-0000-00004A120000}"/>
    <cellStyle name="20% - Accent3 4 5 2 4 2" xfId="44524" xr:uid="{722D4952-1628-4E24-89A5-0F84189C3B2C}"/>
    <cellStyle name="20% - Accent3 4 5 2 5" xfId="28645" xr:uid="{AD23902F-82A5-4D24-B6C4-614B554F1CB3}"/>
    <cellStyle name="20% - Accent3 4 5 3" xfId="6544" xr:uid="{00000000-0005-0000-0000-00004B120000}"/>
    <cellStyle name="20% - Accent3 4 5 3 2" xfId="14516" xr:uid="{00000000-0005-0000-0000-00004C120000}"/>
    <cellStyle name="20% - Accent3 4 5 3 2 2" xfId="38359" xr:uid="{2DCA0145-6828-4ED1-973D-60A24E39188E}"/>
    <cellStyle name="20% - Accent3 4 5 3 3" xfId="22463" xr:uid="{00000000-0005-0000-0000-00004D120000}"/>
    <cellStyle name="20% - Accent3 4 5 3 3 2" xfId="46296" xr:uid="{150D0B61-AD96-4753-9D14-1E54CF47E4F1}"/>
    <cellStyle name="20% - Accent3 4 5 3 4" xfId="30418" xr:uid="{D8A47AF3-8BB9-45B2-8B56-8CF9EA3DF39F}"/>
    <cellStyle name="20% - Accent3 4 5 4" xfId="10980" xr:uid="{00000000-0005-0000-0000-00004E120000}"/>
    <cellStyle name="20% - Accent3 4 5 4 2" xfId="34830" xr:uid="{0257311A-997A-49F4-A756-705B38E943C4}"/>
    <cellStyle name="20% - Accent3 4 5 5" xfId="18935" xr:uid="{00000000-0005-0000-0000-00004F120000}"/>
    <cellStyle name="20% - Accent3 4 5 5 2" xfId="42768" xr:uid="{3D84EE08-B1CE-453D-890E-8C589CAA061B}"/>
    <cellStyle name="20% - Accent3 4 5 6" xfId="26888" xr:uid="{01F7770A-4F8E-47EF-ABD4-3945F3503535}"/>
    <cellStyle name="20% - Accent3 4 5_Exh G" xfId="2264" xr:uid="{00000000-0005-0000-0000-000050120000}"/>
    <cellStyle name="20% - Accent3 4 6" xfId="3833" xr:uid="{00000000-0005-0000-0000-000051120000}"/>
    <cellStyle name="20% - Accent3 4 6 2" xfId="7425" xr:uid="{00000000-0005-0000-0000-000052120000}"/>
    <cellStyle name="20% - Accent3 4 6 2 2" xfId="15396" xr:uid="{00000000-0005-0000-0000-000053120000}"/>
    <cellStyle name="20% - Accent3 4 6 2 2 2" xfId="39239" xr:uid="{EF116AC8-E8A0-465F-9938-AEA4D1C8D292}"/>
    <cellStyle name="20% - Accent3 4 6 2 3" xfId="23342" xr:uid="{00000000-0005-0000-0000-000054120000}"/>
    <cellStyle name="20% - Accent3 4 6 2 3 2" xfId="47175" xr:uid="{11AD49E0-EDAC-43A3-91AC-94032025098E}"/>
    <cellStyle name="20% - Accent3 4 6 2 4" xfId="31298" xr:uid="{F8F577F8-8481-4BFC-8DC4-75AC1DA587F1}"/>
    <cellStyle name="20% - Accent3 4 6 3" xfId="11858" xr:uid="{00000000-0005-0000-0000-000055120000}"/>
    <cellStyle name="20% - Accent3 4 6 3 2" xfId="35708" xr:uid="{B6C1701E-65BD-4279-93A0-49D57C8EAC64}"/>
    <cellStyle name="20% - Accent3 4 6 4" xfId="19813" xr:uid="{00000000-0005-0000-0000-000056120000}"/>
    <cellStyle name="20% - Accent3 4 6 4 2" xfId="43646" xr:uid="{A92D54DF-A89B-4F95-B38D-E85197A99CF2}"/>
    <cellStyle name="20% - Accent3 4 6 5" xfId="27767" xr:uid="{42AADFF1-964B-4F63-8D23-92D41570F0EE}"/>
    <cellStyle name="20% - Accent3 4 7" xfId="5653" xr:uid="{00000000-0005-0000-0000-000057120000}"/>
    <cellStyle name="20% - Accent3 4 7 2" xfId="13637" xr:uid="{00000000-0005-0000-0000-000058120000}"/>
    <cellStyle name="20% - Accent3 4 7 2 2" xfId="37481" xr:uid="{4DF9E97A-CE1E-4E61-9A6B-5464598EAA88}"/>
    <cellStyle name="20% - Accent3 4 7 3" xfId="21585" xr:uid="{00000000-0005-0000-0000-000059120000}"/>
    <cellStyle name="20% - Accent3 4 7 3 2" xfId="45418" xr:uid="{0793D30A-2C5B-47A7-9E99-170EBF9B944B}"/>
    <cellStyle name="20% - Accent3 4 7 4" xfId="29540" xr:uid="{52C518CB-05CC-4B07-AD03-2ECF7E63DDF3}"/>
    <cellStyle name="20% - Accent3 4 8" xfId="9206" xr:uid="{00000000-0005-0000-0000-00005A120000}"/>
    <cellStyle name="20% - Accent3 4 8 2" xfId="17164" xr:uid="{00000000-0005-0000-0000-00005B120000}"/>
    <cellStyle name="20% - Accent3 4 8 2 2" xfId="41005" xr:uid="{04714234-EC74-43F8-952B-3110A656689E}"/>
    <cellStyle name="20% - Accent3 4 8 3" xfId="25108" xr:uid="{00000000-0005-0000-0000-00005C120000}"/>
    <cellStyle name="20% - Accent3 4 8 3 2" xfId="48941" xr:uid="{1DF455F5-30BC-4BCB-B9E0-B398BF336BAC}"/>
    <cellStyle name="20% - Accent3 4 8 4" xfId="33064" xr:uid="{7BC2C539-0FF2-4CE5-A330-82391D7D26C4}"/>
    <cellStyle name="20% - Accent3 4 9" xfId="10102" xr:uid="{00000000-0005-0000-0000-00005D120000}"/>
    <cellStyle name="20% - Accent3 4 9 2" xfId="33952" xr:uid="{E170415D-17B6-4A28-B6FA-B34A47A248C2}"/>
    <cellStyle name="20% - Accent3 4_Exh G" xfId="2253" xr:uid="{00000000-0005-0000-0000-00005E120000}"/>
    <cellStyle name="20% - Accent3 5" xfId="158" xr:uid="{00000000-0005-0000-0000-00005F120000}"/>
    <cellStyle name="20% - Accent3 5 10" xfId="18061" xr:uid="{00000000-0005-0000-0000-000060120000}"/>
    <cellStyle name="20% - Accent3 5 10 2" xfId="41894" xr:uid="{C2420C7D-37CA-417C-BDF2-3DB2AC44A4FE}"/>
    <cellStyle name="20% - Accent3 5 11" xfId="26014" xr:uid="{36E61278-177A-46A7-AFEA-54A0893C56DE}"/>
    <cellStyle name="20% - Accent3 5 2" xfId="159" xr:uid="{00000000-0005-0000-0000-000061120000}"/>
    <cellStyle name="20% - Accent3 5 2 2" xfId="160" xr:uid="{00000000-0005-0000-0000-000062120000}"/>
    <cellStyle name="20% - Accent3 5 2 2 2" xfId="1188" xr:uid="{00000000-0005-0000-0000-000063120000}"/>
    <cellStyle name="20% - Accent3 5 2 2 2 2" xfId="4718" xr:uid="{00000000-0005-0000-0000-000064120000}"/>
    <cellStyle name="20% - Accent3 5 2 2 2 2 2" xfId="8309" xr:uid="{00000000-0005-0000-0000-000065120000}"/>
    <cellStyle name="20% - Accent3 5 2 2 2 2 2 2" xfId="16280" xr:uid="{00000000-0005-0000-0000-000066120000}"/>
    <cellStyle name="20% - Accent3 5 2 2 2 2 2 2 2" xfId="40123" xr:uid="{8531F6A6-5408-46E9-8450-900D283DA286}"/>
    <cellStyle name="20% - Accent3 5 2 2 2 2 2 3" xfId="24226" xr:uid="{00000000-0005-0000-0000-000067120000}"/>
    <cellStyle name="20% - Accent3 5 2 2 2 2 2 3 2" xfId="48059" xr:uid="{02BBCF29-A73A-4504-9231-CAF8030C202A}"/>
    <cellStyle name="20% - Accent3 5 2 2 2 2 2 4" xfId="32182" xr:uid="{8CD2E624-8B41-483E-93A6-81E8F99BDAB6}"/>
    <cellStyle name="20% - Accent3 5 2 2 2 2 3" xfId="12742" xr:uid="{00000000-0005-0000-0000-000068120000}"/>
    <cellStyle name="20% - Accent3 5 2 2 2 2 3 2" xfId="36592" xr:uid="{73164DA9-0DEE-40B7-B82C-B778CEB291AA}"/>
    <cellStyle name="20% - Accent3 5 2 2 2 2 4" xfId="20697" xr:uid="{00000000-0005-0000-0000-000069120000}"/>
    <cellStyle name="20% - Accent3 5 2 2 2 2 4 2" xfId="44530" xr:uid="{192E489F-BE07-4381-B944-55E29A96808D}"/>
    <cellStyle name="20% - Accent3 5 2 2 2 2 5" xfId="28651" xr:uid="{6A21514F-D138-4709-BDC1-AA933B5CB16D}"/>
    <cellStyle name="20% - Accent3 5 2 2 2 3" xfId="6550" xr:uid="{00000000-0005-0000-0000-00006A120000}"/>
    <cellStyle name="20% - Accent3 5 2 2 2 3 2" xfId="14522" xr:uid="{00000000-0005-0000-0000-00006B120000}"/>
    <cellStyle name="20% - Accent3 5 2 2 2 3 2 2" xfId="38365" xr:uid="{D8C88DB3-B342-4E81-8D99-DA6BC29F4C8F}"/>
    <cellStyle name="20% - Accent3 5 2 2 2 3 3" xfId="22469" xr:uid="{00000000-0005-0000-0000-00006C120000}"/>
    <cellStyle name="20% - Accent3 5 2 2 2 3 3 2" xfId="46302" xr:uid="{5E0174E0-B1CE-4D08-BF03-9122F0952168}"/>
    <cellStyle name="20% - Accent3 5 2 2 2 3 4" xfId="30424" xr:uid="{60401F43-0077-46D2-B24A-739916E49112}"/>
    <cellStyle name="20% - Accent3 5 2 2 2 4" xfId="10986" xr:uid="{00000000-0005-0000-0000-00006D120000}"/>
    <cellStyle name="20% - Accent3 5 2 2 2 4 2" xfId="34836" xr:uid="{FE94F4DB-AD2F-425A-A4A6-5827987EDAAF}"/>
    <cellStyle name="20% - Accent3 5 2 2 2 5" xfId="18941" xr:uid="{00000000-0005-0000-0000-00006E120000}"/>
    <cellStyle name="20% - Accent3 5 2 2 2 5 2" xfId="42774" xr:uid="{05728BC7-2179-4CA6-8D21-F25926511026}"/>
    <cellStyle name="20% - Accent3 5 2 2 2 6" xfId="26894" xr:uid="{5B971909-2BC0-438C-A27C-5FDE2AE0FA33}"/>
    <cellStyle name="20% - Accent3 5 2 2 2_Exh G" xfId="2268" xr:uid="{00000000-0005-0000-0000-00006F120000}"/>
    <cellStyle name="20% - Accent3 5 2 2 3" xfId="3839" xr:uid="{00000000-0005-0000-0000-000070120000}"/>
    <cellStyle name="20% - Accent3 5 2 2 3 2" xfId="7431" xr:uid="{00000000-0005-0000-0000-000071120000}"/>
    <cellStyle name="20% - Accent3 5 2 2 3 2 2" xfId="15402" xr:uid="{00000000-0005-0000-0000-000072120000}"/>
    <cellStyle name="20% - Accent3 5 2 2 3 2 2 2" xfId="39245" xr:uid="{5680F2C7-72EB-4A61-9F99-583C6FED8C8D}"/>
    <cellStyle name="20% - Accent3 5 2 2 3 2 3" xfId="23348" xr:uid="{00000000-0005-0000-0000-000073120000}"/>
    <cellStyle name="20% - Accent3 5 2 2 3 2 3 2" xfId="47181" xr:uid="{6A1AD65F-E5D2-4238-A90C-4B2350FC0D86}"/>
    <cellStyle name="20% - Accent3 5 2 2 3 2 4" xfId="31304" xr:uid="{D19CC1F7-EA1F-4AB5-B834-2BA5E30FA75D}"/>
    <cellStyle name="20% - Accent3 5 2 2 3 3" xfId="11864" xr:uid="{00000000-0005-0000-0000-000074120000}"/>
    <cellStyle name="20% - Accent3 5 2 2 3 3 2" xfId="35714" xr:uid="{9DC04DCF-C136-4F8D-B6F3-3774CF85DD23}"/>
    <cellStyle name="20% - Accent3 5 2 2 3 4" xfId="19819" xr:uid="{00000000-0005-0000-0000-000075120000}"/>
    <cellStyle name="20% - Accent3 5 2 2 3 4 2" xfId="43652" xr:uid="{597DA99B-FD94-415D-B7F4-F7442DC96DDB}"/>
    <cellStyle name="20% - Accent3 5 2 2 3 5" xfId="27773" xr:uid="{93E6367B-E641-4CCC-8E42-04CD8BE3DB70}"/>
    <cellStyle name="20% - Accent3 5 2 2 4" xfId="5659" xr:uid="{00000000-0005-0000-0000-000076120000}"/>
    <cellStyle name="20% - Accent3 5 2 2 4 2" xfId="13643" xr:uid="{00000000-0005-0000-0000-000077120000}"/>
    <cellStyle name="20% - Accent3 5 2 2 4 2 2" xfId="37487" xr:uid="{885D5E26-E7BF-445D-B682-D267C8255BF3}"/>
    <cellStyle name="20% - Accent3 5 2 2 4 3" xfId="21591" xr:uid="{00000000-0005-0000-0000-000078120000}"/>
    <cellStyle name="20% - Accent3 5 2 2 4 3 2" xfId="45424" xr:uid="{FDF456FE-3E93-4B07-8FA4-05AEF6E153EA}"/>
    <cellStyle name="20% - Accent3 5 2 2 4 4" xfId="29546" xr:uid="{159B9F03-675C-46E9-9B27-2073175CA7A9}"/>
    <cellStyle name="20% - Accent3 5 2 2 5" xfId="9212" xr:uid="{00000000-0005-0000-0000-000079120000}"/>
    <cellStyle name="20% - Accent3 5 2 2 5 2" xfId="17170" xr:uid="{00000000-0005-0000-0000-00007A120000}"/>
    <cellStyle name="20% - Accent3 5 2 2 5 2 2" xfId="41011" xr:uid="{D151AD84-BB35-4621-938A-E47D5EBC5DD1}"/>
    <cellStyle name="20% - Accent3 5 2 2 5 3" xfId="25114" xr:uid="{00000000-0005-0000-0000-00007B120000}"/>
    <cellStyle name="20% - Accent3 5 2 2 5 3 2" xfId="48947" xr:uid="{394C85E8-B7F8-428B-A79E-E0F1B279464E}"/>
    <cellStyle name="20% - Accent3 5 2 2 5 4" xfId="33070" xr:uid="{F29749F2-DDD3-4DC2-8428-5A7AB32800CA}"/>
    <cellStyle name="20% - Accent3 5 2 2 6" xfId="10108" xr:uid="{00000000-0005-0000-0000-00007C120000}"/>
    <cellStyle name="20% - Accent3 5 2 2 6 2" xfId="33958" xr:uid="{F18EFBFE-4A29-4AB0-A546-2DBC8D77193F}"/>
    <cellStyle name="20% - Accent3 5 2 2 7" xfId="18063" xr:uid="{00000000-0005-0000-0000-00007D120000}"/>
    <cellStyle name="20% - Accent3 5 2 2 7 2" xfId="41896" xr:uid="{540CE81B-B365-486C-B3AD-119BC42A2045}"/>
    <cellStyle name="20% - Accent3 5 2 2 8" xfId="26016" xr:uid="{84EFFCCB-675D-4F33-BF1F-49014B22995D}"/>
    <cellStyle name="20% - Accent3 5 2 2_Exh G" xfId="2267" xr:uid="{00000000-0005-0000-0000-00007E120000}"/>
    <cellStyle name="20% - Accent3 5 2 3" xfId="1187" xr:uid="{00000000-0005-0000-0000-00007F120000}"/>
    <cellStyle name="20% - Accent3 5 2 3 2" xfId="4717" xr:uid="{00000000-0005-0000-0000-000080120000}"/>
    <cellStyle name="20% - Accent3 5 2 3 2 2" xfId="8308" xr:uid="{00000000-0005-0000-0000-000081120000}"/>
    <cellStyle name="20% - Accent3 5 2 3 2 2 2" xfId="16279" xr:uid="{00000000-0005-0000-0000-000082120000}"/>
    <cellStyle name="20% - Accent3 5 2 3 2 2 2 2" xfId="40122" xr:uid="{1C73235F-8111-4034-9720-6A1C96AF7386}"/>
    <cellStyle name="20% - Accent3 5 2 3 2 2 3" xfId="24225" xr:uid="{00000000-0005-0000-0000-000083120000}"/>
    <cellStyle name="20% - Accent3 5 2 3 2 2 3 2" xfId="48058" xr:uid="{E94086E0-7C62-4A6D-84F1-7212E0AF6643}"/>
    <cellStyle name="20% - Accent3 5 2 3 2 2 4" xfId="32181" xr:uid="{0A652AE3-B0A3-4A40-AAC5-2F83168391A0}"/>
    <cellStyle name="20% - Accent3 5 2 3 2 3" xfId="12741" xr:uid="{00000000-0005-0000-0000-000084120000}"/>
    <cellStyle name="20% - Accent3 5 2 3 2 3 2" xfId="36591" xr:uid="{CC8112E5-DB41-4EC7-AEA9-DE93C008896C}"/>
    <cellStyle name="20% - Accent3 5 2 3 2 4" xfId="20696" xr:uid="{00000000-0005-0000-0000-000085120000}"/>
    <cellStyle name="20% - Accent3 5 2 3 2 4 2" xfId="44529" xr:uid="{155DDA0D-968A-45A4-AAF2-764538DE82A0}"/>
    <cellStyle name="20% - Accent3 5 2 3 2 5" xfId="28650" xr:uid="{D01EF92F-86CF-443F-8C7B-EE307F87A9AA}"/>
    <cellStyle name="20% - Accent3 5 2 3 3" xfId="6549" xr:uid="{00000000-0005-0000-0000-000086120000}"/>
    <cellStyle name="20% - Accent3 5 2 3 3 2" xfId="14521" xr:uid="{00000000-0005-0000-0000-000087120000}"/>
    <cellStyle name="20% - Accent3 5 2 3 3 2 2" xfId="38364" xr:uid="{92936EFC-F99D-4E66-B00D-84F68A1BB7CE}"/>
    <cellStyle name="20% - Accent3 5 2 3 3 3" xfId="22468" xr:uid="{00000000-0005-0000-0000-000088120000}"/>
    <cellStyle name="20% - Accent3 5 2 3 3 3 2" xfId="46301" xr:uid="{BDF0E076-E617-4621-B9E7-2AD7F35581B6}"/>
    <cellStyle name="20% - Accent3 5 2 3 3 4" xfId="30423" xr:uid="{48047DC5-B686-43E2-BFB8-22D5F0316699}"/>
    <cellStyle name="20% - Accent3 5 2 3 4" xfId="10985" xr:uid="{00000000-0005-0000-0000-000089120000}"/>
    <cellStyle name="20% - Accent3 5 2 3 4 2" xfId="34835" xr:uid="{AF06BE18-2485-4968-A130-4ED0CCFDDA76}"/>
    <cellStyle name="20% - Accent3 5 2 3 5" xfId="18940" xr:uid="{00000000-0005-0000-0000-00008A120000}"/>
    <cellStyle name="20% - Accent3 5 2 3 5 2" xfId="42773" xr:uid="{A800D26B-9CBF-478D-970B-F627ABDACA70}"/>
    <cellStyle name="20% - Accent3 5 2 3 6" xfId="26893" xr:uid="{A8363798-5267-4077-B182-C9EE30AB97EA}"/>
    <cellStyle name="20% - Accent3 5 2 3_Exh G" xfId="2269" xr:uid="{00000000-0005-0000-0000-00008B120000}"/>
    <cellStyle name="20% - Accent3 5 2 4" xfId="3838" xr:uid="{00000000-0005-0000-0000-00008C120000}"/>
    <cellStyle name="20% - Accent3 5 2 4 2" xfId="7430" xr:uid="{00000000-0005-0000-0000-00008D120000}"/>
    <cellStyle name="20% - Accent3 5 2 4 2 2" xfId="15401" xr:uid="{00000000-0005-0000-0000-00008E120000}"/>
    <cellStyle name="20% - Accent3 5 2 4 2 2 2" xfId="39244" xr:uid="{9CCE4A18-48E7-4B7E-9FF4-3644A1A5E7E9}"/>
    <cellStyle name="20% - Accent3 5 2 4 2 3" xfId="23347" xr:uid="{00000000-0005-0000-0000-00008F120000}"/>
    <cellStyle name="20% - Accent3 5 2 4 2 3 2" xfId="47180" xr:uid="{30094CFB-C239-473C-A465-477555E1F357}"/>
    <cellStyle name="20% - Accent3 5 2 4 2 4" xfId="31303" xr:uid="{8E5417D2-EA72-4CE5-8659-973929CEC286}"/>
    <cellStyle name="20% - Accent3 5 2 4 3" xfId="11863" xr:uid="{00000000-0005-0000-0000-000090120000}"/>
    <cellStyle name="20% - Accent3 5 2 4 3 2" xfId="35713" xr:uid="{B9793186-12E8-4EA4-9332-150704EED8C9}"/>
    <cellStyle name="20% - Accent3 5 2 4 4" xfId="19818" xr:uid="{00000000-0005-0000-0000-000091120000}"/>
    <cellStyle name="20% - Accent3 5 2 4 4 2" xfId="43651" xr:uid="{0DAA5948-13EF-4E32-A4CB-8D6534EA0B15}"/>
    <cellStyle name="20% - Accent3 5 2 4 5" xfId="27772" xr:uid="{E0BA644D-8A20-485E-8A3E-97BDE1F68452}"/>
    <cellStyle name="20% - Accent3 5 2 5" xfId="5658" xr:uid="{00000000-0005-0000-0000-000092120000}"/>
    <cellStyle name="20% - Accent3 5 2 5 2" xfId="13642" xr:uid="{00000000-0005-0000-0000-000093120000}"/>
    <cellStyle name="20% - Accent3 5 2 5 2 2" xfId="37486" xr:uid="{C66C591A-8198-4E7B-AC7A-174BE923AADA}"/>
    <cellStyle name="20% - Accent3 5 2 5 3" xfId="21590" xr:uid="{00000000-0005-0000-0000-000094120000}"/>
    <cellStyle name="20% - Accent3 5 2 5 3 2" xfId="45423" xr:uid="{6EADB63D-8FAC-4B0B-AA90-63BCB9131BD5}"/>
    <cellStyle name="20% - Accent3 5 2 5 4" xfId="29545" xr:uid="{FE900C90-1BA4-4921-8011-368CD53BD5F4}"/>
    <cellStyle name="20% - Accent3 5 2 6" xfId="9211" xr:uid="{00000000-0005-0000-0000-000095120000}"/>
    <cellStyle name="20% - Accent3 5 2 6 2" xfId="17169" xr:uid="{00000000-0005-0000-0000-000096120000}"/>
    <cellStyle name="20% - Accent3 5 2 6 2 2" xfId="41010" xr:uid="{C99A85E1-9FB4-4F46-B1B8-A3E86AACC377}"/>
    <cellStyle name="20% - Accent3 5 2 6 3" xfId="25113" xr:uid="{00000000-0005-0000-0000-000097120000}"/>
    <cellStyle name="20% - Accent3 5 2 6 3 2" xfId="48946" xr:uid="{AD5BCF93-DEA5-4B5D-AFE6-9B49738262ED}"/>
    <cellStyle name="20% - Accent3 5 2 6 4" xfId="33069" xr:uid="{2C8E8E0C-B605-4653-88B5-36AAF34D5AC8}"/>
    <cellStyle name="20% - Accent3 5 2 7" xfId="10107" xr:uid="{00000000-0005-0000-0000-000098120000}"/>
    <cellStyle name="20% - Accent3 5 2 7 2" xfId="33957" xr:uid="{30B33D2C-97FB-447B-B94B-65C65B390F82}"/>
    <cellStyle name="20% - Accent3 5 2 8" xfId="18062" xr:uid="{00000000-0005-0000-0000-000099120000}"/>
    <cellStyle name="20% - Accent3 5 2 8 2" xfId="41895" xr:uid="{1671628F-2B19-49EA-B4DD-FD1C283B90A0}"/>
    <cellStyle name="20% - Accent3 5 2 9" xfId="26015" xr:uid="{E2B45DD8-4B48-4E75-A529-B01903F0D795}"/>
    <cellStyle name="20% - Accent3 5 2_Exh G" xfId="2266" xr:uid="{00000000-0005-0000-0000-00009A120000}"/>
    <cellStyle name="20% - Accent3 5 3" xfId="161" xr:uid="{00000000-0005-0000-0000-00009B120000}"/>
    <cellStyle name="20% - Accent3 5 3 2" xfId="1189" xr:uid="{00000000-0005-0000-0000-00009C120000}"/>
    <cellStyle name="20% - Accent3 5 3 2 2" xfId="4719" xr:uid="{00000000-0005-0000-0000-00009D120000}"/>
    <cellStyle name="20% - Accent3 5 3 2 2 2" xfId="8310" xr:uid="{00000000-0005-0000-0000-00009E120000}"/>
    <cellStyle name="20% - Accent3 5 3 2 2 2 2" xfId="16281" xr:uid="{00000000-0005-0000-0000-00009F120000}"/>
    <cellStyle name="20% - Accent3 5 3 2 2 2 2 2" xfId="40124" xr:uid="{8F7628CB-7B65-431F-B009-AB62DA5D9D84}"/>
    <cellStyle name="20% - Accent3 5 3 2 2 2 3" xfId="24227" xr:uid="{00000000-0005-0000-0000-0000A0120000}"/>
    <cellStyle name="20% - Accent3 5 3 2 2 2 3 2" xfId="48060" xr:uid="{EF3EF9CA-1752-4942-BC33-42091DA03757}"/>
    <cellStyle name="20% - Accent3 5 3 2 2 2 4" xfId="32183" xr:uid="{6976FEA5-1D56-421B-BC10-241B6DEFA6F8}"/>
    <cellStyle name="20% - Accent3 5 3 2 2 3" xfId="12743" xr:uid="{00000000-0005-0000-0000-0000A1120000}"/>
    <cellStyle name="20% - Accent3 5 3 2 2 3 2" xfId="36593" xr:uid="{C99EDDBB-61FC-4AC9-8F68-4CCCBE8E4669}"/>
    <cellStyle name="20% - Accent3 5 3 2 2 4" xfId="20698" xr:uid="{00000000-0005-0000-0000-0000A2120000}"/>
    <cellStyle name="20% - Accent3 5 3 2 2 4 2" xfId="44531" xr:uid="{96F025F0-360A-4CE8-B53B-B4281C085B00}"/>
    <cellStyle name="20% - Accent3 5 3 2 2 5" xfId="28652" xr:uid="{0CF2960B-A0F5-49A5-86E0-44E585C8370C}"/>
    <cellStyle name="20% - Accent3 5 3 2 3" xfId="6551" xr:uid="{00000000-0005-0000-0000-0000A3120000}"/>
    <cellStyle name="20% - Accent3 5 3 2 3 2" xfId="14523" xr:uid="{00000000-0005-0000-0000-0000A4120000}"/>
    <cellStyle name="20% - Accent3 5 3 2 3 2 2" xfId="38366" xr:uid="{35DF8966-80C9-40AD-9AF6-C2D14E61B874}"/>
    <cellStyle name="20% - Accent3 5 3 2 3 3" xfId="22470" xr:uid="{00000000-0005-0000-0000-0000A5120000}"/>
    <cellStyle name="20% - Accent3 5 3 2 3 3 2" xfId="46303" xr:uid="{7F66B2AD-FA2F-4FBE-99E0-E9306083D43A}"/>
    <cellStyle name="20% - Accent3 5 3 2 3 4" xfId="30425" xr:uid="{518F4130-9FF7-40DF-888E-4A6DCD82D0EB}"/>
    <cellStyle name="20% - Accent3 5 3 2 4" xfId="10987" xr:uid="{00000000-0005-0000-0000-0000A6120000}"/>
    <cellStyle name="20% - Accent3 5 3 2 4 2" xfId="34837" xr:uid="{E96C0D7F-6045-4DBE-B6D9-45DA9545753A}"/>
    <cellStyle name="20% - Accent3 5 3 2 5" xfId="18942" xr:uid="{00000000-0005-0000-0000-0000A7120000}"/>
    <cellStyle name="20% - Accent3 5 3 2 5 2" xfId="42775" xr:uid="{26574A94-B85A-42FB-9216-8573479EA677}"/>
    <cellStyle name="20% - Accent3 5 3 2 6" xfId="26895" xr:uid="{D813F121-9C95-4F01-9B7F-C431B54E9DD6}"/>
    <cellStyle name="20% - Accent3 5 3 2_Exh G" xfId="2271" xr:uid="{00000000-0005-0000-0000-0000A8120000}"/>
    <cellStyle name="20% - Accent3 5 3 3" xfId="3840" xr:uid="{00000000-0005-0000-0000-0000A9120000}"/>
    <cellStyle name="20% - Accent3 5 3 3 2" xfId="7432" xr:uid="{00000000-0005-0000-0000-0000AA120000}"/>
    <cellStyle name="20% - Accent3 5 3 3 2 2" xfId="15403" xr:uid="{00000000-0005-0000-0000-0000AB120000}"/>
    <cellStyle name="20% - Accent3 5 3 3 2 2 2" xfId="39246" xr:uid="{63205D1B-2A54-4965-ACE4-19B02434D515}"/>
    <cellStyle name="20% - Accent3 5 3 3 2 3" xfId="23349" xr:uid="{00000000-0005-0000-0000-0000AC120000}"/>
    <cellStyle name="20% - Accent3 5 3 3 2 3 2" xfId="47182" xr:uid="{F53C6E6A-AF69-4F24-9DEB-70780E43116D}"/>
    <cellStyle name="20% - Accent3 5 3 3 2 4" xfId="31305" xr:uid="{B2DD0C52-52BE-4B63-B9F8-DD289D293E22}"/>
    <cellStyle name="20% - Accent3 5 3 3 3" xfId="11865" xr:uid="{00000000-0005-0000-0000-0000AD120000}"/>
    <cellStyle name="20% - Accent3 5 3 3 3 2" xfId="35715" xr:uid="{65A53F67-4C61-468C-B9E1-29FE0F5641A9}"/>
    <cellStyle name="20% - Accent3 5 3 3 4" xfId="19820" xr:uid="{00000000-0005-0000-0000-0000AE120000}"/>
    <cellStyle name="20% - Accent3 5 3 3 4 2" xfId="43653" xr:uid="{34607DDD-51ED-480A-95F4-5D3AE50350EA}"/>
    <cellStyle name="20% - Accent3 5 3 3 5" xfId="27774" xr:uid="{5DD9062B-BB8E-4AEA-847E-67C7BE31A52E}"/>
    <cellStyle name="20% - Accent3 5 3 4" xfId="5660" xr:uid="{00000000-0005-0000-0000-0000AF120000}"/>
    <cellStyle name="20% - Accent3 5 3 4 2" xfId="13644" xr:uid="{00000000-0005-0000-0000-0000B0120000}"/>
    <cellStyle name="20% - Accent3 5 3 4 2 2" xfId="37488" xr:uid="{07E2F9D5-1E8B-438A-ACCC-2AF0AEFCAE7F}"/>
    <cellStyle name="20% - Accent3 5 3 4 3" xfId="21592" xr:uid="{00000000-0005-0000-0000-0000B1120000}"/>
    <cellStyle name="20% - Accent3 5 3 4 3 2" xfId="45425" xr:uid="{06DA822E-881B-4829-829F-EC16709EEEC4}"/>
    <cellStyle name="20% - Accent3 5 3 4 4" xfId="29547" xr:uid="{5AFC224E-A9F4-4F0A-BF8C-B2098D1BDAD1}"/>
    <cellStyle name="20% - Accent3 5 3 5" xfId="9213" xr:uid="{00000000-0005-0000-0000-0000B2120000}"/>
    <cellStyle name="20% - Accent3 5 3 5 2" xfId="17171" xr:uid="{00000000-0005-0000-0000-0000B3120000}"/>
    <cellStyle name="20% - Accent3 5 3 5 2 2" xfId="41012" xr:uid="{59F71586-E7B7-4C18-99AA-AD3D95024E79}"/>
    <cellStyle name="20% - Accent3 5 3 5 3" xfId="25115" xr:uid="{00000000-0005-0000-0000-0000B4120000}"/>
    <cellStyle name="20% - Accent3 5 3 5 3 2" xfId="48948" xr:uid="{7AE3E95E-48CB-4F26-860E-7F9F6091ED5A}"/>
    <cellStyle name="20% - Accent3 5 3 5 4" xfId="33071" xr:uid="{ED2FEFE9-0229-4AFA-BB79-1F52E269268D}"/>
    <cellStyle name="20% - Accent3 5 3 6" xfId="10109" xr:uid="{00000000-0005-0000-0000-0000B5120000}"/>
    <cellStyle name="20% - Accent3 5 3 6 2" xfId="33959" xr:uid="{B46C4583-D0F0-4938-8574-4061D826550B}"/>
    <cellStyle name="20% - Accent3 5 3 7" xfId="18064" xr:uid="{00000000-0005-0000-0000-0000B6120000}"/>
    <cellStyle name="20% - Accent3 5 3 7 2" xfId="41897" xr:uid="{69E09B68-1CF2-4B43-8BA4-5C50C96E7B6D}"/>
    <cellStyle name="20% - Accent3 5 3 8" xfId="26017" xr:uid="{361FFCF5-6816-43D3-921A-1688B4EFEB40}"/>
    <cellStyle name="20% - Accent3 5 3_Exh G" xfId="2270" xr:uid="{00000000-0005-0000-0000-0000B7120000}"/>
    <cellStyle name="20% - Accent3 5 4" xfId="893" xr:uid="{00000000-0005-0000-0000-0000B8120000}"/>
    <cellStyle name="20% - Accent3 5 5" xfId="1186" xr:uid="{00000000-0005-0000-0000-0000B9120000}"/>
    <cellStyle name="20% - Accent3 5 5 2" xfId="4716" xr:uid="{00000000-0005-0000-0000-0000BA120000}"/>
    <cellStyle name="20% - Accent3 5 5 2 2" xfId="8307" xr:uid="{00000000-0005-0000-0000-0000BB120000}"/>
    <cellStyle name="20% - Accent3 5 5 2 2 2" xfId="16278" xr:uid="{00000000-0005-0000-0000-0000BC120000}"/>
    <cellStyle name="20% - Accent3 5 5 2 2 2 2" xfId="40121" xr:uid="{9BDC27B2-3616-4CB3-9B7F-1608B09DAEEC}"/>
    <cellStyle name="20% - Accent3 5 5 2 2 3" xfId="24224" xr:uid="{00000000-0005-0000-0000-0000BD120000}"/>
    <cellStyle name="20% - Accent3 5 5 2 2 3 2" xfId="48057" xr:uid="{B330F8BC-6DD5-477E-9965-52736BC69E69}"/>
    <cellStyle name="20% - Accent3 5 5 2 2 4" xfId="32180" xr:uid="{4A63EA6B-DDB6-46EF-BE7F-1E52B271BDD1}"/>
    <cellStyle name="20% - Accent3 5 5 2 3" xfId="12740" xr:uid="{00000000-0005-0000-0000-0000BE120000}"/>
    <cellStyle name="20% - Accent3 5 5 2 3 2" xfId="36590" xr:uid="{7C2E2813-9EB6-4E70-A73E-4E81BEA64531}"/>
    <cellStyle name="20% - Accent3 5 5 2 4" xfId="20695" xr:uid="{00000000-0005-0000-0000-0000BF120000}"/>
    <cellStyle name="20% - Accent3 5 5 2 4 2" xfId="44528" xr:uid="{0AC5879A-A1E4-4185-9445-FED94D8DB235}"/>
    <cellStyle name="20% - Accent3 5 5 2 5" xfId="28649" xr:uid="{52069224-0972-4001-B8A2-04F0749BACD4}"/>
    <cellStyle name="20% - Accent3 5 5 3" xfId="6548" xr:uid="{00000000-0005-0000-0000-0000C0120000}"/>
    <cellStyle name="20% - Accent3 5 5 3 2" xfId="14520" xr:uid="{00000000-0005-0000-0000-0000C1120000}"/>
    <cellStyle name="20% - Accent3 5 5 3 2 2" xfId="38363" xr:uid="{ED48B24C-F2FD-4065-B560-2816AE3CC93B}"/>
    <cellStyle name="20% - Accent3 5 5 3 3" xfId="22467" xr:uid="{00000000-0005-0000-0000-0000C2120000}"/>
    <cellStyle name="20% - Accent3 5 5 3 3 2" xfId="46300" xr:uid="{324B0BD5-7006-4E8C-B8CE-5C5B0D8F9006}"/>
    <cellStyle name="20% - Accent3 5 5 3 4" xfId="30422" xr:uid="{BED47BAB-DDC7-46B8-A8EF-10D9996AD9C9}"/>
    <cellStyle name="20% - Accent3 5 5 4" xfId="10984" xr:uid="{00000000-0005-0000-0000-0000C3120000}"/>
    <cellStyle name="20% - Accent3 5 5 4 2" xfId="34834" xr:uid="{59B46549-1228-4A6C-B495-DDF21B1DC615}"/>
    <cellStyle name="20% - Accent3 5 5 5" xfId="18939" xr:uid="{00000000-0005-0000-0000-0000C4120000}"/>
    <cellStyle name="20% - Accent3 5 5 5 2" xfId="42772" xr:uid="{3B8B8471-E6D1-4E48-8CDD-28E4467AC21E}"/>
    <cellStyle name="20% - Accent3 5 5 6" xfId="26892" xr:uid="{28D47FE1-4E99-496B-9A4C-99B2403072FC}"/>
    <cellStyle name="20% - Accent3 5 5_Exh G" xfId="2272" xr:uid="{00000000-0005-0000-0000-0000C5120000}"/>
    <cellStyle name="20% - Accent3 5 6" xfId="3837" xr:uid="{00000000-0005-0000-0000-0000C6120000}"/>
    <cellStyle name="20% - Accent3 5 6 2" xfId="7429" xr:uid="{00000000-0005-0000-0000-0000C7120000}"/>
    <cellStyle name="20% - Accent3 5 6 2 2" xfId="15400" xr:uid="{00000000-0005-0000-0000-0000C8120000}"/>
    <cellStyle name="20% - Accent3 5 6 2 2 2" xfId="39243" xr:uid="{FDDB68C6-192F-4575-BF0E-056A28C3DC6F}"/>
    <cellStyle name="20% - Accent3 5 6 2 3" xfId="23346" xr:uid="{00000000-0005-0000-0000-0000C9120000}"/>
    <cellStyle name="20% - Accent3 5 6 2 3 2" xfId="47179" xr:uid="{305854BB-6752-4CA0-83C7-35FE2D0B8CD9}"/>
    <cellStyle name="20% - Accent3 5 6 2 4" xfId="31302" xr:uid="{DB4CD0CF-B096-440C-835D-6113720BC662}"/>
    <cellStyle name="20% - Accent3 5 6 3" xfId="11862" xr:uid="{00000000-0005-0000-0000-0000CA120000}"/>
    <cellStyle name="20% - Accent3 5 6 3 2" xfId="35712" xr:uid="{02C5AD7C-F223-4712-B586-E4E6E966AB0E}"/>
    <cellStyle name="20% - Accent3 5 6 4" xfId="19817" xr:uid="{00000000-0005-0000-0000-0000CB120000}"/>
    <cellStyle name="20% - Accent3 5 6 4 2" xfId="43650" xr:uid="{5F48FB8B-2EAD-4329-8F7F-71647BDD24A2}"/>
    <cellStyle name="20% - Accent3 5 6 5" xfId="27771" xr:uid="{BA9D7540-33A9-43EE-B3FC-301FDA5F4CF8}"/>
    <cellStyle name="20% - Accent3 5 7" xfId="5657" xr:uid="{00000000-0005-0000-0000-0000CC120000}"/>
    <cellStyle name="20% - Accent3 5 7 2" xfId="13641" xr:uid="{00000000-0005-0000-0000-0000CD120000}"/>
    <cellStyle name="20% - Accent3 5 7 2 2" xfId="37485" xr:uid="{41EFD2FC-9C61-4364-B587-6F17D8EC7C5C}"/>
    <cellStyle name="20% - Accent3 5 7 3" xfId="21589" xr:uid="{00000000-0005-0000-0000-0000CE120000}"/>
    <cellStyle name="20% - Accent3 5 7 3 2" xfId="45422" xr:uid="{BE41D626-FBE3-4167-ADF4-C4CA8AD1A460}"/>
    <cellStyle name="20% - Accent3 5 7 4" xfId="29544" xr:uid="{4AA378BC-9ADD-4920-B37B-DB0AAC6A25E7}"/>
    <cellStyle name="20% - Accent3 5 8" xfId="9210" xr:uid="{00000000-0005-0000-0000-0000CF120000}"/>
    <cellStyle name="20% - Accent3 5 8 2" xfId="17168" xr:uid="{00000000-0005-0000-0000-0000D0120000}"/>
    <cellStyle name="20% - Accent3 5 8 2 2" xfId="41009" xr:uid="{3E740367-CD0E-48B7-B57B-2A32AED98FE1}"/>
    <cellStyle name="20% - Accent3 5 8 3" xfId="25112" xr:uid="{00000000-0005-0000-0000-0000D1120000}"/>
    <cellStyle name="20% - Accent3 5 8 3 2" xfId="48945" xr:uid="{5012728D-0FD5-45DE-A5E9-4F9D1463D552}"/>
    <cellStyle name="20% - Accent3 5 8 4" xfId="33068" xr:uid="{961561AD-DA25-4CA5-B7D3-2C6398995517}"/>
    <cellStyle name="20% - Accent3 5 9" xfId="10106" xr:uid="{00000000-0005-0000-0000-0000D2120000}"/>
    <cellStyle name="20% - Accent3 5 9 2" xfId="33956" xr:uid="{1AE0AB78-F8F5-4EC7-A70A-312FD0811984}"/>
    <cellStyle name="20% - Accent3 5_Exh G" xfId="2265" xr:uid="{00000000-0005-0000-0000-0000D3120000}"/>
    <cellStyle name="20% - Accent3 6" xfId="162" xr:uid="{00000000-0005-0000-0000-0000D4120000}"/>
    <cellStyle name="20% - Accent3 6 10" xfId="18065" xr:uid="{00000000-0005-0000-0000-0000D5120000}"/>
    <cellStyle name="20% - Accent3 6 10 2" xfId="41898" xr:uid="{AE89570D-E0B2-4E9F-A23F-244CE782C9CD}"/>
    <cellStyle name="20% - Accent3 6 11" xfId="26018" xr:uid="{179BF5FA-40BF-4456-B2CE-EC7DC91A1AAD}"/>
    <cellStyle name="20% - Accent3 6 2" xfId="163" xr:uid="{00000000-0005-0000-0000-0000D6120000}"/>
    <cellStyle name="20% - Accent3 6 2 2" xfId="164" xr:uid="{00000000-0005-0000-0000-0000D7120000}"/>
    <cellStyle name="20% - Accent3 6 2 2 2" xfId="1192" xr:uid="{00000000-0005-0000-0000-0000D8120000}"/>
    <cellStyle name="20% - Accent3 6 2 2 2 2" xfId="4722" xr:uid="{00000000-0005-0000-0000-0000D9120000}"/>
    <cellStyle name="20% - Accent3 6 2 2 2 2 2" xfId="8313" xr:uid="{00000000-0005-0000-0000-0000DA120000}"/>
    <cellStyle name="20% - Accent3 6 2 2 2 2 2 2" xfId="16284" xr:uid="{00000000-0005-0000-0000-0000DB120000}"/>
    <cellStyle name="20% - Accent3 6 2 2 2 2 2 2 2" xfId="40127" xr:uid="{BCA2BBBB-E8EA-4F3F-B5B8-179E2AAC3431}"/>
    <cellStyle name="20% - Accent3 6 2 2 2 2 2 3" xfId="24230" xr:uid="{00000000-0005-0000-0000-0000DC120000}"/>
    <cellStyle name="20% - Accent3 6 2 2 2 2 2 3 2" xfId="48063" xr:uid="{56F8FCAA-6ADE-4125-A250-1A2FE2003653}"/>
    <cellStyle name="20% - Accent3 6 2 2 2 2 2 4" xfId="32186" xr:uid="{9162850A-A45D-430B-9589-0E752D15E4AF}"/>
    <cellStyle name="20% - Accent3 6 2 2 2 2 3" xfId="12746" xr:uid="{00000000-0005-0000-0000-0000DD120000}"/>
    <cellStyle name="20% - Accent3 6 2 2 2 2 3 2" xfId="36596" xr:uid="{C1F26310-DB14-482A-B26F-AC7A1D0A6EAE}"/>
    <cellStyle name="20% - Accent3 6 2 2 2 2 4" xfId="20701" xr:uid="{00000000-0005-0000-0000-0000DE120000}"/>
    <cellStyle name="20% - Accent3 6 2 2 2 2 4 2" xfId="44534" xr:uid="{8428CA31-C8BD-44A3-AF9F-B31ED2C07A75}"/>
    <cellStyle name="20% - Accent3 6 2 2 2 2 5" xfId="28655" xr:uid="{066FC198-ABDE-400D-8CF2-FD81382486B6}"/>
    <cellStyle name="20% - Accent3 6 2 2 2 3" xfId="6554" xr:uid="{00000000-0005-0000-0000-0000DF120000}"/>
    <cellStyle name="20% - Accent3 6 2 2 2 3 2" xfId="14526" xr:uid="{00000000-0005-0000-0000-0000E0120000}"/>
    <cellStyle name="20% - Accent3 6 2 2 2 3 2 2" xfId="38369" xr:uid="{4DC563B2-26FE-4857-BEE3-B4A35A70C89C}"/>
    <cellStyle name="20% - Accent3 6 2 2 2 3 3" xfId="22473" xr:uid="{00000000-0005-0000-0000-0000E1120000}"/>
    <cellStyle name="20% - Accent3 6 2 2 2 3 3 2" xfId="46306" xr:uid="{295526D8-4D83-4283-B67E-67F04D1FE740}"/>
    <cellStyle name="20% - Accent3 6 2 2 2 3 4" xfId="30428" xr:uid="{0AFE3CF8-6561-4A82-932A-E371905E35AE}"/>
    <cellStyle name="20% - Accent3 6 2 2 2 4" xfId="10990" xr:uid="{00000000-0005-0000-0000-0000E2120000}"/>
    <cellStyle name="20% - Accent3 6 2 2 2 4 2" xfId="34840" xr:uid="{F4D072EC-002D-452C-B16E-AACB855D06B4}"/>
    <cellStyle name="20% - Accent3 6 2 2 2 5" xfId="18945" xr:uid="{00000000-0005-0000-0000-0000E3120000}"/>
    <cellStyle name="20% - Accent3 6 2 2 2 5 2" xfId="42778" xr:uid="{EDB44CB6-3A9F-4D88-B12E-08219A790635}"/>
    <cellStyle name="20% - Accent3 6 2 2 2 6" xfId="26898" xr:uid="{41AE686E-9C54-4AB9-9110-8563391549DE}"/>
    <cellStyle name="20% - Accent3 6 2 2 2_Exh G" xfId="2276" xr:uid="{00000000-0005-0000-0000-0000E4120000}"/>
    <cellStyle name="20% - Accent3 6 2 2 3" xfId="3843" xr:uid="{00000000-0005-0000-0000-0000E5120000}"/>
    <cellStyle name="20% - Accent3 6 2 2 3 2" xfId="7435" xr:uid="{00000000-0005-0000-0000-0000E6120000}"/>
    <cellStyle name="20% - Accent3 6 2 2 3 2 2" xfId="15406" xr:uid="{00000000-0005-0000-0000-0000E7120000}"/>
    <cellStyle name="20% - Accent3 6 2 2 3 2 2 2" xfId="39249" xr:uid="{600C8D09-7C59-41C1-B5F7-9A7B0516AB3A}"/>
    <cellStyle name="20% - Accent3 6 2 2 3 2 3" xfId="23352" xr:uid="{00000000-0005-0000-0000-0000E8120000}"/>
    <cellStyle name="20% - Accent3 6 2 2 3 2 3 2" xfId="47185" xr:uid="{0748037A-89F5-45DA-B7B4-8E1CEF955291}"/>
    <cellStyle name="20% - Accent3 6 2 2 3 2 4" xfId="31308" xr:uid="{2CA10150-17A0-42D1-9B6D-2C70CD3859FF}"/>
    <cellStyle name="20% - Accent3 6 2 2 3 3" xfId="11868" xr:uid="{00000000-0005-0000-0000-0000E9120000}"/>
    <cellStyle name="20% - Accent3 6 2 2 3 3 2" xfId="35718" xr:uid="{6DBB9448-D55B-42D1-A1C1-C79C41B2775B}"/>
    <cellStyle name="20% - Accent3 6 2 2 3 4" xfId="19823" xr:uid="{00000000-0005-0000-0000-0000EA120000}"/>
    <cellStyle name="20% - Accent3 6 2 2 3 4 2" xfId="43656" xr:uid="{751147CC-4762-4F71-901D-C816F604CC17}"/>
    <cellStyle name="20% - Accent3 6 2 2 3 5" xfId="27777" xr:uid="{65BA590B-06D9-4F4E-9348-EC85E1F38CD3}"/>
    <cellStyle name="20% - Accent3 6 2 2 4" xfId="5663" xr:uid="{00000000-0005-0000-0000-0000EB120000}"/>
    <cellStyle name="20% - Accent3 6 2 2 4 2" xfId="13647" xr:uid="{00000000-0005-0000-0000-0000EC120000}"/>
    <cellStyle name="20% - Accent3 6 2 2 4 2 2" xfId="37491" xr:uid="{8A74D438-0761-472C-8691-F23DFA3A4634}"/>
    <cellStyle name="20% - Accent3 6 2 2 4 3" xfId="21595" xr:uid="{00000000-0005-0000-0000-0000ED120000}"/>
    <cellStyle name="20% - Accent3 6 2 2 4 3 2" xfId="45428" xr:uid="{704D449F-2141-4143-8A7B-A7F02BAAB943}"/>
    <cellStyle name="20% - Accent3 6 2 2 4 4" xfId="29550" xr:uid="{3045AB3B-3407-45C3-B65C-F7E7567E60FD}"/>
    <cellStyle name="20% - Accent3 6 2 2 5" xfId="9216" xr:uid="{00000000-0005-0000-0000-0000EE120000}"/>
    <cellStyle name="20% - Accent3 6 2 2 5 2" xfId="17174" xr:uid="{00000000-0005-0000-0000-0000EF120000}"/>
    <cellStyle name="20% - Accent3 6 2 2 5 2 2" xfId="41015" xr:uid="{4EF62761-F60C-4545-8BD4-84C6B1C68607}"/>
    <cellStyle name="20% - Accent3 6 2 2 5 3" xfId="25118" xr:uid="{00000000-0005-0000-0000-0000F0120000}"/>
    <cellStyle name="20% - Accent3 6 2 2 5 3 2" xfId="48951" xr:uid="{AA3CBE0C-2C64-4E11-A3AB-86862031890B}"/>
    <cellStyle name="20% - Accent3 6 2 2 5 4" xfId="33074" xr:uid="{9045A574-00BC-47FC-86CD-BFC1ECD69C64}"/>
    <cellStyle name="20% - Accent3 6 2 2 6" xfId="10112" xr:uid="{00000000-0005-0000-0000-0000F1120000}"/>
    <cellStyle name="20% - Accent3 6 2 2 6 2" xfId="33962" xr:uid="{B2573C5B-4C6A-4211-BE8A-6CAE24532596}"/>
    <cellStyle name="20% - Accent3 6 2 2 7" xfId="18067" xr:uid="{00000000-0005-0000-0000-0000F2120000}"/>
    <cellStyle name="20% - Accent3 6 2 2 7 2" xfId="41900" xr:uid="{4957D0EA-55C6-4CCC-876C-A9BE9BD6ED02}"/>
    <cellStyle name="20% - Accent3 6 2 2 8" xfId="26020" xr:uid="{05E3D913-093D-4FE7-94A1-4A074B60C953}"/>
    <cellStyle name="20% - Accent3 6 2 2_Exh G" xfId="2275" xr:uid="{00000000-0005-0000-0000-0000F3120000}"/>
    <cellStyle name="20% - Accent3 6 2 3" xfId="1191" xr:uid="{00000000-0005-0000-0000-0000F4120000}"/>
    <cellStyle name="20% - Accent3 6 2 3 2" xfId="4721" xr:uid="{00000000-0005-0000-0000-0000F5120000}"/>
    <cellStyle name="20% - Accent3 6 2 3 2 2" xfId="8312" xr:uid="{00000000-0005-0000-0000-0000F6120000}"/>
    <cellStyle name="20% - Accent3 6 2 3 2 2 2" xfId="16283" xr:uid="{00000000-0005-0000-0000-0000F7120000}"/>
    <cellStyle name="20% - Accent3 6 2 3 2 2 2 2" xfId="40126" xr:uid="{C0911728-3F38-41B8-922F-FE15915A50AB}"/>
    <cellStyle name="20% - Accent3 6 2 3 2 2 3" xfId="24229" xr:uid="{00000000-0005-0000-0000-0000F8120000}"/>
    <cellStyle name="20% - Accent3 6 2 3 2 2 3 2" xfId="48062" xr:uid="{C05F6B3F-544A-4B37-B8F6-7E0560AEEE0D}"/>
    <cellStyle name="20% - Accent3 6 2 3 2 2 4" xfId="32185" xr:uid="{B23B058B-25B4-4184-A916-61C915BF465E}"/>
    <cellStyle name="20% - Accent3 6 2 3 2 3" xfId="12745" xr:uid="{00000000-0005-0000-0000-0000F9120000}"/>
    <cellStyle name="20% - Accent3 6 2 3 2 3 2" xfId="36595" xr:uid="{F6784C45-E74D-498A-9D45-2714AFC1161F}"/>
    <cellStyle name="20% - Accent3 6 2 3 2 4" xfId="20700" xr:uid="{00000000-0005-0000-0000-0000FA120000}"/>
    <cellStyle name="20% - Accent3 6 2 3 2 4 2" xfId="44533" xr:uid="{5A06257B-1298-49F6-9E6C-10706D57A420}"/>
    <cellStyle name="20% - Accent3 6 2 3 2 5" xfId="28654" xr:uid="{11C7DD05-D28A-4B2C-ADA0-604B317085CB}"/>
    <cellStyle name="20% - Accent3 6 2 3 3" xfId="6553" xr:uid="{00000000-0005-0000-0000-0000FB120000}"/>
    <cellStyle name="20% - Accent3 6 2 3 3 2" xfId="14525" xr:uid="{00000000-0005-0000-0000-0000FC120000}"/>
    <cellStyle name="20% - Accent3 6 2 3 3 2 2" xfId="38368" xr:uid="{3E02DDE8-6F69-4588-A8BF-B035487E23D2}"/>
    <cellStyle name="20% - Accent3 6 2 3 3 3" xfId="22472" xr:uid="{00000000-0005-0000-0000-0000FD120000}"/>
    <cellStyle name="20% - Accent3 6 2 3 3 3 2" xfId="46305" xr:uid="{77FB41D2-B2B4-44C8-BDF2-476FEA73FE34}"/>
    <cellStyle name="20% - Accent3 6 2 3 3 4" xfId="30427" xr:uid="{8D4CDF99-0A71-441D-9ADA-F4A7549CBFCC}"/>
    <cellStyle name="20% - Accent3 6 2 3 4" xfId="10989" xr:uid="{00000000-0005-0000-0000-0000FE120000}"/>
    <cellStyle name="20% - Accent3 6 2 3 4 2" xfId="34839" xr:uid="{5D118603-A588-4B57-B0D7-AE8284D5708B}"/>
    <cellStyle name="20% - Accent3 6 2 3 5" xfId="18944" xr:uid="{00000000-0005-0000-0000-0000FF120000}"/>
    <cellStyle name="20% - Accent3 6 2 3 5 2" xfId="42777" xr:uid="{19AFAE08-061A-4DFB-B6A1-6DB5806D1CFA}"/>
    <cellStyle name="20% - Accent3 6 2 3 6" xfId="26897" xr:uid="{F7CCE88A-3A3E-403A-998D-596A55ED237D}"/>
    <cellStyle name="20% - Accent3 6 2 3_Exh G" xfId="2277" xr:uid="{00000000-0005-0000-0000-000000130000}"/>
    <cellStyle name="20% - Accent3 6 2 4" xfId="3842" xr:uid="{00000000-0005-0000-0000-000001130000}"/>
    <cellStyle name="20% - Accent3 6 2 4 2" xfId="7434" xr:uid="{00000000-0005-0000-0000-000002130000}"/>
    <cellStyle name="20% - Accent3 6 2 4 2 2" xfId="15405" xr:uid="{00000000-0005-0000-0000-000003130000}"/>
    <cellStyle name="20% - Accent3 6 2 4 2 2 2" xfId="39248" xr:uid="{7FCCD0BE-1920-4AC3-ABC0-F3149F27F5A7}"/>
    <cellStyle name="20% - Accent3 6 2 4 2 3" xfId="23351" xr:uid="{00000000-0005-0000-0000-000004130000}"/>
    <cellStyle name="20% - Accent3 6 2 4 2 3 2" xfId="47184" xr:uid="{752BEC9D-07F9-4029-BE0F-67B2B1B3A598}"/>
    <cellStyle name="20% - Accent3 6 2 4 2 4" xfId="31307" xr:uid="{59A6EE58-3565-48AF-B126-8816530FD8D2}"/>
    <cellStyle name="20% - Accent3 6 2 4 3" xfId="11867" xr:uid="{00000000-0005-0000-0000-000005130000}"/>
    <cellStyle name="20% - Accent3 6 2 4 3 2" xfId="35717" xr:uid="{B5779102-A077-4743-A009-6E3ECA486B39}"/>
    <cellStyle name="20% - Accent3 6 2 4 4" xfId="19822" xr:uid="{00000000-0005-0000-0000-000006130000}"/>
    <cellStyle name="20% - Accent3 6 2 4 4 2" xfId="43655" xr:uid="{99F37979-F077-4EB6-A06F-8022C2A7C33D}"/>
    <cellStyle name="20% - Accent3 6 2 4 5" xfId="27776" xr:uid="{41921DDD-7B30-45B4-AB1D-D464520C34E1}"/>
    <cellStyle name="20% - Accent3 6 2 5" xfId="5662" xr:uid="{00000000-0005-0000-0000-000007130000}"/>
    <cellStyle name="20% - Accent3 6 2 5 2" xfId="13646" xr:uid="{00000000-0005-0000-0000-000008130000}"/>
    <cellStyle name="20% - Accent3 6 2 5 2 2" xfId="37490" xr:uid="{64082061-8115-44E5-AFB9-784275AC81A4}"/>
    <cellStyle name="20% - Accent3 6 2 5 3" xfId="21594" xr:uid="{00000000-0005-0000-0000-000009130000}"/>
    <cellStyle name="20% - Accent3 6 2 5 3 2" xfId="45427" xr:uid="{87772B99-843E-41F9-8E2A-7E75F9CECEE4}"/>
    <cellStyle name="20% - Accent3 6 2 5 4" xfId="29549" xr:uid="{1202F724-2A53-47FF-AE93-1D32FC978ED0}"/>
    <cellStyle name="20% - Accent3 6 2 6" xfId="9215" xr:uid="{00000000-0005-0000-0000-00000A130000}"/>
    <cellStyle name="20% - Accent3 6 2 6 2" xfId="17173" xr:uid="{00000000-0005-0000-0000-00000B130000}"/>
    <cellStyle name="20% - Accent3 6 2 6 2 2" xfId="41014" xr:uid="{9F0D1451-C572-488E-8EDE-3EBBD4DD78DC}"/>
    <cellStyle name="20% - Accent3 6 2 6 3" xfId="25117" xr:uid="{00000000-0005-0000-0000-00000C130000}"/>
    <cellStyle name="20% - Accent3 6 2 6 3 2" xfId="48950" xr:uid="{624D2720-950C-4DF8-B6E1-59E3661922DF}"/>
    <cellStyle name="20% - Accent3 6 2 6 4" xfId="33073" xr:uid="{33167ECC-83A7-4E9A-9D5B-BBFBDFA6F42C}"/>
    <cellStyle name="20% - Accent3 6 2 7" xfId="10111" xr:uid="{00000000-0005-0000-0000-00000D130000}"/>
    <cellStyle name="20% - Accent3 6 2 7 2" xfId="33961" xr:uid="{73F78676-3F65-4C65-A3FE-828CFE8E553C}"/>
    <cellStyle name="20% - Accent3 6 2 8" xfId="18066" xr:uid="{00000000-0005-0000-0000-00000E130000}"/>
    <cellStyle name="20% - Accent3 6 2 8 2" xfId="41899" xr:uid="{CF1A6711-24D1-4DDD-A97C-5CC48FB19FA2}"/>
    <cellStyle name="20% - Accent3 6 2 9" xfId="26019" xr:uid="{A91DA412-36A0-433A-8538-95D1CAF372EE}"/>
    <cellStyle name="20% - Accent3 6 2_Exh G" xfId="2274" xr:uid="{00000000-0005-0000-0000-00000F130000}"/>
    <cellStyle name="20% - Accent3 6 3" xfId="165" xr:uid="{00000000-0005-0000-0000-000010130000}"/>
    <cellStyle name="20% - Accent3 6 3 2" xfId="1193" xr:uid="{00000000-0005-0000-0000-000011130000}"/>
    <cellStyle name="20% - Accent3 6 3 2 2" xfId="4723" xr:uid="{00000000-0005-0000-0000-000012130000}"/>
    <cellStyle name="20% - Accent3 6 3 2 2 2" xfId="8314" xr:uid="{00000000-0005-0000-0000-000013130000}"/>
    <cellStyle name="20% - Accent3 6 3 2 2 2 2" xfId="16285" xr:uid="{00000000-0005-0000-0000-000014130000}"/>
    <cellStyle name="20% - Accent3 6 3 2 2 2 2 2" xfId="40128" xr:uid="{CB765734-4CBD-404D-8D97-927330B946D8}"/>
    <cellStyle name="20% - Accent3 6 3 2 2 2 3" xfId="24231" xr:uid="{00000000-0005-0000-0000-000015130000}"/>
    <cellStyle name="20% - Accent3 6 3 2 2 2 3 2" xfId="48064" xr:uid="{F31E05E6-379D-4F14-AFA6-1807827B9169}"/>
    <cellStyle name="20% - Accent3 6 3 2 2 2 4" xfId="32187" xr:uid="{9B10B30F-CB8C-40B2-A193-16E62844D0DD}"/>
    <cellStyle name="20% - Accent3 6 3 2 2 3" xfId="12747" xr:uid="{00000000-0005-0000-0000-000016130000}"/>
    <cellStyle name="20% - Accent3 6 3 2 2 3 2" xfId="36597" xr:uid="{E467E58D-06F9-46D2-8CEF-1F4C8313D40B}"/>
    <cellStyle name="20% - Accent3 6 3 2 2 4" xfId="20702" xr:uid="{00000000-0005-0000-0000-000017130000}"/>
    <cellStyle name="20% - Accent3 6 3 2 2 4 2" xfId="44535" xr:uid="{417B50FC-F466-4E85-8AC0-4F2CE235964A}"/>
    <cellStyle name="20% - Accent3 6 3 2 2 5" xfId="28656" xr:uid="{7488C01A-36DC-42E0-BF4A-4623B7B7C694}"/>
    <cellStyle name="20% - Accent3 6 3 2 3" xfId="6555" xr:uid="{00000000-0005-0000-0000-000018130000}"/>
    <cellStyle name="20% - Accent3 6 3 2 3 2" xfId="14527" xr:uid="{00000000-0005-0000-0000-000019130000}"/>
    <cellStyle name="20% - Accent3 6 3 2 3 2 2" xfId="38370" xr:uid="{46C2635B-6414-439C-A301-747E51462D19}"/>
    <cellStyle name="20% - Accent3 6 3 2 3 3" xfId="22474" xr:uid="{00000000-0005-0000-0000-00001A130000}"/>
    <cellStyle name="20% - Accent3 6 3 2 3 3 2" xfId="46307" xr:uid="{6E3231EC-8D29-4CCC-9F80-B5F156F2F957}"/>
    <cellStyle name="20% - Accent3 6 3 2 3 4" xfId="30429" xr:uid="{30B5620A-45BE-4668-BD7B-1E256DE532C6}"/>
    <cellStyle name="20% - Accent3 6 3 2 4" xfId="10991" xr:uid="{00000000-0005-0000-0000-00001B130000}"/>
    <cellStyle name="20% - Accent3 6 3 2 4 2" xfId="34841" xr:uid="{1533A5F5-F121-49F0-BD78-3549830EAE46}"/>
    <cellStyle name="20% - Accent3 6 3 2 5" xfId="18946" xr:uid="{00000000-0005-0000-0000-00001C130000}"/>
    <cellStyle name="20% - Accent3 6 3 2 5 2" xfId="42779" xr:uid="{F8CE7178-BFE5-47F3-B1E2-1ECA4E377563}"/>
    <cellStyle name="20% - Accent3 6 3 2 6" xfId="26899" xr:uid="{357E00C6-60D0-447F-A0FF-56F51BB3C562}"/>
    <cellStyle name="20% - Accent3 6 3 2_Exh G" xfId="2279" xr:uid="{00000000-0005-0000-0000-00001D130000}"/>
    <cellStyle name="20% - Accent3 6 3 3" xfId="3844" xr:uid="{00000000-0005-0000-0000-00001E130000}"/>
    <cellStyle name="20% - Accent3 6 3 3 2" xfId="7436" xr:uid="{00000000-0005-0000-0000-00001F130000}"/>
    <cellStyle name="20% - Accent3 6 3 3 2 2" xfId="15407" xr:uid="{00000000-0005-0000-0000-000020130000}"/>
    <cellStyle name="20% - Accent3 6 3 3 2 2 2" xfId="39250" xr:uid="{7F90B549-A335-4DF2-B0B1-6B1B536C515D}"/>
    <cellStyle name="20% - Accent3 6 3 3 2 3" xfId="23353" xr:uid="{00000000-0005-0000-0000-000021130000}"/>
    <cellStyle name="20% - Accent3 6 3 3 2 3 2" xfId="47186" xr:uid="{A143A175-89D9-487F-88D3-2FF9448C900D}"/>
    <cellStyle name="20% - Accent3 6 3 3 2 4" xfId="31309" xr:uid="{844BE49C-CDF5-462C-89A5-6A281CD2DFAB}"/>
    <cellStyle name="20% - Accent3 6 3 3 3" xfId="11869" xr:uid="{00000000-0005-0000-0000-000022130000}"/>
    <cellStyle name="20% - Accent3 6 3 3 3 2" xfId="35719" xr:uid="{E7A1F60A-60AB-4F05-8BEF-5B3501E92AC3}"/>
    <cellStyle name="20% - Accent3 6 3 3 4" xfId="19824" xr:uid="{00000000-0005-0000-0000-000023130000}"/>
    <cellStyle name="20% - Accent3 6 3 3 4 2" xfId="43657" xr:uid="{555C796D-65FD-4D3B-ADC3-F868D5AEC982}"/>
    <cellStyle name="20% - Accent3 6 3 3 5" xfId="27778" xr:uid="{84133587-2B13-452B-BAA6-D7A4FA5C0BE8}"/>
    <cellStyle name="20% - Accent3 6 3 4" xfId="5664" xr:uid="{00000000-0005-0000-0000-000024130000}"/>
    <cellStyle name="20% - Accent3 6 3 4 2" xfId="13648" xr:uid="{00000000-0005-0000-0000-000025130000}"/>
    <cellStyle name="20% - Accent3 6 3 4 2 2" xfId="37492" xr:uid="{5B9FDB83-BD67-4A4F-A720-BF3BA2DAFE98}"/>
    <cellStyle name="20% - Accent3 6 3 4 3" xfId="21596" xr:uid="{00000000-0005-0000-0000-000026130000}"/>
    <cellStyle name="20% - Accent3 6 3 4 3 2" xfId="45429" xr:uid="{F0A5B062-1096-417D-AC58-21440D8C8DDA}"/>
    <cellStyle name="20% - Accent3 6 3 4 4" xfId="29551" xr:uid="{31AE9161-6DBD-4718-B705-BFA9D2D38897}"/>
    <cellStyle name="20% - Accent3 6 3 5" xfId="9217" xr:uid="{00000000-0005-0000-0000-000027130000}"/>
    <cellStyle name="20% - Accent3 6 3 5 2" xfId="17175" xr:uid="{00000000-0005-0000-0000-000028130000}"/>
    <cellStyle name="20% - Accent3 6 3 5 2 2" xfId="41016" xr:uid="{C778CA65-8316-4538-8B8C-1E03BEC1832E}"/>
    <cellStyle name="20% - Accent3 6 3 5 3" xfId="25119" xr:uid="{00000000-0005-0000-0000-000029130000}"/>
    <cellStyle name="20% - Accent3 6 3 5 3 2" xfId="48952" xr:uid="{632117C5-D685-4DC0-A283-2BAE0FF951CA}"/>
    <cellStyle name="20% - Accent3 6 3 5 4" xfId="33075" xr:uid="{2264F270-6AE5-4CC0-9A8E-956B8CAA4DB7}"/>
    <cellStyle name="20% - Accent3 6 3 6" xfId="10113" xr:uid="{00000000-0005-0000-0000-00002A130000}"/>
    <cellStyle name="20% - Accent3 6 3 6 2" xfId="33963" xr:uid="{C2451C53-17DB-4D5C-ABC2-BF4F689C9BEF}"/>
    <cellStyle name="20% - Accent3 6 3 7" xfId="18068" xr:uid="{00000000-0005-0000-0000-00002B130000}"/>
    <cellStyle name="20% - Accent3 6 3 7 2" xfId="41901" xr:uid="{E1AB56F9-56A1-4D2A-80F6-27A714063813}"/>
    <cellStyle name="20% - Accent3 6 3 8" xfId="26021" xr:uid="{B68FEB38-E54E-4858-B260-2626EA4A1BFE}"/>
    <cellStyle name="20% - Accent3 6 3_Exh G" xfId="2278" xr:uid="{00000000-0005-0000-0000-00002C130000}"/>
    <cellStyle name="20% - Accent3 6 4" xfId="894" xr:uid="{00000000-0005-0000-0000-00002D130000}"/>
    <cellStyle name="20% - Accent3 6 4 2" xfId="1825" xr:uid="{00000000-0005-0000-0000-00002E130000}"/>
    <cellStyle name="20% - Accent3 6 4 2 2" xfId="5343" xr:uid="{00000000-0005-0000-0000-00002F130000}"/>
    <cellStyle name="20% - Accent3 6 4 2 2 2" xfId="8934" xr:uid="{00000000-0005-0000-0000-000030130000}"/>
    <cellStyle name="20% - Accent3 6 4 2 2 2 2" xfId="16905" xr:uid="{00000000-0005-0000-0000-000031130000}"/>
    <cellStyle name="20% - Accent3 6 4 2 2 2 2 2" xfId="40748" xr:uid="{39D38B52-B417-4067-874D-914E06854D6E}"/>
    <cellStyle name="20% - Accent3 6 4 2 2 2 3" xfId="24851" xr:uid="{00000000-0005-0000-0000-000032130000}"/>
    <cellStyle name="20% - Accent3 6 4 2 2 2 3 2" xfId="48684" xr:uid="{1FA85CAB-2BDB-47A6-A3D0-76A66BB2D0CB}"/>
    <cellStyle name="20% - Accent3 6 4 2 2 2 4" xfId="32807" xr:uid="{695EC9B3-4989-4987-9972-68103A8BD380}"/>
    <cellStyle name="20% - Accent3 6 4 2 2 3" xfId="13367" xr:uid="{00000000-0005-0000-0000-000033130000}"/>
    <cellStyle name="20% - Accent3 6 4 2 2 3 2" xfId="37217" xr:uid="{2F97A3DF-7C93-48A6-9CB2-F9ECA7C54B20}"/>
    <cellStyle name="20% - Accent3 6 4 2 2 4" xfId="21322" xr:uid="{00000000-0005-0000-0000-000034130000}"/>
    <cellStyle name="20% - Accent3 6 4 2 2 4 2" xfId="45155" xr:uid="{4AE1A3B6-5D7D-4327-9C8A-34BACB740074}"/>
    <cellStyle name="20% - Accent3 6 4 2 2 5" xfId="29276" xr:uid="{A6DD0150-77A0-4599-95BA-52B6478A7B38}"/>
    <cellStyle name="20% - Accent3 6 4 2 3" xfId="7175" xr:uid="{00000000-0005-0000-0000-000035130000}"/>
    <cellStyle name="20% - Accent3 6 4 2 3 2" xfId="15147" xr:uid="{00000000-0005-0000-0000-000036130000}"/>
    <cellStyle name="20% - Accent3 6 4 2 3 2 2" xfId="38990" xr:uid="{D73A8692-9F02-4427-9B44-A3839206147B}"/>
    <cellStyle name="20% - Accent3 6 4 2 3 3" xfId="23094" xr:uid="{00000000-0005-0000-0000-000037130000}"/>
    <cellStyle name="20% - Accent3 6 4 2 3 3 2" xfId="46927" xr:uid="{9BF9C506-D566-4433-A979-473D55BFFD34}"/>
    <cellStyle name="20% - Accent3 6 4 2 3 4" xfId="31049" xr:uid="{C24CC51E-C89E-47AF-AFC8-BEC101974E9B}"/>
    <cellStyle name="20% - Accent3 6 4 2 4" xfId="11611" xr:uid="{00000000-0005-0000-0000-000038130000}"/>
    <cellStyle name="20% - Accent3 6 4 2 4 2" xfId="35461" xr:uid="{ECE9216D-0731-4379-9C16-FFDB1473EC42}"/>
    <cellStyle name="20% - Accent3 6 4 2 5" xfId="19566" xr:uid="{00000000-0005-0000-0000-000039130000}"/>
    <cellStyle name="20% - Accent3 6 4 2 5 2" xfId="43399" xr:uid="{76936206-1DFC-477B-97CA-C5120F118878}"/>
    <cellStyle name="20% - Accent3 6 4 2 6" xfId="27519" xr:uid="{CABB3061-9BD8-449D-80C6-23EC1091BDB4}"/>
    <cellStyle name="20% - Accent3 6 4 2_Exh G" xfId="2281" xr:uid="{00000000-0005-0000-0000-00003A130000}"/>
    <cellStyle name="20% - Accent3 6 4 3" xfId="4464" xr:uid="{00000000-0005-0000-0000-00003B130000}"/>
    <cellStyle name="20% - Accent3 6 4 3 2" xfId="8056" xr:uid="{00000000-0005-0000-0000-00003C130000}"/>
    <cellStyle name="20% - Accent3 6 4 3 2 2" xfId="16027" xr:uid="{00000000-0005-0000-0000-00003D130000}"/>
    <cellStyle name="20% - Accent3 6 4 3 2 2 2" xfId="39870" xr:uid="{B643609E-9D9C-48BF-B18A-D094E9379AC3}"/>
    <cellStyle name="20% - Accent3 6 4 3 2 3" xfId="23973" xr:uid="{00000000-0005-0000-0000-00003E130000}"/>
    <cellStyle name="20% - Accent3 6 4 3 2 3 2" xfId="47806" xr:uid="{C174CC4A-3C25-4981-88E2-B488EEE7E64E}"/>
    <cellStyle name="20% - Accent3 6 4 3 2 4" xfId="31929" xr:uid="{9FBCA08F-DB64-41AD-B2A5-289DA577DC0C}"/>
    <cellStyle name="20% - Accent3 6 4 3 3" xfId="12489" xr:uid="{00000000-0005-0000-0000-00003F130000}"/>
    <cellStyle name="20% - Accent3 6 4 3 3 2" xfId="36339" xr:uid="{7722DFBC-C52F-44E2-AFC8-1959B0CDC56C}"/>
    <cellStyle name="20% - Accent3 6 4 3 4" xfId="20444" xr:uid="{00000000-0005-0000-0000-000040130000}"/>
    <cellStyle name="20% - Accent3 6 4 3 4 2" xfId="44277" xr:uid="{451246AF-CB33-4ED6-8F8B-092F6721889C}"/>
    <cellStyle name="20% - Accent3 6 4 3 5" xfId="28398" xr:uid="{92C22965-F548-4A81-98F5-E587D0F0D8BC}"/>
    <cellStyle name="20% - Accent3 6 4 4" xfId="6294" xr:uid="{00000000-0005-0000-0000-000041130000}"/>
    <cellStyle name="20% - Accent3 6 4 4 2" xfId="14269" xr:uid="{00000000-0005-0000-0000-000042130000}"/>
    <cellStyle name="20% - Accent3 6 4 4 2 2" xfId="38112" xr:uid="{EF835A2E-4D51-41EF-9D62-8DC700833600}"/>
    <cellStyle name="20% - Accent3 6 4 4 3" xfId="22216" xr:uid="{00000000-0005-0000-0000-000043130000}"/>
    <cellStyle name="20% - Accent3 6 4 4 3 2" xfId="46049" xr:uid="{805BC80B-8732-44D5-8DC9-C0FCE15A8271}"/>
    <cellStyle name="20% - Accent3 6 4 4 4" xfId="30171" xr:uid="{35F036AD-5F44-4AF3-9416-17C589BF6917}"/>
    <cellStyle name="20% - Accent3 6 4 5" xfId="9837" xr:uid="{00000000-0005-0000-0000-000044130000}"/>
    <cellStyle name="20% - Accent3 6 4 5 2" xfId="17795" xr:uid="{00000000-0005-0000-0000-000045130000}"/>
    <cellStyle name="20% - Accent3 6 4 5 2 2" xfId="41636" xr:uid="{CA424F05-410C-43DE-9BF3-1AA7DF1ECA6F}"/>
    <cellStyle name="20% - Accent3 6 4 5 3" xfId="25739" xr:uid="{00000000-0005-0000-0000-000046130000}"/>
    <cellStyle name="20% - Accent3 6 4 5 3 2" xfId="49572" xr:uid="{AF87AB56-65B8-42A4-996A-7CFBCE5259B5}"/>
    <cellStyle name="20% - Accent3 6 4 5 4" xfId="33695" xr:uid="{006DD90E-F48E-43B2-A4DF-01C26F3B5D43}"/>
    <cellStyle name="20% - Accent3 6 4 6" xfId="10733" xr:uid="{00000000-0005-0000-0000-000047130000}"/>
    <cellStyle name="20% - Accent3 6 4 6 2" xfId="34583" xr:uid="{7E2A5902-5EBF-4F97-AFDD-CEE06884A494}"/>
    <cellStyle name="20% - Accent3 6 4 7" xfId="18688" xr:uid="{00000000-0005-0000-0000-000048130000}"/>
    <cellStyle name="20% - Accent3 6 4 7 2" xfId="42521" xr:uid="{3B069D40-F502-48A5-AC60-B47B130B1301}"/>
    <cellStyle name="20% - Accent3 6 4 8" xfId="26641" xr:uid="{2B09830D-9741-42D1-8B11-627D6CCEA92E}"/>
    <cellStyle name="20% - Accent3 6 4_Exh G" xfId="2280" xr:uid="{00000000-0005-0000-0000-000049130000}"/>
    <cellStyle name="20% - Accent3 6 5" xfId="1190" xr:uid="{00000000-0005-0000-0000-00004A130000}"/>
    <cellStyle name="20% - Accent3 6 5 2" xfId="4720" xr:uid="{00000000-0005-0000-0000-00004B130000}"/>
    <cellStyle name="20% - Accent3 6 5 2 2" xfId="8311" xr:uid="{00000000-0005-0000-0000-00004C130000}"/>
    <cellStyle name="20% - Accent3 6 5 2 2 2" xfId="16282" xr:uid="{00000000-0005-0000-0000-00004D130000}"/>
    <cellStyle name="20% - Accent3 6 5 2 2 2 2" xfId="40125" xr:uid="{E93BD5D7-A167-49B0-9CC9-14E0CF1F9F7F}"/>
    <cellStyle name="20% - Accent3 6 5 2 2 3" xfId="24228" xr:uid="{00000000-0005-0000-0000-00004E130000}"/>
    <cellStyle name="20% - Accent3 6 5 2 2 3 2" xfId="48061" xr:uid="{28C77BC0-72FE-411E-88D0-38AE7582C0B3}"/>
    <cellStyle name="20% - Accent3 6 5 2 2 4" xfId="32184" xr:uid="{068EA3AD-78DA-4DA5-A59C-26E7B2F100DA}"/>
    <cellStyle name="20% - Accent3 6 5 2 3" xfId="12744" xr:uid="{00000000-0005-0000-0000-00004F130000}"/>
    <cellStyle name="20% - Accent3 6 5 2 3 2" xfId="36594" xr:uid="{0055D75B-DF20-49D1-B9CC-4F6F0EF5E4DC}"/>
    <cellStyle name="20% - Accent3 6 5 2 4" xfId="20699" xr:uid="{00000000-0005-0000-0000-000050130000}"/>
    <cellStyle name="20% - Accent3 6 5 2 4 2" xfId="44532" xr:uid="{4B037008-A638-43FA-80EB-ADB80A832C67}"/>
    <cellStyle name="20% - Accent3 6 5 2 5" xfId="28653" xr:uid="{92B6B4D8-DF75-4B7F-8681-2263A23D7D3D}"/>
    <cellStyle name="20% - Accent3 6 5 3" xfId="6552" xr:uid="{00000000-0005-0000-0000-000051130000}"/>
    <cellStyle name="20% - Accent3 6 5 3 2" xfId="14524" xr:uid="{00000000-0005-0000-0000-000052130000}"/>
    <cellStyle name="20% - Accent3 6 5 3 2 2" xfId="38367" xr:uid="{45641752-2A70-4108-9752-D9C3B092D3A9}"/>
    <cellStyle name="20% - Accent3 6 5 3 3" xfId="22471" xr:uid="{00000000-0005-0000-0000-000053130000}"/>
    <cellStyle name="20% - Accent3 6 5 3 3 2" xfId="46304" xr:uid="{69DFBF6D-E562-4DC1-B614-38DAAFEBE34F}"/>
    <cellStyle name="20% - Accent3 6 5 3 4" xfId="30426" xr:uid="{30E6C99D-F4DE-447E-A132-AC8103B617BE}"/>
    <cellStyle name="20% - Accent3 6 5 4" xfId="10988" xr:uid="{00000000-0005-0000-0000-000054130000}"/>
    <cellStyle name="20% - Accent3 6 5 4 2" xfId="34838" xr:uid="{A06D4D6E-A7AA-4306-9531-596A51C2F9FE}"/>
    <cellStyle name="20% - Accent3 6 5 5" xfId="18943" xr:uid="{00000000-0005-0000-0000-000055130000}"/>
    <cellStyle name="20% - Accent3 6 5 5 2" xfId="42776" xr:uid="{BD3F7F6C-3665-4B72-9013-DAABB1953D72}"/>
    <cellStyle name="20% - Accent3 6 5 6" xfId="26896" xr:uid="{1B11ABA8-B80D-4912-928F-4A9FBE4C12FF}"/>
    <cellStyle name="20% - Accent3 6 5_Exh G" xfId="2282" xr:uid="{00000000-0005-0000-0000-000056130000}"/>
    <cellStyle name="20% - Accent3 6 6" xfId="3841" xr:uid="{00000000-0005-0000-0000-000057130000}"/>
    <cellStyle name="20% - Accent3 6 6 2" xfId="7433" xr:uid="{00000000-0005-0000-0000-000058130000}"/>
    <cellStyle name="20% - Accent3 6 6 2 2" xfId="15404" xr:uid="{00000000-0005-0000-0000-000059130000}"/>
    <cellStyle name="20% - Accent3 6 6 2 2 2" xfId="39247" xr:uid="{9A1029DE-6753-4890-B2FC-E34E50E8FEE6}"/>
    <cellStyle name="20% - Accent3 6 6 2 3" xfId="23350" xr:uid="{00000000-0005-0000-0000-00005A130000}"/>
    <cellStyle name="20% - Accent3 6 6 2 3 2" xfId="47183" xr:uid="{3138037C-67E2-4A4B-8701-85A72DFDC8D0}"/>
    <cellStyle name="20% - Accent3 6 6 2 4" xfId="31306" xr:uid="{4FDFF869-78FD-418D-AE41-ABBF8FCC2418}"/>
    <cellStyle name="20% - Accent3 6 6 3" xfId="11866" xr:uid="{00000000-0005-0000-0000-00005B130000}"/>
    <cellStyle name="20% - Accent3 6 6 3 2" xfId="35716" xr:uid="{94F7F5E3-F444-42C2-95DF-6B4F10278BBA}"/>
    <cellStyle name="20% - Accent3 6 6 4" xfId="19821" xr:uid="{00000000-0005-0000-0000-00005C130000}"/>
    <cellStyle name="20% - Accent3 6 6 4 2" xfId="43654" xr:uid="{6D557031-DF3A-4DBF-B33A-2B2C07BE677A}"/>
    <cellStyle name="20% - Accent3 6 6 5" xfId="27775" xr:uid="{B4A1D0D7-DA54-41DD-AAF1-2C8FCB2B6DEC}"/>
    <cellStyle name="20% - Accent3 6 7" xfId="5661" xr:uid="{00000000-0005-0000-0000-00005D130000}"/>
    <cellStyle name="20% - Accent3 6 7 2" xfId="13645" xr:uid="{00000000-0005-0000-0000-00005E130000}"/>
    <cellStyle name="20% - Accent3 6 7 2 2" xfId="37489" xr:uid="{8E425D2A-AC14-4FB6-8074-EC4498BE1C4E}"/>
    <cellStyle name="20% - Accent3 6 7 3" xfId="21593" xr:uid="{00000000-0005-0000-0000-00005F130000}"/>
    <cellStyle name="20% - Accent3 6 7 3 2" xfId="45426" xr:uid="{F57F1C6A-9DC7-4285-BF69-2C639C66179C}"/>
    <cellStyle name="20% - Accent3 6 7 4" xfId="29548" xr:uid="{1E33980F-FAD9-41ED-892B-68347F45B74A}"/>
    <cellStyle name="20% - Accent3 6 8" xfId="9214" xr:uid="{00000000-0005-0000-0000-000060130000}"/>
    <cellStyle name="20% - Accent3 6 8 2" xfId="17172" xr:uid="{00000000-0005-0000-0000-000061130000}"/>
    <cellStyle name="20% - Accent3 6 8 2 2" xfId="41013" xr:uid="{2CE5CA4E-8940-4CBE-A103-34409878BAEA}"/>
    <cellStyle name="20% - Accent3 6 8 3" xfId="25116" xr:uid="{00000000-0005-0000-0000-000062130000}"/>
    <cellStyle name="20% - Accent3 6 8 3 2" xfId="48949" xr:uid="{4CE10670-C12E-4026-B86B-4D61E9E15B18}"/>
    <cellStyle name="20% - Accent3 6 8 4" xfId="33072" xr:uid="{73CEFD03-B473-4B9C-BF46-42613E58F987}"/>
    <cellStyle name="20% - Accent3 6 9" xfId="10110" xr:uid="{00000000-0005-0000-0000-000063130000}"/>
    <cellStyle name="20% - Accent3 6 9 2" xfId="33960" xr:uid="{C7E579E0-8842-406E-A12B-617A9D90A960}"/>
    <cellStyle name="20% - Accent3 6_Exh G" xfId="2273" xr:uid="{00000000-0005-0000-0000-000064130000}"/>
    <cellStyle name="20% - Accent3 7" xfId="166" xr:uid="{00000000-0005-0000-0000-000065130000}"/>
    <cellStyle name="20% - Accent3 7 10" xfId="18069" xr:uid="{00000000-0005-0000-0000-000066130000}"/>
    <cellStyle name="20% - Accent3 7 10 2" xfId="41902" xr:uid="{435D9D7D-0CAB-4A29-B02B-4CD1DF968CE6}"/>
    <cellStyle name="20% - Accent3 7 11" xfId="26022" xr:uid="{03EB0177-8DD7-46F7-9E65-6204CA880862}"/>
    <cellStyle name="20% - Accent3 7 2" xfId="167" xr:uid="{00000000-0005-0000-0000-000067130000}"/>
    <cellStyle name="20% - Accent3 7 2 2" xfId="168" xr:uid="{00000000-0005-0000-0000-000068130000}"/>
    <cellStyle name="20% - Accent3 7 2 2 2" xfId="1196" xr:uid="{00000000-0005-0000-0000-000069130000}"/>
    <cellStyle name="20% - Accent3 7 2 2 2 2" xfId="4726" xr:uid="{00000000-0005-0000-0000-00006A130000}"/>
    <cellStyle name="20% - Accent3 7 2 2 2 2 2" xfId="8317" xr:uid="{00000000-0005-0000-0000-00006B130000}"/>
    <cellStyle name="20% - Accent3 7 2 2 2 2 2 2" xfId="16288" xr:uid="{00000000-0005-0000-0000-00006C130000}"/>
    <cellStyle name="20% - Accent3 7 2 2 2 2 2 2 2" xfId="40131" xr:uid="{2AAB54A0-7FDB-4876-94B7-68EB9D29FD1F}"/>
    <cellStyle name="20% - Accent3 7 2 2 2 2 2 3" xfId="24234" xr:uid="{00000000-0005-0000-0000-00006D130000}"/>
    <cellStyle name="20% - Accent3 7 2 2 2 2 2 3 2" xfId="48067" xr:uid="{1E036F6A-1F08-4D29-B9D0-5A2992775906}"/>
    <cellStyle name="20% - Accent3 7 2 2 2 2 2 4" xfId="32190" xr:uid="{D2302B1A-2BC3-458B-AF17-D2D408B9FB86}"/>
    <cellStyle name="20% - Accent3 7 2 2 2 2 3" xfId="12750" xr:uid="{00000000-0005-0000-0000-00006E130000}"/>
    <cellStyle name="20% - Accent3 7 2 2 2 2 3 2" xfId="36600" xr:uid="{78869085-4FA4-4346-8974-FFA5553CF056}"/>
    <cellStyle name="20% - Accent3 7 2 2 2 2 4" xfId="20705" xr:uid="{00000000-0005-0000-0000-00006F130000}"/>
    <cellStyle name="20% - Accent3 7 2 2 2 2 4 2" xfId="44538" xr:uid="{96477FC9-AA45-4992-9746-2689BE91C739}"/>
    <cellStyle name="20% - Accent3 7 2 2 2 2 5" xfId="28659" xr:uid="{C3C78958-8D78-4409-B1E0-C064D53C3CC2}"/>
    <cellStyle name="20% - Accent3 7 2 2 2 3" xfId="6558" xr:uid="{00000000-0005-0000-0000-000070130000}"/>
    <cellStyle name="20% - Accent3 7 2 2 2 3 2" xfId="14530" xr:uid="{00000000-0005-0000-0000-000071130000}"/>
    <cellStyle name="20% - Accent3 7 2 2 2 3 2 2" xfId="38373" xr:uid="{32359BA8-D68B-4CA7-A3C6-F6531E0F066B}"/>
    <cellStyle name="20% - Accent3 7 2 2 2 3 3" xfId="22477" xr:uid="{00000000-0005-0000-0000-000072130000}"/>
    <cellStyle name="20% - Accent3 7 2 2 2 3 3 2" xfId="46310" xr:uid="{E4D311EE-64CC-47CD-A841-C7A9F217FEDE}"/>
    <cellStyle name="20% - Accent3 7 2 2 2 3 4" xfId="30432" xr:uid="{DCC45A86-FDE5-409C-8A29-13902F36C647}"/>
    <cellStyle name="20% - Accent3 7 2 2 2 4" xfId="10994" xr:uid="{00000000-0005-0000-0000-000073130000}"/>
    <cellStyle name="20% - Accent3 7 2 2 2 4 2" xfId="34844" xr:uid="{012AD5A8-2892-4893-9907-9E7EA381DDDC}"/>
    <cellStyle name="20% - Accent3 7 2 2 2 5" xfId="18949" xr:uid="{00000000-0005-0000-0000-000074130000}"/>
    <cellStyle name="20% - Accent3 7 2 2 2 5 2" xfId="42782" xr:uid="{BB4C86F0-E593-4B10-9237-DBED96423483}"/>
    <cellStyle name="20% - Accent3 7 2 2 2 6" xfId="26902" xr:uid="{74F4A31C-49B7-4EC8-90FF-934D641BE79A}"/>
    <cellStyle name="20% - Accent3 7 2 2 2_Exh G" xfId="2286" xr:uid="{00000000-0005-0000-0000-000075130000}"/>
    <cellStyle name="20% - Accent3 7 2 2 3" xfId="3847" xr:uid="{00000000-0005-0000-0000-000076130000}"/>
    <cellStyle name="20% - Accent3 7 2 2 3 2" xfId="7439" xr:uid="{00000000-0005-0000-0000-000077130000}"/>
    <cellStyle name="20% - Accent3 7 2 2 3 2 2" xfId="15410" xr:uid="{00000000-0005-0000-0000-000078130000}"/>
    <cellStyle name="20% - Accent3 7 2 2 3 2 2 2" xfId="39253" xr:uid="{46190A47-9BB8-4CDD-BEFF-3601505D4C96}"/>
    <cellStyle name="20% - Accent3 7 2 2 3 2 3" xfId="23356" xr:uid="{00000000-0005-0000-0000-000079130000}"/>
    <cellStyle name="20% - Accent3 7 2 2 3 2 3 2" xfId="47189" xr:uid="{7C549447-34AC-4E91-86CD-206723E80DFF}"/>
    <cellStyle name="20% - Accent3 7 2 2 3 2 4" xfId="31312" xr:uid="{4B9373EB-3516-416E-9D5B-85EF494AD5FB}"/>
    <cellStyle name="20% - Accent3 7 2 2 3 3" xfId="11872" xr:uid="{00000000-0005-0000-0000-00007A130000}"/>
    <cellStyle name="20% - Accent3 7 2 2 3 3 2" xfId="35722" xr:uid="{3799BAC6-543D-4B3A-8EE4-F91525859534}"/>
    <cellStyle name="20% - Accent3 7 2 2 3 4" xfId="19827" xr:uid="{00000000-0005-0000-0000-00007B130000}"/>
    <cellStyle name="20% - Accent3 7 2 2 3 4 2" xfId="43660" xr:uid="{F13409E1-CF51-4E93-AE31-A58A020E8860}"/>
    <cellStyle name="20% - Accent3 7 2 2 3 5" xfId="27781" xr:uid="{DF5FBE9C-D314-4EB9-9C8A-27089A9E21EE}"/>
    <cellStyle name="20% - Accent3 7 2 2 4" xfId="5667" xr:uid="{00000000-0005-0000-0000-00007C130000}"/>
    <cellStyle name="20% - Accent3 7 2 2 4 2" xfId="13651" xr:uid="{00000000-0005-0000-0000-00007D130000}"/>
    <cellStyle name="20% - Accent3 7 2 2 4 2 2" xfId="37495" xr:uid="{1FC6AD10-2C68-4961-8FAF-6A4D5A18E574}"/>
    <cellStyle name="20% - Accent3 7 2 2 4 3" xfId="21599" xr:uid="{00000000-0005-0000-0000-00007E130000}"/>
    <cellStyle name="20% - Accent3 7 2 2 4 3 2" xfId="45432" xr:uid="{29321924-A680-4FF6-B69D-2B9363546A51}"/>
    <cellStyle name="20% - Accent3 7 2 2 4 4" xfId="29554" xr:uid="{1CA5AA11-CEB7-4417-8BDD-8E56B2548EB7}"/>
    <cellStyle name="20% - Accent3 7 2 2 5" xfId="9220" xr:uid="{00000000-0005-0000-0000-00007F130000}"/>
    <cellStyle name="20% - Accent3 7 2 2 5 2" xfId="17178" xr:uid="{00000000-0005-0000-0000-000080130000}"/>
    <cellStyle name="20% - Accent3 7 2 2 5 2 2" xfId="41019" xr:uid="{D406AECF-D367-4902-A03D-036EBEE28B2F}"/>
    <cellStyle name="20% - Accent3 7 2 2 5 3" xfId="25122" xr:uid="{00000000-0005-0000-0000-000081130000}"/>
    <cellStyle name="20% - Accent3 7 2 2 5 3 2" xfId="48955" xr:uid="{E40E2ACF-358A-4242-872C-1458D3D54C6F}"/>
    <cellStyle name="20% - Accent3 7 2 2 5 4" xfId="33078" xr:uid="{845437C6-F356-4F2E-A494-FC4B505A8ADC}"/>
    <cellStyle name="20% - Accent3 7 2 2 6" xfId="10116" xr:uid="{00000000-0005-0000-0000-000082130000}"/>
    <cellStyle name="20% - Accent3 7 2 2 6 2" xfId="33966" xr:uid="{14EB5DA5-0AB1-4444-8657-5E748ACCC904}"/>
    <cellStyle name="20% - Accent3 7 2 2 7" xfId="18071" xr:uid="{00000000-0005-0000-0000-000083130000}"/>
    <cellStyle name="20% - Accent3 7 2 2 7 2" xfId="41904" xr:uid="{02FC6689-D671-490E-980E-0FC021769F52}"/>
    <cellStyle name="20% - Accent3 7 2 2 8" xfId="26024" xr:uid="{8E18429A-C484-4766-B2C1-450F9A565A89}"/>
    <cellStyle name="20% - Accent3 7 2 2_Exh G" xfId="2285" xr:uid="{00000000-0005-0000-0000-000084130000}"/>
    <cellStyle name="20% - Accent3 7 2 3" xfId="1195" xr:uid="{00000000-0005-0000-0000-000085130000}"/>
    <cellStyle name="20% - Accent3 7 2 3 2" xfId="4725" xr:uid="{00000000-0005-0000-0000-000086130000}"/>
    <cellStyle name="20% - Accent3 7 2 3 2 2" xfId="8316" xr:uid="{00000000-0005-0000-0000-000087130000}"/>
    <cellStyle name="20% - Accent3 7 2 3 2 2 2" xfId="16287" xr:uid="{00000000-0005-0000-0000-000088130000}"/>
    <cellStyle name="20% - Accent3 7 2 3 2 2 2 2" xfId="40130" xr:uid="{586298E0-BE39-4BEB-BA09-44DB22C4398F}"/>
    <cellStyle name="20% - Accent3 7 2 3 2 2 3" xfId="24233" xr:uid="{00000000-0005-0000-0000-000089130000}"/>
    <cellStyle name="20% - Accent3 7 2 3 2 2 3 2" xfId="48066" xr:uid="{617138B5-6366-4909-8CC3-2E9B26EF42C5}"/>
    <cellStyle name="20% - Accent3 7 2 3 2 2 4" xfId="32189" xr:uid="{2099908E-074C-44E7-A4BA-D154CCFC037A}"/>
    <cellStyle name="20% - Accent3 7 2 3 2 3" xfId="12749" xr:uid="{00000000-0005-0000-0000-00008A130000}"/>
    <cellStyle name="20% - Accent3 7 2 3 2 3 2" xfId="36599" xr:uid="{CA07EE53-7293-4273-8CCC-E7602BA179CF}"/>
    <cellStyle name="20% - Accent3 7 2 3 2 4" xfId="20704" xr:uid="{00000000-0005-0000-0000-00008B130000}"/>
    <cellStyle name="20% - Accent3 7 2 3 2 4 2" xfId="44537" xr:uid="{30C47542-B1F5-46FA-ABC1-B8A86C074A66}"/>
    <cellStyle name="20% - Accent3 7 2 3 2 5" xfId="28658" xr:uid="{57BD1A26-9E5D-44E2-967D-CA90BE3BCDFC}"/>
    <cellStyle name="20% - Accent3 7 2 3 3" xfId="6557" xr:uid="{00000000-0005-0000-0000-00008C130000}"/>
    <cellStyle name="20% - Accent3 7 2 3 3 2" xfId="14529" xr:uid="{00000000-0005-0000-0000-00008D130000}"/>
    <cellStyle name="20% - Accent3 7 2 3 3 2 2" xfId="38372" xr:uid="{56E4CB60-4C25-4937-93FB-AEB2B38ADB27}"/>
    <cellStyle name="20% - Accent3 7 2 3 3 3" xfId="22476" xr:uid="{00000000-0005-0000-0000-00008E130000}"/>
    <cellStyle name="20% - Accent3 7 2 3 3 3 2" xfId="46309" xr:uid="{3CF5FC6A-1838-4379-895B-0EB3F3C6FA15}"/>
    <cellStyle name="20% - Accent3 7 2 3 3 4" xfId="30431" xr:uid="{B7754247-3441-4875-9A70-49E4DFCF9573}"/>
    <cellStyle name="20% - Accent3 7 2 3 4" xfId="10993" xr:uid="{00000000-0005-0000-0000-00008F130000}"/>
    <cellStyle name="20% - Accent3 7 2 3 4 2" xfId="34843" xr:uid="{94D1A584-DAA4-44E0-8F6B-CBC82BF2FB0B}"/>
    <cellStyle name="20% - Accent3 7 2 3 5" xfId="18948" xr:uid="{00000000-0005-0000-0000-000090130000}"/>
    <cellStyle name="20% - Accent3 7 2 3 5 2" xfId="42781" xr:uid="{319579C0-0378-498A-83AC-52A3885E19D4}"/>
    <cellStyle name="20% - Accent3 7 2 3 6" xfId="26901" xr:uid="{7C56C5FB-695A-4F92-BCC5-F497DE672CAA}"/>
    <cellStyle name="20% - Accent3 7 2 3_Exh G" xfId="2287" xr:uid="{00000000-0005-0000-0000-000091130000}"/>
    <cellStyle name="20% - Accent3 7 2 4" xfId="3846" xr:uid="{00000000-0005-0000-0000-000092130000}"/>
    <cellStyle name="20% - Accent3 7 2 4 2" xfId="7438" xr:uid="{00000000-0005-0000-0000-000093130000}"/>
    <cellStyle name="20% - Accent3 7 2 4 2 2" xfId="15409" xr:uid="{00000000-0005-0000-0000-000094130000}"/>
    <cellStyle name="20% - Accent3 7 2 4 2 2 2" xfId="39252" xr:uid="{461D92C7-B43B-4753-80D8-D2BB4CA88117}"/>
    <cellStyle name="20% - Accent3 7 2 4 2 3" xfId="23355" xr:uid="{00000000-0005-0000-0000-000095130000}"/>
    <cellStyle name="20% - Accent3 7 2 4 2 3 2" xfId="47188" xr:uid="{79CDED39-C01D-43DA-B9A6-F367662A51C1}"/>
    <cellStyle name="20% - Accent3 7 2 4 2 4" xfId="31311" xr:uid="{4EE5E472-5411-4285-B0EC-A3A744A6AE48}"/>
    <cellStyle name="20% - Accent3 7 2 4 3" xfId="11871" xr:uid="{00000000-0005-0000-0000-000096130000}"/>
    <cellStyle name="20% - Accent3 7 2 4 3 2" xfId="35721" xr:uid="{40FB5959-5F5C-4DC6-B8DA-702C33FF299A}"/>
    <cellStyle name="20% - Accent3 7 2 4 4" xfId="19826" xr:uid="{00000000-0005-0000-0000-000097130000}"/>
    <cellStyle name="20% - Accent3 7 2 4 4 2" xfId="43659" xr:uid="{D01B57C9-A511-46B9-B874-DD3DF5957597}"/>
    <cellStyle name="20% - Accent3 7 2 4 5" xfId="27780" xr:uid="{72F0AAC7-5950-4904-B097-6BBD9330B9DB}"/>
    <cellStyle name="20% - Accent3 7 2 5" xfId="5666" xr:uid="{00000000-0005-0000-0000-000098130000}"/>
    <cellStyle name="20% - Accent3 7 2 5 2" xfId="13650" xr:uid="{00000000-0005-0000-0000-000099130000}"/>
    <cellStyle name="20% - Accent3 7 2 5 2 2" xfId="37494" xr:uid="{FC3A77DA-91EF-4A80-8193-87F4ACAC45F8}"/>
    <cellStyle name="20% - Accent3 7 2 5 3" xfId="21598" xr:uid="{00000000-0005-0000-0000-00009A130000}"/>
    <cellStyle name="20% - Accent3 7 2 5 3 2" xfId="45431" xr:uid="{228FB966-7265-4750-8C65-8CA4E88A5801}"/>
    <cellStyle name="20% - Accent3 7 2 5 4" xfId="29553" xr:uid="{0BF5D4C0-690B-495D-8F78-CEA010203E5C}"/>
    <cellStyle name="20% - Accent3 7 2 6" xfId="9219" xr:uid="{00000000-0005-0000-0000-00009B130000}"/>
    <cellStyle name="20% - Accent3 7 2 6 2" xfId="17177" xr:uid="{00000000-0005-0000-0000-00009C130000}"/>
    <cellStyle name="20% - Accent3 7 2 6 2 2" xfId="41018" xr:uid="{EF9200CF-152C-40C8-A6E0-D4F468DD85DB}"/>
    <cellStyle name="20% - Accent3 7 2 6 3" xfId="25121" xr:uid="{00000000-0005-0000-0000-00009D130000}"/>
    <cellStyle name="20% - Accent3 7 2 6 3 2" xfId="48954" xr:uid="{F906FC2F-028E-4ADC-A154-804350BA6478}"/>
    <cellStyle name="20% - Accent3 7 2 6 4" xfId="33077" xr:uid="{EAD23473-0887-4287-B700-4A7F81B2ADCF}"/>
    <cellStyle name="20% - Accent3 7 2 7" xfId="10115" xr:uid="{00000000-0005-0000-0000-00009E130000}"/>
    <cellStyle name="20% - Accent3 7 2 7 2" xfId="33965" xr:uid="{EC33D501-8470-47FB-BBA8-3F38CC20602F}"/>
    <cellStyle name="20% - Accent3 7 2 8" xfId="18070" xr:uid="{00000000-0005-0000-0000-00009F130000}"/>
    <cellStyle name="20% - Accent3 7 2 8 2" xfId="41903" xr:uid="{0610D34E-9DAC-4E51-9BA5-11711E3C6D28}"/>
    <cellStyle name="20% - Accent3 7 2 9" xfId="26023" xr:uid="{30C09B04-F50D-4518-B268-8B92571F82D0}"/>
    <cellStyle name="20% - Accent3 7 2_Exh G" xfId="2284" xr:uid="{00000000-0005-0000-0000-0000A0130000}"/>
    <cellStyle name="20% - Accent3 7 3" xfId="169" xr:uid="{00000000-0005-0000-0000-0000A1130000}"/>
    <cellStyle name="20% - Accent3 7 3 2" xfId="1197" xr:uid="{00000000-0005-0000-0000-0000A2130000}"/>
    <cellStyle name="20% - Accent3 7 3 2 2" xfId="4727" xr:uid="{00000000-0005-0000-0000-0000A3130000}"/>
    <cellStyle name="20% - Accent3 7 3 2 2 2" xfId="8318" xr:uid="{00000000-0005-0000-0000-0000A4130000}"/>
    <cellStyle name="20% - Accent3 7 3 2 2 2 2" xfId="16289" xr:uid="{00000000-0005-0000-0000-0000A5130000}"/>
    <cellStyle name="20% - Accent3 7 3 2 2 2 2 2" xfId="40132" xr:uid="{49DF3DDC-4615-40D6-A2A4-60E5661BECC3}"/>
    <cellStyle name="20% - Accent3 7 3 2 2 2 3" xfId="24235" xr:uid="{00000000-0005-0000-0000-0000A6130000}"/>
    <cellStyle name="20% - Accent3 7 3 2 2 2 3 2" xfId="48068" xr:uid="{D4A1B62C-B5CB-41C4-B9A7-12B3980A3AB5}"/>
    <cellStyle name="20% - Accent3 7 3 2 2 2 4" xfId="32191" xr:uid="{6180084A-9001-4732-85D7-BFE1B5DAE6B9}"/>
    <cellStyle name="20% - Accent3 7 3 2 2 3" xfId="12751" xr:uid="{00000000-0005-0000-0000-0000A7130000}"/>
    <cellStyle name="20% - Accent3 7 3 2 2 3 2" xfId="36601" xr:uid="{EC2678B0-473A-4996-82B2-176725B1ABB9}"/>
    <cellStyle name="20% - Accent3 7 3 2 2 4" xfId="20706" xr:uid="{00000000-0005-0000-0000-0000A8130000}"/>
    <cellStyle name="20% - Accent3 7 3 2 2 4 2" xfId="44539" xr:uid="{4A6C7D7C-9FE6-4222-993B-2EDB38BE8374}"/>
    <cellStyle name="20% - Accent3 7 3 2 2 5" xfId="28660" xr:uid="{D82CABAE-2E17-41F1-AE39-C6EED35F7FE6}"/>
    <cellStyle name="20% - Accent3 7 3 2 3" xfId="6559" xr:uid="{00000000-0005-0000-0000-0000A9130000}"/>
    <cellStyle name="20% - Accent3 7 3 2 3 2" xfId="14531" xr:uid="{00000000-0005-0000-0000-0000AA130000}"/>
    <cellStyle name="20% - Accent3 7 3 2 3 2 2" xfId="38374" xr:uid="{924E0AF1-CFCB-446D-81AE-6F87D4143760}"/>
    <cellStyle name="20% - Accent3 7 3 2 3 3" xfId="22478" xr:uid="{00000000-0005-0000-0000-0000AB130000}"/>
    <cellStyle name="20% - Accent3 7 3 2 3 3 2" xfId="46311" xr:uid="{921732E2-1FE1-4FED-BFC0-9285CDE8268C}"/>
    <cellStyle name="20% - Accent3 7 3 2 3 4" xfId="30433" xr:uid="{2E22C18E-E6D8-47B7-AE7A-3A52FBA200AA}"/>
    <cellStyle name="20% - Accent3 7 3 2 4" xfId="10995" xr:uid="{00000000-0005-0000-0000-0000AC130000}"/>
    <cellStyle name="20% - Accent3 7 3 2 4 2" xfId="34845" xr:uid="{39CD203B-52AC-4CB9-8919-0973FD594106}"/>
    <cellStyle name="20% - Accent3 7 3 2 5" xfId="18950" xr:uid="{00000000-0005-0000-0000-0000AD130000}"/>
    <cellStyle name="20% - Accent3 7 3 2 5 2" xfId="42783" xr:uid="{D74CAF11-2B82-4D0E-B682-F7BB59CA6FD7}"/>
    <cellStyle name="20% - Accent3 7 3 2 6" xfId="26903" xr:uid="{2AC48844-D90F-4CD3-A3FF-E760E586AE65}"/>
    <cellStyle name="20% - Accent3 7 3 2_Exh G" xfId="2289" xr:uid="{00000000-0005-0000-0000-0000AE130000}"/>
    <cellStyle name="20% - Accent3 7 3 3" xfId="3848" xr:uid="{00000000-0005-0000-0000-0000AF130000}"/>
    <cellStyle name="20% - Accent3 7 3 3 2" xfId="7440" xr:uid="{00000000-0005-0000-0000-0000B0130000}"/>
    <cellStyle name="20% - Accent3 7 3 3 2 2" xfId="15411" xr:uid="{00000000-0005-0000-0000-0000B1130000}"/>
    <cellStyle name="20% - Accent3 7 3 3 2 2 2" xfId="39254" xr:uid="{50A88FC9-D1A9-404D-AF27-B2C117A18B15}"/>
    <cellStyle name="20% - Accent3 7 3 3 2 3" xfId="23357" xr:uid="{00000000-0005-0000-0000-0000B2130000}"/>
    <cellStyle name="20% - Accent3 7 3 3 2 3 2" xfId="47190" xr:uid="{93D371E3-D9EA-462F-BAB1-0A780AA13649}"/>
    <cellStyle name="20% - Accent3 7 3 3 2 4" xfId="31313" xr:uid="{4EBA155D-027A-48D9-93AA-17377D077CD5}"/>
    <cellStyle name="20% - Accent3 7 3 3 3" xfId="11873" xr:uid="{00000000-0005-0000-0000-0000B3130000}"/>
    <cellStyle name="20% - Accent3 7 3 3 3 2" xfId="35723" xr:uid="{F2ECD777-8A5F-4906-91EC-63D2FA04C54D}"/>
    <cellStyle name="20% - Accent3 7 3 3 4" xfId="19828" xr:uid="{00000000-0005-0000-0000-0000B4130000}"/>
    <cellStyle name="20% - Accent3 7 3 3 4 2" xfId="43661" xr:uid="{0B94676C-4E5D-41A5-8BA2-08F426F5B85B}"/>
    <cellStyle name="20% - Accent3 7 3 3 5" xfId="27782" xr:uid="{45DFC9DC-86F9-474A-A898-57D3F29FB37B}"/>
    <cellStyle name="20% - Accent3 7 3 4" xfId="5668" xr:uid="{00000000-0005-0000-0000-0000B5130000}"/>
    <cellStyle name="20% - Accent3 7 3 4 2" xfId="13652" xr:uid="{00000000-0005-0000-0000-0000B6130000}"/>
    <cellStyle name="20% - Accent3 7 3 4 2 2" xfId="37496" xr:uid="{FD842B16-E367-4C0C-B7EB-B1CA92A54507}"/>
    <cellStyle name="20% - Accent3 7 3 4 3" xfId="21600" xr:uid="{00000000-0005-0000-0000-0000B7130000}"/>
    <cellStyle name="20% - Accent3 7 3 4 3 2" xfId="45433" xr:uid="{BA124305-F364-48F3-954E-991F5A80D348}"/>
    <cellStyle name="20% - Accent3 7 3 4 4" xfId="29555" xr:uid="{1ECC4119-5E87-4FB1-8D9C-D4B71377348B}"/>
    <cellStyle name="20% - Accent3 7 3 5" xfId="9221" xr:uid="{00000000-0005-0000-0000-0000B8130000}"/>
    <cellStyle name="20% - Accent3 7 3 5 2" xfId="17179" xr:uid="{00000000-0005-0000-0000-0000B9130000}"/>
    <cellStyle name="20% - Accent3 7 3 5 2 2" xfId="41020" xr:uid="{6F4CB018-D422-4CC9-A7BA-36E622159B45}"/>
    <cellStyle name="20% - Accent3 7 3 5 3" xfId="25123" xr:uid="{00000000-0005-0000-0000-0000BA130000}"/>
    <cellStyle name="20% - Accent3 7 3 5 3 2" xfId="48956" xr:uid="{9A40AC0B-BD5B-4F13-B4B6-EB47B25F1478}"/>
    <cellStyle name="20% - Accent3 7 3 5 4" xfId="33079" xr:uid="{CB6D54F8-4C82-4A28-BD16-FF8EEFCD6E02}"/>
    <cellStyle name="20% - Accent3 7 3 6" xfId="10117" xr:uid="{00000000-0005-0000-0000-0000BB130000}"/>
    <cellStyle name="20% - Accent3 7 3 6 2" xfId="33967" xr:uid="{842AD810-BE2E-4F5E-8DAE-65C893551649}"/>
    <cellStyle name="20% - Accent3 7 3 7" xfId="18072" xr:uid="{00000000-0005-0000-0000-0000BC130000}"/>
    <cellStyle name="20% - Accent3 7 3 7 2" xfId="41905" xr:uid="{C29EF8B6-C0E2-4EBB-A160-39AC9C654752}"/>
    <cellStyle name="20% - Accent3 7 3 8" xfId="26025" xr:uid="{E4A68BB0-80AE-4D1E-8BFF-683D8F9A3F4D}"/>
    <cellStyle name="20% - Accent3 7 3_Exh G" xfId="2288" xr:uid="{00000000-0005-0000-0000-0000BD130000}"/>
    <cellStyle name="20% - Accent3 7 4" xfId="895" xr:uid="{00000000-0005-0000-0000-0000BE130000}"/>
    <cellStyle name="20% - Accent3 7 4 2" xfId="1826" xr:uid="{00000000-0005-0000-0000-0000BF130000}"/>
    <cellStyle name="20% - Accent3 7 4 2 2" xfId="5344" xr:uid="{00000000-0005-0000-0000-0000C0130000}"/>
    <cellStyle name="20% - Accent3 7 4 2 2 2" xfId="8935" xr:uid="{00000000-0005-0000-0000-0000C1130000}"/>
    <cellStyle name="20% - Accent3 7 4 2 2 2 2" xfId="16906" xr:uid="{00000000-0005-0000-0000-0000C2130000}"/>
    <cellStyle name="20% - Accent3 7 4 2 2 2 2 2" xfId="40749" xr:uid="{5F645265-05CF-4A68-8810-3B6216908D44}"/>
    <cellStyle name="20% - Accent3 7 4 2 2 2 3" xfId="24852" xr:uid="{00000000-0005-0000-0000-0000C3130000}"/>
    <cellStyle name="20% - Accent3 7 4 2 2 2 3 2" xfId="48685" xr:uid="{0C37DB2E-D917-4B15-9C3B-509DA5C4D55F}"/>
    <cellStyle name="20% - Accent3 7 4 2 2 2 4" xfId="32808" xr:uid="{94C12CE1-DE5B-4CE7-AF3D-8D20D2772875}"/>
    <cellStyle name="20% - Accent3 7 4 2 2 3" xfId="13368" xr:uid="{00000000-0005-0000-0000-0000C4130000}"/>
    <cellStyle name="20% - Accent3 7 4 2 2 3 2" xfId="37218" xr:uid="{DD3E484B-A7A9-465E-9B1F-CFE34860AF30}"/>
    <cellStyle name="20% - Accent3 7 4 2 2 4" xfId="21323" xr:uid="{00000000-0005-0000-0000-0000C5130000}"/>
    <cellStyle name="20% - Accent3 7 4 2 2 4 2" xfId="45156" xr:uid="{BB1ACC08-9089-458D-8639-5486DDFA134E}"/>
    <cellStyle name="20% - Accent3 7 4 2 2 5" xfId="29277" xr:uid="{4BAD837F-A10D-4A60-9BAC-E3A58902B459}"/>
    <cellStyle name="20% - Accent3 7 4 2 3" xfId="7176" xr:uid="{00000000-0005-0000-0000-0000C6130000}"/>
    <cellStyle name="20% - Accent3 7 4 2 3 2" xfId="15148" xr:uid="{00000000-0005-0000-0000-0000C7130000}"/>
    <cellStyle name="20% - Accent3 7 4 2 3 2 2" xfId="38991" xr:uid="{A6683123-AF87-44A4-8B72-E0A7F43C96F9}"/>
    <cellStyle name="20% - Accent3 7 4 2 3 3" xfId="23095" xr:uid="{00000000-0005-0000-0000-0000C8130000}"/>
    <cellStyle name="20% - Accent3 7 4 2 3 3 2" xfId="46928" xr:uid="{540D06D1-3860-462A-A76D-8ED864EE5196}"/>
    <cellStyle name="20% - Accent3 7 4 2 3 4" xfId="31050" xr:uid="{BDC474D2-2ABF-45AF-9AD9-75F3B309205C}"/>
    <cellStyle name="20% - Accent3 7 4 2 4" xfId="11612" xr:uid="{00000000-0005-0000-0000-0000C9130000}"/>
    <cellStyle name="20% - Accent3 7 4 2 4 2" xfId="35462" xr:uid="{937DA7BB-964E-4EBD-B1CF-14F1B57C23AF}"/>
    <cellStyle name="20% - Accent3 7 4 2 5" xfId="19567" xr:uid="{00000000-0005-0000-0000-0000CA130000}"/>
    <cellStyle name="20% - Accent3 7 4 2 5 2" xfId="43400" xr:uid="{E920D772-4A17-47E5-8106-156A3CB3673B}"/>
    <cellStyle name="20% - Accent3 7 4 2 6" xfId="27520" xr:uid="{701EE697-A15B-42DE-A56B-3265E75C5033}"/>
    <cellStyle name="20% - Accent3 7 4 2_Exh G" xfId="2291" xr:uid="{00000000-0005-0000-0000-0000CB130000}"/>
    <cellStyle name="20% - Accent3 7 4 3" xfId="4465" xr:uid="{00000000-0005-0000-0000-0000CC130000}"/>
    <cellStyle name="20% - Accent3 7 4 3 2" xfId="8057" xr:uid="{00000000-0005-0000-0000-0000CD130000}"/>
    <cellStyle name="20% - Accent3 7 4 3 2 2" xfId="16028" xr:uid="{00000000-0005-0000-0000-0000CE130000}"/>
    <cellStyle name="20% - Accent3 7 4 3 2 2 2" xfId="39871" xr:uid="{D05149C4-C463-4125-8DB2-23764D12B971}"/>
    <cellStyle name="20% - Accent3 7 4 3 2 3" xfId="23974" xr:uid="{00000000-0005-0000-0000-0000CF130000}"/>
    <cellStyle name="20% - Accent3 7 4 3 2 3 2" xfId="47807" xr:uid="{446EFB47-C3C3-4FDA-86DA-2715123D1461}"/>
    <cellStyle name="20% - Accent3 7 4 3 2 4" xfId="31930" xr:uid="{81AC562A-B9AE-4850-91CB-ADA400531EEF}"/>
    <cellStyle name="20% - Accent3 7 4 3 3" xfId="12490" xr:uid="{00000000-0005-0000-0000-0000D0130000}"/>
    <cellStyle name="20% - Accent3 7 4 3 3 2" xfId="36340" xr:uid="{69D6BBA0-6575-484C-9918-309EEC371047}"/>
    <cellStyle name="20% - Accent3 7 4 3 4" xfId="20445" xr:uid="{00000000-0005-0000-0000-0000D1130000}"/>
    <cellStyle name="20% - Accent3 7 4 3 4 2" xfId="44278" xr:uid="{E15C6469-0945-4F43-8A4C-AE5B12F2521A}"/>
    <cellStyle name="20% - Accent3 7 4 3 5" xfId="28399" xr:uid="{8602E8DE-F43D-49D1-9882-ED0A04552294}"/>
    <cellStyle name="20% - Accent3 7 4 4" xfId="6295" xr:uid="{00000000-0005-0000-0000-0000D2130000}"/>
    <cellStyle name="20% - Accent3 7 4 4 2" xfId="14270" xr:uid="{00000000-0005-0000-0000-0000D3130000}"/>
    <cellStyle name="20% - Accent3 7 4 4 2 2" xfId="38113" xr:uid="{92D9C13B-C442-460C-A167-B3A65FCB022F}"/>
    <cellStyle name="20% - Accent3 7 4 4 3" xfId="22217" xr:uid="{00000000-0005-0000-0000-0000D4130000}"/>
    <cellStyle name="20% - Accent3 7 4 4 3 2" xfId="46050" xr:uid="{C95FF1F8-A3FE-45AD-A034-6637D3C09EDD}"/>
    <cellStyle name="20% - Accent3 7 4 4 4" xfId="30172" xr:uid="{9CB78339-164B-499B-BC86-0D5A9AF87B8B}"/>
    <cellStyle name="20% - Accent3 7 4 5" xfId="9838" xr:uid="{00000000-0005-0000-0000-0000D5130000}"/>
    <cellStyle name="20% - Accent3 7 4 5 2" xfId="17796" xr:uid="{00000000-0005-0000-0000-0000D6130000}"/>
    <cellStyle name="20% - Accent3 7 4 5 2 2" xfId="41637" xr:uid="{97BF39B3-AE2B-4D9F-937E-9DD3152F4651}"/>
    <cellStyle name="20% - Accent3 7 4 5 3" xfId="25740" xr:uid="{00000000-0005-0000-0000-0000D7130000}"/>
    <cellStyle name="20% - Accent3 7 4 5 3 2" xfId="49573" xr:uid="{54D45E0F-27D2-4611-A651-1AB791E9ECAE}"/>
    <cellStyle name="20% - Accent3 7 4 5 4" xfId="33696" xr:uid="{D7D359F7-8DB2-4BD4-91D2-AEB44CFD26E5}"/>
    <cellStyle name="20% - Accent3 7 4 6" xfId="10734" xr:uid="{00000000-0005-0000-0000-0000D8130000}"/>
    <cellStyle name="20% - Accent3 7 4 6 2" xfId="34584" xr:uid="{2D028E63-9DC0-4ADF-93C6-295D2B44BBE9}"/>
    <cellStyle name="20% - Accent3 7 4 7" xfId="18689" xr:uid="{00000000-0005-0000-0000-0000D9130000}"/>
    <cellStyle name="20% - Accent3 7 4 7 2" xfId="42522" xr:uid="{1EDE052E-07BF-460C-B1B3-9E1513508E14}"/>
    <cellStyle name="20% - Accent3 7 4 8" xfId="26642" xr:uid="{1B4BF223-F88D-43CA-8337-2CBB3060D91B}"/>
    <cellStyle name="20% - Accent3 7 4_Exh G" xfId="2290" xr:uid="{00000000-0005-0000-0000-0000DA130000}"/>
    <cellStyle name="20% - Accent3 7 5" xfId="1194" xr:uid="{00000000-0005-0000-0000-0000DB130000}"/>
    <cellStyle name="20% - Accent3 7 5 2" xfId="4724" xr:uid="{00000000-0005-0000-0000-0000DC130000}"/>
    <cellStyle name="20% - Accent3 7 5 2 2" xfId="8315" xr:uid="{00000000-0005-0000-0000-0000DD130000}"/>
    <cellStyle name="20% - Accent3 7 5 2 2 2" xfId="16286" xr:uid="{00000000-0005-0000-0000-0000DE130000}"/>
    <cellStyle name="20% - Accent3 7 5 2 2 2 2" xfId="40129" xr:uid="{F78D6361-555F-4205-A625-674401489264}"/>
    <cellStyle name="20% - Accent3 7 5 2 2 3" xfId="24232" xr:uid="{00000000-0005-0000-0000-0000DF130000}"/>
    <cellStyle name="20% - Accent3 7 5 2 2 3 2" xfId="48065" xr:uid="{2FFF001D-18CC-4C6A-A69D-3D4A0241DFEB}"/>
    <cellStyle name="20% - Accent3 7 5 2 2 4" xfId="32188" xr:uid="{C6EC2FF8-3574-45DD-8089-48AA919C5643}"/>
    <cellStyle name="20% - Accent3 7 5 2 3" xfId="12748" xr:uid="{00000000-0005-0000-0000-0000E0130000}"/>
    <cellStyle name="20% - Accent3 7 5 2 3 2" xfId="36598" xr:uid="{5F3574FE-4541-4268-932B-26D1C2DA64D2}"/>
    <cellStyle name="20% - Accent3 7 5 2 4" xfId="20703" xr:uid="{00000000-0005-0000-0000-0000E1130000}"/>
    <cellStyle name="20% - Accent3 7 5 2 4 2" xfId="44536" xr:uid="{6059BE15-A111-4B9B-AD6D-C7D7AC5A4D53}"/>
    <cellStyle name="20% - Accent3 7 5 2 5" xfId="28657" xr:uid="{7201A579-9B2E-4099-93AE-1D230B4D3C4A}"/>
    <cellStyle name="20% - Accent3 7 5 3" xfId="6556" xr:uid="{00000000-0005-0000-0000-0000E2130000}"/>
    <cellStyle name="20% - Accent3 7 5 3 2" xfId="14528" xr:uid="{00000000-0005-0000-0000-0000E3130000}"/>
    <cellStyle name="20% - Accent3 7 5 3 2 2" xfId="38371" xr:uid="{C9A4A13D-3167-4D16-946A-783EFEBAA5A4}"/>
    <cellStyle name="20% - Accent3 7 5 3 3" xfId="22475" xr:uid="{00000000-0005-0000-0000-0000E4130000}"/>
    <cellStyle name="20% - Accent3 7 5 3 3 2" xfId="46308" xr:uid="{069EEED1-6CD5-42A9-9AB8-9E1D9FFD940D}"/>
    <cellStyle name="20% - Accent3 7 5 3 4" xfId="30430" xr:uid="{34DFEF2E-B1F8-4AA1-8F85-B4E8EB4E2D69}"/>
    <cellStyle name="20% - Accent3 7 5 4" xfId="10992" xr:uid="{00000000-0005-0000-0000-0000E5130000}"/>
    <cellStyle name="20% - Accent3 7 5 4 2" xfId="34842" xr:uid="{FEDE30B2-5325-4DAA-850C-B33AE8EC8E34}"/>
    <cellStyle name="20% - Accent3 7 5 5" xfId="18947" xr:uid="{00000000-0005-0000-0000-0000E6130000}"/>
    <cellStyle name="20% - Accent3 7 5 5 2" xfId="42780" xr:uid="{5D45007C-5BB1-46F3-88CD-C1D12E61714A}"/>
    <cellStyle name="20% - Accent3 7 5 6" xfId="26900" xr:uid="{56DA7C44-4FA4-49D0-B2F7-E39C71CEF373}"/>
    <cellStyle name="20% - Accent3 7 5_Exh G" xfId="2292" xr:uid="{00000000-0005-0000-0000-0000E7130000}"/>
    <cellStyle name="20% - Accent3 7 6" xfId="3845" xr:uid="{00000000-0005-0000-0000-0000E8130000}"/>
    <cellStyle name="20% - Accent3 7 6 2" xfId="7437" xr:uid="{00000000-0005-0000-0000-0000E9130000}"/>
    <cellStyle name="20% - Accent3 7 6 2 2" xfId="15408" xr:uid="{00000000-0005-0000-0000-0000EA130000}"/>
    <cellStyle name="20% - Accent3 7 6 2 2 2" xfId="39251" xr:uid="{3D767813-CF09-4A65-ADEC-A375DE8D5AAA}"/>
    <cellStyle name="20% - Accent3 7 6 2 3" xfId="23354" xr:uid="{00000000-0005-0000-0000-0000EB130000}"/>
    <cellStyle name="20% - Accent3 7 6 2 3 2" xfId="47187" xr:uid="{16BA5675-FEF9-4201-84DE-6ADD8AACA34E}"/>
    <cellStyle name="20% - Accent3 7 6 2 4" xfId="31310" xr:uid="{10D39963-D604-41BE-B105-0C1D334BD1F4}"/>
    <cellStyle name="20% - Accent3 7 6 3" xfId="11870" xr:uid="{00000000-0005-0000-0000-0000EC130000}"/>
    <cellStyle name="20% - Accent3 7 6 3 2" xfId="35720" xr:uid="{AB2713B3-4A8C-450E-90F2-62FF1D9C25F4}"/>
    <cellStyle name="20% - Accent3 7 6 4" xfId="19825" xr:uid="{00000000-0005-0000-0000-0000ED130000}"/>
    <cellStyle name="20% - Accent3 7 6 4 2" xfId="43658" xr:uid="{BC24D900-8DE2-4123-9E93-D577CE0DEB7F}"/>
    <cellStyle name="20% - Accent3 7 6 5" xfId="27779" xr:uid="{EA9B0F03-9B84-466E-AF24-27DDA138390F}"/>
    <cellStyle name="20% - Accent3 7 7" xfId="5665" xr:uid="{00000000-0005-0000-0000-0000EE130000}"/>
    <cellStyle name="20% - Accent3 7 7 2" xfId="13649" xr:uid="{00000000-0005-0000-0000-0000EF130000}"/>
    <cellStyle name="20% - Accent3 7 7 2 2" xfId="37493" xr:uid="{2ADD237D-C75D-462E-BD72-44C13C91F3D3}"/>
    <cellStyle name="20% - Accent3 7 7 3" xfId="21597" xr:uid="{00000000-0005-0000-0000-0000F0130000}"/>
    <cellStyle name="20% - Accent3 7 7 3 2" xfId="45430" xr:uid="{63AF88B8-2190-4922-8DD5-9589546F2E86}"/>
    <cellStyle name="20% - Accent3 7 7 4" xfId="29552" xr:uid="{54B8B3B0-28D6-479C-AE57-BAB4874210F2}"/>
    <cellStyle name="20% - Accent3 7 8" xfId="9218" xr:uid="{00000000-0005-0000-0000-0000F1130000}"/>
    <cellStyle name="20% - Accent3 7 8 2" xfId="17176" xr:uid="{00000000-0005-0000-0000-0000F2130000}"/>
    <cellStyle name="20% - Accent3 7 8 2 2" xfId="41017" xr:uid="{F71F9E40-F842-44E6-812D-254731F5F6FE}"/>
    <cellStyle name="20% - Accent3 7 8 3" xfId="25120" xr:uid="{00000000-0005-0000-0000-0000F3130000}"/>
    <cellStyle name="20% - Accent3 7 8 3 2" xfId="48953" xr:uid="{04D6253A-E0FF-4D2D-B751-80F41BB37960}"/>
    <cellStyle name="20% - Accent3 7 8 4" xfId="33076" xr:uid="{607917E9-D9CF-4C3D-B3DB-0BF96F33FDD1}"/>
    <cellStyle name="20% - Accent3 7 9" xfId="10114" xr:uid="{00000000-0005-0000-0000-0000F4130000}"/>
    <cellStyle name="20% - Accent3 7 9 2" xfId="33964" xr:uid="{62BB0912-F955-47CA-8157-A1B7FC9E5F54}"/>
    <cellStyle name="20% - Accent3 7_Exh G" xfId="2283" xr:uid="{00000000-0005-0000-0000-0000F5130000}"/>
    <cellStyle name="20% - Accent3 8" xfId="170" xr:uid="{00000000-0005-0000-0000-0000F6130000}"/>
    <cellStyle name="20% - Accent3 8 10" xfId="18073" xr:uid="{00000000-0005-0000-0000-0000F7130000}"/>
    <cellStyle name="20% - Accent3 8 10 2" xfId="41906" xr:uid="{639EB1AC-FCF6-4B5F-B705-FF9E276A534D}"/>
    <cellStyle name="20% - Accent3 8 11" xfId="26026" xr:uid="{301175D6-87C6-4B3C-855B-8DE9A1C69ECC}"/>
    <cellStyle name="20% - Accent3 8 2" xfId="171" xr:uid="{00000000-0005-0000-0000-0000F8130000}"/>
    <cellStyle name="20% - Accent3 8 2 2" xfId="172" xr:uid="{00000000-0005-0000-0000-0000F9130000}"/>
    <cellStyle name="20% - Accent3 8 2 2 2" xfId="1200" xr:uid="{00000000-0005-0000-0000-0000FA130000}"/>
    <cellStyle name="20% - Accent3 8 2 2 2 2" xfId="4730" xr:uid="{00000000-0005-0000-0000-0000FB130000}"/>
    <cellStyle name="20% - Accent3 8 2 2 2 2 2" xfId="8321" xr:uid="{00000000-0005-0000-0000-0000FC130000}"/>
    <cellStyle name="20% - Accent3 8 2 2 2 2 2 2" xfId="16292" xr:uid="{00000000-0005-0000-0000-0000FD130000}"/>
    <cellStyle name="20% - Accent3 8 2 2 2 2 2 2 2" xfId="40135" xr:uid="{8E1F8DA1-8386-4F20-8743-BA7F7979EE33}"/>
    <cellStyle name="20% - Accent3 8 2 2 2 2 2 3" xfId="24238" xr:uid="{00000000-0005-0000-0000-0000FE130000}"/>
    <cellStyle name="20% - Accent3 8 2 2 2 2 2 3 2" xfId="48071" xr:uid="{94E71E54-3E23-46B8-9D22-ECEC87138A43}"/>
    <cellStyle name="20% - Accent3 8 2 2 2 2 2 4" xfId="32194" xr:uid="{57232EF1-603B-403D-8E21-62FE68C85A2E}"/>
    <cellStyle name="20% - Accent3 8 2 2 2 2 3" xfId="12754" xr:uid="{00000000-0005-0000-0000-0000FF130000}"/>
    <cellStyle name="20% - Accent3 8 2 2 2 2 3 2" xfId="36604" xr:uid="{98C71943-1B79-47E8-9C98-6B9C038E7D4F}"/>
    <cellStyle name="20% - Accent3 8 2 2 2 2 4" xfId="20709" xr:uid="{00000000-0005-0000-0000-000000140000}"/>
    <cellStyle name="20% - Accent3 8 2 2 2 2 4 2" xfId="44542" xr:uid="{3BE2E2E6-1D45-477A-8385-472866E3F546}"/>
    <cellStyle name="20% - Accent3 8 2 2 2 2 5" xfId="28663" xr:uid="{B163DFBD-384C-4F85-98D7-AA3E57D7C177}"/>
    <cellStyle name="20% - Accent3 8 2 2 2 3" xfId="6562" xr:uid="{00000000-0005-0000-0000-000001140000}"/>
    <cellStyle name="20% - Accent3 8 2 2 2 3 2" xfId="14534" xr:uid="{00000000-0005-0000-0000-000002140000}"/>
    <cellStyle name="20% - Accent3 8 2 2 2 3 2 2" xfId="38377" xr:uid="{0CA3BD70-78CD-40F8-8BE6-C664B4CA7780}"/>
    <cellStyle name="20% - Accent3 8 2 2 2 3 3" xfId="22481" xr:uid="{00000000-0005-0000-0000-000003140000}"/>
    <cellStyle name="20% - Accent3 8 2 2 2 3 3 2" xfId="46314" xr:uid="{1634DB4D-9BCE-429F-A4B8-DD84072838E0}"/>
    <cellStyle name="20% - Accent3 8 2 2 2 3 4" xfId="30436" xr:uid="{C9D6326F-6CF8-4804-8437-6563EA0AEBCA}"/>
    <cellStyle name="20% - Accent3 8 2 2 2 4" xfId="10998" xr:uid="{00000000-0005-0000-0000-000004140000}"/>
    <cellStyle name="20% - Accent3 8 2 2 2 4 2" xfId="34848" xr:uid="{3806F7F0-1070-43F8-B1AE-C7CE4CB13F33}"/>
    <cellStyle name="20% - Accent3 8 2 2 2 5" xfId="18953" xr:uid="{00000000-0005-0000-0000-000005140000}"/>
    <cellStyle name="20% - Accent3 8 2 2 2 5 2" xfId="42786" xr:uid="{E43C762D-56C1-40FF-9946-745E438F891B}"/>
    <cellStyle name="20% - Accent3 8 2 2 2 6" xfId="26906" xr:uid="{C07E4C61-3103-40D6-97AC-170BFF603362}"/>
    <cellStyle name="20% - Accent3 8 2 2 2_Exh G" xfId="2296" xr:uid="{00000000-0005-0000-0000-000006140000}"/>
    <cellStyle name="20% - Accent3 8 2 2 3" xfId="3851" xr:uid="{00000000-0005-0000-0000-000007140000}"/>
    <cellStyle name="20% - Accent3 8 2 2 3 2" xfId="7443" xr:uid="{00000000-0005-0000-0000-000008140000}"/>
    <cellStyle name="20% - Accent3 8 2 2 3 2 2" xfId="15414" xr:uid="{00000000-0005-0000-0000-000009140000}"/>
    <cellStyle name="20% - Accent3 8 2 2 3 2 2 2" xfId="39257" xr:uid="{BE9ACD02-0DE9-449C-A9B0-2EFBC03D2A6E}"/>
    <cellStyle name="20% - Accent3 8 2 2 3 2 3" xfId="23360" xr:uid="{00000000-0005-0000-0000-00000A140000}"/>
    <cellStyle name="20% - Accent3 8 2 2 3 2 3 2" xfId="47193" xr:uid="{8D1B42FB-6C15-41BB-9E57-63A9DF820ED0}"/>
    <cellStyle name="20% - Accent3 8 2 2 3 2 4" xfId="31316" xr:uid="{7AA8CB37-00D2-44D1-A7B4-7FFB32392DA6}"/>
    <cellStyle name="20% - Accent3 8 2 2 3 3" xfId="11876" xr:uid="{00000000-0005-0000-0000-00000B140000}"/>
    <cellStyle name="20% - Accent3 8 2 2 3 3 2" xfId="35726" xr:uid="{260F1FEB-D401-4D07-B90B-F408FB7A6813}"/>
    <cellStyle name="20% - Accent3 8 2 2 3 4" xfId="19831" xr:uid="{00000000-0005-0000-0000-00000C140000}"/>
    <cellStyle name="20% - Accent3 8 2 2 3 4 2" xfId="43664" xr:uid="{3E892235-7CFB-4DD0-BB0E-12EB3432D4DC}"/>
    <cellStyle name="20% - Accent3 8 2 2 3 5" xfId="27785" xr:uid="{53C44E91-A091-4B92-8DDE-F71CBFD133A4}"/>
    <cellStyle name="20% - Accent3 8 2 2 4" xfId="5671" xr:uid="{00000000-0005-0000-0000-00000D140000}"/>
    <cellStyle name="20% - Accent3 8 2 2 4 2" xfId="13655" xr:uid="{00000000-0005-0000-0000-00000E140000}"/>
    <cellStyle name="20% - Accent3 8 2 2 4 2 2" xfId="37499" xr:uid="{3A53EF5B-BAFE-462F-BE4A-4F49D37DD6C0}"/>
    <cellStyle name="20% - Accent3 8 2 2 4 3" xfId="21603" xr:uid="{00000000-0005-0000-0000-00000F140000}"/>
    <cellStyle name="20% - Accent3 8 2 2 4 3 2" xfId="45436" xr:uid="{EF4CFDEE-651B-457D-9366-50754D735D70}"/>
    <cellStyle name="20% - Accent3 8 2 2 4 4" xfId="29558" xr:uid="{984E6F96-58F6-4DB0-A39C-A18057C84A7F}"/>
    <cellStyle name="20% - Accent3 8 2 2 5" xfId="9224" xr:uid="{00000000-0005-0000-0000-000010140000}"/>
    <cellStyle name="20% - Accent3 8 2 2 5 2" xfId="17182" xr:uid="{00000000-0005-0000-0000-000011140000}"/>
    <cellStyle name="20% - Accent3 8 2 2 5 2 2" xfId="41023" xr:uid="{E8FECC2C-7A1D-4817-95D2-1186CA6AF865}"/>
    <cellStyle name="20% - Accent3 8 2 2 5 3" xfId="25126" xr:uid="{00000000-0005-0000-0000-000012140000}"/>
    <cellStyle name="20% - Accent3 8 2 2 5 3 2" xfId="48959" xr:uid="{8210BE30-C0AA-4609-98E7-CADC99C2213C}"/>
    <cellStyle name="20% - Accent3 8 2 2 5 4" xfId="33082" xr:uid="{18756C93-6CF4-4BEB-9A06-7E4D7B142079}"/>
    <cellStyle name="20% - Accent3 8 2 2 6" xfId="10120" xr:uid="{00000000-0005-0000-0000-000013140000}"/>
    <cellStyle name="20% - Accent3 8 2 2 6 2" xfId="33970" xr:uid="{DF198CC5-AA54-4E90-AD40-194A4F672874}"/>
    <cellStyle name="20% - Accent3 8 2 2 7" xfId="18075" xr:uid="{00000000-0005-0000-0000-000014140000}"/>
    <cellStyle name="20% - Accent3 8 2 2 7 2" xfId="41908" xr:uid="{9B6EB26F-C30F-4CAF-B632-47AEC536E3FF}"/>
    <cellStyle name="20% - Accent3 8 2 2 8" xfId="26028" xr:uid="{BC872FCF-A296-4A51-B48B-F2F16B973335}"/>
    <cellStyle name="20% - Accent3 8 2 2_Exh G" xfId="2295" xr:uid="{00000000-0005-0000-0000-000015140000}"/>
    <cellStyle name="20% - Accent3 8 2 3" xfId="1199" xr:uid="{00000000-0005-0000-0000-000016140000}"/>
    <cellStyle name="20% - Accent3 8 2 3 2" xfId="4729" xr:uid="{00000000-0005-0000-0000-000017140000}"/>
    <cellStyle name="20% - Accent3 8 2 3 2 2" xfId="8320" xr:uid="{00000000-0005-0000-0000-000018140000}"/>
    <cellStyle name="20% - Accent3 8 2 3 2 2 2" xfId="16291" xr:uid="{00000000-0005-0000-0000-000019140000}"/>
    <cellStyle name="20% - Accent3 8 2 3 2 2 2 2" xfId="40134" xr:uid="{6A3DB609-D03B-4E84-8624-398FA997FCF9}"/>
    <cellStyle name="20% - Accent3 8 2 3 2 2 3" xfId="24237" xr:uid="{00000000-0005-0000-0000-00001A140000}"/>
    <cellStyle name="20% - Accent3 8 2 3 2 2 3 2" xfId="48070" xr:uid="{1D870528-45DB-4E4B-BA43-E8294422B1EA}"/>
    <cellStyle name="20% - Accent3 8 2 3 2 2 4" xfId="32193" xr:uid="{DEB69800-F089-45A8-ADE8-0F73D9B550C9}"/>
    <cellStyle name="20% - Accent3 8 2 3 2 3" xfId="12753" xr:uid="{00000000-0005-0000-0000-00001B140000}"/>
    <cellStyle name="20% - Accent3 8 2 3 2 3 2" xfId="36603" xr:uid="{82536CDD-69E1-4887-9FBB-71C2920DA517}"/>
    <cellStyle name="20% - Accent3 8 2 3 2 4" xfId="20708" xr:uid="{00000000-0005-0000-0000-00001C140000}"/>
    <cellStyle name="20% - Accent3 8 2 3 2 4 2" xfId="44541" xr:uid="{3B0905F0-8F2A-4D3D-B3F9-0E2D9F327FB4}"/>
    <cellStyle name="20% - Accent3 8 2 3 2 5" xfId="28662" xr:uid="{971BB298-BCB8-4A22-A3F9-143056608C21}"/>
    <cellStyle name="20% - Accent3 8 2 3 3" xfId="6561" xr:uid="{00000000-0005-0000-0000-00001D140000}"/>
    <cellStyle name="20% - Accent3 8 2 3 3 2" xfId="14533" xr:uid="{00000000-0005-0000-0000-00001E140000}"/>
    <cellStyle name="20% - Accent3 8 2 3 3 2 2" xfId="38376" xr:uid="{776D3CB8-559D-4B53-AA7D-D9E9FDFA3000}"/>
    <cellStyle name="20% - Accent3 8 2 3 3 3" xfId="22480" xr:uid="{00000000-0005-0000-0000-00001F140000}"/>
    <cellStyle name="20% - Accent3 8 2 3 3 3 2" xfId="46313" xr:uid="{DE66646B-EE45-4E83-B5CF-8B000A541EBA}"/>
    <cellStyle name="20% - Accent3 8 2 3 3 4" xfId="30435" xr:uid="{BCC4085B-D91B-407B-ABE9-6E8609F55861}"/>
    <cellStyle name="20% - Accent3 8 2 3 4" xfId="10997" xr:uid="{00000000-0005-0000-0000-000020140000}"/>
    <cellStyle name="20% - Accent3 8 2 3 4 2" xfId="34847" xr:uid="{66ADB88C-C135-4759-9080-91B32285C782}"/>
    <cellStyle name="20% - Accent3 8 2 3 5" xfId="18952" xr:uid="{00000000-0005-0000-0000-000021140000}"/>
    <cellStyle name="20% - Accent3 8 2 3 5 2" xfId="42785" xr:uid="{2C70C476-B360-4DC2-A34F-BCDEF574CF01}"/>
    <cellStyle name="20% - Accent3 8 2 3 6" xfId="26905" xr:uid="{1B130BC4-00DB-407A-BE7F-02D63120232B}"/>
    <cellStyle name="20% - Accent3 8 2 3_Exh G" xfId="2297" xr:uid="{00000000-0005-0000-0000-000022140000}"/>
    <cellStyle name="20% - Accent3 8 2 4" xfId="3850" xr:uid="{00000000-0005-0000-0000-000023140000}"/>
    <cellStyle name="20% - Accent3 8 2 4 2" xfId="7442" xr:uid="{00000000-0005-0000-0000-000024140000}"/>
    <cellStyle name="20% - Accent3 8 2 4 2 2" xfId="15413" xr:uid="{00000000-0005-0000-0000-000025140000}"/>
    <cellStyle name="20% - Accent3 8 2 4 2 2 2" xfId="39256" xr:uid="{BD1A8790-D51D-47A0-BF39-0AAEC09C9163}"/>
    <cellStyle name="20% - Accent3 8 2 4 2 3" xfId="23359" xr:uid="{00000000-0005-0000-0000-000026140000}"/>
    <cellStyle name="20% - Accent3 8 2 4 2 3 2" xfId="47192" xr:uid="{962193BE-4FCB-4AF9-B50D-18D7EC91C01F}"/>
    <cellStyle name="20% - Accent3 8 2 4 2 4" xfId="31315" xr:uid="{E4405514-FB63-4528-855D-C196CB6219B0}"/>
    <cellStyle name="20% - Accent3 8 2 4 3" xfId="11875" xr:uid="{00000000-0005-0000-0000-000027140000}"/>
    <cellStyle name="20% - Accent3 8 2 4 3 2" xfId="35725" xr:uid="{AD8085EB-1BFB-4F02-BBB6-1EEFD98BC3E5}"/>
    <cellStyle name="20% - Accent3 8 2 4 4" xfId="19830" xr:uid="{00000000-0005-0000-0000-000028140000}"/>
    <cellStyle name="20% - Accent3 8 2 4 4 2" xfId="43663" xr:uid="{E723CDD1-28B7-4B04-863C-DF823B1E768D}"/>
    <cellStyle name="20% - Accent3 8 2 4 5" xfId="27784" xr:uid="{1CDB61E7-3AA3-4C3E-9774-5743399B0BF0}"/>
    <cellStyle name="20% - Accent3 8 2 5" xfId="5670" xr:uid="{00000000-0005-0000-0000-000029140000}"/>
    <cellStyle name="20% - Accent3 8 2 5 2" xfId="13654" xr:uid="{00000000-0005-0000-0000-00002A140000}"/>
    <cellStyle name="20% - Accent3 8 2 5 2 2" xfId="37498" xr:uid="{F22E82C5-15DA-4EFF-B2C6-43F1DD26C70A}"/>
    <cellStyle name="20% - Accent3 8 2 5 3" xfId="21602" xr:uid="{00000000-0005-0000-0000-00002B140000}"/>
    <cellStyle name="20% - Accent3 8 2 5 3 2" xfId="45435" xr:uid="{30823552-4D72-466E-83C6-D320E0ED7026}"/>
    <cellStyle name="20% - Accent3 8 2 5 4" xfId="29557" xr:uid="{328996C7-3ED1-4570-B7F9-F5AF6B9AE533}"/>
    <cellStyle name="20% - Accent3 8 2 6" xfId="9223" xr:uid="{00000000-0005-0000-0000-00002C140000}"/>
    <cellStyle name="20% - Accent3 8 2 6 2" xfId="17181" xr:uid="{00000000-0005-0000-0000-00002D140000}"/>
    <cellStyle name="20% - Accent3 8 2 6 2 2" xfId="41022" xr:uid="{252A4868-F90C-4685-A985-0C7CDDDCAFD3}"/>
    <cellStyle name="20% - Accent3 8 2 6 3" xfId="25125" xr:uid="{00000000-0005-0000-0000-00002E140000}"/>
    <cellStyle name="20% - Accent3 8 2 6 3 2" xfId="48958" xr:uid="{F72DEB32-58B9-4746-BDA9-56E292C4D3D4}"/>
    <cellStyle name="20% - Accent3 8 2 6 4" xfId="33081" xr:uid="{A5AA3D34-64F6-40B6-8694-DA8129545381}"/>
    <cellStyle name="20% - Accent3 8 2 7" xfId="10119" xr:uid="{00000000-0005-0000-0000-00002F140000}"/>
    <cellStyle name="20% - Accent3 8 2 7 2" xfId="33969" xr:uid="{2D297502-E46D-4A59-BD78-0081AB99FCD6}"/>
    <cellStyle name="20% - Accent3 8 2 8" xfId="18074" xr:uid="{00000000-0005-0000-0000-000030140000}"/>
    <cellStyle name="20% - Accent3 8 2 8 2" xfId="41907" xr:uid="{A0642B4B-8D2A-4878-8706-1349E57658F5}"/>
    <cellStyle name="20% - Accent3 8 2 9" xfId="26027" xr:uid="{4BA21A9F-CC1D-415A-82CD-918F0FB9B7E5}"/>
    <cellStyle name="20% - Accent3 8 2_Exh G" xfId="2294" xr:uid="{00000000-0005-0000-0000-000031140000}"/>
    <cellStyle name="20% - Accent3 8 3" xfId="173" xr:uid="{00000000-0005-0000-0000-000032140000}"/>
    <cellStyle name="20% - Accent3 8 3 2" xfId="1201" xr:uid="{00000000-0005-0000-0000-000033140000}"/>
    <cellStyle name="20% - Accent3 8 3 2 2" xfId="4731" xr:uid="{00000000-0005-0000-0000-000034140000}"/>
    <cellStyle name="20% - Accent3 8 3 2 2 2" xfId="8322" xr:uid="{00000000-0005-0000-0000-000035140000}"/>
    <cellStyle name="20% - Accent3 8 3 2 2 2 2" xfId="16293" xr:uid="{00000000-0005-0000-0000-000036140000}"/>
    <cellStyle name="20% - Accent3 8 3 2 2 2 2 2" xfId="40136" xr:uid="{BE88E7FF-7F08-4F83-AFDF-F4A0570B0C2E}"/>
    <cellStyle name="20% - Accent3 8 3 2 2 2 3" xfId="24239" xr:uid="{00000000-0005-0000-0000-000037140000}"/>
    <cellStyle name="20% - Accent3 8 3 2 2 2 3 2" xfId="48072" xr:uid="{392271E8-CC92-4637-9283-998CB7394BD4}"/>
    <cellStyle name="20% - Accent3 8 3 2 2 2 4" xfId="32195" xr:uid="{9EDD5456-8376-48C6-8F6F-F0867D7CDC8E}"/>
    <cellStyle name="20% - Accent3 8 3 2 2 3" xfId="12755" xr:uid="{00000000-0005-0000-0000-000038140000}"/>
    <cellStyle name="20% - Accent3 8 3 2 2 3 2" xfId="36605" xr:uid="{F9529D96-4273-4564-892D-5F4E33DE9C12}"/>
    <cellStyle name="20% - Accent3 8 3 2 2 4" xfId="20710" xr:uid="{00000000-0005-0000-0000-000039140000}"/>
    <cellStyle name="20% - Accent3 8 3 2 2 4 2" xfId="44543" xr:uid="{227582FB-FE91-4129-B058-ECFFB9282400}"/>
    <cellStyle name="20% - Accent3 8 3 2 2 5" xfId="28664" xr:uid="{C9FB1ABD-7965-4C81-B7E2-98C7920B7AA4}"/>
    <cellStyle name="20% - Accent3 8 3 2 3" xfId="6563" xr:uid="{00000000-0005-0000-0000-00003A140000}"/>
    <cellStyle name="20% - Accent3 8 3 2 3 2" xfId="14535" xr:uid="{00000000-0005-0000-0000-00003B140000}"/>
    <cellStyle name="20% - Accent3 8 3 2 3 2 2" xfId="38378" xr:uid="{82DABFAA-4541-450D-A753-C1D282EAAE42}"/>
    <cellStyle name="20% - Accent3 8 3 2 3 3" xfId="22482" xr:uid="{00000000-0005-0000-0000-00003C140000}"/>
    <cellStyle name="20% - Accent3 8 3 2 3 3 2" xfId="46315" xr:uid="{659B1578-9DB5-4E46-A64A-8CC7C803742A}"/>
    <cellStyle name="20% - Accent3 8 3 2 3 4" xfId="30437" xr:uid="{354CE2DD-6A08-470B-8A84-1E0433CD29DF}"/>
    <cellStyle name="20% - Accent3 8 3 2 4" xfId="10999" xr:uid="{00000000-0005-0000-0000-00003D140000}"/>
    <cellStyle name="20% - Accent3 8 3 2 4 2" xfId="34849" xr:uid="{3E5BD1E8-6CBC-483F-A0CE-FC485D9A8C4D}"/>
    <cellStyle name="20% - Accent3 8 3 2 5" xfId="18954" xr:uid="{00000000-0005-0000-0000-00003E140000}"/>
    <cellStyle name="20% - Accent3 8 3 2 5 2" xfId="42787" xr:uid="{70D96003-4FCF-45E9-B494-34195F3CCC17}"/>
    <cellStyle name="20% - Accent3 8 3 2 6" xfId="26907" xr:uid="{333F22DF-C1CF-4096-90C3-1AF69E8AB9D0}"/>
    <cellStyle name="20% - Accent3 8 3 2_Exh G" xfId="2299" xr:uid="{00000000-0005-0000-0000-00003F140000}"/>
    <cellStyle name="20% - Accent3 8 3 3" xfId="3852" xr:uid="{00000000-0005-0000-0000-000040140000}"/>
    <cellStyle name="20% - Accent3 8 3 3 2" xfId="7444" xr:uid="{00000000-0005-0000-0000-000041140000}"/>
    <cellStyle name="20% - Accent3 8 3 3 2 2" xfId="15415" xr:uid="{00000000-0005-0000-0000-000042140000}"/>
    <cellStyle name="20% - Accent3 8 3 3 2 2 2" xfId="39258" xr:uid="{2550F957-7125-4AF5-BF76-B3D02A0C3E7B}"/>
    <cellStyle name="20% - Accent3 8 3 3 2 3" xfId="23361" xr:uid="{00000000-0005-0000-0000-000043140000}"/>
    <cellStyle name="20% - Accent3 8 3 3 2 3 2" xfId="47194" xr:uid="{26D64F0A-F70E-433E-9431-D1589F3B7EC9}"/>
    <cellStyle name="20% - Accent3 8 3 3 2 4" xfId="31317" xr:uid="{EEAA4744-FFF6-4725-9E58-57C8267F8226}"/>
    <cellStyle name="20% - Accent3 8 3 3 3" xfId="11877" xr:uid="{00000000-0005-0000-0000-000044140000}"/>
    <cellStyle name="20% - Accent3 8 3 3 3 2" xfId="35727" xr:uid="{D4B5252A-BF22-451F-B180-E78F2D5D8F8F}"/>
    <cellStyle name="20% - Accent3 8 3 3 4" xfId="19832" xr:uid="{00000000-0005-0000-0000-000045140000}"/>
    <cellStyle name="20% - Accent3 8 3 3 4 2" xfId="43665" xr:uid="{6EFED3F2-8850-4143-A7AD-D2C18671708F}"/>
    <cellStyle name="20% - Accent3 8 3 3 5" xfId="27786" xr:uid="{2A185AE6-46E7-4CFB-8D25-802CDC08150E}"/>
    <cellStyle name="20% - Accent3 8 3 4" xfId="5672" xr:uid="{00000000-0005-0000-0000-000046140000}"/>
    <cellStyle name="20% - Accent3 8 3 4 2" xfId="13656" xr:uid="{00000000-0005-0000-0000-000047140000}"/>
    <cellStyle name="20% - Accent3 8 3 4 2 2" xfId="37500" xr:uid="{9B6ADEE0-D0F0-4C31-AC1D-76270A756A0E}"/>
    <cellStyle name="20% - Accent3 8 3 4 3" xfId="21604" xr:uid="{00000000-0005-0000-0000-000048140000}"/>
    <cellStyle name="20% - Accent3 8 3 4 3 2" xfId="45437" xr:uid="{4FE40798-58A7-446B-9631-2DB76B0F184C}"/>
    <cellStyle name="20% - Accent3 8 3 4 4" xfId="29559" xr:uid="{47824DC0-5D54-4843-A796-2924AA696A68}"/>
    <cellStyle name="20% - Accent3 8 3 5" xfId="9225" xr:uid="{00000000-0005-0000-0000-000049140000}"/>
    <cellStyle name="20% - Accent3 8 3 5 2" xfId="17183" xr:uid="{00000000-0005-0000-0000-00004A140000}"/>
    <cellStyle name="20% - Accent3 8 3 5 2 2" xfId="41024" xr:uid="{1D8CA2E5-4320-424F-BA87-0F85534F9053}"/>
    <cellStyle name="20% - Accent3 8 3 5 3" xfId="25127" xr:uid="{00000000-0005-0000-0000-00004B140000}"/>
    <cellStyle name="20% - Accent3 8 3 5 3 2" xfId="48960" xr:uid="{C7A30BA6-C826-4F86-87F1-077319FDB099}"/>
    <cellStyle name="20% - Accent3 8 3 5 4" xfId="33083" xr:uid="{A41F48E2-8B8B-4160-AD30-4900E3B7584D}"/>
    <cellStyle name="20% - Accent3 8 3 6" xfId="10121" xr:uid="{00000000-0005-0000-0000-00004C140000}"/>
    <cellStyle name="20% - Accent3 8 3 6 2" xfId="33971" xr:uid="{B88B3A36-DDAB-4E1B-8B39-D40CC6F3656B}"/>
    <cellStyle name="20% - Accent3 8 3 7" xfId="18076" xr:uid="{00000000-0005-0000-0000-00004D140000}"/>
    <cellStyle name="20% - Accent3 8 3 7 2" xfId="41909" xr:uid="{8EA91AEB-81AF-4A2B-BDDB-36180DA906DF}"/>
    <cellStyle name="20% - Accent3 8 3 8" xfId="26029" xr:uid="{1AA79E3E-7C70-4675-BA81-4B9962CE7F9F}"/>
    <cellStyle name="20% - Accent3 8 3_Exh G" xfId="2298" xr:uid="{00000000-0005-0000-0000-00004E140000}"/>
    <cellStyle name="20% - Accent3 8 4" xfId="896" xr:uid="{00000000-0005-0000-0000-00004F140000}"/>
    <cellStyle name="20% - Accent3 8 4 2" xfId="1827" xr:uid="{00000000-0005-0000-0000-000050140000}"/>
    <cellStyle name="20% - Accent3 8 4 2 2" xfId="5345" xr:uid="{00000000-0005-0000-0000-000051140000}"/>
    <cellStyle name="20% - Accent3 8 4 2 2 2" xfId="8936" xr:uid="{00000000-0005-0000-0000-000052140000}"/>
    <cellStyle name="20% - Accent3 8 4 2 2 2 2" xfId="16907" xr:uid="{00000000-0005-0000-0000-000053140000}"/>
    <cellStyle name="20% - Accent3 8 4 2 2 2 2 2" xfId="40750" xr:uid="{4FDB4832-F09B-426D-9549-CC5A68498778}"/>
    <cellStyle name="20% - Accent3 8 4 2 2 2 3" xfId="24853" xr:uid="{00000000-0005-0000-0000-000054140000}"/>
    <cellStyle name="20% - Accent3 8 4 2 2 2 3 2" xfId="48686" xr:uid="{3ABA3790-AB53-418D-9F32-A25ADACDA62E}"/>
    <cellStyle name="20% - Accent3 8 4 2 2 2 4" xfId="32809" xr:uid="{CE194952-2407-422D-8C79-94EE26E67FF2}"/>
    <cellStyle name="20% - Accent3 8 4 2 2 3" xfId="13369" xr:uid="{00000000-0005-0000-0000-000055140000}"/>
    <cellStyle name="20% - Accent3 8 4 2 2 3 2" xfId="37219" xr:uid="{6A26252E-8D76-4360-B35A-20C55B74E02D}"/>
    <cellStyle name="20% - Accent3 8 4 2 2 4" xfId="21324" xr:uid="{00000000-0005-0000-0000-000056140000}"/>
    <cellStyle name="20% - Accent3 8 4 2 2 4 2" xfId="45157" xr:uid="{3895F62F-CA1D-4BCB-BF21-11C6D77100F8}"/>
    <cellStyle name="20% - Accent3 8 4 2 2 5" xfId="29278" xr:uid="{9957FF5B-ED32-4760-9AC3-667B7A419091}"/>
    <cellStyle name="20% - Accent3 8 4 2 3" xfId="7177" xr:uid="{00000000-0005-0000-0000-000057140000}"/>
    <cellStyle name="20% - Accent3 8 4 2 3 2" xfId="15149" xr:uid="{00000000-0005-0000-0000-000058140000}"/>
    <cellStyle name="20% - Accent3 8 4 2 3 2 2" xfId="38992" xr:uid="{2FF49F4F-1C70-4CA1-B650-E016CCC9AFF1}"/>
    <cellStyle name="20% - Accent3 8 4 2 3 3" xfId="23096" xr:uid="{00000000-0005-0000-0000-000059140000}"/>
    <cellStyle name="20% - Accent3 8 4 2 3 3 2" xfId="46929" xr:uid="{05D18BE4-AF18-48FC-86D5-CDA8B1FD5DA6}"/>
    <cellStyle name="20% - Accent3 8 4 2 3 4" xfId="31051" xr:uid="{94933989-B633-4761-A84E-94E0601464EF}"/>
    <cellStyle name="20% - Accent3 8 4 2 4" xfId="11613" xr:uid="{00000000-0005-0000-0000-00005A140000}"/>
    <cellStyle name="20% - Accent3 8 4 2 4 2" xfId="35463" xr:uid="{E10E473C-1C6C-43DB-976A-F6C7D77FE018}"/>
    <cellStyle name="20% - Accent3 8 4 2 5" xfId="19568" xr:uid="{00000000-0005-0000-0000-00005B140000}"/>
    <cellStyle name="20% - Accent3 8 4 2 5 2" xfId="43401" xr:uid="{B094E22E-4B46-4FDE-B56C-204EEEC8EFA1}"/>
    <cellStyle name="20% - Accent3 8 4 2 6" xfId="27521" xr:uid="{F7279314-C149-4FF8-B29B-066E64C48C0F}"/>
    <cellStyle name="20% - Accent3 8 4 2_Exh G" xfId="2301" xr:uid="{00000000-0005-0000-0000-00005C140000}"/>
    <cellStyle name="20% - Accent3 8 4 3" xfId="4466" xr:uid="{00000000-0005-0000-0000-00005D140000}"/>
    <cellStyle name="20% - Accent3 8 4 3 2" xfId="8058" xr:uid="{00000000-0005-0000-0000-00005E140000}"/>
    <cellStyle name="20% - Accent3 8 4 3 2 2" xfId="16029" xr:uid="{00000000-0005-0000-0000-00005F140000}"/>
    <cellStyle name="20% - Accent3 8 4 3 2 2 2" xfId="39872" xr:uid="{15A0E881-A375-4437-8BB5-E53A93E49599}"/>
    <cellStyle name="20% - Accent3 8 4 3 2 3" xfId="23975" xr:uid="{00000000-0005-0000-0000-000060140000}"/>
    <cellStyle name="20% - Accent3 8 4 3 2 3 2" xfId="47808" xr:uid="{A40F8844-4195-4DE0-9C3C-8401DC966F87}"/>
    <cellStyle name="20% - Accent3 8 4 3 2 4" xfId="31931" xr:uid="{ECF43AB0-6911-4317-BD90-0EA8A6E21346}"/>
    <cellStyle name="20% - Accent3 8 4 3 3" xfId="12491" xr:uid="{00000000-0005-0000-0000-000061140000}"/>
    <cellStyle name="20% - Accent3 8 4 3 3 2" xfId="36341" xr:uid="{93E33A39-7AF4-4919-A3F8-E85BF088F059}"/>
    <cellStyle name="20% - Accent3 8 4 3 4" xfId="20446" xr:uid="{00000000-0005-0000-0000-000062140000}"/>
    <cellStyle name="20% - Accent3 8 4 3 4 2" xfId="44279" xr:uid="{72FE5E22-BA0C-4F25-A370-02D3192CC705}"/>
    <cellStyle name="20% - Accent3 8 4 3 5" xfId="28400" xr:uid="{A9B71E51-73D9-4D72-B5B7-1197D9F4C995}"/>
    <cellStyle name="20% - Accent3 8 4 4" xfId="6296" xr:uid="{00000000-0005-0000-0000-000063140000}"/>
    <cellStyle name="20% - Accent3 8 4 4 2" xfId="14271" xr:uid="{00000000-0005-0000-0000-000064140000}"/>
    <cellStyle name="20% - Accent3 8 4 4 2 2" xfId="38114" xr:uid="{3712A6D6-3987-4B06-AC96-0A43F00794D5}"/>
    <cellStyle name="20% - Accent3 8 4 4 3" xfId="22218" xr:uid="{00000000-0005-0000-0000-000065140000}"/>
    <cellStyle name="20% - Accent3 8 4 4 3 2" xfId="46051" xr:uid="{2E9AB3CE-7519-4D8E-88C7-E08BFE1B7F5E}"/>
    <cellStyle name="20% - Accent3 8 4 4 4" xfId="30173" xr:uid="{A97F7548-5E7B-470C-8DF7-196AD853F878}"/>
    <cellStyle name="20% - Accent3 8 4 5" xfId="9839" xr:uid="{00000000-0005-0000-0000-000066140000}"/>
    <cellStyle name="20% - Accent3 8 4 5 2" xfId="17797" xr:uid="{00000000-0005-0000-0000-000067140000}"/>
    <cellStyle name="20% - Accent3 8 4 5 2 2" xfId="41638" xr:uid="{AA84F16C-1B4B-4680-A60A-185E0E0AF2A2}"/>
    <cellStyle name="20% - Accent3 8 4 5 3" xfId="25741" xr:uid="{00000000-0005-0000-0000-000068140000}"/>
    <cellStyle name="20% - Accent3 8 4 5 3 2" xfId="49574" xr:uid="{2B190F29-CF08-4EE7-A286-339A3E75F05E}"/>
    <cellStyle name="20% - Accent3 8 4 5 4" xfId="33697" xr:uid="{CD519FBF-1C6F-45BA-BF36-A1A18B70DD8B}"/>
    <cellStyle name="20% - Accent3 8 4 6" xfId="10735" xr:uid="{00000000-0005-0000-0000-000069140000}"/>
    <cellStyle name="20% - Accent3 8 4 6 2" xfId="34585" xr:uid="{4A1DF77F-DE11-474E-9E57-A2C8481594BF}"/>
    <cellStyle name="20% - Accent3 8 4 7" xfId="18690" xr:uid="{00000000-0005-0000-0000-00006A140000}"/>
    <cellStyle name="20% - Accent3 8 4 7 2" xfId="42523" xr:uid="{5498C6D3-F7D8-4662-A39F-FC62C08170F2}"/>
    <cellStyle name="20% - Accent3 8 4 8" xfId="26643" xr:uid="{C5FF0F91-1A8F-43E1-9AFA-7F3FF0330A91}"/>
    <cellStyle name="20% - Accent3 8 4_Exh G" xfId="2300" xr:uid="{00000000-0005-0000-0000-00006B140000}"/>
    <cellStyle name="20% - Accent3 8 5" xfId="1198" xr:uid="{00000000-0005-0000-0000-00006C140000}"/>
    <cellStyle name="20% - Accent3 8 5 2" xfId="4728" xr:uid="{00000000-0005-0000-0000-00006D140000}"/>
    <cellStyle name="20% - Accent3 8 5 2 2" xfId="8319" xr:uid="{00000000-0005-0000-0000-00006E140000}"/>
    <cellStyle name="20% - Accent3 8 5 2 2 2" xfId="16290" xr:uid="{00000000-0005-0000-0000-00006F140000}"/>
    <cellStyle name="20% - Accent3 8 5 2 2 2 2" xfId="40133" xr:uid="{684B2407-57F2-45BB-936A-84450FD93EBC}"/>
    <cellStyle name="20% - Accent3 8 5 2 2 3" xfId="24236" xr:uid="{00000000-0005-0000-0000-000070140000}"/>
    <cellStyle name="20% - Accent3 8 5 2 2 3 2" xfId="48069" xr:uid="{C262E4B3-D134-4107-9B59-BB02A1D8A697}"/>
    <cellStyle name="20% - Accent3 8 5 2 2 4" xfId="32192" xr:uid="{9B57FC7C-57F3-4561-A1FE-57C8280282E9}"/>
    <cellStyle name="20% - Accent3 8 5 2 3" xfId="12752" xr:uid="{00000000-0005-0000-0000-000071140000}"/>
    <cellStyle name="20% - Accent3 8 5 2 3 2" xfId="36602" xr:uid="{031D6319-9878-46A7-84A5-B15809BE2B03}"/>
    <cellStyle name="20% - Accent3 8 5 2 4" xfId="20707" xr:uid="{00000000-0005-0000-0000-000072140000}"/>
    <cellStyle name="20% - Accent3 8 5 2 4 2" xfId="44540" xr:uid="{5C0B1EAB-5A38-4DA4-98C2-519F6194DFD0}"/>
    <cellStyle name="20% - Accent3 8 5 2 5" xfId="28661" xr:uid="{13AE26BE-BFFF-4E86-93F8-BCC7CA2C3D65}"/>
    <cellStyle name="20% - Accent3 8 5 3" xfId="6560" xr:uid="{00000000-0005-0000-0000-000073140000}"/>
    <cellStyle name="20% - Accent3 8 5 3 2" xfId="14532" xr:uid="{00000000-0005-0000-0000-000074140000}"/>
    <cellStyle name="20% - Accent3 8 5 3 2 2" xfId="38375" xr:uid="{8A567E1F-2066-42A4-A329-A2EC030475B8}"/>
    <cellStyle name="20% - Accent3 8 5 3 3" xfId="22479" xr:uid="{00000000-0005-0000-0000-000075140000}"/>
    <cellStyle name="20% - Accent3 8 5 3 3 2" xfId="46312" xr:uid="{5224DB80-0B21-4E74-B4C7-69195D63557B}"/>
    <cellStyle name="20% - Accent3 8 5 3 4" xfId="30434" xr:uid="{72F9F337-7D0B-4A9B-86D1-71F1AE103557}"/>
    <cellStyle name="20% - Accent3 8 5 4" xfId="10996" xr:uid="{00000000-0005-0000-0000-000076140000}"/>
    <cellStyle name="20% - Accent3 8 5 4 2" xfId="34846" xr:uid="{1E422875-4C82-43AA-9473-D4AC25CE3F8C}"/>
    <cellStyle name="20% - Accent3 8 5 5" xfId="18951" xr:uid="{00000000-0005-0000-0000-000077140000}"/>
    <cellStyle name="20% - Accent3 8 5 5 2" xfId="42784" xr:uid="{34545472-3005-4B79-A77A-4FF628A3C93A}"/>
    <cellStyle name="20% - Accent3 8 5 6" xfId="26904" xr:uid="{ED88FD6F-CFF8-4772-9263-5EC57F6B64A2}"/>
    <cellStyle name="20% - Accent3 8 5_Exh G" xfId="2302" xr:uid="{00000000-0005-0000-0000-000078140000}"/>
    <cellStyle name="20% - Accent3 8 6" xfId="3849" xr:uid="{00000000-0005-0000-0000-000079140000}"/>
    <cellStyle name="20% - Accent3 8 6 2" xfId="7441" xr:uid="{00000000-0005-0000-0000-00007A140000}"/>
    <cellStyle name="20% - Accent3 8 6 2 2" xfId="15412" xr:uid="{00000000-0005-0000-0000-00007B140000}"/>
    <cellStyle name="20% - Accent3 8 6 2 2 2" xfId="39255" xr:uid="{94454EF1-D37F-4A24-8B35-DBF54047CB1C}"/>
    <cellStyle name="20% - Accent3 8 6 2 3" xfId="23358" xr:uid="{00000000-0005-0000-0000-00007C140000}"/>
    <cellStyle name="20% - Accent3 8 6 2 3 2" xfId="47191" xr:uid="{6B95BFA7-BE25-4E39-BC93-433965F186BC}"/>
    <cellStyle name="20% - Accent3 8 6 2 4" xfId="31314" xr:uid="{671BC6A3-AE5F-4A69-97C7-0B24480FBA3F}"/>
    <cellStyle name="20% - Accent3 8 6 3" xfId="11874" xr:uid="{00000000-0005-0000-0000-00007D140000}"/>
    <cellStyle name="20% - Accent3 8 6 3 2" xfId="35724" xr:uid="{9CFF9F51-2F13-42EB-BC3B-F2A569A5B496}"/>
    <cellStyle name="20% - Accent3 8 6 4" xfId="19829" xr:uid="{00000000-0005-0000-0000-00007E140000}"/>
    <cellStyle name="20% - Accent3 8 6 4 2" xfId="43662" xr:uid="{CE423196-BD3F-416A-A1E0-D1E3393E0E96}"/>
    <cellStyle name="20% - Accent3 8 6 5" xfId="27783" xr:uid="{060B50C8-2EB7-4DBA-BC68-9AAE2BAD9B13}"/>
    <cellStyle name="20% - Accent3 8 7" xfId="5669" xr:uid="{00000000-0005-0000-0000-00007F140000}"/>
    <cellStyle name="20% - Accent3 8 7 2" xfId="13653" xr:uid="{00000000-0005-0000-0000-000080140000}"/>
    <cellStyle name="20% - Accent3 8 7 2 2" xfId="37497" xr:uid="{15A81B93-8994-4409-A797-D991C5F0E595}"/>
    <cellStyle name="20% - Accent3 8 7 3" xfId="21601" xr:uid="{00000000-0005-0000-0000-000081140000}"/>
    <cellStyle name="20% - Accent3 8 7 3 2" xfId="45434" xr:uid="{E76309CB-F858-4345-B8EB-826BB8E13353}"/>
    <cellStyle name="20% - Accent3 8 7 4" xfId="29556" xr:uid="{61500F1E-DD39-49E3-8738-7DE91600CAAE}"/>
    <cellStyle name="20% - Accent3 8 8" xfId="9222" xr:uid="{00000000-0005-0000-0000-000082140000}"/>
    <cellStyle name="20% - Accent3 8 8 2" xfId="17180" xr:uid="{00000000-0005-0000-0000-000083140000}"/>
    <cellStyle name="20% - Accent3 8 8 2 2" xfId="41021" xr:uid="{B7A9B587-A5B1-4F2C-B576-DD7B1A582FB7}"/>
    <cellStyle name="20% - Accent3 8 8 3" xfId="25124" xr:uid="{00000000-0005-0000-0000-000084140000}"/>
    <cellStyle name="20% - Accent3 8 8 3 2" xfId="48957" xr:uid="{E2C81954-A407-4134-A1C4-88AE271CF5E2}"/>
    <cellStyle name="20% - Accent3 8 8 4" xfId="33080" xr:uid="{676FABE0-FDE1-447C-9EF6-8CE37DB30680}"/>
    <cellStyle name="20% - Accent3 8 9" xfId="10118" xr:uid="{00000000-0005-0000-0000-000085140000}"/>
    <cellStyle name="20% - Accent3 8 9 2" xfId="33968" xr:uid="{42B8B552-5C59-479C-B05B-9D205F4A2E95}"/>
    <cellStyle name="20% - Accent3 8_Exh G" xfId="2293" xr:uid="{00000000-0005-0000-0000-000086140000}"/>
    <cellStyle name="20% - Accent3 9" xfId="174" xr:uid="{00000000-0005-0000-0000-000087140000}"/>
    <cellStyle name="20% - Accent3 9 10" xfId="18077" xr:uid="{00000000-0005-0000-0000-000088140000}"/>
    <cellStyle name="20% - Accent3 9 10 2" xfId="41910" xr:uid="{385AB4ED-348F-4EB8-8B98-6917D1B491E3}"/>
    <cellStyle name="20% - Accent3 9 11" xfId="26030" xr:uid="{09BCE94D-BE8D-4351-AB22-8C4BD60E4285}"/>
    <cellStyle name="20% - Accent3 9 2" xfId="175" xr:uid="{00000000-0005-0000-0000-000089140000}"/>
    <cellStyle name="20% - Accent3 9 2 2" xfId="176" xr:uid="{00000000-0005-0000-0000-00008A140000}"/>
    <cellStyle name="20% - Accent3 9 2 2 2" xfId="1204" xr:uid="{00000000-0005-0000-0000-00008B140000}"/>
    <cellStyle name="20% - Accent3 9 2 2 2 2" xfId="4734" xr:uid="{00000000-0005-0000-0000-00008C140000}"/>
    <cellStyle name="20% - Accent3 9 2 2 2 2 2" xfId="8325" xr:uid="{00000000-0005-0000-0000-00008D140000}"/>
    <cellStyle name="20% - Accent3 9 2 2 2 2 2 2" xfId="16296" xr:uid="{00000000-0005-0000-0000-00008E140000}"/>
    <cellStyle name="20% - Accent3 9 2 2 2 2 2 2 2" xfId="40139" xr:uid="{B7C12DCF-BA12-4340-A421-0184FD5C8673}"/>
    <cellStyle name="20% - Accent3 9 2 2 2 2 2 3" xfId="24242" xr:uid="{00000000-0005-0000-0000-00008F140000}"/>
    <cellStyle name="20% - Accent3 9 2 2 2 2 2 3 2" xfId="48075" xr:uid="{9DC86057-B758-44D2-AE78-C1AC1C9F32AE}"/>
    <cellStyle name="20% - Accent3 9 2 2 2 2 2 4" xfId="32198" xr:uid="{E67A3762-6167-4E97-8419-F4AFE69F1DE6}"/>
    <cellStyle name="20% - Accent3 9 2 2 2 2 3" xfId="12758" xr:uid="{00000000-0005-0000-0000-000090140000}"/>
    <cellStyle name="20% - Accent3 9 2 2 2 2 3 2" xfId="36608" xr:uid="{998E31BA-EE08-48CE-ABC4-9A96E4130151}"/>
    <cellStyle name="20% - Accent3 9 2 2 2 2 4" xfId="20713" xr:uid="{00000000-0005-0000-0000-000091140000}"/>
    <cellStyle name="20% - Accent3 9 2 2 2 2 4 2" xfId="44546" xr:uid="{82D96AD6-E758-443A-9CEC-DADD3F144C07}"/>
    <cellStyle name="20% - Accent3 9 2 2 2 2 5" xfId="28667" xr:uid="{5B9BF274-CB35-4709-AB8E-E445A607DA6D}"/>
    <cellStyle name="20% - Accent3 9 2 2 2 3" xfId="6566" xr:uid="{00000000-0005-0000-0000-000092140000}"/>
    <cellStyle name="20% - Accent3 9 2 2 2 3 2" xfId="14538" xr:uid="{00000000-0005-0000-0000-000093140000}"/>
    <cellStyle name="20% - Accent3 9 2 2 2 3 2 2" xfId="38381" xr:uid="{AAB87F57-C8C0-437B-8BAF-1FBCDE045C60}"/>
    <cellStyle name="20% - Accent3 9 2 2 2 3 3" xfId="22485" xr:uid="{00000000-0005-0000-0000-000094140000}"/>
    <cellStyle name="20% - Accent3 9 2 2 2 3 3 2" xfId="46318" xr:uid="{6986C662-E857-411A-B5E4-1B0891566021}"/>
    <cellStyle name="20% - Accent3 9 2 2 2 3 4" xfId="30440" xr:uid="{F243C2F3-0773-4704-BF0C-06682BD52898}"/>
    <cellStyle name="20% - Accent3 9 2 2 2 4" xfId="11002" xr:uid="{00000000-0005-0000-0000-000095140000}"/>
    <cellStyle name="20% - Accent3 9 2 2 2 4 2" xfId="34852" xr:uid="{52D1E14A-2D4F-4E25-BF05-53779F16AF63}"/>
    <cellStyle name="20% - Accent3 9 2 2 2 5" xfId="18957" xr:uid="{00000000-0005-0000-0000-000096140000}"/>
    <cellStyle name="20% - Accent3 9 2 2 2 5 2" xfId="42790" xr:uid="{52FE93B9-8E71-4058-9660-8C9D3F3290D8}"/>
    <cellStyle name="20% - Accent3 9 2 2 2 6" xfId="26910" xr:uid="{40DA7A99-5379-422E-8341-BD116841BC35}"/>
    <cellStyle name="20% - Accent3 9 2 2 2_Exh G" xfId="2306" xr:uid="{00000000-0005-0000-0000-000097140000}"/>
    <cellStyle name="20% - Accent3 9 2 2 3" xfId="3855" xr:uid="{00000000-0005-0000-0000-000098140000}"/>
    <cellStyle name="20% - Accent3 9 2 2 3 2" xfId="7447" xr:uid="{00000000-0005-0000-0000-000099140000}"/>
    <cellStyle name="20% - Accent3 9 2 2 3 2 2" xfId="15418" xr:uid="{00000000-0005-0000-0000-00009A140000}"/>
    <cellStyle name="20% - Accent3 9 2 2 3 2 2 2" xfId="39261" xr:uid="{1F528E3A-2C0E-4930-8754-95C65098943F}"/>
    <cellStyle name="20% - Accent3 9 2 2 3 2 3" xfId="23364" xr:uid="{00000000-0005-0000-0000-00009B140000}"/>
    <cellStyle name="20% - Accent3 9 2 2 3 2 3 2" xfId="47197" xr:uid="{FA6D55AA-96C5-4055-8D9A-0AECE54CA5E8}"/>
    <cellStyle name="20% - Accent3 9 2 2 3 2 4" xfId="31320" xr:uid="{6CFD7E09-BF62-4323-8C7F-07655C9F7ACF}"/>
    <cellStyle name="20% - Accent3 9 2 2 3 3" xfId="11880" xr:uid="{00000000-0005-0000-0000-00009C140000}"/>
    <cellStyle name="20% - Accent3 9 2 2 3 3 2" xfId="35730" xr:uid="{5A69B9F8-2F3E-489F-B237-145F2E3C56EA}"/>
    <cellStyle name="20% - Accent3 9 2 2 3 4" xfId="19835" xr:uid="{00000000-0005-0000-0000-00009D140000}"/>
    <cellStyle name="20% - Accent3 9 2 2 3 4 2" xfId="43668" xr:uid="{6A56500B-2538-4B28-ADF7-FB2B382A219E}"/>
    <cellStyle name="20% - Accent3 9 2 2 3 5" xfId="27789" xr:uid="{3570D0A6-F059-4499-839D-17E9F85962F5}"/>
    <cellStyle name="20% - Accent3 9 2 2 4" xfId="5675" xr:uid="{00000000-0005-0000-0000-00009E140000}"/>
    <cellStyle name="20% - Accent3 9 2 2 4 2" xfId="13659" xr:uid="{00000000-0005-0000-0000-00009F140000}"/>
    <cellStyle name="20% - Accent3 9 2 2 4 2 2" xfId="37503" xr:uid="{68F7B1C1-EE94-42E4-875A-7051660CD218}"/>
    <cellStyle name="20% - Accent3 9 2 2 4 3" xfId="21607" xr:uid="{00000000-0005-0000-0000-0000A0140000}"/>
    <cellStyle name="20% - Accent3 9 2 2 4 3 2" xfId="45440" xr:uid="{C8D161E8-A491-4633-ABDF-A6661CF8C8C3}"/>
    <cellStyle name="20% - Accent3 9 2 2 4 4" xfId="29562" xr:uid="{44B99822-9D89-4B58-9D1F-6759686B1D0C}"/>
    <cellStyle name="20% - Accent3 9 2 2 5" xfId="9228" xr:uid="{00000000-0005-0000-0000-0000A1140000}"/>
    <cellStyle name="20% - Accent3 9 2 2 5 2" xfId="17186" xr:uid="{00000000-0005-0000-0000-0000A2140000}"/>
    <cellStyle name="20% - Accent3 9 2 2 5 2 2" xfId="41027" xr:uid="{748A18BA-C181-4995-987F-E1836D9004D2}"/>
    <cellStyle name="20% - Accent3 9 2 2 5 3" xfId="25130" xr:uid="{00000000-0005-0000-0000-0000A3140000}"/>
    <cellStyle name="20% - Accent3 9 2 2 5 3 2" xfId="48963" xr:uid="{112995C9-14F5-4492-80F8-2AD8F6B64B9C}"/>
    <cellStyle name="20% - Accent3 9 2 2 5 4" xfId="33086" xr:uid="{2C8E3B95-9571-4E31-85E5-035B1130BFA7}"/>
    <cellStyle name="20% - Accent3 9 2 2 6" xfId="10124" xr:uid="{00000000-0005-0000-0000-0000A4140000}"/>
    <cellStyle name="20% - Accent3 9 2 2 6 2" xfId="33974" xr:uid="{5CD302B2-031E-449A-90BC-C9E044C3AF93}"/>
    <cellStyle name="20% - Accent3 9 2 2 7" xfId="18079" xr:uid="{00000000-0005-0000-0000-0000A5140000}"/>
    <cellStyle name="20% - Accent3 9 2 2 7 2" xfId="41912" xr:uid="{A20577DB-1215-4715-BD80-7D196E7C9F62}"/>
    <cellStyle name="20% - Accent3 9 2 2 8" xfId="26032" xr:uid="{E9AC216D-BCD9-4DAC-9F31-6B15F0385E7E}"/>
    <cellStyle name="20% - Accent3 9 2 2_Exh G" xfId="2305" xr:uid="{00000000-0005-0000-0000-0000A6140000}"/>
    <cellStyle name="20% - Accent3 9 2 3" xfId="1203" xr:uid="{00000000-0005-0000-0000-0000A7140000}"/>
    <cellStyle name="20% - Accent3 9 2 3 2" xfId="4733" xr:uid="{00000000-0005-0000-0000-0000A8140000}"/>
    <cellStyle name="20% - Accent3 9 2 3 2 2" xfId="8324" xr:uid="{00000000-0005-0000-0000-0000A9140000}"/>
    <cellStyle name="20% - Accent3 9 2 3 2 2 2" xfId="16295" xr:uid="{00000000-0005-0000-0000-0000AA140000}"/>
    <cellStyle name="20% - Accent3 9 2 3 2 2 2 2" xfId="40138" xr:uid="{D7C8AD8F-71F0-4B2C-8C08-54ED0F17C2DC}"/>
    <cellStyle name="20% - Accent3 9 2 3 2 2 3" xfId="24241" xr:uid="{00000000-0005-0000-0000-0000AB140000}"/>
    <cellStyle name="20% - Accent3 9 2 3 2 2 3 2" xfId="48074" xr:uid="{3BE9E440-C78E-4DFE-98FE-6FB394223CD2}"/>
    <cellStyle name="20% - Accent3 9 2 3 2 2 4" xfId="32197" xr:uid="{FF50FCE9-DACD-4C84-8BB0-1B893FBD30BB}"/>
    <cellStyle name="20% - Accent3 9 2 3 2 3" xfId="12757" xr:uid="{00000000-0005-0000-0000-0000AC140000}"/>
    <cellStyle name="20% - Accent3 9 2 3 2 3 2" xfId="36607" xr:uid="{159D6013-0CB2-4919-8352-2573FA4B7549}"/>
    <cellStyle name="20% - Accent3 9 2 3 2 4" xfId="20712" xr:uid="{00000000-0005-0000-0000-0000AD140000}"/>
    <cellStyle name="20% - Accent3 9 2 3 2 4 2" xfId="44545" xr:uid="{1D143755-2056-421A-B0DB-879F98BFFB7F}"/>
    <cellStyle name="20% - Accent3 9 2 3 2 5" xfId="28666" xr:uid="{C7F6E8C0-4126-4838-85B6-90E0B2D4A529}"/>
    <cellStyle name="20% - Accent3 9 2 3 3" xfId="6565" xr:uid="{00000000-0005-0000-0000-0000AE140000}"/>
    <cellStyle name="20% - Accent3 9 2 3 3 2" xfId="14537" xr:uid="{00000000-0005-0000-0000-0000AF140000}"/>
    <cellStyle name="20% - Accent3 9 2 3 3 2 2" xfId="38380" xr:uid="{B8A08A04-2B79-487D-8AC6-97907DCDFF7C}"/>
    <cellStyle name="20% - Accent3 9 2 3 3 3" xfId="22484" xr:uid="{00000000-0005-0000-0000-0000B0140000}"/>
    <cellStyle name="20% - Accent3 9 2 3 3 3 2" xfId="46317" xr:uid="{EA73B769-2DC1-43A8-9E68-C72AF1AA9A38}"/>
    <cellStyle name="20% - Accent3 9 2 3 3 4" xfId="30439" xr:uid="{E199FB02-2E8F-4E70-BDBE-BC54922F5959}"/>
    <cellStyle name="20% - Accent3 9 2 3 4" xfId="11001" xr:uid="{00000000-0005-0000-0000-0000B1140000}"/>
    <cellStyle name="20% - Accent3 9 2 3 4 2" xfId="34851" xr:uid="{41CFD704-F6F2-4B21-B754-8F44B95EC6F5}"/>
    <cellStyle name="20% - Accent3 9 2 3 5" xfId="18956" xr:uid="{00000000-0005-0000-0000-0000B2140000}"/>
    <cellStyle name="20% - Accent3 9 2 3 5 2" xfId="42789" xr:uid="{7AFCAE14-9F78-4743-8E2E-7993C3D7A187}"/>
    <cellStyle name="20% - Accent3 9 2 3 6" xfId="26909" xr:uid="{F1A893C5-DB98-4B96-9BC2-85FC8B3C66E8}"/>
    <cellStyle name="20% - Accent3 9 2 3_Exh G" xfId="2307" xr:uid="{00000000-0005-0000-0000-0000B3140000}"/>
    <cellStyle name="20% - Accent3 9 2 4" xfId="3854" xr:uid="{00000000-0005-0000-0000-0000B4140000}"/>
    <cellStyle name="20% - Accent3 9 2 4 2" xfId="7446" xr:uid="{00000000-0005-0000-0000-0000B5140000}"/>
    <cellStyle name="20% - Accent3 9 2 4 2 2" xfId="15417" xr:uid="{00000000-0005-0000-0000-0000B6140000}"/>
    <cellStyle name="20% - Accent3 9 2 4 2 2 2" xfId="39260" xr:uid="{FB65C384-0791-4618-A720-12CB5D0BFF66}"/>
    <cellStyle name="20% - Accent3 9 2 4 2 3" xfId="23363" xr:uid="{00000000-0005-0000-0000-0000B7140000}"/>
    <cellStyle name="20% - Accent3 9 2 4 2 3 2" xfId="47196" xr:uid="{7F62659A-D286-4CA5-B814-2B05E82834C9}"/>
    <cellStyle name="20% - Accent3 9 2 4 2 4" xfId="31319" xr:uid="{F00DE273-AF3A-4D21-9D64-351A21E2C198}"/>
    <cellStyle name="20% - Accent3 9 2 4 3" xfId="11879" xr:uid="{00000000-0005-0000-0000-0000B8140000}"/>
    <cellStyle name="20% - Accent3 9 2 4 3 2" xfId="35729" xr:uid="{C0601436-0252-4CB9-81D9-EBC318CFAB7B}"/>
    <cellStyle name="20% - Accent3 9 2 4 4" xfId="19834" xr:uid="{00000000-0005-0000-0000-0000B9140000}"/>
    <cellStyle name="20% - Accent3 9 2 4 4 2" xfId="43667" xr:uid="{126865DF-1612-4E2A-AE00-7B32D4B3C4A1}"/>
    <cellStyle name="20% - Accent3 9 2 4 5" xfId="27788" xr:uid="{3DE6927B-4B5D-4118-AC60-DE5437BBC5FF}"/>
    <cellStyle name="20% - Accent3 9 2 5" xfId="5674" xr:uid="{00000000-0005-0000-0000-0000BA140000}"/>
    <cellStyle name="20% - Accent3 9 2 5 2" xfId="13658" xr:uid="{00000000-0005-0000-0000-0000BB140000}"/>
    <cellStyle name="20% - Accent3 9 2 5 2 2" xfId="37502" xr:uid="{EEC900DF-F878-4488-8D67-BC1E4F370D8F}"/>
    <cellStyle name="20% - Accent3 9 2 5 3" xfId="21606" xr:uid="{00000000-0005-0000-0000-0000BC140000}"/>
    <cellStyle name="20% - Accent3 9 2 5 3 2" xfId="45439" xr:uid="{2D91EDB7-996C-44FF-B0BC-0239CD666930}"/>
    <cellStyle name="20% - Accent3 9 2 5 4" xfId="29561" xr:uid="{589391C8-EFA6-4A9E-9848-F7F3E640D6B7}"/>
    <cellStyle name="20% - Accent3 9 2 6" xfId="9227" xr:uid="{00000000-0005-0000-0000-0000BD140000}"/>
    <cellStyle name="20% - Accent3 9 2 6 2" xfId="17185" xr:uid="{00000000-0005-0000-0000-0000BE140000}"/>
    <cellStyle name="20% - Accent3 9 2 6 2 2" xfId="41026" xr:uid="{FE4FD6EA-8F7A-4631-AA78-9F6017D1957C}"/>
    <cellStyle name="20% - Accent3 9 2 6 3" xfId="25129" xr:uid="{00000000-0005-0000-0000-0000BF140000}"/>
    <cellStyle name="20% - Accent3 9 2 6 3 2" xfId="48962" xr:uid="{7D0FCB70-B1A1-4805-9862-90B1CA6DF28A}"/>
    <cellStyle name="20% - Accent3 9 2 6 4" xfId="33085" xr:uid="{5E6C1497-8C33-4672-A783-B0809EDD7062}"/>
    <cellStyle name="20% - Accent3 9 2 7" xfId="10123" xr:uid="{00000000-0005-0000-0000-0000C0140000}"/>
    <cellStyle name="20% - Accent3 9 2 7 2" xfId="33973" xr:uid="{44A06B9B-14CC-4EBE-9CAB-CA33BB3EFE76}"/>
    <cellStyle name="20% - Accent3 9 2 8" xfId="18078" xr:uid="{00000000-0005-0000-0000-0000C1140000}"/>
    <cellStyle name="20% - Accent3 9 2 8 2" xfId="41911" xr:uid="{A4066BE9-333F-4FF8-87DF-58A146C2F78D}"/>
    <cellStyle name="20% - Accent3 9 2 9" xfId="26031" xr:uid="{BF9842D0-CEE7-4954-9394-AB961AE53112}"/>
    <cellStyle name="20% - Accent3 9 2_Exh G" xfId="2304" xr:uid="{00000000-0005-0000-0000-0000C2140000}"/>
    <cellStyle name="20% - Accent3 9 3" xfId="177" xr:uid="{00000000-0005-0000-0000-0000C3140000}"/>
    <cellStyle name="20% - Accent3 9 3 2" xfId="1205" xr:uid="{00000000-0005-0000-0000-0000C4140000}"/>
    <cellStyle name="20% - Accent3 9 3 2 2" xfId="4735" xr:uid="{00000000-0005-0000-0000-0000C5140000}"/>
    <cellStyle name="20% - Accent3 9 3 2 2 2" xfId="8326" xr:uid="{00000000-0005-0000-0000-0000C6140000}"/>
    <cellStyle name="20% - Accent3 9 3 2 2 2 2" xfId="16297" xr:uid="{00000000-0005-0000-0000-0000C7140000}"/>
    <cellStyle name="20% - Accent3 9 3 2 2 2 2 2" xfId="40140" xr:uid="{0CB056F6-12D9-4C80-8E91-D30C4F974D2A}"/>
    <cellStyle name="20% - Accent3 9 3 2 2 2 3" xfId="24243" xr:uid="{00000000-0005-0000-0000-0000C8140000}"/>
    <cellStyle name="20% - Accent3 9 3 2 2 2 3 2" xfId="48076" xr:uid="{352E9727-D09D-45A1-A374-A33875E66BA7}"/>
    <cellStyle name="20% - Accent3 9 3 2 2 2 4" xfId="32199" xr:uid="{2EB79B4D-E15D-4551-9550-EB6C1A1E43D0}"/>
    <cellStyle name="20% - Accent3 9 3 2 2 3" xfId="12759" xr:uid="{00000000-0005-0000-0000-0000C9140000}"/>
    <cellStyle name="20% - Accent3 9 3 2 2 3 2" xfId="36609" xr:uid="{1B6C61F7-268A-4F9B-BCD0-7C8DA32A6817}"/>
    <cellStyle name="20% - Accent3 9 3 2 2 4" xfId="20714" xr:uid="{00000000-0005-0000-0000-0000CA140000}"/>
    <cellStyle name="20% - Accent3 9 3 2 2 4 2" xfId="44547" xr:uid="{9FA5FCF2-22DA-4057-8FB5-BA6AA6EDA75D}"/>
    <cellStyle name="20% - Accent3 9 3 2 2 5" xfId="28668" xr:uid="{BD75BF92-C4A8-4293-9A79-CE9E97058918}"/>
    <cellStyle name="20% - Accent3 9 3 2 3" xfId="6567" xr:uid="{00000000-0005-0000-0000-0000CB140000}"/>
    <cellStyle name="20% - Accent3 9 3 2 3 2" xfId="14539" xr:uid="{00000000-0005-0000-0000-0000CC140000}"/>
    <cellStyle name="20% - Accent3 9 3 2 3 2 2" xfId="38382" xr:uid="{8E332A04-C94C-49F3-A26B-AF5C896E1DDC}"/>
    <cellStyle name="20% - Accent3 9 3 2 3 3" xfId="22486" xr:uid="{00000000-0005-0000-0000-0000CD140000}"/>
    <cellStyle name="20% - Accent3 9 3 2 3 3 2" xfId="46319" xr:uid="{97648D8B-8BB9-4F31-85E9-FD5A900CF7C7}"/>
    <cellStyle name="20% - Accent3 9 3 2 3 4" xfId="30441" xr:uid="{716107AE-F2AB-4B43-B23F-46D8F9A2B74B}"/>
    <cellStyle name="20% - Accent3 9 3 2 4" xfId="11003" xr:uid="{00000000-0005-0000-0000-0000CE140000}"/>
    <cellStyle name="20% - Accent3 9 3 2 4 2" xfId="34853" xr:uid="{85754EB5-C388-4A49-BB50-EEC9DD7F26AD}"/>
    <cellStyle name="20% - Accent3 9 3 2 5" xfId="18958" xr:uid="{00000000-0005-0000-0000-0000CF140000}"/>
    <cellStyle name="20% - Accent3 9 3 2 5 2" xfId="42791" xr:uid="{ED4BF40D-F34E-45B6-B278-66B9381DD7BD}"/>
    <cellStyle name="20% - Accent3 9 3 2 6" xfId="26911" xr:uid="{1C8F9E74-3905-4E9A-A116-3A2D0EBB45E4}"/>
    <cellStyle name="20% - Accent3 9 3 2_Exh G" xfId="2309" xr:uid="{00000000-0005-0000-0000-0000D0140000}"/>
    <cellStyle name="20% - Accent3 9 3 3" xfId="3856" xr:uid="{00000000-0005-0000-0000-0000D1140000}"/>
    <cellStyle name="20% - Accent3 9 3 3 2" xfId="7448" xr:uid="{00000000-0005-0000-0000-0000D2140000}"/>
    <cellStyle name="20% - Accent3 9 3 3 2 2" xfId="15419" xr:uid="{00000000-0005-0000-0000-0000D3140000}"/>
    <cellStyle name="20% - Accent3 9 3 3 2 2 2" xfId="39262" xr:uid="{1139BB4E-B451-440E-A1F1-128030F78C56}"/>
    <cellStyle name="20% - Accent3 9 3 3 2 3" xfId="23365" xr:uid="{00000000-0005-0000-0000-0000D4140000}"/>
    <cellStyle name="20% - Accent3 9 3 3 2 3 2" xfId="47198" xr:uid="{6A7B64D3-A853-4173-A9E2-538E03E86286}"/>
    <cellStyle name="20% - Accent3 9 3 3 2 4" xfId="31321" xr:uid="{298D74C9-877E-4EB2-907E-372F6FF44834}"/>
    <cellStyle name="20% - Accent3 9 3 3 3" xfId="11881" xr:uid="{00000000-0005-0000-0000-0000D5140000}"/>
    <cellStyle name="20% - Accent3 9 3 3 3 2" xfId="35731" xr:uid="{A201DD90-897F-4FE1-BF65-4B813326284E}"/>
    <cellStyle name="20% - Accent3 9 3 3 4" xfId="19836" xr:uid="{00000000-0005-0000-0000-0000D6140000}"/>
    <cellStyle name="20% - Accent3 9 3 3 4 2" xfId="43669" xr:uid="{33BD83C2-2422-4A04-99C2-E7194C8F6F35}"/>
    <cellStyle name="20% - Accent3 9 3 3 5" xfId="27790" xr:uid="{1DF7EA5D-2240-4E66-987C-41452FFC4DAE}"/>
    <cellStyle name="20% - Accent3 9 3 4" xfId="5676" xr:uid="{00000000-0005-0000-0000-0000D7140000}"/>
    <cellStyle name="20% - Accent3 9 3 4 2" xfId="13660" xr:uid="{00000000-0005-0000-0000-0000D8140000}"/>
    <cellStyle name="20% - Accent3 9 3 4 2 2" xfId="37504" xr:uid="{B737035C-C39D-444D-933D-BEA30DC1420C}"/>
    <cellStyle name="20% - Accent3 9 3 4 3" xfId="21608" xr:uid="{00000000-0005-0000-0000-0000D9140000}"/>
    <cellStyle name="20% - Accent3 9 3 4 3 2" xfId="45441" xr:uid="{36D7B509-8E76-4DCF-9153-91D17CC0268C}"/>
    <cellStyle name="20% - Accent3 9 3 4 4" xfId="29563" xr:uid="{9D2135EC-C468-4B1C-A396-117B96D1A1F8}"/>
    <cellStyle name="20% - Accent3 9 3 5" xfId="9229" xr:uid="{00000000-0005-0000-0000-0000DA140000}"/>
    <cellStyle name="20% - Accent3 9 3 5 2" xfId="17187" xr:uid="{00000000-0005-0000-0000-0000DB140000}"/>
    <cellStyle name="20% - Accent3 9 3 5 2 2" xfId="41028" xr:uid="{977DC873-74A3-4DD5-9A61-60B43B7EFCD0}"/>
    <cellStyle name="20% - Accent3 9 3 5 3" xfId="25131" xr:uid="{00000000-0005-0000-0000-0000DC140000}"/>
    <cellStyle name="20% - Accent3 9 3 5 3 2" xfId="48964" xr:uid="{73E6C3DF-16A9-4E7F-8016-16143097B5E7}"/>
    <cellStyle name="20% - Accent3 9 3 5 4" xfId="33087" xr:uid="{B371CBC6-0F27-4EA8-BF23-9DBC849C78F3}"/>
    <cellStyle name="20% - Accent3 9 3 6" xfId="10125" xr:uid="{00000000-0005-0000-0000-0000DD140000}"/>
    <cellStyle name="20% - Accent3 9 3 6 2" xfId="33975" xr:uid="{3DEEBA39-3698-429B-AD7F-097FEEF92B09}"/>
    <cellStyle name="20% - Accent3 9 3 7" xfId="18080" xr:uid="{00000000-0005-0000-0000-0000DE140000}"/>
    <cellStyle name="20% - Accent3 9 3 7 2" xfId="41913" xr:uid="{6BE1AA18-8A0B-433B-B9F5-504B7CFDAC62}"/>
    <cellStyle name="20% - Accent3 9 3 8" xfId="26033" xr:uid="{6A957332-5207-43DF-AD81-CA33499B0451}"/>
    <cellStyle name="20% - Accent3 9 3_Exh G" xfId="2308" xr:uid="{00000000-0005-0000-0000-0000DF140000}"/>
    <cellStyle name="20% - Accent3 9 4" xfId="897" xr:uid="{00000000-0005-0000-0000-0000E0140000}"/>
    <cellStyle name="20% - Accent3 9 4 2" xfId="1828" xr:uid="{00000000-0005-0000-0000-0000E1140000}"/>
    <cellStyle name="20% - Accent3 9 4 2 2" xfId="5346" xr:uid="{00000000-0005-0000-0000-0000E2140000}"/>
    <cellStyle name="20% - Accent3 9 4 2 2 2" xfId="8937" xr:uid="{00000000-0005-0000-0000-0000E3140000}"/>
    <cellStyle name="20% - Accent3 9 4 2 2 2 2" xfId="16908" xr:uid="{00000000-0005-0000-0000-0000E4140000}"/>
    <cellStyle name="20% - Accent3 9 4 2 2 2 2 2" xfId="40751" xr:uid="{FD8E7011-EAC3-4406-9088-03F70BDCBC3F}"/>
    <cellStyle name="20% - Accent3 9 4 2 2 2 3" xfId="24854" xr:uid="{00000000-0005-0000-0000-0000E5140000}"/>
    <cellStyle name="20% - Accent3 9 4 2 2 2 3 2" xfId="48687" xr:uid="{FE034497-E8B0-416B-BABC-077EE98E9477}"/>
    <cellStyle name="20% - Accent3 9 4 2 2 2 4" xfId="32810" xr:uid="{1CDEBDF1-390D-4696-A417-3A81C5BA7F34}"/>
    <cellStyle name="20% - Accent3 9 4 2 2 3" xfId="13370" xr:uid="{00000000-0005-0000-0000-0000E6140000}"/>
    <cellStyle name="20% - Accent3 9 4 2 2 3 2" xfId="37220" xr:uid="{DCAA0EF9-A40B-40CB-8EF5-D73302FD3CCF}"/>
    <cellStyle name="20% - Accent3 9 4 2 2 4" xfId="21325" xr:uid="{00000000-0005-0000-0000-0000E7140000}"/>
    <cellStyle name="20% - Accent3 9 4 2 2 4 2" xfId="45158" xr:uid="{37EF1A8C-DD58-49F5-BA99-F4F942412207}"/>
    <cellStyle name="20% - Accent3 9 4 2 2 5" xfId="29279" xr:uid="{8C8B8036-FF4B-49F6-B78F-785F326CE40E}"/>
    <cellStyle name="20% - Accent3 9 4 2 3" xfId="7178" xr:uid="{00000000-0005-0000-0000-0000E8140000}"/>
    <cellStyle name="20% - Accent3 9 4 2 3 2" xfId="15150" xr:uid="{00000000-0005-0000-0000-0000E9140000}"/>
    <cellStyle name="20% - Accent3 9 4 2 3 2 2" xfId="38993" xr:uid="{773B1E98-480C-492F-9692-943D762E3A0D}"/>
    <cellStyle name="20% - Accent3 9 4 2 3 3" xfId="23097" xr:uid="{00000000-0005-0000-0000-0000EA140000}"/>
    <cellStyle name="20% - Accent3 9 4 2 3 3 2" xfId="46930" xr:uid="{3E089E2E-DDE9-4959-9797-FE352621F73B}"/>
    <cellStyle name="20% - Accent3 9 4 2 3 4" xfId="31052" xr:uid="{4C11658F-3EBB-428C-ABF3-D1EC5127D76F}"/>
    <cellStyle name="20% - Accent3 9 4 2 4" xfId="11614" xr:uid="{00000000-0005-0000-0000-0000EB140000}"/>
    <cellStyle name="20% - Accent3 9 4 2 4 2" xfId="35464" xr:uid="{6E44BD39-1622-484C-9438-40C43B61851A}"/>
    <cellStyle name="20% - Accent3 9 4 2 5" xfId="19569" xr:uid="{00000000-0005-0000-0000-0000EC140000}"/>
    <cellStyle name="20% - Accent3 9 4 2 5 2" xfId="43402" xr:uid="{F12BD5D0-0AEC-4FFA-8038-9AAB8A474C05}"/>
    <cellStyle name="20% - Accent3 9 4 2 6" xfId="27522" xr:uid="{A2A5613E-8C3A-41E4-8B96-D0D75F079804}"/>
    <cellStyle name="20% - Accent3 9 4 2_Exh G" xfId="2311" xr:uid="{00000000-0005-0000-0000-0000ED140000}"/>
    <cellStyle name="20% - Accent3 9 4 3" xfId="4467" xr:uid="{00000000-0005-0000-0000-0000EE140000}"/>
    <cellStyle name="20% - Accent3 9 4 3 2" xfId="8059" xr:uid="{00000000-0005-0000-0000-0000EF140000}"/>
    <cellStyle name="20% - Accent3 9 4 3 2 2" xfId="16030" xr:uid="{00000000-0005-0000-0000-0000F0140000}"/>
    <cellStyle name="20% - Accent3 9 4 3 2 2 2" xfId="39873" xr:uid="{E26EA180-0A2B-40FF-8D53-770B3AD5A5D2}"/>
    <cellStyle name="20% - Accent3 9 4 3 2 3" xfId="23976" xr:uid="{00000000-0005-0000-0000-0000F1140000}"/>
    <cellStyle name="20% - Accent3 9 4 3 2 3 2" xfId="47809" xr:uid="{1B3DD492-688D-4FE6-8E0D-33A356144D56}"/>
    <cellStyle name="20% - Accent3 9 4 3 2 4" xfId="31932" xr:uid="{7F493C64-DFFE-467F-B873-6044DE6628AF}"/>
    <cellStyle name="20% - Accent3 9 4 3 3" xfId="12492" xr:uid="{00000000-0005-0000-0000-0000F2140000}"/>
    <cellStyle name="20% - Accent3 9 4 3 3 2" xfId="36342" xr:uid="{14071E49-62DB-4C3E-B780-8557C106470B}"/>
    <cellStyle name="20% - Accent3 9 4 3 4" xfId="20447" xr:uid="{00000000-0005-0000-0000-0000F3140000}"/>
    <cellStyle name="20% - Accent3 9 4 3 4 2" xfId="44280" xr:uid="{DC7AABC5-78F1-43BF-A2D4-D9AE872283D2}"/>
    <cellStyle name="20% - Accent3 9 4 3 5" xfId="28401" xr:uid="{1A4EB8FD-68C4-42A9-A4E1-E62B63714587}"/>
    <cellStyle name="20% - Accent3 9 4 4" xfId="6297" xr:uid="{00000000-0005-0000-0000-0000F4140000}"/>
    <cellStyle name="20% - Accent3 9 4 4 2" xfId="14272" xr:uid="{00000000-0005-0000-0000-0000F5140000}"/>
    <cellStyle name="20% - Accent3 9 4 4 2 2" xfId="38115" xr:uid="{EBC6B371-61F2-43AC-961F-5CF9DFBC7453}"/>
    <cellStyle name="20% - Accent3 9 4 4 3" xfId="22219" xr:uid="{00000000-0005-0000-0000-0000F6140000}"/>
    <cellStyle name="20% - Accent3 9 4 4 3 2" xfId="46052" xr:uid="{42CD0C5B-FAE8-4662-A7D6-D3B6F7301168}"/>
    <cellStyle name="20% - Accent3 9 4 4 4" xfId="30174" xr:uid="{9FF44706-2102-446E-BFA5-121CE8BF9837}"/>
    <cellStyle name="20% - Accent3 9 4 5" xfId="9840" xr:uid="{00000000-0005-0000-0000-0000F7140000}"/>
    <cellStyle name="20% - Accent3 9 4 5 2" xfId="17798" xr:uid="{00000000-0005-0000-0000-0000F8140000}"/>
    <cellStyle name="20% - Accent3 9 4 5 2 2" xfId="41639" xr:uid="{1C7A1641-43F4-46B8-A178-159AFFA556F4}"/>
    <cellStyle name="20% - Accent3 9 4 5 3" xfId="25742" xr:uid="{00000000-0005-0000-0000-0000F9140000}"/>
    <cellStyle name="20% - Accent3 9 4 5 3 2" xfId="49575" xr:uid="{48143ED0-5113-4383-A492-62EBD8F0C65A}"/>
    <cellStyle name="20% - Accent3 9 4 5 4" xfId="33698" xr:uid="{43DB76FC-39AC-4510-99F4-9759835B1DE3}"/>
    <cellStyle name="20% - Accent3 9 4 6" xfId="10736" xr:uid="{00000000-0005-0000-0000-0000FA140000}"/>
    <cellStyle name="20% - Accent3 9 4 6 2" xfId="34586" xr:uid="{2885A20F-5D2B-4283-9F1E-498F0E5DF4C3}"/>
    <cellStyle name="20% - Accent3 9 4 7" xfId="18691" xr:uid="{00000000-0005-0000-0000-0000FB140000}"/>
    <cellStyle name="20% - Accent3 9 4 7 2" xfId="42524" xr:uid="{24D5E474-F503-41D5-AB35-C1DDFFB94D6F}"/>
    <cellStyle name="20% - Accent3 9 4 8" xfId="26644" xr:uid="{C66B4614-1005-4887-8BE1-DA22156740B1}"/>
    <cellStyle name="20% - Accent3 9 4_Exh G" xfId="2310" xr:uid="{00000000-0005-0000-0000-0000FC140000}"/>
    <cellStyle name="20% - Accent3 9 5" xfId="1202" xr:uid="{00000000-0005-0000-0000-0000FD140000}"/>
    <cellStyle name="20% - Accent3 9 5 2" xfId="4732" xr:uid="{00000000-0005-0000-0000-0000FE140000}"/>
    <cellStyle name="20% - Accent3 9 5 2 2" xfId="8323" xr:uid="{00000000-0005-0000-0000-0000FF140000}"/>
    <cellStyle name="20% - Accent3 9 5 2 2 2" xfId="16294" xr:uid="{00000000-0005-0000-0000-000000150000}"/>
    <cellStyle name="20% - Accent3 9 5 2 2 2 2" xfId="40137" xr:uid="{5F21681E-E8E2-44C7-BC2E-67BD9FFDED20}"/>
    <cellStyle name="20% - Accent3 9 5 2 2 3" xfId="24240" xr:uid="{00000000-0005-0000-0000-000001150000}"/>
    <cellStyle name="20% - Accent3 9 5 2 2 3 2" xfId="48073" xr:uid="{2259CAF4-88E4-4852-B5B6-85A780F85EC3}"/>
    <cellStyle name="20% - Accent3 9 5 2 2 4" xfId="32196" xr:uid="{836AE203-9BEB-4AAF-88FA-465410C13099}"/>
    <cellStyle name="20% - Accent3 9 5 2 3" xfId="12756" xr:uid="{00000000-0005-0000-0000-000002150000}"/>
    <cellStyle name="20% - Accent3 9 5 2 3 2" xfId="36606" xr:uid="{60166B33-2449-44F8-8047-BC1073EFC2BF}"/>
    <cellStyle name="20% - Accent3 9 5 2 4" xfId="20711" xr:uid="{00000000-0005-0000-0000-000003150000}"/>
    <cellStyle name="20% - Accent3 9 5 2 4 2" xfId="44544" xr:uid="{E9C1F6F6-ECCF-414D-81B9-8043215DA4BC}"/>
    <cellStyle name="20% - Accent3 9 5 2 5" xfId="28665" xr:uid="{03DC1EA0-BD09-434E-A8CB-75113258B1F2}"/>
    <cellStyle name="20% - Accent3 9 5 3" xfId="6564" xr:uid="{00000000-0005-0000-0000-000004150000}"/>
    <cellStyle name="20% - Accent3 9 5 3 2" xfId="14536" xr:uid="{00000000-0005-0000-0000-000005150000}"/>
    <cellStyle name="20% - Accent3 9 5 3 2 2" xfId="38379" xr:uid="{46D4F9EE-B09B-428C-AF9F-403A2B3DE642}"/>
    <cellStyle name="20% - Accent3 9 5 3 3" xfId="22483" xr:uid="{00000000-0005-0000-0000-000006150000}"/>
    <cellStyle name="20% - Accent3 9 5 3 3 2" xfId="46316" xr:uid="{54E74C03-31C4-4E24-946D-A3333E98CA96}"/>
    <cellStyle name="20% - Accent3 9 5 3 4" xfId="30438" xr:uid="{7A29D798-DDBC-465C-AED3-91D6C47BE8CC}"/>
    <cellStyle name="20% - Accent3 9 5 4" xfId="11000" xr:uid="{00000000-0005-0000-0000-000007150000}"/>
    <cellStyle name="20% - Accent3 9 5 4 2" xfId="34850" xr:uid="{0B7532A6-4BBF-46CB-8D73-6E9968C74197}"/>
    <cellStyle name="20% - Accent3 9 5 5" xfId="18955" xr:uid="{00000000-0005-0000-0000-000008150000}"/>
    <cellStyle name="20% - Accent3 9 5 5 2" xfId="42788" xr:uid="{DCE1746E-93C9-40B9-9D8D-D32A937F1A7C}"/>
    <cellStyle name="20% - Accent3 9 5 6" xfId="26908" xr:uid="{2F6D3814-1122-4833-9070-4A45659780C1}"/>
    <cellStyle name="20% - Accent3 9 5_Exh G" xfId="2312" xr:uid="{00000000-0005-0000-0000-000009150000}"/>
    <cellStyle name="20% - Accent3 9 6" xfId="3853" xr:uid="{00000000-0005-0000-0000-00000A150000}"/>
    <cellStyle name="20% - Accent3 9 6 2" xfId="7445" xr:uid="{00000000-0005-0000-0000-00000B150000}"/>
    <cellStyle name="20% - Accent3 9 6 2 2" xfId="15416" xr:uid="{00000000-0005-0000-0000-00000C150000}"/>
    <cellStyle name="20% - Accent3 9 6 2 2 2" xfId="39259" xr:uid="{AE63065B-29B2-4575-9B9A-B4BFDF4AEBDD}"/>
    <cellStyle name="20% - Accent3 9 6 2 3" xfId="23362" xr:uid="{00000000-0005-0000-0000-00000D150000}"/>
    <cellStyle name="20% - Accent3 9 6 2 3 2" xfId="47195" xr:uid="{37EBDE0E-3C9C-4E58-8B2E-FDED7C1E817C}"/>
    <cellStyle name="20% - Accent3 9 6 2 4" xfId="31318" xr:uid="{4684D424-CF16-4BF7-9E45-3A5A393626B4}"/>
    <cellStyle name="20% - Accent3 9 6 3" xfId="11878" xr:uid="{00000000-0005-0000-0000-00000E150000}"/>
    <cellStyle name="20% - Accent3 9 6 3 2" xfId="35728" xr:uid="{7403103F-5870-4E9D-8F91-36C9B674380B}"/>
    <cellStyle name="20% - Accent3 9 6 4" xfId="19833" xr:uid="{00000000-0005-0000-0000-00000F150000}"/>
    <cellStyle name="20% - Accent3 9 6 4 2" xfId="43666" xr:uid="{F04D24F0-5D00-4D05-9076-35B74D5F765C}"/>
    <cellStyle name="20% - Accent3 9 6 5" xfId="27787" xr:uid="{32E17575-CBC6-4F53-BC4B-E1A014264D2B}"/>
    <cellStyle name="20% - Accent3 9 7" xfId="5673" xr:uid="{00000000-0005-0000-0000-000010150000}"/>
    <cellStyle name="20% - Accent3 9 7 2" xfId="13657" xr:uid="{00000000-0005-0000-0000-000011150000}"/>
    <cellStyle name="20% - Accent3 9 7 2 2" xfId="37501" xr:uid="{7F3EC53E-C744-45AF-A878-B11A02D1E10E}"/>
    <cellStyle name="20% - Accent3 9 7 3" xfId="21605" xr:uid="{00000000-0005-0000-0000-000012150000}"/>
    <cellStyle name="20% - Accent3 9 7 3 2" xfId="45438" xr:uid="{F095DD1A-0F12-4863-859C-5C441E7CB34C}"/>
    <cellStyle name="20% - Accent3 9 7 4" xfId="29560" xr:uid="{BFFFE00B-0723-4914-A42F-5737CC00CC17}"/>
    <cellStyle name="20% - Accent3 9 8" xfId="9226" xr:uid="{00000000-0005-0000-0000-000013150000}"/>
    <cellStyle name="20% - Accent3 9 8 2" xfId="17184" xr:uid="{00000000-0005-0000-0000-000014150000}"/>
    <cellStyle name="20% - Accent3 9 8 2 2" xfId="41025" xr:uid="{BAC9DA51-2446-4133-A57F-EC0E20A87258}"/>
    <cellStyle name="20% - Accent3 9 8 3" xfId="25128" xr:uid="{00000000-0005-0000-0000-000015150000}"/>
    <cellStyle name="20% - Accent3 9 8 3 2" xfId="48961" xr:uid="{A64122E5-F97F-4244-BCC0-5C1693A80EC2}"/>
    <cellStyle name="20% - Accent3 9 8 4" xfId="33084" xr:uid="{7D538913-FCBE-4525-A31C-F88FAF40DF2A}"/>
    <cellStyle name="20% - Accent3 9 9" xfId="10122" xr:uid="{00000000-0005-0000-0000-000016150000}"/>
    <cellStyle name="20% - Accent3 9 9 2" xfId="33972" xr:uid="{43D3D088-7E98-43DE-8516-B3C42D16493F}"/>
    <cellStyle name="20% - Accent3 9_Exh G" xfId="2303" xr:uid="{00000000-0005-0000-0000-000017150000}"/>
    <cellStyle name="20% - Accent4" xfId="49703" builtinId="42" customBuiltin="1"/>
    <cellStyle name="20% - Accent4 10" xfId="178" xr:uid="{00000000-0005-0000-0000-000018150000}"/>
    <cellStyle name="20% - Accent4 10 10" xfId="18081" xr:uid="{00000000-0005-0000-0000-000019150000}"/>
    <cellStyle name="20% - Accent4 10 10 2" xfId="41914" xr:uid="{16C6ABD7-1802-4D6C-82B9-1FFE6003C3D2}"/>
    <cellStyle name="20% - Accent4 10 11" xfId="26034" xr:uid="{97C73937-31D1-4176-90D5-40B33734DD01}"/>
    <cellStyle name="20% - Accent4 10 2" xfId="179" xr:uid="{00000000-0005-0000-0000-00001A150000}"/>
    <cellStyle name="20% - Accent4 10 2 2" xfId="180" xr:uid="{00000000-0005-0000-0000-00001B150000}"/>
    <cellStyle name="20% - Accent4 10 2 2 2" xfId="1208" xr:uid="{00000000-0005-0000-0000-00001C150000}"/>
    <cellStyle name="20% - Accent4 10 2 2 2 2" xfId="4738" xr:uid="{00000000-0005-0000-0000-00001D150000}"/>
    <cellStyle name="20% - Accent4 10 2 2 2 2 2" xfId="8329" xr:uid="{00000000-0005-0000-0000-00001E150000}"/>
    <cellStyle name="20% - Accent4 10 2 2 2 2 2 2" xfId="16300" xr:uid="{00000000-0005-0000-0000-00001F150000}"/>
    <cellStyle name="20% - Accent4 10 2 2 2 2 2 2 2" xfId="40143" xr:uid="{A8B9E22C-AE54-4DAC-B53B-B5F329ACC4A2}"/>
    <cellStyle name="20% - Accent4 10 2 2 2 2 2 3" xfId="24246" xr:uid="{00000000-0005-0000-0000-000020150000}"/>
    <cellStyle name="20% - Accent4 10 2 2 2 2 2 3 2" xfId="48079" xr:uid="{8C98EADD-1E1F-4331-B63E-D2CB971F071E}"/>
    <cellStyle name="20% - Accent4 10 2 2 2 2 2 4" xfId="32202" xr:uid="{76D1E5AD-7A3B-48FF-AA48-B3F2F0414862}"/>
    <cellStyle name="20% - Accent4 10 2 2 2 2 3" xfId="12762" xr:uid="{00000000-0005-0000-0000-000021150000}"/>
    <cellStyle name="20% - Accent4 10 2 2 2 2 3 2" xfId="36612" xr:uid="{D85BEAC5-D709-403D-86C0-DF8C06DCDB53}"/>
    <cellStyle name="20% - Accent4 10 2 2 2 2 4" xfId="20717" xr:uid="{00000000-0005-0000-0000-000022150000}"/>
    <cellStyle name="20% - Accent4 10 2 2 2 2 4 2" xfId="44550" xr:uid="{37DC7FC6-99AC-4C21-86AA-5D5882461D60}"/>
    <cellStyle name="20% - Accent4 10 2 2 2 2 5" xfId="28671" xr:uid="{4E3D27AB-1A05-4632-975F-73028D8E7BB3}"/>
    <cellStyle name="20% - Accent4 10 2 2 2 3" xfId="6570" xr:uid="{00000000-0005-0000-0000-000023150000}"/>
    <cellStyle name="20% - Accent4 10 2 2 2 3 2" xfId="14542" xr:uid="{00000000-0005-0000-0000-000024150000}"/>
    <cellStyle name="20% - Accent4 10 2 2 2 3 2 2" xfId="38385" xr:uid="{3EF91D84-F058-486B-844F-68CBDA8B1A34}"/>
    <cellStyle name="20% - Accent4 10 2 2 2 3 3" xfId="22489" xr:uid="{00000000-0005-0000-0000-000025150000}"/>
    <cellStyle name="20% - Accent4 10 2 2 2 3 3 2" xfId="46322" xr:uid="{EAB39257-B043-42E9-BA4B-7C06E2481C5A}"/>
    <cellStyle name="20% - Accent4 10 2 2 2 3 4" xfId="30444" xr:uid="{AB493DF0-0326-4D94-88C4-E2179B660D9A}"/>
    <cellStyle name="20% - Accent4 10 2 2 2 4" xfId="11006" xr:uid="{00000000-0005-0000-0000-000026150000}"/>
    <cellStyle name="20% - Accent4 10 2 2 2 4 2" xfId="34856" xr:uid="{066EF958-1E69-4433-A2F8-07592A003C5D}"/>
    <cellStyle name="20% - Accent4 10 2 2 2 5" xfId="18961" xr:uid="{00000000-0005-0000-0000-000027150000}"/>
    <cellStyle name="20% - Accent4 10 2 2 2 5 2" xfId="42794" xr:uid="{8D8142BA-4803-49EC-A306-51EFC522BB5A}"/>
    <cellStyle name="20% - Accent4 10 2 2 2 6" xfId="26914" xr:uid="{57FC2B10-612A-4EB7-9603-C72BC0E71E32}"/>
    <cellStyle name="20% - Accent4 10 2 2 2_Exh G" xfId="2316" xr:uid="{00000000-0005-0000-0000-000028150000}"/>
    <cellStyle name="20% - Accent4 10 2 2 3" xfId="3859" xr:uid="{00000000-0005-0000-0000-000029150000}"/>
    <cellStyle name="20% - Accent4 10 2 2 3 2" xfId="7451" xr:uid="{00000000-0005-0000-0000-00002A150000}"/>
    <cellStyle name="20% - Accent4 10 2 2 3 2 2" xfId="15422" xr:uid="{00000000-0005-0000-0000-00002B150000}"/>
    <cellStyle name="20% - Accent4 10 2 2 3 2 2 2" xfId="39265" xr:uid="{2F5A7FEA-B033-434B-9564-BAFE43B27395}"/>
    <cellStyle name="20% - Accent4 10 2 2 3 2 3" xfId="23368" xr:uid="{00000000-0005-0000-0000-00002C150000}"/>
    <cellStyle name="20% - Accent4 10 2 2 3 2 3 2" xfId="47201" xr:uid="{8BA645BC-DDBB-4133-A76D-DFDBD6D27FEF}"/>
    <cellStyle name="20% - Accent4 10 2 2 3 2 4" xfId="31324" xr:uid="{90A5EBFF-1F23-4019-9C90-5EF19CB9835B}"/>
    <cellStyle name="20% - Accent4 10 2 2 3 3" xfId="11884" xr:uid="{00000000-0005-0000-0000-00002D150000}"/>
    <cellStyle name="20% - Accent4 10 2 2 3 3 2" xfId="35734" xr:uid="{B53CAA47-DAE3-4817-94F3-F3023A5150D8}"/>
    <cellStyle name="20% - Accent4 10 2 2 3 4" xfId="19839" xr:uid="{00000000-0005-0000-0000-00002E150000}"/>
    <cellStyle name="20% - Accent4 10 2 2 3 4 2" xfId="43672" xr:uid="{DA040A11-DCC7-4092-B14C-F398B92E0F6F}"/>
    <cellStyle name="20% - Accent4 10 2 2 3 5" xfId="27793" xr:uid="{39689948-C971-4F16-987D-1872B4DBC146}"/>
    <cellStyle name="20% - Accent4 10 2 2 4" xfId="5679" xr:uid="{00000000-0005-0000-0000-00002F150000}"/>
    <cellStyle name="20% - Accent4 10 2 2 4 2" xfId="13663" xr:uid="{00000000-0005-0000-0000-000030150000}"/>
    <cellStyle name="20% - Accent4 10 2 2 4 2 2" xfId="37507" xr:uid="{4489DA08-9F8E-4D81-AFB8-D9A16F765C88}"/>
    <cellStyle name="20% - Accent4 10 2 2 4 3" xfId="21611" xr:uid="{00000000-0005-0000-0000-000031150000}"/>
    <cellStyle name="20% - Accent4 10 2 2 4 3 2" xfId="45444" xr:uid="{6D9FCA03-4F4C-48FC-851B-A75DD5308898}"/>
    <cellStyle name="20% - Accent4 10 2 2 4 4" xfId="29566" xr:uid="{0D5BDFCC-1B16-40D9-9C6A-39F63943B857}"/>
    <cellStyle name="20% - Accent4 10 2 2 5" xfId="9232" xr:uid="{00000000-0005-0000-0000-000032150000}"/>
    <cellStyle name="20% - Accent4 10 2 2 5 2" xfId="17190" xr:uid="{00000000-0005-0000-0000-000033150000}"/>
    <cellStyle name="20% - Accent4 10 2 2 5 2 2" xfId="41031" xr:uid="{FAA91C26-DBB0-45A7-8678-11E437449C84}"/>
    <cellStyle name="20% - Accent4 10 2 2 5 3" xfId="25134" xr:uid="{00000000-0005-0000-0000-000034150000}"/>
    <cellStyle name="20% - Accent4 10 2 2 5 3 2" xfId="48967" xr:uid="{6563033C-5898-4F1B-AE86-350D51F886DE}"/>
    <cellStyle name="20% - Accent4 10 2 2 5 4" xfId="33090" xr:uid="{261D4A02-0B28-4E1A-AC33-9CF5EC0F07D0}"/>
    <cellStyle name="20% - Accent4 10 2 2 6" xfId="10128" xr:uid="{00000000-0005-0000-0000-000035150000}"/>
    <cellStyle name="20% - Accent4 10 2 2 6 2" xfId="33978" xr:uid="{31E497AF-3310-438B-A346-F072FF4E3FD0}"/>
    <cellStyle name="20% - Accent4 10 2 2 7" xfId="18083" xr:uid="{00000000-0005-0000-0000-000036150000}"/>
    <cellStyle name="20% - Accent4 10 2 2 7 2" xfId="41916" xr:uid="{DF6A3FEB-F0DC-4567-AA96-E34B4C2FD456}"/>
    <cellStyle name="20% - Accent4 10 2 2 8" xfId="26036" xr:uid="{CB2D27BF-7033-4E89-918C-46E95356AE61}"/>
    <cellStyle name="20% - Accent4 10 2 2_Exh G" xfId="2315" xr:uid="{00000000-0005-0000-0000-000037150000}"/>
    <cellStyle name="20% - Accent4 10 2 3" xfId="1207" xr:uid="{00000000-0005-0000-0000-000038150000}"/>
    <cellStyle name="20% - Accent4 10 2 3 2" xfId="4737" xr:uid="{00000000-0005-0000-0000-000039150000}"/>
    <cellStyle name="20% - Accent4 10 2 3 2 2" xfId="8328" xr:uid="{00000000-0005-0000-0000-00003A150000}"/>
    <cellStyle name="20% - Accent4 10 2 3 2 2 2" xfId="16299" xr:uid="{00000000-0005-0000-0000-00003B150000}"/>
    <cellStyle name="20% - Accent4 10 2 3 2 2 2 2" xfId="40142" xr:uid="{64020D15-9BCC-41D2-93DF-9E5BA1ECA8B6}"/>
    <cellStyle name="20% - Accent4 10 2 3 2 2 3" xfId="24245" xr:uid="{00000000-0005-0000-0000-00003C150000}"/>
    <cellStyle name="20% - Accent4 10 2 3 2 2 3 2" xfId="48078" xr:uid="{D8BC23C8-0B8B-4DB2-BBE7-58C237EAE1E8}"/>
    <cellStyle name="20% - Accent4 10 2 3 2 2 4" xfId="32201" xr:uid="{5C3E22D0-EF12-4B2F-99D8-AC1F8E37DB21}"/>
    <cellStyle name="20% - Accent4 10 2 3 2 3" xfId="12761" xr:uid="{00000000-0005-0000-0000-00003D150000}"/>
    <cellStyle name="20% - Accent4 10 2 3 2 3 2" xfId="36611" xr:uid="{445A4A56-D98C-42D8-9EEA-A25E1EF864F2}"/>
    <cellStyle name="20% - Accent4 10 2 3 2 4" xfId="20716" xr:uid="{00000000-0005-0000-0000-00003E150000}"/>
    <cellStyle name="20% - Accent4 10 2 3 2 4 2" xfId="44549" xr:uid="{3B28C993-1FA4-455C-9726-210633B1BA40}"/>
    <cellStyle name="20% - Accent4 10 2 3 2 5" xfId="28670" xr:uid="{1C65A439-CD38-4CFD-B82C-D7BF7BB6BBEA}"/>
    <cellStyle name="20% - Accent4 10 2 3 3" xfId="6569" xr:uid="{00000000-0005-0000-0000-00003F150000}"/>
    <cellStyle name="20% - Accent4 10 2 3 3 2" xfId="14541" xr:uid="{00000000-0005-0000-0000-000040150000}"/>
    <cellStyle name="20% - Accent4 10 2 3 3 2 2" xfId="38384" xr:uid="{BF12241D-D908-420D-B36C-FF50DDC5B8E6}"/>
    <cellStyle name="20% - Accent4 10 2 3 3 3" xfId="22488" xr:uid="{00000000-0005-0000-0000-000041150000}"/>
    <cellStyle name="20% - Accent4 10 2 3 3 3 2" xfId="46321" xr:uid="{5491C274-8EF3-4F92-A437-23CE2088A1C3}"/>
    <cellStyle name="20% - Accent4 10 2 3 3 4" xfId="30443" xr:uid="{D517CD3B-C42F-4EF7-AF62-FEFF30340A2C}"/>
    <cellStyle name="20% - Accent4 10 2 3 4" xfId="11005" xr:uid="{00000000-0005-0000-0000-000042150000}"/>
    <cellStyle name="20% - Accent4 10 2 3 4 2" xfId="34855" xr:uid="{9CA606DC-2B3C-444F-BFF3-BC1FF7501EBF}"/>
    <cellStyle name="20% - Accent4 10 2 3 5" xfId="18960" xr:uid="{00000000-0005-0000-0000-000043150000}"/>
    <cellStyle name="20% - Accent4 10 2 3 5 2" xfId="42793" xr:uid="{61E7E5D9-F51D-488E-A82D-B37D1C3A1637}"/>
    <cellStyle name="20% - Accent4 10 2 3 6" xfId="26913" xr:uid="{CE05AF8C-8E09-4ECC-BC24-14CCA5C7E8BB}"/>
    <cellStyle name="20% - Accent4 10 2 3_Exh G" xfId="2317" xr:uid="{00000000-0005-0000-0000-000044150000}"/>
    <cellStyle name="20% - Accent4 10 2 4" xfId="3858" xr:uid="{00000000-0005-0000-0000-000045150000}"/>
    <cellStyle name="20% - Accent4 10 2 4 2" xfId="7450" xr:uid="{00000000-0005-0000-0000-000046150000}"/>
    <cellStyle name="20% - Accent4 10 2 4 2 2" xfId="15421" xr:uid="{00000000-0005-0000-0000-000047150000}"/>
    <cellStyle name="20% - Accent4 10 2 4 2 2 2" xfId="39264" xr:uid="{22C97E26-C5C8-4C6E-86C5-88D1B0D9910D}"/>
    <cellStyle name="20% - Accent4 10 2 4 2 3" xfId="23367" xr:uid="{00000000-0005-0000-0000-000048150000}"/>
    <cellStyle name="20% - Accent4 10 2 4 2 3 2" xfId="47200" xr:uid="{06E79EAA-CD49-4150-88AF-08259518DF6D}"/>
    <cellStyle name="20% - Accent4 10 2 4 2 4" xfId="31323" xr:uid="{44F41D6A-366C-4848-88B0-D23B63160010}"/>
    <cellStyle name="20% - Accent4 10 2 4 3" xfId="11883" xr:uid="{00000000-0005-0000-0000-000049150000}"/>
    <cellStyle name="20% - Accent4 10 2 4 3 2" xfId="35733" xr:uid="{E96DF573-48BE-450D-9F5B-8C972A64A04C}"/>
    <cellStyle name="20% - Accent4 10 2 4 4" xfId="19838" xr:uid="{00000000-0005-0000-0000-00004A150000}"/>
    <cellStyle name="20% - Accent4 10 2 4 4 2" xfId="43671" xr:uid="{A7163727-4E54-46C6-A482-65F6B7D3A66D}"/>
    <cellStyle name="20% - Accent4 10 2 4 5" xfId="27792" xr:uid="{F6E66A1B-C26A-4DC9-A609-43B5736BF900}"/>
    <cellStyle name="20% - Accent4 10 2 5" xfId="5678" xr:uid="{00000000-0005-0000-0000-00004B150000}"/>
    <cellStyle name="20% - Accent4 10 2 5 2" xfId="13662" xr:uid="{00000000-0005-0000-0000-00004C150000}"/>
    <cellStyle name="20% - Accent4 10 2 5 2 2" xfId="37506" xr:uid="{7E73B51F-52DB-4AA5-913F-0AC3BAAE221B}"/>
    <cellStyle name="20% - Accent4 10 2 5 3" xfId="21610" xr:uid="{00000000-0005-0000-0000-00004D150000}"/>
    <cellStyle name="20% - Accent4 10 2 5 3 2" xfId="45443" xr:uid="{295E67B8-F342-4A69-AAF2-F66941AAFFDC}"/>
    <cellStyle name="20% - Accent4 10 2 5 4" xfId="29565" xr:uid="{5DD75077-557F-40F3-AA4A-0C7615A6E1CC}"/>
    <cellStyle name="20% - Accent4 10 2 6" xfId="9231" xr:uid="{00000000-0005-0000-0000-00004E150000}"/>
    <cellStyle name="20% - Accent4 10 2 6 2" xfId="17189" xr:uid="{00000000-0005-0000-0000-00004F150000}"/>
    <cellStyle name="20% - Accent4 10 2 6 2 2" xfId="41030" xr:uid="{5BE2E86E-C61C-4AED-86D8-BB5F175679FC}"/>
    <cellStyle name="20% - Accent4 10 2 6 3" xfId="25133" xr:uid="{00000000-0005-0000-0000-000050150000}"/>
    <cellStyle name="20% - Accent4 10 2 6 3 2" xfId="48966" xr:uid="{89A07EBA-F341-4163-A3EB-96FFE2819FED}"/>
    <cellStyle name="20% - Accent4 10 2 6 4" xfId="33089" xr:uid="{1B350481-2811-4BE6-B8E9-07876A15FBF6}"/>
    <cellStyle name="20% - Accent4 10 2 7" xfId="10127" xr:uid="{00000000-0005-0000-0000-000051150000}"/>
    <cellStyle name="20% - Accent4 10 2 7 2" xfId="33977" xr:uid="{B706DC68-8B23-42F0-AF55-293B9E89CAF8}"/>
    <cellStyle name="20% - Accent4 10 2 8" xfId="18082" xr:uid="{00000000-0005-0000-0000-000052150000}"/>
    <cellStyle name="20% - Accent4 10 2 8 2" xfId="41915" xr:uid="{782C6BF3-86D9-4FAC-86F1-88DB00384278}"/>
    <cellStyle name="20% - Accent4 10 2 9" xfId="26035" xr:uid="{00BCA8A8-5205-4BE3-996B-46F2B14E9190}"/>
    <cellStyle name="20% - Accent4 10 2_Exh G" xfId="2314" xr:uid="{00000000-0005-0000-0000-000053150000}"/>
    <cellStyle name="20% - Accent4 10 3" xfId="181" xr:uid="{00000000-0005-0000-0000-000054150000}"/>
    <cellStyle name="20% - Accent4 10 3 2" xfId="1209" xr:uid="{00000000-0005-0000-0000-000055150000}"/>
    <cellStyle name="20% - Accent4 10 3 2 2" xfId="4739" xr:uid="{00000000-0005-0000-0000-000056150000}"/>
    <cellStyle name="20% - Accent4 10 3 2 2 2" xfId="8330" xr:uid="{00000000-0005-0000-0000-000057150000}"/>
    <cellStyle name="20% - Accent4 10 3 2 2 2 2" xfId="16301" xr:uid="{00000000-0005-0000-0000-000058150000}"/>
    <cellStyle name="20% - Accent4 10 3 2 2 2 2 2" xfId="40144" xr:uid="{88AF0B6E-8A9B-44C3-B7BC-57F20AA13335}"/>
    <cellStyle name="20% - Accent4 10 3 2 2 2 3" xfId="24247" xr:uid="{00000000-0005-0000-0000-000059150000}"/>
    <cellStyle name="20% - Accent4 10 3 2 2 2 3 2" xfId="48080" xr:uid="{BBE44B71-C689-487A-B263-CE754601966C}"/>
    <cellStyle name="20% - Accent4 10 3 2 2 2 4" xfId="32203" xr:uid="{E8615AE5-AE30-4F77-ACA5-7B2AD9D13E9A}"/>
    <cellStyle name="20% - Accent4 10 3 2 2 3" xfId="12763" xr:uid="{00000000-0005-0000-0000-00005A150000}"/>
    <cellStyle name="20% - Accent4 10 3 2 2 3 2" xfId="36613" xr:uid="{90EE0088-82A5-4C29-A6F6-B4EE03EE446A}"/>
    <cellStyle name="20% - Accent4 10 3 2 2 4" xfId="20718" xr:uid="{00000000-0005-0000-0000-00005B150000}"/>
    <cellStyle name="20% - Accent4 10 3 2 2 4 2" xfId="44551" xr:uid="{4C09EBEF-F8FD-483A-A879-48F1B5FC311E}"/>
    <cellStyle name="20% - Accent4 10 3 2 2 5" xfId="28672" xr:uid="{46D98C04-F832-4EF2-81AC-BB5636FC1278}"/>
    <cellStyle name="20% - Accent4 10 3 2 3" xfId="6571" xr:uid="{00000000-0005-0000-0000-00005C150000}"/>
    <cellStyle name="20% - Accent4 10 3 2 3 2" xfId="14543" xr:uid="{00000000-0005-0000-0000-00005D150000}"/>
    <cellStyle name="20% - Accent4 10 3 2 3 2 2" xfId="38386" xr:uid="{72B511B6-FEB0-43F3-9ADD-7C25EAB6710F}"/>
    <cellStyle name="20% - Accent4 10 3 2 3 3" xfId="22490" xr:uid="{00000000-0005-0000-0000-00005E150000}"/>
    <cellStyle name="20% - Accent4 10 3 2 3 3 2" xfId="46323" xr:uid="{F917EF94-E0ED-4D63-846B-678E8A8BB236}"/>
    <cellStyle name="20% - Accent4 10 3 2 3 4" xfId="30445" xr:uid="{2A7A664E-D013-47C7-AA0A-D47CEA146265}"/>
    <cellStyle name="20% - Accent4 10 3 2 4" xfId="11007" xr:uid="{00000000-0005-0000-0000-00005F150000}"/>
    <cellStyle name="20% - Accent4 10 3 2 4 2" xfId="34857" xr:uid="{3A8FC78D-FCAD-42D2-A932-280DD641FF6F}"/>
    <cellStyle name="20% - Accent4 10 3 2 5" xfId="18962" xr:uid="{00000000-0005-0000-0000-000060150000}"/>
    <cellStyle name="20% - Accent4 10 3 2 5 2" xfId="42795" xr:uid="{06BC5900-B804-447A-8598-FDBD97B561F0}"/>
    <cellStyle name="20% - Accent4 10 3 2 6" xfId="26915" xr:uid="{B8DD3B67-50AB-4C6A-9017-D0373F4DD4B9}"/>
    <cellStyle name="20% - Accent4 10 3 2_Exh G" xfId="2319" xr:uid="{00000000-0005-0000-0000-000061150000}"/>
    <cellStyle name="20% - Accent4 10 3 3" xfId="3860" xr:uid="{00000000-0005-0000-0000-000062150000}"/>
    <cellStyle name="20% - Accent4 10 3 3 2" xfId="7452" xr:uid="{00000000-0005-0000-0000-000063150000}"/>
    <cellStyle name="20% - Accent4 10 3 3 2 2" xfId="15423" xr:uid="{00000000-0005-0000-0000-000064150000}"/>
    <cellStyle name="20% - Accent4 10 3 3 2 2 2" xfId="39266" xr:uid="{66AFA5DE-19C3-4984-8E21-A1C95642B567}"/>
    <cellStyle name="20% - Accent4 10 3 3 2 3" xfId="23369" xr:uid="{00000000-0005-0000-0000-000065150000}"/>
    <cellStyle name="20% - Accent4 10 3 3 2 3 2" xfId="47202" xr:uid="{607587A6-0F4B-424A-A584-D0F5646D3034}"/>
    <cellStyle name="20% - Accent4 10 3 3 2 4" xfId="31325" xr:uid="{CA69BBCD-8A58-4F01-93DF-3E8D5FB24911}"/>
    <cellStyle name="20% - Accent4 10 3 3 3" xfId="11885" xr:uid="{00000000-0005-0000-0000-000066150000}"/>
    <cellStyle name="20% - Accent4 10 3 3 3 2" xfId="35735" xr:uid="{C1263396-4B69-486C-9531-46FD5AE0DFBC}"/>
    <cellStyle name="20% - Accent4 10 3 3 4" xfId="19840" xr:uid="{00000000-0005-0000-0000-000067150000}"/>
    <cellStyle name="20% - Accent4 10 3 3 4 2" xfId="43673" xr:uid="{1F8284BE-CAFA-4C14-ABFE-980F295D5565}"/>
    <cellStyle name="20% - Accent4 10 3 3 5" xfId="27794" xr:uid="{CFBF4359-758E-4C55-8CDB-6F2310C31F2A}"/>
    <cellStyle name="20% - Accent4 10 3 4" xfId="5680" xr:uid="{00000000-0005-0000-0000-000068150000}"/>
    <cellStyle name="20% - Accent4 10 3 4 2" xfId="13664" xr:uid="{00000000-0005-0000-0000-000069150000}"/>
    <cellStyle name="20% - Accent4 10 3 4 2 2" xfId="37508" xr:uid="{72BE41A8-603C-421A-BAE9-54C3A800786A}"/>
    <cellStyle name="20% - Accent4 10 3 4 3" xfId="21612" xr:uid="{00000000-0005-0000-0000-00006A150000}"/>
    <cellStyle name="20% - Accent4 10 3 4 3 2" xfId="45445" xr:uid="{7F7C401C-B6A8-47B3-955D-9FC9E6F0AB2E}"/>
    <cellStyle name="20% - Accent4 10 3 4 4" xfId="29567" xr:uid="{2513CE3D-D20D-411F-B961-89DF08BAB0E4}"/>
    <cellStyle name="20% - Accent4 10 3 5" xfId="9233" xr:uid="{00000000-0005-0000-0000-00006B150000}"/>
    <cellStyle name="20% - Accent4 10 3 5 2" xfId="17191" xr:uid="{00000000-0005-0000-0000-00006C150000}"/>
    <cellStyle name="20% - Accent4 10 3 5 2 2" xfId="41032" xr:uid="{D7D6B323-0647-498C-9CAF-18518797503F}"/>
    <cellStyle name="20% - Accent4 10 3 5 3" xfId="25135" xr:uid="{00000000-0005-0000-0000-00006D150000}"/>
    <cellStyle name="20% - Accent4 10 3 5 3 2" xfId="48968" xr:uid="{6A459695-B6A8-4FF4-9384-54F2282F17D5}"/>
    <cellStyle name="20% - Accent4 10 3 5 4" xfId="33091" xr:uid="{FF61CA36-A66B-4E2F-B945-B6A595F19641}"/>
    <cellStyle name="20% - Accent4 10 3 6" xfId="10129" xr:uid="{00000000-0005-0000-0000-00006E150000}"/>
    <cellStyle name="20% - Accent4 10 3 6 2" xfId="33979" xr:uid="{C2367BA0-4F52-4E29-8B7B-5BC8FEA1B396}"/>
    <cellStyle name="20% - Accent4 10 3 7" xfId="18084" xr:uid="{00000000-0005-0000-0000-00006F150000}"/>
    <cellStyle name="20% - Accent4 10 3 7 2" xfId="41917" xr:uid="{E2530F8E-D264-4147-8499-BF3C094B04E1}"/>
    <cellStyle name="20% - Accent4 10 3 8" xfId="26037" xr:uid="{66AD16FB-BA04-4ECB-A8B8-9B728DCEDF67}"/>
    <cellStyle name="20% - Accent4 10 3_Exh G" xfId="2318" xr:uid="{00000000-0005-0000-0000-000070150000}"/>
    <cellStyle name="20% - Accent4 10 4" xfId="898" xr:uid="{00000000-0005-0000-0000-000071150000}"/>
    <cellStyle name="20% - Accent4 10 5" xfId="1206" xr:uid="{00000000-0005-0000-0000-000072150000}"/>
    <cellStyle name="20% - Accent4 10 5 2" xfId="4736" xr:uid="{00000000-0005-0000-0000-000073150000}"/>
    <cellStyle name="20% - Accent4 10 5 2 2" xfId="8327" xr:uid="{00000000-0005-0000-0000-000074150000}"/>
    <cellStyle name="20% - Accent4 10 5 2 2 2" xfId="16298" xr:uid="{00000000-0005-0000-0000-000075150000}"/>
    <cellStyle name="20% - Accent4 10 5 2 2 2 2" xfId="40141" xr:uid="{DC966311-1FDA-4A47-94D1-D467F7C833E1}"/>
    <cellStyle name="20% - Accent4 10 5 2 2 3" xfId="24244" xr:uid="{00000000-0005-0000-0000-000076150000}"/>
    <cellStyle name="20% - Accent4 10 5 2 2 3 2" xfId="48077" xr:uid="{BF85413C-2207-4095-AC37-5E282D267E8F}"/>
    <cellStyle name="20% - Accent4 10 5 2 2 4" xfId="32200" xr:uid="{AEFEF5D5-0ABC-4AF6-AB98-D787ECD71C1C}"/>
    <cellStyle name="20% - Accent4 10 5 2 3" xfId="12760" xr:uid="{00000000-0005-0000-0000-000077150000}"/>
    <cellStyle name="20% - Accent4 10 5 2 3 2" xfId="36610" xr:uid="{80360BFC-A6DA-48EF-A3B1-45B49562EA7D}"/>
    <cellStyle name="20% - Accent4 10 5 2 4" xfId="20715" xr:uid="{00000000-0005-0000-0000-000078150000}"/>
    <cellStyle name="20% - Accent4 10 5 2 4 2" xfId="44548" xr:uid="{81CC9945-CDE2-47B5-A5F5-E3B51F3FB8C6}"/>
    <cellStyle name="20% - Accent4 10 5 2 5" xfId="28669" xr:uid="{72F968E1-DB0B-496E-8224-16BF7FF32F18}"/>
    <cellStyle name="20% - Accent4 10 5 3" xfId="6568" xr:uid="{00000000-0005-0000-0000-000079150000}"/>
    <cellStyle name="20% - Accent4 10 5 3 2" xfId="14540" xr:uid="{00000000-0005-0000-0000-00007A150000}"/>
    <cellStyle name="20% - Accent4 10 5 3 2 2" xfId="38383" xr:uid="{5A7E1C88-3899-4154-AB64-97D635B4055E}"/>
    <cellStyle name="20% - Accent4 10 5 3 3" xfId="22487" xr:uid="{00000000-0005-0000-0000-00007B150000}"/>
    <cellStyle name="20% - Accent4 10 5 3 3 2" xfId="46320" xr:uid="{B7C09F68-6FE0-4642-BC02-1AC88F871475}"/>
    <cellStyle name="20% - Accent4 10 5 3 4" xfId="30442" xr:uid="{6A9493D7-E681-40AC-89C8-A7956FBA598E}"/>
    <cellStyle name="20% - Accent4 10 5 4" xfId="11004" xr:uid="{00000000-0005-0000-0000-00007C150000}"/>
    <cellStyle name="20% - Accent4 10 5 4 2" xfId="34854" xr:uid="{C9D46572-DE55-45E4-9598-FFD468BCBFE4}"/>
    <cellStyle name="20% - Accent4 10 5 5" xfId="18959" xr:uid="{00000000-0005-0000-0000-00007D150000}"/>
    <cellStyle name="20% - Accent4 10 5 5 2" xfId="42792" xr:uid="{70530A8C-0299-49FD-852A-71098D9398B9}"/>
    <cellStyle name="20% - Accent4 10 5 6" xfId="26912" xr:uid="{AA1396D1-0391-4138-B96C-030BDC9C70F4}"/>
    <cellStyle name="20% - Accent4 10 5_Exh G" xfId="2320" xr:uid="{00000000-0005-0000-0000-00007E150000}"/>
    <cellStyle name="20% - Accent4 10 6" xfId="3857" xr:uid="{00000000-0005-0000-0000-00007F150000}"/>
    <cellStyle name="20% - Accent4 10 6 2" xfId="7449" xr:uid="{00000000-0005-0000-0000-000080150000}"/>
    <cellStyle name="20% - Accent4 10 6 2 2" xfId="15420" xr:uid="{00000000-0005-0000-0000-000081150000}"/>
    <cellStyle name="20% - Accent4 10 6 2 2 2" xfId="39263" xr:uid="{616EDD69-1E13-4391-8FCB-8AFF043D4D17}"/>
    <cellStyle name="20% - Accent4 10 6 2 3" xfId="23366" xr:uid="{00000000-0005-0000-0000-000082150000}"/>
    <cellStyle name="20% - Accent4 10 6 2 3 2" xfId="47199" xr:uid="{77E21415-4792-4DBC-B7BB-49B77C3232B8}"/>
    <cellStyle name="20% - Accent4 10 6 2 4" xfId="31322" xr:uid="{10795B4A-B4BA-4A41-980A-3F8DA2717DF4}"/>
    <cellStyle name="20% - Accent4 10 6 3" xfId="11882" xr:uid="{00000000-0005-0000-0000-000083150000}"/>
    <cellStyle name="20% - Accent4 10 6 3 2" xfId="35732" xr:uid="{B931BB6D-1D79-4F5A-99D3-716D8B8A15B8}"/>
    <cellStyle name="20% - Accent4 10 6 4" xfId="19837" xr:uid="{00000000-0005-0000-0000-000084150000}"/>
    <cellStyle name="20% - Accent4 10 6 4 2" xfId="43670" xr:uid="{A8496F56-5BF2-409D-843B-116F66FB3D3D}"/>
    <cellStyle name="20% - Accent4 10 6 5" xfId="27791" xr:uid="{0F5433B6-CE89-407F-AD74-AF5685366957}"/>
    <cellStyle name="20% - Accent4 10 7" xfId="5677" xr:uid="{00000000-0005-0000-0000-000085150000}"/>
    <cellStyle name="20% - Accent4 10 7 2" xfId="13661" xr:uid="{00000000-0005-0000-0000-000086150000}"/>
    <cellStyle name="20% - Accent4 10 7 2 2" xfId="37505" xr:uid="{360EC7BB-BE3A-4146-AFA8-7FA6DBF5FBF0}"/>
    <cellStyle name="20% - Accent4 10 7 3" xfId="21609" xr:uid="{00000000-0005-0000-0000-000087150000}"/>
    <cellStyle name="20% - Accent4 10 7 3 2" xfId="45442" xr:uid="{8CC2091E-1631-4652-8B6B-693C64ADBE64}"/>
    <cellStyle name="20% - Accent4 10 7 4" xfId="29564" xr:uid="{E447226C-6292-48B5-BE89-5D2D36213063}"/>
    <cellStyle name="20% - Accent4 10 8" xfId="9230" xr:uid="{00000000-0005-0000-0000-000088150000}"/>
    <cellStyle name="20% - Accent4 10 8 2" xfId="17188" xr:uid="{00000000-0005-0000-0000-000089150000}"/>
    <cellStyle name="20% - Accent4 10 8 2 2" xfId="41029" xr:uid="{8EF4ABF5-726D-48FA-818E-310C3FFF2042}"/>
    <cellStyle name="20% - Accent4 10 8 3" xfId="25132" xr:uid="{00000000-0005-0000-0000-00008A150000}"/>
    <cellStyle name="20% - Accent4 10 8 3 2" xfId="48965" xr:uid="{45170288-4A42-439F-B4A7-A02FF1801083}"/>
    <cellStyle name="20% - Accent4 10 8 4" xfId="33088" xr:uid="{63C29B17-AA96-4155-BCF2-D03A8CCC1CEE}"/>
    <cellStyle name="20% - Accent4 10 9" xfId="10126" xr:uid="{00000000-0005-0000-0000-00008B150000}"/>
    <cellStyle name="20% - Accent4 10 9 2" xfId="33976" xr:uid="{EA705EE1-3753-4CC8-96A2-297EABDDA327}"/>
    <cellStyle name="20% - Accent4 10_Exh G" xfId="2313" xr:uid="{00000000-0005-0000-0000-00008C150000}"/>
    <cellStyle name="20% - Accent4 11" xfId="182" xr:uid="{00000000-0005-0000-0000-00008D150000}"/>
    <cellStyle name="20% - Accent4 11 10" xfId="26038" xr:uid="{BDC8E03A-CF4B-44AB-8E7D-DAA683D261AB}"/>
    <cellStyle name="20% - Accent4 11 2" xfId="183" xr:uid="{00000000-0005-0000-0000-00008E150000}"/>
    <cellStyle name="20% - Accent4 11 2 2" xfId="184" xr:uid="{00000000-0005-0000-0000-00008F150000}"/>
    <cellStyle name="20% - Accent4 11 2 2 2" xfId="1212" xr:uid="{00000000-0005-0000-0000-000090150000}"/>
    <cellStyle name="20% - Accent4 11 2 2 2 2" xfId="4742" xr:uid="{00000000-0005-0000-0000-000091150000}"/>
    <cellStyle name="20% - Accent4 11 2 2 2 2 2" xfId="8333" xr:uid="{00000000-0005-0000-0000-000092150000}"/>
    <cellStyle name="20% - Accent4 11 2 2 2 2 2 2" xfId="16304" xr:uid="{00000000-0005-0000-0000-000093150000}"/>
    <cellStyle name="20% - Accent4 11 2 2 2 2 2 2 2" xfId="40147" xr:uid="{1DCEF28A-5918-4FAF-8C04-EB41EE47AEB1}"/>
    <cellStyle name="20% - Accent4 11 2 2 2 2 2 3" xfId="24250" xr:uid="{00000000-0005-0000-0000-000094150000}"/>
    <cellStyle name="20% - Accent4 11 2 2 2 2 2 3 2" xfId="48083" xr:uid="{D93BBA92-FCA8-4810-9BFB-432DA6CC59CF}"/>
    <cellStyle name="20% - Accent4 11 2 2 2 2 2 4" xfId="32206" xr:uid="{B5D2352D-1FE3-4ED7-B163-D1AC479AE4B0}"/>
    <cellStyle name="20% - Accent4 11 2 2 2 2 3" xfId="12766" xr:uid="{00000000-0005-0000-0000-000095150000}"/>
    <cellStyle name="20% - Accent4 11 2 2 2 2 3 2" xfId="36616" xr:uid="{8FE521DC-BDDC-4BB2-9491-78C6DF392424}"/>
    <cellStyle name="20% - Accent4 11 2 2 2 2 4" xfId="20721" xr:uid="{00000000-0005-0000-0000-000096150000}"/>
    <cellStyle name="20% - Accent4 11 2 2 2 2 4 2" xfId="44554" xr:uid="{AE59A4F6-2C83-4D14-92BE-56AC0698E9DD}"/>
    <cellStyle name="20% - Accent4 11 2 2 2 2 5" xfId="28675" xr:uid="{46DBD68E-CFDC-4692-8F9A-DEC2D90D31AD}"/>
    <cellStyle name="20% - Accent4 11 2 2 2 3" xfId="6574" xr:uid="{00000000-0005-0000-0000-000097150000}"/>
    <cellStyle name="20% - Accent4 11 2 2 2 3 2" xfId="14546" xr:uid="{00000000-0005-0000-0000-000098150000}"/>
    <cellStyle name="20% - Accent4 11 2 2 2 3 2 2" xfId="38389" xr:uid="{FF6AF8F9-F833-4DA1-98F3-060929277860}"/>
    <cellStyle name="20% - Accent4 11 2 2 2 3 3" xfId="22493" xr:uid="{00000000-0005-0000-0000-000099150000}"/>
    <cellStyle name="20% - Accent4 11 2 2 2 3 3 2" xfId="46326" xr:uid="{1BC7A11E-8135-4B2D-952F-692EB6BB4225}"/>
    <cellStyle name="20% - Accent4 11 2 2 2 3 4" xfId="30448" xr:uid="{50A6A34A-16A4-4D3E-AA8C-90F9794294EE}"/>
    <cellStyle name="20% - Accent4 11 2 2 2 4" xfId="11010" xr:uid="{00000000-0005-0000-0000-00009A150000}"/>
    <cellStyle name="20% - Accent4 11 2 2 2 4 2" xfId="34860" xr:uid="{36B84685-B312-4CBE-8A6A-B39C32ED79D0}"/>
    <cellStyle name="20% - Accent4 11 2 2 2 5" xfId="18965" xr:uid="{00000000-0005-0000-0000-00009B150000}"/>
    <cellStyle name="20% - Accent4 11 2 2 2 5 2" xfId="42798" xr:uid="{7B4A3263-650A-4760-B1D9-84FDBE2D2952}"/>
    <cellStyle name="20% - Accent4 11 2 2 2 6" xfId="26918" xr:uid="{72FFB77F-B781-49CA-9D03-025BA4C08C9F}"/>
    <cellStyle name="20% - Accent4 11 2 2 2_Exh G" xfId="2324" xr:uid="{00000000-0005-0000-0000-00009C150000}"/>
    <cellStyle name="20% - Accent4 11 2 2 3" xfId="3863" xr:uid="{00000000-0005-0000-0000-00009D150000}"/>
    <cellStyle name="20% - Accent4 11 2 2 3 2" xfId="7455" xr:uid="{00000000-0005-0000-0000-00009E150000}"/>
    <cellStyle name="20% - Accent4 11 2 2 3 2 2" xfId="15426" xr:uid="{00000000-0005-0000-0000-00009F150000}"/>
    <cellStyle name="20% - Accent4 11 2 2 3 2 2 2" xfId="39269" xr:uid="{16726827-DEF0-411B-8CE7-C7F1B636F07E}"/>
    <cellStyle name="20% - Accent4 11 2 2 3 2 3" xfId="23372" xr:uid="{00000000-0005-0000-0000-0000A0150000}"/>
    <cellStyle name="20% - Accent4 11 2 2 3 2 3 2" xfId="47205" xr:uid="{7C6793B9-7A7F-4AC4-A826-0BAC4313E1EC}"/>
    <cellStyle name="20% - Accent4 11 2 2 3 2 4" xfId="31328" xr:uid="{A44B9F49-2425-411F-AEDD-59CCFF5FE34E}"/>
    <cellStyle name="20% - Accent4 11 2 2 3 3" xfId="11888" xr:uid="{00000000-0005-0000-0000-0000A1150000}"/>
    <cellStyle name="20% - Accent4 11 2 2 3 3 2" xfId="35738" xr:uid="{E5EC2F9D-3BB3-4C0F-BEB6-3B889B643435}"/>
    <cellStyle name="20% - Accent4 11 2 2 3 4" xfId="19843" xr:uid="{00000000-0005-0000-0000-0000A2150000}"/>
    <cellStyle name="20% - Accent4 11 2 2 3 4 2" xfId="43676" xr:uid="{9B256A4F-F09F-46EA-A31F-C0E48DC176F4}"/>
    <cellStyle name="20% - Accent4 11 2 2 3 5" xfId="27797" xr:uid="{2AAC4CCB-2173-470C-9B85-413E23992960}"/>
    <cellStyle name="20% - Accent4 11 2 2 4" xfId="5683" xr:uid="{00000000-0005-0000-0000-0000A3150000}"/>
    <cellStyle name="20% - Accent4 11 2 2 4 2" xfId="13667" xr:uid="{00000000-0005-0000-0000-0000A4150000}"/>
    <cellStyle name="20% - Accent4 11 2 2 4 2 2" xfId="37511" xr:uid="{3911875F-FE4A-408F-AA30-D3F382890120}"/>
    <cellStyle name="20% - Accent4 11 2 2 4 3" xfId="21615" xr:uid="{00000000-0005-0000-0000-0000A5150000}"/>
    <cellStyle name="20% - Accent4 11 2 2 4 3 2" xfId="45448" xr:uid="{4FB36950-C87D-405B-B1A3-49ED4914A3B9}"/>
    <cellStyle name="20% - Accent4 11 2 2 4 4" xfId="29570" xr:uid="{9E520545-9DDF-4136-84F8-E5B384C04576}"/>
    <cellStyle name="20% - Accent4 11 2 2 5" xfId="9236" xr:uid="{00000000-0005-0000-0000-0000A6150000}"/>
    <cellStyle name="20% - Accent4 11 2 2 5 2" xfId="17194" xr:uid="{00000000-0005-0000-0000-0000A7150000}"/>
    <cellStyle name="20% - Accent4 11 2 2 5 2 2" xfId="41035" xr:uid="{CB2184E6-2B2D-4D61-B2E4-DBFFD8E0538E}"/>
    <cellStyle name="20% - Accent4 11 2 2 5 3" xfId="25138" xr:uid="{00000000-0005-0000-0000-0000A8150000}"/>
    <cellStyle name="20% - Accent4 11 2 2 5 3 2" xfId="48971" xr:uid="{862C3AC2-04B7-4A26-ADDB-46518EB59C27}"/>
    <cellStyle name="20% - Accent4 11 2 2 5 4" xfId="33094" xr:uid="{190C4582-674A-410A-85C7-8CD1F0752740}"/>
    <cellStyle name="20% - Accent4 11 2 2 6" xfId="10132" xr:uid="{00000000-0005-0000-0000-0000A9150000}"/>
    <cellStyle name="20% - Accent4 11 2 2 6 2" xfId="33982" xr:uid="{7A18680E-170D-4E18-80E5-14DA0FFE9095}"/>
    <cellStyle name="20% - Accent4 11 2 2 7" xfId="18087" xr:uid="{00000000-0005-0000-0000-0000AA150000}"/>
    <cellStyle name="20% - Accent4 11 2 2 7 2" xfId="41920" xr:uid="{21C73FCF-4C56-431A-9E11-8040D61A7C1B}"/>
    <cellStyle name="20% - Accent4 11 2 2 8" xfId="26040" xr:uid="{1A44994F-B61E-4F2C-9854-EE619F78077F}"/>
    <cellStyle name="20% - Accent4 11 2 2_Exh G" xfId="2323" xr:uid="{00000000-0005-0000-0000-0000AB150000}"/>
    <cellStyle name="20% - Accent4 11 2 3" xfId="1211" xr:uid="{00000000-0005-0000-0000-0000AC150000}"/>
    <cellStyle name="20% - Accent4 11 2 3 2" xfId="4741" xr:uid="{00000000-0005-0000-0000-0000AD150000}"/>
    <cellStyle name="20% - Accent4 11 2 3 2 2" xfId="8332" xr:uid="{00000000-0005-0000-0000-0000AE150000}"/>
    <cellStyle name="20% - Accent4 11 2 3 2 2 2" xfId="16303" xr:uid="{00000000-0005-0000-0000-0000AF150000}"/>
    <cellStyle name="20% - Accent4 11 2 3 2 2 2 2" xfId="40146" xr:uid="{B52CA9B9-4FF5-4E92-9F73-00CA6D71CF0C}"/>
    <cellStyle name="20% - Accent4 11 2 3 2 2 3" xfId="24249" xr:uid="{00000000-0005-0000-0000-0000B0150000}"/>
    <cellStyle name="20% - Accent4 11 2 3 2 2 3 2" xfId="48082" xr:uid="{2EBC5B06-F692-4274-BAB3-4E69E0BC1AAC}"/>
    <cellStyle name="20% - Accent4 11 2 3 2 2 4" xfId="32205" xr:uid="{26F1D267-3AAA-448F-95B1-71756A69EF51}"/>
    <cellStyle name="20% - Accent4 11 2 3 2 3" xfId="12765" xr:uid="{00000000-0005-0000-0000-0000B1150000}"/>
    <cellStyle name="20% - Accent4 11 2 3 2 3 2" xfId="36615" xr:uid="{E82EC15C-7652-4017-9553-B32DC6A3B640}"/>
    <cellStyle name="20% - Accent4 11 2 3 2 4" xfId="20720" xr:uid="{00000000-0005-0000-0000-0000B2150000}"/>
    <cellStyle name="20% - Accent4 11 2 3 2 4 2" xfId="44553" xr:uid="{191BF4FC-AD25-4A32-B012-3B83D1E12456}"/>
    <cellStyle name="20% - Accent4 11 2 3 2 5" xfId="28674" xr:uid="{C16D68CA-94F1-4A95-9380-3B2B681B63D7}"/>
    <cellStyle name="20% - Accent4 11 2 3 3" xfId="6573" xr:uid="{00000000-0005-0000-0000-0000B3150000}"/>
    <cellStyle name="20% - Accent4 11 2 3 3 2" xfId="14545" xr:uid="{00000000-0005-0000-0000-0000B4150000}"/>
    <cellStyle name="20% - Accent4 11 2 3 3 2 2" xfId="38388" xr:uid="{9A2D6161-1EE3-444F-A5C3-BC59A68A4405}"/>
    <cellStyle name="20% - Accent4 11 2 3 3 3" xfId="22492" xr:uid="{00000000-0005-0000-0000-0000B5150000}"/>
    <cellStyle name="20% - Accent4 11 2 3 3 3 2" xfId="46325" xr:uid="{81611B60-D9F5-4712-9BC9-25E94DBF9190}"/>
    <cellStyle name="20% - Accent4 11 2 3 3 4" xfId="30447" xr:uid="{EB6F2FCA-31FF-409A-BB69-7BFD7B19175D}"/>
    <cellStyle name="20% - Accent4 11 2 3 4" xfId="11009" xr:uid="{00000000-0005-0000-0000-0000B6150000}"/>
    <cellStyle name="20% - Accent4 11 2 3 4 2" xfId="34859" xr:uid="{E12BF34E-163E-4B36-BEA6-FC3C630A016F}"/>
    <cellStyle name="20% - Accent4 11 2 3 5" xfId="18964" xr:uid="{00000000-0005-0000-0000-0000B7150000}"/>
    <cellStyle name="20% - Accent4 11 2 3 5 2" xfId="42797" xr:uid="{047DD8DA-2550-49E4-93DE-F197C3801332}"/>
    <cellStyle name="20% - Accent4 11 2 3 6" xfId="26917" xr:uid="{7B1ADCDB-BB59-45BD-AA04-1F09FEE865B9}"/>
    <cellStyle name="20% - Accent4 11 2 3_Exh G" xfId="2325" xr:uid="{00000000-0005-0000-0000-0000B8150000}"/>
    <cellStyle name="20% - Accent4 11 2 4" xfId="3862" xr:uid="{00000000-0005-0000-0000-0000B9150000}"/>
    <cellStyle name="20% - Accent4 11 2 4 2" xfId="7454" xr:uid="{00000000-0005-0000-0000-0000BA150000}"/>
    <cellStyle name="20% - Accent4 11 2 4 2 2" xfId="15425" xr:uid="{00000000-0005-0000-0000-0000BB150000}"/>
    <cellStyle name="20% - Accent4 11 2 4 2 2 2" xfId="39268" xr:uid="{28C065E6-9F04-4BE9-A979-87FFE44C6971}"/>
    <cellStyle name="20% - Accent4 11 2 4 2 3" xfId="23371" xr:uid="{00000000-0005-0000-0000-0000BC150000}"/>
    <cellStyle name="20% - Accent4 11 2 4 2 3 2" xfId="47204" xr:uid="{77637918-0B6E-4C41-AE82-91C2FFB6142E}"/>
    <cellStyle name="20% - Accent4 11 2 4 2 4" xfId="31327" xr:uid="{613C1F34-F3CE-47C1-88AF-C194955C82E9}"/>
    <cellStyle name="20% - Accent4 11 2 4 3" xfId="11887" xr:uid="{00000000-0005-0000-0000-0000BD150000}"/>
    <cellStyle name="20% - Accent4 11 2 4 3 2" xfId="35737" xr:uid="{CCADD2EE-7D3B-4017-A173-768869842A4D}"/>
    <cellStyle name="20% - Accent4 11 2 4 4" xfId="19842" xr:uid="{00000000-0005-0000-0000-0000BE150000}"/>
    <cellStyle name="20% - Accent4 11 2 4 4 2" xfId="43675" xr:uid="{BE8F8A70-1ACF-45AF-B64F-0423B59AF7F2}"/>
    <cellStyle name="20% - Accent4 11 2 4 5" xfId="27796" xr:uid="{5293BF40-E20C-4D30-9B0B-076A64D4D6EC}"/>
    <cellStyle name="20% - Accent4 11 2 5" xfId="5682" xr:uid="{00000000-0005-0000-0000-0000BF150000}"/>
    <cellStyle name="20% - Accent4 11 2 5 2" xfId="13666" xr:uid="{00000000-0005-0000-0000-0000C0150000}"/>
    <cellStyle name="20% - Accent4 11 2 5 2 2" xfId="37510" xr:uid="{5E3808ED-2AE4-4C64-9A18-FA4B71E33504}"/>
    <cellStyle name="20% - Accent4 11 2 5 3" xfId="21614" xr:uid="{00000000-0005-0000-0000-0000C1150000}"/>
    <cellStyle name="20% - Accent4 11 2 5 3 2" xfId="45447" xr:uid="{5620B62D-8670-4D86-ADCC-ED3108FCA52B}"/>
    <cellStyle name="20% - Accent4 11 2 5 4" xfId="29569" xr:uid="{82C00095-CC8B-464B-888F-0D5E9F3D7AD1}"/>
    <cellStyle name="20% - Accent4 11 2 6" xfId="9235" xr:uid="{00000000-0005-0000-0000-0000C2150000}"/>
    <cellStyle name="20% - Accent4 11 2 6 2" xfId="17193" xr:uid="{00000000-0005-0000-0000-0000C3150000}"/>
    <cellStyle name="20% - Accent4 11 2 6 2 2" xfId="41034" xr:uid="{8774B525-0832-4359-BA37-309241B43472}"/>
    <cellStyle name="20% - Accent4 11 2 6 3" xfId="25137" xr:uid="{00000000-0005-0000-0000-0000C4150000}"/>
    <cellStyle name="20% - Accent4 11 2 6 3 2" xfId="48970" xr:uid="{0E098764-382C-4343-A95E-F384DC4BDC63}"/>
    <cellStyle name="20% - Accent4 11 2 6 4" xfId="33093" xr:uid="{303714C6-20F5-4554-A3FE-B7AB0E60BC1B}"/>
    <cellStyle name="20% - Accent4 11 2 7" xfId="10131" xr:uid="{00000000-0005-0000-0000-0000C5150000}"/>
    <cellStyle name="20% - Accent4 11 2 7 2" xfId="33981" xr:uid="{75C603DF-C886-4D9B-A9C9-74DD753D09C3}"/>
    <cellStyle name="20% - Accent4 11 2 8" xfId="18086" xr:uid="{00000000-0005-0000-0000-0000C6150000}"/>
    <cellStyle name="20% - Accent4 11 2 8 2" xfId="41919" xr:uid="{627FC1CC-D8B2-4D58-AE9A-20929063093D}"/>
    <cellStyle name="20% - Accent4 11 2 9" xfId="26039" xr:uid="{EC190855-D00B-48C7-BB2B-2734C5165676}"/>
    <cellStyle name="20% - Accent4 11 2_Exh G" xfId="2322" xr:uid="{00000000-0005-0000-0000-0000C7150000}"/>
    <cellStyle name="20% - Accent4 11 3" xfId="185" xr:uid="{00000000-0005-0000-0000-0000C8150000}"/>
    <cellStyle name="20% - Accent4 11 3 2" xfId="1213" xr:uid="{00000000-0005-0000-0000-0000C9150000}"/>
    <cellStyle name="20% - Accent4 11 3 2 2" xfId="4743" xr:uid="{00000000-0005-0000-0000-0000CA150000}"/>
    <cellStyle name="20% - Accent4 11 3 2 2 2" xfId="8334" xr:uid="{00000000-0005-0000-0000-0000CB150000}"/>
    <cellStyle name="20% - Accent4 11 3 2 2 2 2" xfId="16305" xr:uid="{00000000-0005-0000-0000-0000CC150000}"/>
    <cellStyle name="20% - Accent4 11 3 2 2 2 2 2" xfId="40148" xr:uid="{7728494C-6A0D-496F-BF2F-B0C672699AEB}"/>
    <cellStyle name="20% - Accent4 11 3 2 2 2 3" xfId="24251" xr:uid="{00000000-0005-0000-0000-0000CD150000}"/>
    <cellStyle name="20% - Accent4 11 3 2 2 2 3 2" xfId="48084" xr:uid="{BC8552C0-4A44-49C4-9C01-DD01D14DBB36}"/>
    <cellStyle name="20% - Accent4 11 3 2 2 2 4" xfId="32207" xr:uid="{96AF4C8C-B981-45CB-BAF6-3D46E0F3E5AB}"/>
    <cellStyle name="20% - Accent4 11 3 2 2 3" xfId="12767" xr:uid="{00000000-0005-0000-0000-0000CE150000}"/>
    <cellStyle name="20% - Accent4 11 3 2 2 3 2" xfId="36617" xr:uid="{1D3DFF48-3C72-46CA-BC38-80CA0DE4986E}"/>
    <cellStyle name="20% - Accent4 11 3 2 2 4" xfId="20722" xr:uid="{00000000-0005-0000-0000-0000CF150000}"/>
    <cellStyle name="20% - Accent4 11 3 2 2 4 2" xfId="44555" xr:uid="{CFC8B57C-0B90-434C-A67A-651BEBAEC3E4}"/>
    <cellStyle name="20% - Accent4 11 3 2 2 5" xfId="28676" xr:uid="{5B6A203E-49B6-44D9-B7F6-4B109D71E16D}"/>
    <cellStyle name="20% - Accent4 11 3 2 3" xfId="6575" xr:uid="{00000000-0005-0000-0000-0000D0150000}"/>
    <cellStyle name="20% - Accent4 11 3 2 3 2" xfId="14547" xr:uid="{00000000-0005-0000-0000-0000D1150000}"/>
    <cellStyle name="20% - Accent4 11 3 2 3 2 2" xfId="38390" xr:uid="{FC2F5D1F-36B0-42F6-A4F6-1928079D75D2}"/>
    <cellStyle name="20% - Accent4 11 3 2 3 3" xfId="22494" xr:uid="{00000000-0005-0000-0000-0000D2150000}"/>
    <cellStyle name="20% - Accent4 11 3 2 3 3 2" xfId="46327" xr:uid="{6AAFA889-38A0-4C19-A980-243F10E190EB}"/>
    <cellStyle name="20% - Accent4 11 3 2 3 4" xfId="30449" xr:uid="{1339FB02-E09E-49BF-8B06-6AFDDB977E69}"/>
    <cellStyle name="20% - Accent4 11 3 2 4" xfId="11011" xr:uid="{00000000-0005-0000-0000-0000D3150000}"/>
    <cellStyle name="20% - Accent4 11 3 2 4 2" xfId="34861" xr:uid="{B852E5B6-B9E1-4701-91F7-9CF4544878DE}"/>
    <cellStyle name="20% - Accent4 11 3 2 5" xfId="18966" xr:uid="{00000000-0005-0000-0000-0000D4150000}"/>
    <cellStyle name="20% - Accent4 11 3 2 5 2" xfId="42799" xr:uid="{7FB4DE12-992C-40BD-9141-2966A2DFBC38}"/>
    <cellStyle name="20% - Accent4 11 3 2 6" xfId="26919" xr:uid="{C749CE0F-A5F1-4187-A42D-DF9AA1308E69}"/>
    <cellStyle name="20% - Accent4 11 3 2_Exh G" xfId="2327" xr:uid="{00000000-0005-0000-0000-0000D5150000}"/>
    <cellStyle name="20% - Accent4 11 3 3" xfId="3864" xr:uid="{00000000-0005-0000-0000-0000D6150000}"/>
    <cellStyle name="20% - Accent4 11 3 3 2" xfId="7456" xr:uid="{00000000-0005-0000-0000-0000D7150000}"/>
    <cellStyle name="20% - Accent4 11 3 3 2 2" xfId="15427" xr:uid="{00000000-0005-0000-0000-0000D8150000}"/>
    <cellStyle name="20% - Accent4 11 3 3 2 2 2" xfId="39270" xr:uid="{1E9F6D65-D2BB-4F1A-8737-3D51B4D5B6EA}"/>
    <cellStyle name="20% - Accent4 11 3 3 2 3" xfId="23373" xr:uid="{00000000-0005-0000-0000-0000D9150000}"/>
    <cellStyle name="20% - Accent4 11 3 3 2 3 2" xfId="47206" xr:uid="{7F0B8D72-1E74-4611-A571-9E3D416F464B}"/>
    <cellStyle name="20% - Accent4 11 3 3 2 4" xfId="31329" xr:uid="{E1E4F0F1-1AFD-4985-88B3-FD5E8F6AF94D}"/>
    <cellStyle name="20% - Accent4 11 3 3 3" xfId="11889" xr:uid="{00000000-0005-0000-0000-0000DA150000}"/>
    <cellStyle name="20% - Accent4 11 3 3 3 2" xfId="35739" xr:uid="{B675256A-A566-4BA8-8AFA-E9C5C20E4C42}"/>
    <cellStyle name="20% - Accent4 11 3 3 4" xfId="19844" xr:uid="{00000000-0005-0000-0000-0000DB150000}"/>
    <cellStyle name="20% - Accent4 11 3 3 4 2" xfId="43677" xr:uid="{16E6D20D-8BC6-4E4C-A01D-EE513D469C97}"/>
    <cellStyle name="20% - Accent4 11 3 3 5" xfId="27798" xr:uid="{A116636C-45ED-4FFC-AE37-DE7A9D33E912}"/>
    <cellStyle name="20% - Accent4 11 3 4" xfId="5684" xr:uid="{00000000-0005-0000-0000-0000DC150000}"/>
    <cellStyle name="20% - Accent4 11 3 4 2" xfId="13668" xr:uid="{00000000-0005-0000-0000-0000DD150000}"/>
    <cellStyle name="20% - Accent4 11 3 4 2 2" xfId="37512" xr:uid="{5570DA48-BCEE-4011-A409-DF6EAC4660D1}"/>
    <cellStyle name="20% - Accent4 11 3 4 3" xfId="21616" xr:uid="{00000000-0005-0000-0000-0000DE150000}"/>
    <cellStyle name="20% - Accent4 11 3 4 3 2" xfId="45449" xr:uid="{C1CE9D3D-4FE6-4950-A2D1-C1AEF0737231}"/>
    <cellStyle name="20% - Accent4 11 3 4 4" xfId="29571" xr:uid="{27F7CF36-0CE1-45EF-A228-64DCE6D4612B}"/>
    <cellStyle name="20% - Accent4 11 3 5" xfId="9237" xr:uid="{00000000-0005-0000-0000-0000DF150000}"/>
    <cellStyle name="20% - Accent4 11 3 5 2" xfId="17195" xr:uid="{00000000-0005-0000-0000-0000E0150000}"/>
    <cellStyle name="20% - Accent4 11 3 5 2 2" xfId="41036" xr:uid="{45EAC9B6-C599-48DE-BAEA-79C5F3D4B74D}"/>
    <cellStyle name="20% - Accent4 11 3 5 3" xfId="25139" xr:uid="{00000000-0005-0000-0000-0000E1150000}"/>
    <cellStyle name="20% - Accent4 11 3 5 3 2" xfId="48972" xr:uid="{460F77A9-A846-4706-B1D7-F7DE910AE2E2}"/>
    <cellStyle name="20% - Accent4 11 3 5 4" xfId="33095" xr:uid="{C0224C64-4C73-41A4-B386-38CE82D5F219}"/>
    <cellStyle name="20% - Accent4 11 3 6" xfId="10133" xr:uid="{00000000-0005-0000-0000-0000E2150000}"/>
    <cellStyle name="20% - Accent4 11 3 6 2" xfId="33983" xr:uid="{0A279D6F-2117-464D-8CDB-26FD79AAEDD4}"/>
    <cellStyle name="20% - Accent4 11 3 7" xfId="18088" xr:uid="{00000000-0005-0000-0000-0000E3150000}"/>
    <cellStyle name="20% - Accent4 11 3 7 2" xfId="41921" xr:uid="{58B6D9FA-7AAA-47B0-875A-4F0BCFA2036F}"/>
    <cellStyle name="20% - Accent4 11 3 8" xfId="26041" xr:uid="{BE95DE7F-A7D1-4308-B6BD-2EF5DD5EC435}"/>
    <cellStyle name="20% - Accent4 11 3_Exh G" xfId="2326" xr:uid="{00000000-0005-0000-0000-0000E4150000}"/>
    <cellStyle name="20% - Accent4 11 4" xfId="1210" xr:uid="{00000000-0005-0000-0000-0000E5150000}"/>
    <cellStyle name="20% - Accent4 11 4 2" xfId="4740" xr:uid="{00000000-0005-0000-0000-0000E6150000}"/>
    <cellStyle name="20% - Accent4 11 4 2 2" xfId="8331" xr:uid="{00000000-0005-0000-0000-0000E7150000}"/>
    <cellStyle name="20% - Accent4 11 4 2 2 2" xfId="16302" xr:uid="{00000000-0005-0000-0000-0000E8150000}"/>
    <cellStyle name="20% - Accent4 11 4 2 2 2 2" xfId="40145" xr:uid="{A998DDC2-269A-4C23-8834-0184B925F188}"/>
    <cellStyle name="20% - Accent4 11 4 2 2 3" xfId="24248" xr:uid="{00000000-0005-0000-0000-0000E9150000}"/>
    <cellStyle name="20% - Accent4 11 4 2 2 3 2" xfId="48081" xr:uid="{A103453B-3AA8-4D62-B358-55F582DABC03}"/>
    <cellStyle name="20% - Accent4 11 4 2 2 4" xfId="32204" xr:uid="{93F9D95F-31BC-44F3-B485-D263935DC85C}"/>
    <cellStyle name="20% - Accent4 11 4 2 3" xfId="12764" xr:uid="{00000000-0005-0000-0000-0000EA150000}"/>
    <cellStyle name="20% - Accent4 11 4 2 3 2" xfId="36614" xr:uid="{5E68E9DC-C0FD-4917-9F43-8F559C0887B8}"/>
    <cellStyle name="20% - Accent4 11 4 2 4" xfId="20719" xr:uid="{00000000-0005-0000-0000-0000EB150000}"/>
    <cellStyle name="20% - Accent4 11 4 2 4 2" xfId="44552" xr:uid="{7AD58E3F-4841-4153-80F2-822BE5B7C772}"/>
    <cellStyle name="20% - Accent4 11 4 2 5" xfId="28673" xr:uid="{A150AA2E-95C7-4A89-ACBF-B064D8D62743}"/>
    <cellStyle name="20% - Accent4 11 4 3" xfId="6572" xr:uid="{00000000-0005-0000-0000-0000EC150000}"/>
    <cellStyle name="20% - Accent4 11 4 3 2" xfId="14544" xr:uid="{00000000-0005-0000-0000-0000ED150000}"/>
    <cellStyle name="20% - Accent4 11 4 3 2 2" xfId="38387" xr:uid="{0B7A7551-3A6D-4624-8D3A-3DA6EA2E1249}"/>
    <cellStyle name="20% - Accent4 11 4 3 3" xfId="22491" xr:uid="{00000000-0005-0000-0000-0000EE150000}"/>
    <cellStyle name="20% - Accent4 11 4 3 3 2" xfId="46324" xr:uid="{F9DAA9DE-3076-4831-A404-58A7B24F427A}"/>
    <cellStyle name="20% - Accent4 11 4 3 4" xfId="30446" xr:uid="{6FDB28F6-1BFC-40CD-AAE7-52876BBE4377}"/>
    <cellStyle name="20% - Accent4 11 4 4" xfId="11008" xr:uid="{00000000-0005-0000-0000-0000EF150000}"/>
    <cellStyle name="20% - Accent4 11 4 4 2" xfId="34858" xr:uid="{13D90BF1-FEC8-49D7-911F-D495089D32CE}"/>
    <cellStyle name="20% - Accent4 11 4 5" xfId="18963" xr:uid="{00000000-0005-0000-0000-0000F0150000}"/>
    <cellStyle name="20% - Accent4 11 4 5 2" xfId="42796" xr:uid="{3675DEE1-BB06-471A-BBAC-6A594B7235B8}"/>
    <cellStyle name="20% - Accent4 11 4 6" xfId="26916" xr:uid="{7FB80FB8-8686-4A35-8CCC-75ED76CB7FB0}"/>
    <cellStyle name="20% - Accent4 11 4_Exh G" xfId="2328" xr:uid="{00000000-0005-0000-0000-0000F1150000}"/>
    <cellStyle name="20% - Accent4 11 5" xfId="3861" xr:uid="{00000000-0005-0000-0000-0000F2150000}"/>
    <cellStyle name="20% - Accent4 11 5 2" xfId="7453" xr:uid="{00000000-0005-0000-0000-0000F3150000}"/>
    <cellStyle name="20% - Accent4 11 5 2 2" xfId="15424" xr:uid="{00000000-0005-0000-0000-0000F4150000}"/>
    <cellStyle name="20% - Accent4 11 5 2 2 2" xfId="39267" xr:uid="{618C9EAE-688C-4B0F-8DA8-31CADBB94FD5}"/>
    <cellStyle name="20% - Accent4 11 5 2 3" xfId="23370" xr:uid="{00000000-0005-0000-0000-0000F5150000}"/>
    <cellStyle name="20% - Accent4 11 5 2 3 2" xfId="47203" xr:uid="{80BC86B9-4065-47EC-82B2-A3CC2B827394}"/>
    <cellStyle name="20% - Accent4 11 5 2 4" xfId="31326" xr:uid="{1830D61E-FD9B-4B00-B4FD-9036132E4D42}"/>
    <cellStyle name="20% - Accent4 11 5 3" xfId="11886" xr:uid="{00000000-0005-0000-0000-0000F6150000}"/>
    <cellStyle name="20% - Accent4 11 5 3 2" xfId="35736" xr:uid="{81872AB2-41EC-420E-A112-91C8952400DC}"/>
    <cellStyle name="20% - Accent4 11 5 4" xfId="19841" xr:uid="{00000000-0005-0000-0000-0000F7150000}"/>
    <cellStyle name="20% - Accent4 11 5 4 2" xfId="43674" xr:uid="{A895BF5E-E28D-4746-8E1D-92D61A407552}"/>
    <cellStyle name="20% - Accent4 11 5 5" xfId="27795" xr:uid="{67D5B266-9462-4AB2-BA03-869CF452AF5C}"/>
    <cellStyle name="20% - Accent4 11 6" xfId="5681" xr:uid="{00000000-0005-0000-0000-0000F8150000}"/>
    <cellStyle name="20% - Accent4 11 6 2" xfId="13665" xr:uid="{00000000-0005-0000-0000-0000F9150000}"/>
    <cellStyle name="20% - Accent4 11 6 2 2" xfId="37509" xr:uid="{D6BF039A-DA00-4688-B0DB-808D306CDA85}"/>
    <cellStyle name="20% - Accent4 11 6 3" xfId="21613" xr:uid="{00000000-0005-0000-0000-0000FA150000}"/>
    <cellStyle name="20% - Accent4 11 6 3 2" xfId="45446" xr:uid="{AAB5CFD3-B575-4116-9249-AA27677E06E0}"/>
    <cellStyle name="20% - Accent4 11 6 4" xfId="29568" xr:uid="{E840B43D-BC31-45E7-9EC8-44D98725A90C}"/>
    <cellStyle name="20% - Accent4 11 7" xfId="9234" xr:uid="{00000000-0005-0000-0000-0000FB150000}"/>
    <cellStyle name="20% - Accent4 11 7 2" xfId="17192" xr:uid="{00000000-0005-0000-0000-0000FC150000}"/>
    <cellStyle name="20% - Accent4 11 7 2 2" xfId="41033" xr:uid="{6FF4B179-E7CD-473D-BAFB-B23BDA2296B5}"/>
    <cellStyle name="20% - Accent4 11 7 3" xfId="25136" xr:uid="{00000000-0005-0000-0000-0000FD150000}"/>
    <cellStyle name="20% - Accent4 11 7 3 2" xfId="48969" xr:uid="{69B3B36C-0A43-423E-A5BC-63F2D1C6962C}"/>
    <cellStyle name="20% - Accent4 11 7 4" xfId="33092" xr:uid="{063298CE-8FC6-4C29-B26D-924544C42493}"/>
    <cellStyle name="20% - Accent4 11 8" xfId="10130" xr:uid="{00000000-0005-0000-0000-0000FE150000}"/>
    <cellStyle name="20% - Accent4 11 8 2" xfId="33980" xr:uid="{B22BF482-ECC3-4444-890B-7EC4FC668881}"/>
    <cellStyle name="20% - Accent4 11 9" xfId="18085" xr:uid="{00000000-0005-0000-0000-0000FF150000}"/>
    <cellStyle name="20% - Accent4 11 9 2" xfId="41918" xr:uid="{771DD72A-4A69-428D-B94D-63FED03EE4CD}"/>
    <cellStyle name="20% - Accent4 11_Exh G" xfId="2321" xr:uid="{00000000-0005-0000-0000-000000160000}"/>
    <cellStyle name="20% - Accent4 12" xfId="186" xr:uid="{00000000-0005-0000-0000-000001160000}"/>
    <cellStyle name="20% - Accent4 12 10" xfId="26042" xr:uid="{6CF9B369-A0DC-4D39-8240-A40D811BA7D2}"/>
    <cellStyle name="20% - Accent4 12 2" xfId="187" xr:uid="{00000000-0005-0000-0000-000002160000}"/>
    <cellStyle name="20% - Accent4 12 2 2" xfId="188" xr:uid="{00000000-0005-0000-0000-000003160000}"/>
    <cellStyle name="20% - Accent4 12 2 2 2" xfId="1216" xr:uid="{00000000-0005-0000-0000-000004160000}"/>
    <cellStyle name="20% - Accent4 12 2 2 2 2" xfId="4746" xr:uid="{00000000-0005-0000-0000-000005160000}"/>
    <cellStyle name="20% - Accent4 12 2 2 2 2 2" xfId="8337" xr:uid="{00000000-0005-0000-0000-000006160000}"/>
    <cellStyle name="20% - Accent4 12 2 2 2 2 2 2" xfId="16308" xr:uid="{00000000-0005-0000-0000-000007160000}"/>
    <cellStyle name="20% - Accent4 12 2 2 2 2 2 2 2" xfId="40151" xr:uid="{B4687F4C-827B-494E-A64D-1A827BADEFCE}"/>
    <cellStyle name="20% - Accent4 12 2 2 2 2 2 3" xfId="24254" xr:uid="{00000000-0005-0000-0000-000008160000}"/>
    <cellStyle name="20% - Accent4 12 2 2 2 2 2 3 2" xfId="48087" xr:uid="{85DCC25F-E9E8-41F1-A222-70D1F9CDC450}"/>
    <cellStyle name="20% - Accent4 12 2 2 2 2 2 4" xfId="32210" xr:uid="{48DE0789-4362-472F-970C-D04002C9358C}"/>
    <cellStyle name="20% - Accent4 12 2 2 2 2 3" xfId="12770" xr:uid="{00000000-0005-0000-0000-000009160000}"/>
    <cellStyle name="20% - Accent4 12 2 2 2 2 3 2" xfId="36620" xr:uid="{FF774A3F-F5F0-4432-872F-A9BCF8F6F92B}"/>
    <cellStyle name="20% - Accent4 12 2 2 2 2 4" xfId="20725" xr:uid="{00000000-0005-0000-0000-00000A160000}"/>
    <cellStyle name="20% - Accent4 12 2 2 2 2 4 2" xfId="44558" xr:uid="{2C401732-7D73-438D-9BCC-7E7A4AA48556}"/>
    <cellStyle name="20% - Accent4 12 2 2 2 2 5" xfId="28679" xr:uid="{3CA61447-7D31-4F87-AB9A-5BA80C4CEEE4}"/>
    <cellStyle name="20% - Accent4 12 2 2 2 3" xfId="6578" xr:uid="{00000000-0005-0000-0000-00000B160000}"/>
    <cellStyle name="20% - Accent4 12 2 2 2 3 2" xfId="14550" xr:uid="{00000000-0005-0000-0000-00000C160000}"/>
    <cellStyle name="20% - Accent4 12 2 2 2 3 2 2" xfId="38393" xr:uid="{63B2B3FD-4C6F-4B4F-B268-942616333834}"/>
    <cellStyle name="20% - Accent4 12 2 2 2 3 3" xfId="22497" xr:uid="{00000000-0005-0000-0000-00000D160000}"/>
    <cellStyle name="20% - Accent4 12 2 2 2 3 3 2" xfId="46330" xr:uid="{AFB0BF52-B507-4E5A-B01C-78318A30ED17}"/>
    <cellStyle name="20% - Accent4 12 2 2 2 3 4" xfId="30452" xr:uid="{B4AEC5AC-C58A-40CB-A4BC-5D61AA40828A}"/>
    <cellStyle name="20% - Accent4 12 2 2 2 4" xfId="11014" xr:uid="{00000000-0005-0000-0000-00000E160000}"/>
    <cellStyle name="20% - Accent4 12 2 2 2 4 2" xfId="34864" xr:uid="{CA393414-21BE-4FDA-9325-4032802D7C89}"/>
    <cellStyle name="20% - Accent4 12 2 2 2 5" xfId="18969" xr:uid="{00000000-0005-0000-0000-00000F160000}"/>
    <cellStyle name="20% - Accent4 12 2 2 2 5 2" xfId="42802" xr:uid="{B4BFB7E3-5FF5-4553-A4A0-2A19D28B32BB}"/>
    <cellStyle name="20% - Accent4 12 2 2 2 6" xfId="26922" xr:uid="{D28F58A1-CAC5-4230-A67A-628C505784BF}"/>
    <cellStyle name="20% - Accent4 12 2 2 2_Exh G" xfId="2332" xr:uid="{00000000-0005-0000-0000-000010160000}"/>
    <cellStyle name="20% - Accent4 12 2 2 3" xfId="3867" xr:uid="{00000000-0005-0000-0000-000011160000}"/>
    <cellStyle name="20% - Accent4 12 2 2 3 2" xfId="7459" xr:uid="{00000000-0005-0000-0000-000012160000}"/>
    <cellStyle name="20% - Accent4 12 2 2 3 2 2" xfId="15430" xr:uid="{00000000-0005-0000-0000-000013160000}"/>
    <cellStyle name="20% - Accent4 12 2 2 3 2 2 2" xfId="39273" xr:uid="{33196827-927C-4430-B571-4E4BC202DD2F}"/>
    <cellStyle name="20% - Accent4 12 2 2 3 2 3" xfId="23376" xr:uid="{00000000-0005-0000-0000-000014160000}"/>
    <cellStyle name="20% - Accent4 12 2 2 3 2 3 2" xfId="47209" xr:uid="{2C878BAC-0574-46FC-BAD6-7B6C7637C95C}"/>
    <cellStyle name="20% - Accent4 12 2 2 3 2 4" xfId="31332" xr:uid="{548D2F52-5DEF-4364-A7FC-DDE67C04DA98}"/>
    <cellStyle name="20% - Accent4 12 2 2 3 3" xfId="11892" xr:uid="{00000000-0005-0000-0000-000015160000}"/>
    <cellStyle name="20% - Accent4 12 2 2 3 3 2" xfId="35742" xr:uid="{9821DF50-50D9-4A33-BB33-9CFD09AA0D5E}"/>
    <cellStyle name="20% - Accent4 12 2 2 3 4" xfId="19847" xr:uid="{00000000-0005-0000-0000-000016160000}"/>
    <cellStyle name="20% - Accent4 12 2 2 3 4 2" xfId="43680" xr:uid="{AF9E34B7-89AA-495B-BC71-21C5C4033E81}"/>
    <cellStyle name="20% - Accent4 12 2 2 3 5" xfId="27801" xr:uid="{0804760C-BEDD-4707-ADBD-E3AC0D4C2D95}"/>
    <cellStyle name="20% - Accent4 12 2 2 4" xfId="5687" xr:uid="{00000000-0005-0000-0000-000017160000}"/>
    <cellStyle name="20% - Accent4 12 2 2 4 2" xfId="13671" xr:uid="{00000000-0005-0000-0000-000018160000}"/>
    <cellStyle name="20% - Accent4 12 2 2 4 2 2" xfId="37515" xr:uid="{EA39DBBD-7366-4222-93E4-C53431CEC142}"/>
    <cellStyle name="20% - Accent4 12 2 2 4 3" xfId="21619" xr:uid="{00000000-0005-0000-0000-000019160000}"/>
    <cellStyle name="20% - Accent4 12 2 2 4 3 2" xfId="45452" xr:uid="{2270718A-5DB1-4BB3-9871-EFD3743C4E4D}"/>
    <cellStyle name="20% - Accent4 12 2 2 4 4" xfId="29574" xr:uid="{1094387D-B8F1-4E2A-A2B2-C21CCB467F4D}"/>
    <cellStyle name="20% - Accent4 12 2 2 5" xfId="9240" xr:uid="{00000000-0005-0000-0000-00001A160000}"/>
    <cellStyle name="20% - Accent4 12 2 2 5 2" xfId="17198" xr:uid="{00000000-0005-0000-0000-00001B160000}"/>
    <cellStyle name="20% - Accent4 12 2 2 5 2 2" xfId="41039" xr:uid="{DFC49B45-4D09-48ED-A481-DDFE2925EA0C}"/>
    <cellStyle name="20% - Accent4 12 2 2 5 3" xfId="25142" xr:uid="{00000000-0005-0000-0000-00001C160000}"/>
    <cellStyle name="20% - Accent4 12 2 2 5 3 2" xfId="48975" xr:uid="{ADA11EF1-84A3-484E-BF12-0BA3AD08D069}"/>
    <cellStyle name="20% - Accent4 12 2 2 5 4" xfId="33098" xr:uid="{F54C9D6C-1FC2-4C1C-9969-EC6C95382B5E}"/>
    <cellStyle name="20% - Accent4 12 2 2 6" xfId="10136" xr:uid="{00000000-0005-0000-0000-00001D160000}"/>
    <cellStyle name="20% - Accent4 12 2 2 6 2" xfId="33986" xr:uid="{C5BBCFFE-7841-487A-A647-A3A615C6EF66}"/>
    <cellStyle name="20% - Accent4 12 2 2 7" xfId="18091" xr:uid="{00000000-0005-0000-0000-00001E160000}"/>
    <cellStyle name="20% - Accent4 12 2 2 7 2" xfId="41924" xr:uid="{B3CE8B93-4AA6-4F54-BC8A-90ED8CB03368}"/>
    <cellStyle name="20% - Accent4 12 2 2 8" xfId="26044" xr:uid="{9EAB7A8C-2ADA-490C-86B7-AF518CCE1ADA}"/>
    <cellStyle name="20% - Accent4 12 2 2_Exh G" xfId="2331" xr:uid="{00000000-0005-0000-0000-00001F160000}"/>
    <cellStyle name="20% - Accent4 12 2 3" xfId="1215" xr:uid="{00000000-0005-0000-0000-000020160000}"/>
    <cellStyle name="20% - Accent4 12 2 3 2" xfId="4745" xr:uid="{00000000-0005-0000-0000-000021160000}"/>
    <cellStyle name="20% - Accent4 12 2 3 2 2" xfId="8336" xr:uid="{00000000-0005-0000-0000-000022160000}"/>
    <cellStyle name="20% - Accent4 12 2 3 2 2 2" xfId="16307" xr:uid="{00000000-0005-0000-0000-000023160000}"/>
    <cellStyle name="20% - Accent4 12 2 3 2 2 2 2" xfId="40150" xr:uid="{3DFB20A8-DC3E-4997-AC31-E855F10ADFCE}"/>
    <cellStyle name="20% - Accent4 12 2 3 2 2 3" xfId="24253" xr:uid="{00000000-0005-0000-0000-000024160000}"/>
    <cellStyle name="20% - Accent4 12 2 3 2 2 3 2" xfId="48086" xr:uid="{DF116907-2E82-40E9-9D3B-080B5FE86B98}"/>
    <cellStyle name="20% - Accent4 12 2 3 2 2 4" xfId="32209" xr:uid="{6E385BA1-B135-4356-97C4-BEC990311311}"/>
    <cellStyle name="20% - Accent4 12 2 3 2 3" xfId="12769" xr:uid="{00000000-0005-0000-0000-000025160000}"/>
    <cellStyle name="20% - Accent4 12 2 3 2 3 2" xfId="36619" xr:uid="{B1FEF9EE-87CD-4333-AD4E-A21D0ED6675B}"/>
    <cellStyle name="20% - Accent4 12 2 3 2 4" xfId="20724" xr:uid="{00000000-0005-0000-0000-000026160000}"/>
    <cellStyle name="20% - Accent4 12 2 3 2 4 2" xfId="44557" xr:uid="{B0DA0BAB-B6E5-42DD-BCB4-576049BE992E}"/>
    <cellStyle name="20% - Accent4 12 2 3 2 5" xfId="28678" xr:uid="{4E14BD1E-9297-4768-AAE2-EEF06FDE441D}"/>
    <cellStyle name="20% - Accent4 12 2 3 3" xfId="6577" xr:uid="{00000000-0005-0000-0000-000027160000}"/>
    <cellStyle name="20% - Accent4 12 2 3 3 2" xfId="14549" xr:uid="{00000000-0005-0000-0000-000028160000}"/>
    <cellStyle name="20% - Accent4 12 2 3 3 2 2" xfId="38392" xr:uid="{ECC57FC2-056F-46DA-8899-C318981C6FEA}"/>
    <cellStyle name="20% - Accent4 12 2 3 3 3" xfId="22496" xr:uid="{00000000-0005-0000-0000-000029160000}"/>
    <cellStyle name="20% - Accent4 12 2 3 3 3 2" xfId="46329" xr:uid="{4710358D-B554-435F-BB54-AA84420697C7}"/>
    <cellStyle name="20% - Accent4 12 2 3 3 4" xfId="30451" xr:uid="{0EE95819-EC54-4B5E-98A7-E8D3DF96B6E9}"/>
    <cellStyle name="20% - Accent4 12 2 3 4" xfId="11013" xr:uid="{00000000-0005-0000-0000-00002A160000}"/>
    <cellStyle name="20% - Accent4 12 2 3 4 2" xfId="34863" xr:uid="{94F6A2C6-5AB1-4AA5-80BF-42C6604CFC90}"/>
    <cellStyle name="20% - Accent4 12 2 3 5" xfId="18968" xr:uid="{00000000-0005-0000-0000-00002B160000}"/>
    <cellStyle name="20% - Accent4 12 2 3 5 2" xfId="42801" xr:uid="{FAD97375-234B-4B26-884A-CC227FF847C1}"/>
    <cellStyle name="20% - Accent4 12 2 3 6" xfId="26921" xr:uid="{C0BAE6C6-A157-4414-8C46-6BF26C67ECDA}"/>
    <cellStyle name="20% - Accent4 12 2 3_Exh G" xfId="2333" xr:uid="{00000000-0005-0000-0000-00002C160000}"/>
    <cellStyle name="20% - Accent4 12 2 4" xfId="3866" xr:uid="{00000000-0005-0000-0000-00002D160000}"/>
    <cellStyle name="20% - Accent4 12 2 4 2" xfId="7458" xr:uid="{00000000-0005-0000-0000-00002E160000}"/>
    <cellStyle name="20% - Accent4 12 2 4 2 2" xfId="15429" xr:uid="{00000000-0005-0000-0000-00002F160000}"/>
    <cellStyle name="20% - Accent4 12 2 4 2 2 2" xfId="39272" xr:uid="{A11B3628-D79A-4D88-A3D1-2B315F6CF3B3}"/>
    <cellStyle name="20% - Accent4 12 2 4 2 3" xfId="23375" xr:uid="{00000000-0005-0000-0000-000030160000}"/>
    <cellStyle name="20% - Accent4 12 2 4 2 3 2" xfId="47208" xr:uid="{6BADF46B-BAAD-41DF-BA8D-D0EA4CBDBE30}"/>
    <cellStyle name="20% - Accent4 12 2 4 2 4" xfId="31331" xr:uid="{8C6FBD2F-90B5-4164-98B4-DE2E502FC86F}"/>
    <cellStyle name="20% - Accent4 12 2 4 3" xfId="11891" xr:uid="{00000000-0005-0000-0000-000031160000}"/>
    <cellStyle name="20% - Accent4 12 2 4 3 2" xfId="35741" xr:uid="{918B7B0B-D0E8-42CF-BBFC-042498FDDA0C}"/>
    <cellStyle name="20% - Accent4 12 2 4 4" xfId="19846" xr:uid="{00000000-0005-0000-0000-000032160000}"/>
    <cellStyle name="20% - Accent4 12 2 4 4 2" xfId="43679" xr:uid="{3EFEE22A-1123-46A3-84DB-EC4627565886}"/>
    <cellStyle name="20% - Accent4 12 2 4 5" xfId="27800" xr:uid="{51CE409C-A06B-4F59-8838-6E3091E21B85}"/>
    <cellStyle name="20% - Accent4 12 2 5" xfId="5686" xr:uid="{00000000-0005-0000-0000-000033160000}"/>
    <cellStyle name="20% - Accent4 12 2 5 2" xfId="13670" xr:uid="{00000000-0005-0000-0000-000034160000}"/>
    <cellStyle name="20% - Accent4 12 2 5 2 2" xfId="37514" xr:uid="{2E0AE052-505B-4C03-9338-F17A88A9756A}"/>
    <cellStyle name="20% - Accent4 12 2 5 3" xfId="21618" xr:uid="{00000000-0005-0000-0000-000035160000}"/>
    <cellStyle name="20% - Accent4 12 2 5 3 2" xfId="45451" xr:uid="{7AA24F0F-D850-4EBC-B426-9E52E9DDE38C}"/>
    <cellStyle name="20% - Accent4 12 2 5 4" xfId="29573" xr:uid="{BC16B37B-4185-4D9B-BBA7-6D9800F51F3E}"/>
    <cellStyle name="20% - Accent4 12 2 6" xfId="9239" xr:uid="{00000000-0005-0000-0000-000036160000}"/>
    <cellStyle name="20% - Accent4 12 2 6 2" xfId="17197" xr:uid="{00000000-0005-0000-0000-000037160000}"/>
    <cellStyle name="20% - Accent4 12 2 6 2 2" xfId="41038" xr:uid="{FD3D546A-B85D-4766-AF90-3511A8F59FAC}"/>
    <cellStyle name="20% - Accent4 12 2 6 3" xfId="25141" xr:uid="{00000000-0005-0000-0000-000038160000}"/>
    <cellStyle name="20% - Accent4 12 2 6 3 2" xfId="48974" xr:uid="{F1EBBB8C-A1D1-4959-BFAC-E3F10B782B6E}"/>
    <cellStyle name="20% - Accent4 12 2 6 4" xfId="33097" xr:uid="{CCF29C7C-44F2-4B25-8CA1-4D6349ADC44F}"/>
    <cellStyle name="20% - Accent4 12 2 7" xfId="10135" xr:uid="{00000000-0005-0000-0000-000039160000}"/>
    <cellStyle name="20% - Accent4 12 2 7 2" xfId="33985" xr:uid="{AC43B768-2689-45EE-B2EA-6BF664411DD5}"/>
    <cellStyle name="20% - Accent4 12 2 8" xfId="18090" xr:uid="{00000000-0005-0000-0000-00003A160000}"/>
    <cellStyle name="20% - Accent4 12 2 8 2" xfId="41923" xr:uid="{67645EAE-B615-4E32-ACFD-DA15F4E6CE48}"/>
    <cellStyle name="20% - Accent4 12 2 9" xfId="26043" xr:uid="{810BA896-AE9C-4AA2-8744-CAEA6D45E4CD}"/>
    <cellStyle name="20% - Accent4 12 2_Exh G" xfId="2330" xr:uid="{00000000-0005-0000-0000-00003B160000}"/>
    <cellStyle name="20% - Accent4 12 3" xfId="189" xr:uid="{00000000-0005-0000-0000-00003C160000}"/>
    <cellStyle name="20% - Accent4 12 3 2" xfId="1217" xr:uid="{00000000-0005-0000-0000-00003D160000}"/>
    <cellStyle name="20% - Accent4 12 3 2 2" xfId="4747" xr:uid="{00000000-0005-0000-0000-00003E160000}"/>
    <cellStyle name="20% - Accent4 12 3 2 2 2" xfId="8338" xr:uid="{00000000-0005-0000-0000-00003F160000}"/>
    <cellStyle name="20% - Accent4 12 3 2 2 2 2" xfId="16309" xr:uid="{00000000-0005-0000-0000-000040160000}"/>
    <cellStyle name="20% - Accent4 12 3 2 2 2 2 2" xfId="40152" xr:uid="{7C13217E-7768-4471-B807-2AE0B296B37A}"/>
    <cellStyle name="20% - Accent4 12 3 2 2 2 3" xfId="24255" xr:uid="{00000000-0005-0000-0000-000041160000}"/>
    <cellStyle name="20% - Accent4 12 3 2 2 2 3 2" xfId="48088" xr:uid="{01D2C9AE-C03F-4FA6-84FF-7331DF7EDDCF}"/>
    <cellStyle name="20% - Accent4 12 3 2 2 2 4" xfId="32211" xr:uid="{C77EC8E7-50D0-46AC-9104-4859EF505F41}"/>
    <cellStyle name="20% - Accent4 12 3 2 2 3" xfId="12771" xr:uid="{00000000-0005-0000-0000-000042160000}"/>
    <cellStyle name="20% - Accent4 12 3 2 2 3 2" xfId="36621" xr:uid="{801A5FC0-7538-473D-AEFB-89AC5090B8AB}"/>
    <cellStyle name="20% - Accent4 12 3 2 2 4" xfId="20726" xr:uid="{00000000-0005-0000-0000-000043160000}"/>
    <cellStyle name="20% - Accent4 12 3 2 2 4 2" xfId="44559" xr:uid="{45909E42-B398-4CC3-9BDA-61B2C5B81D1C}"/>
    <cellStyle name="20% - Accent4 12 3 2 2 5" xfId="28680" xr:uid="{9014D20B-6CD7-45A2-B8D0-0FA638B89061}"/>
    <cellStyle name="20% - Accent4 12 3 2 3" xfId="6579" xr:uid="{00000000-0005-0000-0000-000044160000}"/>
    <cellStyle name="20% - Accent4 12 3 2 3 2" xfId="14551" xr:uid="{00000000-0005-0000-0000-000045160000}"/>
    <cellStyle name="20% - Accent4 12 3 2 3 2 2" xfId="38394" xr:uid="{E0512257-90F0-4E0F-8995-9AC5214C8D1B}"/>
    <cellStyle name="20% - Accent4 12 3 2 3 3" xfId="22498" xr:uid="{00000000-0005-0000-0000-000046160000}"/>
    <cellStyle name="20% - Accent4 12 3 2 3 3 2" xfId="46331" xr:uid="{250F8098-E0F5-40F9-BB0F-54D1D3120A25}"/>
    <cellStyle name="20% - Accent4 12 3 2 3 4" xfId="30453" xr:uid="{08305654-87E4-48AB-B609-CF23DCAEBC43}"/>
    <cellStyle name="20% - Accent4 12 3 2 4" xfId="11015" xr:uid="{00000000-0005-0000-0000-000047160000}"/>
    <cellStyle name="20% - Accent4 12 3 2 4 2" xfId="34865" xr:uid="{0C0BD62C-F074-46F2-B1BE-7AB8150706A7}"/>
    <cellStyle name="20% - Accent4 12 3 2 5" xfId="18970" xr:uid="{00000000-0005-0000-0000-000048160000}"/>
    <cellStyle name="20% - Accent4 12 3 2 5 2" xfId="42803" xr:uid="{5D6F59D5-6437-474C-BBA8-02E8388A3037}"/>
    <cellStyle name="20% - Accent4 12 3 2 6" xfId="26923" xr:uid="{D7EF6FED-7F42-4392-8584-DDF360AE38A0}"/>
    <cellStyle name="20% - Accent4 12 3 2_Exh G" xfId="2335" xr:uid="{00000000-0005-0000-0000-000049160000}"/>
    <cellStyle name="20% - Accent4 12 3 3" xfId="3868" xr:uid="{00000000-0005-0000-0000-00004A160000}"/>
    <cellStyle name="20% - Accent4 12 3 3 2" xfId="7460" xr:uid="{00000000-0005-0000-0000-00004B160000}"/>
    <cellStyle name="20% - Accent4 12 3 3 2 2" xfId="15431" xr:uid="{00000000-0005-0000-0000-00004C160000}"/>
    <cellStyle name="20% - Accent4 12 3 3 2 2 2" xfId="39274" xr:uid="{AEE72240-C820-4473-89FF-532D355813A6}"/>
    <cellStyle name="20% - Accent4 12 3 3 2 3" xfId="23377" xr:uid="{00000000-0005-0000-0000-00004D160000}"/>
    <cellStyle name="20% - Accent4 12 3 3 2 3 2" xfId="47210" xr:uid="{1D2D67F2-22F8-47C0-9DEB-C6B6FB0F2763}"/>
    <cellStyle name="20% - Accent4 12 3 3 2 4" xfId="31333" xr:uid="{18CA2048-8CEA-4DFD-8676-9AA6E1A0BD2A}"/>
    <cellStyle name="20% - Accent4 12 3 3 3" xfId="11893" xr:uid="{00000000-0005-0000-0000-00004E160000}"/>
    <cellStyle name="20% - Accent4 12 3 3 3 2" xfId="35743" xr:uid="{0A107440-AF17-494D-9C24-B82487B02001}"/>
    <cellStyle name="20% - Accent4 12 3 3 4" xfId="19848" xr:uid="{00000000-0005-0000-0000-00004F160000}"/>
    <cellStyle name="20% - Accent4 12 3 3 4 2" xfId="43681" xr:uid="{8D3638BA-7C0C-4BE6-B6E4-DE7D34AD5ACB}"/>
    <cellStyle name="20% - Accent4 12 3 3 5" xfId="27802" xr:uid="{B752CB4A-FB73-4A57-AFCC-B2762DB52DDA}"/>
    <cellStyle name="20% - Accent4 12 3 4" xfId="5688" xr:uid="{00000000-0005-0000-0000-000050160000}"/>
    <cellStyle name="20% - Accent4 12 3 4 2" xfId="13672" xr:uid="{00000000-0005-0000-0000-000051160000}"/>
    <cellStyle name="20% - Accent4 12 3 4 2 2" xfId="37516" xr:uid="{4C4762D3-5FFD-471F-84AE-97918CDD42F5}"/>
    <cellStyle name="20% - Accent4 12 3 4 3" xfId="21620" xr:uid="{00000000-0005-0000-0000-000052160000}"/>
    <cellStyle name="20% - Accent4 12 3 4 3 2" xfId="45453" xr:uid="{DF444F12-ECD3-480B-AD68-078C9889CEA7}"/>
    <cellStyle name="20% - Accent4 12 3 4 4" xfId="29575" xr:uid="{C7227B8A-6B42-4139-910E-C3A5C8DD3447}"/>
    <cellStyle name="20% - Accent4 12 3 5" xfId="9241" xr:uid="{00000000-0005-0000-0000-000053160000}"/>
    <cellStyle name="20% - Accent4 12 3 5 2" xfId="17199" xr:uid="{00000000-0005-0000-0000-000054160000}"/>
    <cellStyle name="20% - Accent4 12 3 5 2 2" xfId="41040" xr:uid="{37E58E72-77B5-47E3-978D-0C9F39B55748}"/>
    <cellStyle name="20% - Accent4 12 3 5 3" xfId="25143" xr:uid="{00000000-0005-0000-0000-000055160000}"/>
    <cellStyle name="20% - Accent4 12 3 5 3 2" xfId="48976" xr:uid="{9B422FBD-10B4-4970-88BD-B6106D1E4CC9}"/>
    <cellStyle name="20% - Accent4 12 3 5 4" xfId="33099" xr:uid="{BF4892AE-B876-454D-A651-ABC7060F26BC}"/>
    <cellStyle name="20% - Accent4 12 3 6" xfId="10137" xr:uid="{00000000-0005-0000-0000-000056160000}"/>
    <cellStyle name="20% - Accent4 12 3 6 2" xfId="33987" xr:uid="{6319D469-3022-4DC5-A449-2F52BE44D15B}"/>
    <cellStyle name="20% - Accent4 12 3 7" xfId="18092" xr:uid="{00000000-0005-0000-0000-000057160000}"/>
    <cellStyle name="20% - Accent4 12 3 7 2" xfId="41925" xr:uid="{D56BEDF7-2E85-4E47-9432-10ABFD887027}"/>
    <cellStyle name="20% - Accent4 12 3 8" xfId="26045" xr:uid="{50EC9E41-1503-4680-B762-248BA242EF28}"/>
    <cellStyle name="20% - Accent4 12 3_Exh G" xfId="2334" xr:uid="{00000000-0005-0000-0000-000058160000}"/>
    <cellStyle name="20% - Accent4 12 4" xfId="1214" xr:uid="{00000000-0005-0000-0000-000059160000}"/>
    <cellStyle name="20% - Accent4 12 4 2" xfId="4744" xr:uid="{00000000-0005-0000-0000-00005A160000}"/>
    <cellStyle name="20% - Accent4 12 4 2 2" xfId="8335" xr:uid="{00000000-0005-0000-0000-00005B160000}"/>
    <cellStyle name="20% - Accent4 12 4 2 2 2" xfId="16306" xr:uid="{00000000-0005-0000-0000-00005C160000}"/>
    <cellStyle name="20% - Accent4 12 4 2 2 2 2" xfId="40149" xr:uid="{FB3CA43B-E3AA-4622-828A-71E821D02732}"/>
    <cellStyle name="20% - Accent4 12 4 2 2 3" xfId="24252" xr:uid="{00000000-0005-0000-0000-00005D160000}"/>
    <cellStyle name="20% - Accent4 12 4 2 2 3 2" xfId="48085" xr:uid="{2808A028-AC6A-4F5F-A528-F22B1CF4C6E2}"/>
    <cellStyle name="20% - Accent4 12 4 2 2 4" xfId="32208" xr:uid="{92F1B3C4-F7F7-4A3D-8856-72E40CFDDE02}"/>
    <cellStyle name="20% - Accent4 12 4 2 3" xfId="12768" xr:uid="{00000000-0005-0000-0000-00005E160000}"/>
    <cellStyle name="20% - Accent4 12 4 2 3 2" xfId="36618" xr:uid="{3768BB8F-D4FB-4749-9269-D8C2780C8718}"/>
    <cellStyle name="20% - Accent4 12 4 2 4" xfId="20723" xr:uid="{00000000-0005-0000-0000-00005F160000}"/>
    <cellStyle name="20% - Accent4 12 4 2 4 2" xfId="44556" xr:uid="{7BE0F957-6567-490B-89DE-545C30E3CC3E}"/>
    <cellStyle name="20% - Accent4 12 4 2 5" xfId="28677" xr:uid="{BCA0D2E8-58E0-4E04-9E82-B7EAEB6595F9}"/>
    <cellStyle name="20% - Accent4 12 4 3" xfId="6576" xr:uid="{00000000-0005-0000-0000-000060160000}"/>
    <cellStyle name="20% - Accent4 12 4 3 2" xfId="14548" xr:uid="{00000000-0005-0000-0000-000061160000}"/>
    <cellStyle name="20% - Accent4 12 4 3 2 2" xfId="38391" xr:uid="{8B8BB47E-B409-4317-98A6-5CBFFF2676CA}"/>
    <cellStyle name="20% - Accent4 12 4 3 3" xfId="22495" xr:uid="{00000000-0005-0000-0000-000062160000}"/>
    <cellStyle name="20% - Accent4 12 4 3 3 2" xfId="46328" xr:uid="{99A45C95-B149-4C19-8592-9993A0F95C5D}"/>
    <cellStyle name="20% - Accent4 12 4 3 4" xfId="30450" xr:uid="{2345F73D-86FA-471D-9BD8-D29BEC5A3801}"/>
    <cellStyle name="20% - Accent4 12 4 4" xfId="11012" xr:uid="{00000000-0005-0000-0000-000063160000}"/>
    <cellStyle name="20% - Accent4 12 4 4 2" xfId="34862" xr:uid="{895E5F28-5822-4C72-878F-C9F9B3C3F776}"/>
    <cellStyle name="20% - Accent4 12 4 5" xfId="18967" xr:uid="{00000000-0005-0000-0000-000064160000}"/>
    <cellStyle name="20% - Accent4 12 4 5 2" xfId="42800" xr:uid="{33B25F61-224D-44FF-BBDA-BDF1EEDAF02A}"/>
    <cellStyle name="20% - Accent4 12 4 6" xfId="26920" xr:uid="{4845F2E3-575E-497C-9014-ACDEF4F8251F}"/>
    <cellStyle name="20% - Accent4 12 4_Exh G" xfId="2336" xr:uid="{00000000-0005-0000-0000-000065160000}"/>
    <cellStyle name="20% - Accent4 12 5" xfId="3865" xr:uid="{00000000-0005-0000-0000-000066160000}"/>
    <cellStyle name="20% - Accent4 12 5 2" xfId="7457" xr:uid="{00000000-0005-0000-0000-000067160000}"/>
    <cellStyle name="20% - Accent4 12 5 2 2" xfId="15428" xr:uid="{00000000-0005-0000-0000-000068160000}"/>
    <cellStyle name="20% - Accent4 12 5 2 2 2" xfId="39271" xr:uid="{B9237904-DDF7-4531-8808-578AC898F258}"/>
    <cellStyle name="20% - Accent4 12 5 2 3" xfId="23374" xr:uid="{00000000-0005-0000-0000-000069160000}"/>
    <cellStyle name="20% - Accent4 12 5 2 3 2" xfId="47207" xr:uid="{AE2348D7-F613-4436-9A77-2094E53A3598}"/>
    <cellStyle name="20% - Accent4 12 5 2 4" xfId="31330" xr:uid="{E8AE57A0-DB30-406A-BFAD-D542F5852DD9}"/>
    <cellStyle name="20% - Accent4 12 5 3" xfId="11890" xr:uid="{00000000-0005-0000-0000-00006A160000}"/>
    <cellStyle name="20% - Accent4 12 5 3 2" xfId="35740" xr:uid="{39630328-C66F-44E1-8806-01AB66484C27}"/>
    <cellStyle name="20% - Accent4 12 5 4" xfId="19845" xr:uid="{00000000-0005-0000-0000-00006B160000}"/>
    <cellStyle name="20% - Accent4 12 5 4 2" xfId="43678" xr:uid="{ED507C33-DDE7-44FD-A20A-0BE7031E778F}"/>
    <cellStyle name="20% - Accent4 12 5 5" xfId="27799" xr:uid="{90651E93-AC7D-4879-B0B0-E6DFA7F3575B}"/>
    <cellStyle name="20% - Accent4 12 6" xfId="5685" xr:uid="{00000000-0005-0000-0000-00006C160000}"/>
    <cellStyle name="20% - Accent4 12 6 2" xfId="13669" xr:uid="{00000000-0005-0000-0000-00006D160000}"/>
    <cellStyle name="20% - Accent4 12 6 2 2" xfId="37513" xr:uid="{524392F8-9FF7-499C-9CF6-C6240402CA80}"/>
    <cellStyle name="20% - Accent4 12 6 3" xfId="21617" xr:uid="{00000000-0005-0000-0000-00006E160000}"/>
    <cellStyle name="20% - Accent4 12 6 3 2" xfId="45450" xr:uid="{A577D628-D9E7-4105-BED8-CC07CBE2BE99}"/>
    <cellStyle name="20% - Accent4 12 6 4" xfId="29572" xr:uid="{0CF89D1A-94BA-4405-AD12-2195D356D0EE}"/>
    <cellStyle name="20% - Accent4 12 7" xfId="9238" xr:uid="{00000000-0005-0000-0000-00006F160000}"/>
    <cellStyle name="20% - Accent4 12 7 2" xfId="17196" xr:uid="{00000000-0005-0000-0000-000070160000}"/>
    <cellStyle name="20% - Accent4 12 7 2 2" xfId="41037" xr:uid="{24F6F55A-77FE-4B14-BB03-250EAA3EF1DC}"/>
    <cellStyle name="20% - Accent4 12 7 3" xfId="25140" xr:uid="{00000000-0005-0000-0000-000071160000}"/>
    <cellStyle name="20% - Accent4 12 7 3 2" xfId="48973" xr:uid="{B1E16701-4202-4BE8-8E47-45512DB237CA}"/>
    <cellStyle name="20% - Accent4 12 7 4" xfId="33096" xr:uid="{8C25E8D8-D9AE-4CC5-9BD7-488619B0779B}"/>
    <cellStyle name="20% - Accent4 12 8" xfId="10134" xr:uid="{00000000-0005-0000-0000-000072160000}"/>
    <cellStyle name="20% - Accent4 12 8 2" xfId="33984" xr:uid="{B5D4C626-70BA-4D25-9632-6F225F5B6B9A}"/>
    <cellStyle name="20% - Accent4 12 9" xfId="18089" xr:uid="{00000000-0005-0000-0000-000073160000}"/>
    <cellStyle name="20% - Accent4 12 9 2" xfId="41922" xr:uid="{1524F188-B1C7-4A71-8D63-41CEF65E045D}"/>
    <cellStyle name="20% - Accent4 12_Exh G" xfId="2329" xr:uid="{00000000-0005-0000-0000-000074160000}"/>
    <cellStyle name="20% - Accent4 13" xfId="190" xr:uid="{00000000-0005-0000-0000-000075160000}"/>
    <cellStyle name="20% - Accent4 13 10" xfId="26046" xr:uid="{D4291A3F-414A-46E7-B053-504E8B60AC0D}"/>
    <cellStyle name="20% - Accent4 13 2" xfId="191" xr:uid="{00000000-0005-0000-0000-000076160000}"/>
    <cellStyle name="20% - Accent4 13 2 2" xfId="192" xr:uid="{00000000-0005-0000-0000-000077160000}"/>
    <cellStyle name="20% - Accent4 13 2 2 2" xfId="1220" xr:uid="{00000000-0005-0000-0000-000078160000}"/>
    <cellStyle name="20% - Accent4 13 2 2 2 2" xfId="4750" xr:uid="{00000000-0005-0000-0000-000079160000}"/>
    <cellStyle name="20% - Accent4 13 2 2 2 2 2" xfId="8341" xr:uid="{00000000-0005-0000-0000-00007A160000}"/>
    <cellStyle name="20% - Accent4 13 2 2 2 2 2 2" xfId="16312" xr:uid="{00000000-0005-0000-0000-00007B160000}"/>
    <cellStyle name="20% - Accent4 13 2 2 2 2 2 2 2" xfId="40155" xr:uid="{93BC912A-5323-4100-BA59-7D7052A62878}"/>
    <cellStyle name="20% - Accent4 13 2 2 2 2 2 3" xfId="24258" xr:uid="{00000000-0005-0000-0000-00007C160000}"/>
    <cellStyle name="20% - Accent4 13 2 2 2 2 2 3 2" xfId="48091" xr:uid="{6E39FB3C-3E67-4902-9DB7-94CD50D1FF3A}"/>
    <cellStyle name="20% - Accent4 13 2 2 2 2 2 4" xfId="32214" xr:uid="{595AA259-EFA7-4F80-9D74-BBB70D15AFB6}"/>
    <cellStyle name="20% - Accent4 13 2 2 2 2 3" xfId="12774" xr:uid="{00000000-0005-0000-0000-00007D160000}"/>
    <cellStyle name="20% - Accent4 13 2 2 2 2 3 2" xfId="36624" xr:uid="{5AB80783-BC78-41DD-BA24-D738077A69BA}"/>
    <cellStyle name="20% - Accent4 13 2 2 2 2 4" xfId="20729" xr:uid="{00000000-0005-0000-0000-00007E160000}"/>
    <cellStyle name="20% - Accent4 13 2 2 2 2 4 2" xfId="44562" xr:uid="{638998BE-BC2C-4F75-B01E-3F851AD8658C}"/>
    <cellStyle name="20% - Accent4 13 2 2 2 2 5" xfId="28683" xr:uid="{FC0076F4-7519-4138-A819-BB0F04712745}"/>
    <cellStyle name="20% - Accent4 13 2 2 2 3" xfId="6582" xr:uid="{00000000-0005-0000-0000-00007F160000}"/>
    <cellStyle name="20% - Accent4 13 2 2 2 3 2" xfId="14554" xr:uid="{00000000-0005-0000-0000-000080160000}"/>
    <cellStyle name="20% - Accent4 13 2 2 2 3 2 2" xfId="38397" xr:uid="{A1596840-FD52-493B-A9CE-212301011CFE}"/>
    <cellStyle name="20% - Accent4 13 2 2 2 3 3" xfId="22501" xr:uid="{00000000-0005-0000-0000-000081160000}"/>
    <cellStyle name="20% - Accent4 13 2 2 2 3 3 2" xfId="46334" xr:uid="{EFE1EB5C-CD55-4660-B096-4737AC67D455}"/>
    <cellStyle name="20% - Accent4 13 2 2 2 3 4" xfId="30456" xr:uid="{58FEEFC6-A2AD-4D4D-BD6B-3EA89F808618}"/>
    <cellStyle name="20% - Accent4 13 2 2 2 4" xfId="11018" xr:uid="{00000000-0005-0000-0000-000082160000}"/>
    <cellStyle name="20% - Accent4 13 2 2 2 4 2" xfId="34868" xr:uid="{438C4B3F-6418-42F7-B2D3-4EB08141E8A0}"/>
    <cellStyle name="20% - Accent4 13 2 2 2 5" xfId="18973" xr:uid="{00000000-0005-0000-0000-000083160000}"/>
    <cellStyle name="20% - Accent4 13 2 2 2 5 2" xfId="42806" xr:uid="{D74EC25B-979F-4E1F-9221-E14E4B78B49E}"/>
    <cellStyle name="20% - Accent4 13 2 2 2 6" xfId="26926" xr:uid="{B3085CAC-0825-4DAA-91C2-009D12CB5D30}"/>
    <cellStyle name="20% - Accent4 13 2 2 2_Exh G" xfId="2340" xr:uid="{00000000-0005-0000-0000-000084160000}"/>
    <cellStyle name="20% - Accent4 13 2 2 3" xfId="3871" xr:uid="{00000000-0005-0000-0000-000085160000}"/>
    <cellStyle name="20% - Accent4 13 2 2 3 2" xfId="7463" xr:uid="{00000000-0005-0000-0000-000086160000}"/>
    <cellStyle name="20% - Accent4 13 2 2 3 2 2" xfId="15434" xr:uid="{00000000-0005-0000-0000-000087160000}"/>
    <cellStyle name="20% - Accent4 13 2 2 3 2 2 2" xfId="39277" xr:uid="{219C8540-BD4B-4595-9364-D565034AE3EA}"/>
    <cellStyle name="20% - Accent4 13 2 2 3 2 3" xfId="23380" xr:uid="{00000000-0005-0000-0000-000088160000}"/>
    <cellStyle name="20% - Accent4 13 2 2 3 2 3 2" xfId="47213" xr:uid="{38C36C08-F9FD-46B8-BFAB-A6141AD559A3}"/>
    <cellStyle name="20% - Accent4 13 2 2 3 2 4" xfId="31336" xr:uid="{A7AECAA7-5FCF-4874-B638-D84C4DC8902E}"/>
    <cellStyle name="20% - Accent4 13 2 2 3 3" xfId="11896" xr:uid="{00000000-0005-0000-0000-000089160000}"/>
    <cellStyle name="20% - Accent4 13 2 2 3 3 2" xfId="35746" xr:uid="{E3AA8188-4F1A-4624-934C-741D36430526}"/>
    <cellStyle name="20% - Accent4 13 2 2 3 4" xfId="19851" xr:uid="{00000000-0005-0000-0000-00008A160000}"/>
    <cellStyle name="20% - Accent4 13 2 2 3 4 2" xfId="43684" xr:uid="{9311AF6A-6174-4B8F-A4E4-242DCBF182AB}"/>
    <cellStyle name="20% - Accent4 13 2 2 3 5" xfId="27805" xr:uid="{6DB9AF1B-CB93-4295-AA0C-CC754E71CED6}"/>
    <cellStyle name="20% - Accent4 13 2 2 4" xfId="5691" xr:uid="{00000000-0005-0000-0000-00008B160000}"/>
    <cellStyle name="20% - Accent4 13 2 2 4 2" xfId="13675" xr:uid="{00000000-0005-0000-0000-00008C160000}"/>
    <cellStyle name="20% - Accent4 13 2 2 4 2 2" xfId="37519" xr:uid="{E330ACED-BD08-4789-8859-1C47B9ABBB11}"/>
    <cellStyle name="20% - Accent4 13 2 2 4 3" xfId="21623" xr:uid="{00000000-0005-0000-0000-00008D160000}"/>
    <cellStyle name="20% - Accent4 13 2 2 4 3 2" xfId="45456" xr:uid="{53F7D085-935C-423F-B899-90E5F21C45BD}"/>
    <cellStyle name="20% - Accent4 13 2 2 4 4" xfId="29578" xr:uid="{B4FA69E8-199E-43B6-8A24-41D006A4B279}"/>
    <cellStyle name="20% - Accent4 13 2 2 5" xfId="9244" xr:uid="{00000000-0005-0000-0000-00008E160000}"/>
    <cellStyle name="20% - Accent4 13 2 2 5 2" xfId="17202" xr:uid="{00000000-0005-0000-0000-00008F160000}"/>
    <cellStyle name="20% - Accent4 13 2 2 5 2 2" xfId="41043" xr:uid="{419DDD08-8159-4E03-9E14-8F83BC69239A}"/>
    <cellStyle name="20% - Accent4 13 2 2 5 3" xfId="25146" xr:uid="{00000000-0005-0000-0000-000090160000}"/>
    <cellStyle name="20% - Accent4 13 2 2 5 3 2" xfId="48979" xr:uid="{1E5D8B98-BB2C-4C55-BF6A-5E32E4E2E0B6}"/>
    <cellStyle name="20% - Accent4 13 2 2 5 4" xfId="33102" xr:uid="{B3886C09-7161-4084-9A37-7F6797289940}"/>
    <cellStyle name="20% - Accent4 13 2 2 6" xfId="10140" xr:uid="{00000000-0005-0000-0000-000091160000}"/>
    <cellStyle name="20% - Accent4 13 2 2 6 2" xfId="33990" xr:uid="{6524EAD6-7AA4-413C-A514-9D67E917A4D1}"/>
    <cellStyle name="20% - Accent4 13 2 2 7" xfId="18095" xr:uid="{00000000-0005-0000-0000-000092160000}"/>
    <cellStyle name="20% - Accent4 13 2 2 7 2" xfId="41928" xr:uid="{ABA138B7-F3FB-4A6A-AACA-C3A1F9ED1218}"/>
    <cellStyle name="20% - Accent4 13 2 2 8" xfId="26048" xr:uid="{D6416472-E482-47D6-8571-67237B387BA8}"/>
    <cellStyle name="20% - Accent4 13 2 2_Exh G" xfId="2339" xr:uid="{00000000-0005-0000-0000-000093160000}"/>
    <cellStyle name="20% - Accent4 13 2 3" xfId="1219" xr:uid="{00000000-0005-0000-0000-000094160000}"/>
    <cellStyle name="20% - Accent4 13 2 3 2" xfId="4749" xr:uid="{00000000-0005-0000-0000-000095160000}"/>
    <cellStyle name="20% - Accent4 13 2 3 2 2" xfId="8340" xr:uid="{00000000-0005-0000-0000-000096160000}"/>
    <cellStyle name="20% - Accent4 13 2 3 2 2 2" xfId="16311" xr:uid="{00000000-0005-0000-0000-000097160000}"/>
    <cellStyle name="20% - Accent4 13 2 3 2 2 2 2" xfId="40154" xr:uid="{D36C803C-5522-4A84-9D74-A4B21CB75BCF}"/>
    <cellStyle name="20% - Accent4 13 2 3 2 2 3" xfId="24257" xr:uid="{00000000-0005-0000-0000-000098160000}"/>
    <cellStyle name="20% - Accent4 13 2 3 2 2 3 2" xfId="48090" xr:uid="{51F5E3C6-F2FE-49E0-8824-98E7363175E6}"/>
    <cellStyle name="20% - Accent4 13 2 3 2 2 4" xfId="32213" xr:uid="{09F1CFF7-9FE9-4BBE-AA6A-37425424E15F}"/>
    <cellStyle name="20% - Accent4 13 2 3 2 3" xfId="12773" xr:uid="{00000000-0005-0000-0000-000099160000}"/>
    <cellStyle name="20% - Accent4 13 2 3 2 3 2" xfId="36623" xr:uid="{9139D4DF-B399-40CF-BE19-CA88B50706C5}"/>
    <cellStyle name="20% - Accent4 13 2 3 2 4" xfId="20728" xr:uid="{00000000-0005-0000-0000-00009A160000}"/>
    <cellStyle name="20% - Accent4 13 2 3 2 4 2" xfId="44561" xr:uid="{491AC1F5-A324-4023-9709-2643FBCAAFEE}"/>
    <cellStyle name="20% - Accent4 13 2 3 2 5" xfId="28682" xr:uid="{3D5C4BC0-92BA-4C28-AFA9-ED7436C36DF0}"/>
    <cellStyle name="20% - Accent4 13 2 3 3" xfId="6581" xr:uid="{00000000-0005-0000-0000-00009B160000}"/>
    <cellStyle name="20% - Accent4 13 2 3 3 2" xfId="14553" xr:uid="{00000000-0005-0000-0000-00009C160000}"/>
    <cellStyle name="20% - Accent4 13 2 3 3 2 2" xfId="38396" xr:uid="{9E3E76C7-EC21-498E-8A39-2546278BE68D}"/>
    <cellStyle name="20% - Accent4 13 2 3 3 3" xfId="22500" xr:uid="{00000000-0005-0000-0000-00009D160000}"/>
    <cellStyle name="20% - Accent4 13 2 3 3 3 2" xfId="46333" xr:uid="{0350D9BB-D0D6-4CB7-A644-A7A6958434A7}"/>
    <cellStyle name="20% - Accent4 13 2 3 3 4" xfId="30455" xr:uid="{E18166B5-A674-4A65-A8E2-EF47CFD30483}"/>
    <cellStyle name="20% - Accent4 13 2 3 4" xfId="11017" xr:uid="{00000000-0005-0000-0000-00009E160000}"/>
    <cellStyle name="20% - Accent4 13 2 3 4 2" xfId="34867" xr:uid="{358DEC09-5B58-4E98-A652-35CEE0B342A7}"/>
    <cellStyle name="20% - Accent4 13 2 3 5" xfId="18972" xr:uid="{00000000-0005-0000-0000-00009F160000}"/>
    <cellStyle name="20% - Accent4 13 2 3 5 2" xfId="42805" xr:uid="{A99982D9-DCAA-40A7-8DBE-D5A2E560DA51}"/>
    <cellStyle name="20% - Accent4 13 2 3 6" xfId="26925" xr:uid="{2ACA430F-5BB9-4BCA-8BB0-0C837A705042}"/>
    <cellStyle name="20% - Accent4 13 2 3_Exh G" xfId="2341" xr:uid="{00000000-0005-0000-0000-0000A0160000}"/>
    <cellStyle name="20% - Accent4 13 2 4" xfId="3870" xr:uid="{00000000-0005-0000-0000-0000A1160000}"/>
    <cellStyle name="20% - Accent4 13 2 4 2" xfId="7462" xr:uid="{00000000-0005-0000-0000-0000A2160000}"/>
    <cellStyle name="20% - Accent4 13 2 4 2 2" xfId="15433" xr:uid="{00000000-0005-0000-0000-0000A3160000}"/>
    <cellStyle name="20% - Accent4 13 2 4 2 2 2" xfId="39276" xr:uid="{AD53B4E5-99DB-405A-AFF9-E8893DBDC163}"/>
    <cellStyle name="20% - Accent4 13 2 4 2 3" xfId="23379" xr:uid="{00000000-0005-0000-0000-0000A4160000}"/>
    <cellStyle name="20% - Accent4 13 2 4 2 3 2" xfId="47212" xr:uid="{F95A938B-C873-4F86-8FEA-2E13EF03FBD4}"/>
    <cellStyle name="20% - Accent4 13 2 4 2 4" xfId="31335" xr:uid="{E09F9DF6-139B-4FE0-B4DE-DA5DD46CEF75}"/>
    <cellStyle name="20% - Accent4 13 2 4 3" xfId="11895" xr:uid="{00000000-0005-0000-0000-0000A5160000}"/>
    <cellStyle name="20% - Accent4 13 2 4 3 2" xfId="35745" xr:uid="{98B07F47-8B7D-46CF-81A4-A6EC3FDEA86F}"/>
    <cellStyle name="20% - Accent4 13 2 4 4" xfId="19850" xr:uid="{00000000-0005-0000-0000-0000A6160000}"/>
    <cellStyle name="20% - Accent4 13 2 4 4 2" xfId="43683" xr:uid="{BA956439-630A-413C-B8D5-7BF01A7FE0ED}"/>
    <cellStyle name="20% - Accent4 13 2 4 5" xfId="27804" xr:uid="{75099FD4-58D1-4D73-BE7D-A41E5E1B03E1}"/>
    <cellStyle name="20% - Accent4 13 2 5" xfId="5690" xr:uid="{00000000-0005-0000-0000-0000A7160000}"/>
    <cellStyle name="20% - Accent4 13 2 5 2" xfId="13674" xr:uid="{00000000-0005-0000-0000-0000A8160000}"/>
    <cellStyle name="20% - Accent4 13 2 5 2 2" xfId="37518" xr:uid="{9CE4B0EA-AF5E-44DB-ABC5-BCE18AF8277A}"/>
    <cellStyle name="20% - Accent4 13 2 5 3" xfId="21622" xr:uid="{00000000-0005-0000-0000-0000A9160000}"/>
    <cellStyle name="20% - Accent4 13 2 5 3 2" xfId="45455" xr:uid="{CB575A8C-6303-4B18-BC66-0926BA40CF8A}"/>
    <cellStyle name="20% - Accent4 13 2 5 4" xfId="29577" xr:uid="{E6CAAD17-32A5-4EFA-B8FD-E514FE87D2FF}"/>
    <cellStyle name="20% - Accent4 13 2 6" xfId="9243" xr:uid="{00000000-0005-0000-0000-0000AA160000}"/>
    <cellStyle name="20% - Accent4 13 2 6 2" xfId="17201" xr:uid="{00000000-0005-0000-0000-0000AB160000}"/>
    <cellStyle name="20% - Accent4 13 2 6 2 2" xfId="41042" xr:uid="{B40B941D-E761-4FEF-A4EE-C381D39F9030}"/>
    <cellStyle name="20% - Accent4 13 2 6 3" xfId="25145" xr:uid="{00000000-0005-0000-0000-0000AC160000}"/>
    <cellStyle name="20% - Accent4 13 2 6 3 2" xfId="48978" xr:uid="{F6847A46-69C8-473B-A201-CAB799ADCBC8}"/>
    <cellStyle name="20% - Accent4 13 2 6 4" xfId="33101" xr:uid="{999100CC-D78B-422F-BF8F-279F9ED585A1}"/>
    <cellStyle name="20% - Accent4 13 2 7" xfId="10139" xr:uid="{00000000-0005-0000-0000-0000AD160000}"/>
    <cellStyle name="20% - Accent4 13 2 7 2" xfId="33989" xr:uid="{99F5D4C6-09EB-4E18-A134-ED2F8218D1B1}"/>
    <cellStyle name="20% - Accent4 13 2 8" xfId="18094" xr:uid="{00000000-0005-0000-0000-0000AE160000}"/>
    <cellStyle name="20% - Accent4 13 2 8 2" xfId="41927" xr:uid="{6CDFF79E-BFDB-49E3-8C3D-1FFE7C5E806E}"/>
    <cellStyle name="20% - Accent4 13 2 9" xfId="26047" xr:uid="{8DC3B285-9095-4C3B-AD10-B624AB1A7675}"/>
    <cellStyle name="20% - Accent4 13 2_Exh G" xfId="2338" xr:uid="{00000000-0005-0000-0000-0000AF160000}"/>
    <cellStyle name="20% - Accent4 13 3" xfId="193" xr:uid="{00000000-0005-0000-0000-0000B0160000}"/>
    <cellStyle name="20% - Accent4 13 3 2" xfId="1221" xr:uid="{00000000-0005-0000-0000-0000B1160000}"/>
    <cellStyle name="20% - Accent4 13 3 2 2" xfId="4751" xr:uid="{00000000-0005-0000-0000-0000B2160000}"/>
    <cellStyle name="20% - Accent4 13 3 2 2 2" xfId="8342" xr:uid="{00000000-0005-0000-0000-0000B3160000}"/>
    <cellStyle name="20% - Accent4 13 3 2 2 2 2" xfId="16313" xr:uid="{00000000-0005-0000-0000-0000B4160000}"/>
    <cellStyle name="20% - Accent4 13 3 2 2 2 2 2" xfId="40156" xr:uid="{0DC25DEF-2982-4F4A-8B8B-C2E94AC3ECA9}"/>
    <cellStyle name="20% - Accent4 13 3 2 2 2 3" xfId="24259" xr:uid="{00000000-0005-0000-0000-0000B5160000}"/>
    <cellStyle name="20% - Accent4 13 3 2 2 2 3 2" xfId="48092" xr:uid="{722E2D52-CE1E-49E4-BD12-13C828065C11}"/>
    <cellStyle name="20% - Accent4 13 3 2 2 2 4" xfId="32215" xr:uid="{41A23DAB-4796-4141-B075-CF311AEA94C8}"/>
    <cellStyle name="20% - Accent4 13 3 2 2 3" xfId="12775" xr:uid="{00000000-0005-0000-0000-0000B6160000}"/>
    <cellStyle name="20% - Accent4 13 3 2 2 3 2" xfId="36625" xr:uid="{6DE20F79-5DF7-404A-83F2-BE9FB5A21FF6}"/>
    <cellStyle name="20% - Accent4 13 3 2 2 4" xfId="20730" xr:uid="{00000000-0005-0000-0000-0000B7160000}"/>
    <cellStyle name="20% - Accent4 13 3 2 2 4 2" xfId="44563" xr:uid="{8A3F4BA0-1991-4FE9-A173-03D7F5EEC6EF}"/>
    <cellStyle name="20% - Accent4 13 3 2 2 5" xfId="28684" xr:uid="{832EB1C9-7E49-4F21-A33F-31EB966E91A8}"/>
    <cellStyle name="20% - Accent4 13 3 2 3" xfId="6583" xr:uid="{00000000-0005-0000-0000-0000B8160000}"/>
    <cellStyle name="20% - Accent4 13 3 2 3 2" xfId="14555" xr:uid="{00000000-0005-0000-0000-0000B9160000}"/>
    <cellStyle name="20% - Accent4 13 3 2 3 2 2" xfId="38398" xr:uid="{350CEC10-DC72-4EE7-8DD0-9B5B5E48256E}"/>
    <cellStyle name="20% - Accent4 13 3 2 3 3" xfId="22502" xr:uid="{00000000-0005-0000-0000-0000BA160000}"/>
    <cellStyle name="20% - Accent4 13 3 2 3 3 2" xfId="46335" xr:uid="{AC816138-D89D-48AE-9977-3CE88F66F57E}"/>
    <cellStyle name="20% - Accent4 13 3 2 3 4" xfId="30457" xr:uid="{99CB161C-8021-4DFB-9CB8-62A218EB4168}"/>
    <cellStyle name="20% - Accent4 13 3 2 4" xfId="11019" xr:uid="{00000000-0005-0000-0000-0000BB160000}"/>
    <cellStyle name="20% - Accent4 13 3 2 4 2" xfId="34869" xr:uid="{5BEECA1A-AF40-4CE7-B870-3F009AFF5D88}"/>
    <cellStyle name="20% - Accent4 13 3 2 5" xfId="18974" xr:uid="{00000000-0005-0000-0000-0000BC160000}"/>
    <cellStyle name="20% - Accent4 13 3 2 5 2" xfId="42807" xr:uid="{0DBC125F-FFF3-457B-B1DE-E112EFE39768}"/>
    <cellStyle name="20% - Accent4 13 3 2 6" xfId="26927" xr:uid="{EE04A0C7-2426-473C-A2BA-D9276617D58F}"/>
    <cellStyle name="20% - Accent4 13 3 2_Exh G" xfId="2343" xr:uid="{00000000-0005-0000-0000-0000BD160000}"/>
    <cellStyle name="20% - Accent4 13 3 3" xfId="3872" xr:uid="{00000000-0005-0000-0000-0000BE160000}"/>
    <cellStyle name="20% - Accent4 13 3 3 2" xfId="7464" xr:uid="{00000000-0005-0000-0000-0000BF160000}"/>
    <cellStyle name="20% - Accent4 13 3 3 2 2" xfId="15435" xr:uid="{00000000-0005-0000-0000-0000C0160000}"/>
    <cellStyle name="20% - Accent4 13 3 3 2 2 2" xfId="39278" xr:uid="{114D1867-A3BE-4183-AC17-3C075260C2BC}"/>
    <cellStyle name="20% - Accent4 13 3 3 2 3" xfId="23381" xr:uid="{00000000-0005-0000-0000-0000C1160000}"/>
    <cellStyle name="20% - Accent4 13 3 3 2 3 2" xfId="47214" xr:uid="{6E3D4F43-07D7-445F-A652-1355DC0E1870}"/>
    <cellStyle name="20% - Accent4 13 3 3 2 4" xfId="31337" xr:uid="{C7DB0A00-215F-4907-A3A1-8A4824D46885}"/>
    <cellStyle name="20% - Accent4 13 3 3 3" xfId="11897" xr:uid="{00000000-0005-0000-0000-0000C2160000}"/>
    <cellStyle name="20% - Accent4 13 3 3 3 2" xfId="35747" xr:uid="{86C8EDE0-A43C-4145-924C-9A0EEC9ECAEC}"/>
    <cellStyle name="20% - Accent4 13 3 3 4" xfId="19852" xr:uid="{00000000-0005-0000-0000-0000C3160000}"/>
    <cellStyle name="20% - Accent4 13 3 3 4 2" xfId="43685" xr:uid="{027F0D0B-73F2-45C1-828B-3B3CC4A553DD}"/>
    <cellStyle name="20% - Accent4 13 3 3 5" xfId="27806" xr:uid="{9FFD55B5-6440-418C-A89B-8950F5A75CF4}"/>
    <cellStyle name="20% - Accent4 13 3 4" xfId="5692" xr:uid="{00000000-0005-0000-0000-0000C4160000}"/>
    <cellStyle name="20% - Accent4 13 3 4 2" xfId="13676" xr:uid="{00000000-0005-0000-0000-0000C5160000}"/>
    <cellStyle name="20% - Accent4 13 3 4 2 2" xfId="37520" xr:uid="{92EEB93A-1589-4AAF-BA69-23FE2A72B3FA}"/>
    <cellStyle name="20% - Accent4 13 3 4 3" xfId="21624" xr:uid="{00000000-0005-0000-0000-0000C6160000}"/>
    <cellStyle name="20% - Accent4 13 3 4 3 2" xfId="45457" xr:uid="{C21DF2C6-E035-48D0-8E51-1C1EEFABE086}"/>
    <cellStyle name="20% - Accent4 13 3 4 4" xfId="29579" xr:uid="{3AAF420C-246D-4B81-9F0E-85C4EB02B35A}"/>
    <cellStyle name="20% - Accent4 13 3 5" xfId="9245" xr:uid="{00000000-0005-0000-0000-0000C7160000}"/>
    <cellStyle name="20% - Accent4 13 3 5 2" xfId="17203" xr:uid="{00000000-0005-0000-0000-0000C8160000}"/>
    <cellStyle name="20% - Accent4 13 3 5 2 2" xfId="41044" xr:uid="{1F099ADE-E1DD-43CD-9B03-0D63F350AC7B}"/>
    <cellStyle name="20% - Accent4 13 3 5 3" xfId="25147" xr:uid="{00000000-0005-0000-0000-0000C9160000}"/>
    <cellStyle name="20% - Accent4 13 3 5 3 2" xfId="48980" xr:uid="{BD033275-FDCD-4438-BAC5-BFE9684DAC3F}"/>
    <cellStyle name="20% - Accent4 13 3 5 4" xfId="33103" xr:uid="{D8FFE303-D360-453F-ABDE-DBF95A8543D0}"/>
    <cellStyle name="20% - Accent4 13 3 6" xfId="10141" xr:uid="{00000000-0005-0000-0000-0000CA160000}"/>
    <cellStyle name="20% - Accent4 13 3 6 2" xfId="33991" xr:uid="{6B577A7C-EDAF-41B5-B55A-3B2EA90754D5}"/>
    <cellStyle name="20% - Accent4 13 3 7" xfId="18096" xr:uid="{00000000-0005-0000-0000-0000CB160000}"/>
    <cellStyle name="20% - Accent4 13 3 7 2" xfId="41929" xr:uid="{8ABEBB06-94B0-409E-9921-0DACD56B7D72}"/>
    <cellStyle name="20% - Accent4 13 3 8" xfId="26049" xr:uid="{6D1432C4-3775-4950-90BE-C95D0E63763B}"/>
    <cellStyle name="20% - Accent4 13 3_Exh G" xfId="2342" xr:uid="{00000000-0005-0000-0000-0000CC160000}"/>
    <cellStyle name="20% - Accent4 13 4" xfId="1218" xr:uid="{00000000-0005-0000-0000-0000CD160000}"/>
    <cellStyle name="20% - Accent4 13 4 2" xfId="4748" xr:uid="{00000000-0005-0000-0000-0000CE160000}"/>
    <cellStyle name="20% - Accent4 13 4 2 2" xfId="8339" xr:uid="{00000000-0005-0000-0000-0000CF160000}"/>
    <cellStyle name="20% - Accent4 13 4 2 2 2" xfId="16310" xr:uid="{00000000-0005-0000-0000-0000D0160000}"/>
    <cellStyle name="20% - Accent4 13 4 2 2 2 2" xfId="40153" xr:uid="{923AD39E-13BC-4739-97E0-83D0D4CBA6AA}"/>
    <cellStyle name="20% - Accent4 13 4 2 2 3" xfId="24256" xr:uid="{00000000-0005-0000-0000-0000D1160000}"/>
    <cellStyle name="20% - Accent4 13 4 2 2 3 2" xfId="48089" xr:uid="{7310053E-BA2E-44DD-8810-A538AFF24C46}"/>
    <cellStyle name="20% - Accent4 13 4 2 2 4" xfId="32212" xr:uid="{16FF6839-1531-4B2D-8196-2215F988C783}"/>
    <cellStyle name="20% - Accent4 13 4 2 3" xfId="12772" xr:uid="{00000000-0005-0000-0000-0000D2160000}"/>
    <cellStyle name="20% - Accent4 13 4 2 3 2" xfId="36622" xr:uid="{5C207924-8D91-4958-8FCD-03037E5C7F45}"/>
    <cellStyle name="20% - Accent4 13 4 2 4" xfId="20727" xr:uid="{00000000-0005-0000-0000-0000D3160000}"/>
    <cellStyle name="20% - Accent4 13 4 2 4 2" xfId="44560" xr:uid="{3CC53B0D-E850-4C87-814F-3E03AAF55234}"/>
    <cellStyle name="20% - Accent4 13 4 2 5" xfId="28681" xr:uid="{24270C27-B2BC-402C-A970-ECF81C02D254}"/>
    <cellStyle name="20% - Accent4 13 4 3" xfId="6580" xr:uid="{00000000-0005-0000-0000-0000D4160000}"/>
    <cellStyle name="20% - Accent4 13 4 3 2" xfId="14552" xr:uid="{00000000-0005-0000-0000-0000D5160000}"/>
    <cellStyle name="20% - Accent4 13 4 3 2 2" xfId="38395" xr:uid="{9F8577F8-E104-48D9-BDDD-645F250ED85D}"/>
    <cellStyle name="20% - Accent4 13 4 3 3" xfId="22499" xr:uid="{00000000-0005-0000-0000-0000D6160000}"/>
    <cellStyle name="20% - Accent4 13 4 3 3 2" xfId="46332" xr:uid="{70B0DFBF-B433-4BE1-A9BD-27859F52AC9E}"/>
    <cellStyle name="20% - Accent4 13 4 3 4" xfId="30454" xr:uid="{F284EAD2-763A-472C-86FF-8FCB4888E3A4}"/>
    <cellStyle name="20% - Accent4 13 4 4" xfId="11016" xr:uid="{00000000-0005-0000-0000-0000D7160000}"/>
    <cellStyle name="20% - Accent4 13 4 4 2" xfId="34866" xr:uid="{B5910FB1-8066-423B-9D04-21349308A650}"/>
    <cellStyle name="20% - Accent4 13 4 5" xfId="18971" xr:uid="{00000000-0005-0000-0000-0000D8160000}"/>
    <cellStyle name="20% - Accent4 13 4 5 2" xfId="42804" xr:uid="{3755B577-E4D6-45B9-8465-34F6C211625C}"/>
    <cellStyle name="20% - Accent4 13 4 6" xfId="26924" xr:uid="{8F88AA6A-02F0-4D92-BF61-9BBA23653F2E}"/>
    <cellStyle name="20% - Accent4 13 4_Exh G" xfId="2344" xr:uid="{00000000-0005-0000-0000-0000D9160000}"/>
    <cellStyle name="20% - Accent4 13 5" xfId="3869" xr:uid="{00000000-0005-0000-0000-0000DA160000}"/>
    <cellStyle name="20% - Accent4 13 5 2" xfId="7461" xr:uid="{00000000-0005-0000-0000-0000DB160000}"/>
    <cellStyle name="20% - Accent4 13 5 2 2" xfId="15432" xr:uid="{00000000-0005-0000-0000-0000DC160000}"/>
    <cellStyle name="20% - Accent4 13 5 2 2 2" xfId="39275" xr:uid="{E365F234-0643-4E0F-881D-3D415D79E7B1}"/>
    <cellStyle name="20% - Accent4 13 5 2 3" xfId="23378" xr:uid="{00000000-0005-0000-0000-0000DD160000}"/>
    <cellStyle name="20% - Accent4 13 5 2 3 2" xfId="47211" xr:uid="{A986F7DE-3B42-4CE9-B17C-941EDE2AF926}"/>
    <cellStyle name="20% - Accent4 13 5 2 4" xfId="31334" xr:uid="{8504541A-08B0-4E29-A371-44E5A5CB7EEE}"/>
    <cellStyle name="20% - Accent4 13 5 3" xfId="11894" xr:uid="{00000000-0005-0000-0000-0000DE160000}"/>
    <cellStyle name="20% - Accent4 13 5 3 2" xfId="35744" xr:uid="{50BE7DFE-46BC-477A-94A4-D52DE45B1D7F}"/>
    <cellStyle name="20% - Accent4 13 5 4" xfId="19849" xr:uid="{00000000-0005-0000-0000-0000DF160000}"/>
    <cellStyle name="20% - Accent4 13 5 4 2" xfId="43682" xr:uid="{FE89A493-8F7B-4807-B616-6B086BDC3794}"/>
    <cellStyle name="20% - Accent4 13 5 5" xfId="27803" xr:uid="{4270BAE5-43F8-42DB-ADE4-C72B6696A283}"/>
    <cellStyle name="20% - Accent4 13 6" xfId="5689" xr:uid="{00000000-0005-0000-0000-0000E0160000}"/>
    <cellStyle name="20% - Accent4 13 6 2" xfId="13673" xr:uid="{00000000-0005-0000-0000-0000E1160000}"/>
    <cellStyle name="20% - Accent4 13 6 2 2" xfId="37517" xr:uid="{60A58195-267E-4936-BC8E-15DE99061FF2}"/>
    <cellStyle name="20% - Accent4 13 6 3" xfId="21621" xr:uid="{00000000-0005-0000-0000-0000E2160000}"/>
    <cellStyle name="20% - Accent4 13 6 3 2" xfId="45454" xr:uid="{8346CAC8-13B5-444B-A3A1-B526EC8B102F}"/>
    <cellStyle name="20% - Accent4 13 6 4" xfId="29576" xr:uid="{E06B8E18-89A2-4FD3-9C35-37F481C9A1FC}"/>
    <cellStyle name="20% - Accent4 13 7" xfId="9242" xr:uid="{00000000-0005-0000-0000-0000E3160000}"/>
    <cellStyle name="20% - Accent4 13 7 2" xfId="17200" xr:uid="{00000000-0005-0000-0000-0000E4160000}"/>
    <cellStyle name="20% - Accent4 13 7 2 2" xfId="41041" xr:uid="{E366A280-9B5F-4CE5-801F-0BABAA5F60D8}"/>
    <cellStyle name="20% - Accent4 13 7 3" xfId="25144" xr:uid="{00000000-0005-0000-0000-0000E5160000}"/>
    <cellStyle name="20% - Accent4 13 7 3 2" xfId="48977" xr:uid="{534567AC-3FFD-4BFE-9616-012A914DEE27}"/>
    <cellStyle name="20% - Accent4 13 7 4" xfId="33100" xr:uid="{DEA603BC-E014-4491-8BAE-643252EC5E70}"/>
    <cellStyle name="20% - Accent4 13 8" xfId="10138" xr:uid="{00000000-0005-0000-0000-0000E6160000}"/>
    <cellStyle name="20% - Accent4 13 8 2" xfId="33988" xr:uid="{2B8C8135-A4F5-43B2-B3AE-515CB3FB93A9}"/>
    <cellStyle name="20% - Accent4 13 9" xfId="18093" xr:uid="{00000000-0005-0000-0000-0000E7160000}"/>
    <cellStyle name="20% - Accent4 13 9 2" xfId="41926" xr:uid="{339C0F4E-3E6D-4E11-84C1-DBF450B1CA64}"/>
    <cellStyle name="20% - Accent4 13_Exh G" xfId="2337" xr:uid="{00000000-0005-0000-0000-0000E8160000}"/>
    <cellStyle name="20% - Accent4 14" xfId="194" xr:uid="{00000000-0005-0000-0000-0000E9160000}"/>
    <cellStyle name="20% - Accent4 14 2" xfId="195" xr:uid="{00000000-0005-0000-0000-0000EA160000}"/>
    <cellStyle name="20% - Accent4 14 2 2" xfId="1223" xr:uid="{00000000-0005-0000-0000-0000EB160000}"/>
    <cellStyle name="20% - Accent4 14 2 2 2" xfId="4753" xr:uid="{00000000-0005-0000-0000-0000EC160000}"/>
    <cellStyle name="20% - Accent4 14 2 2 2 2" xfId="8344" xr:uid="{00000000-0005-0000-0000-0000ED160000}"/>
    <cellStyle name="20% - Accent4 14 2 2 2 2 2" xfId="16315" xr:uid="{00000000-0005-0000-0000-0000EE160000}"/>
    <cellStyle name="20% - Accent4 14 2 2 2 2 2 2" xfId="40158" xr:uid="{C32D841F-D7A1-4E0F-9917-AAB343FDAC43}"/>
    <cellStyle name="20% - Accent4 14 2 2 2 2 3" xfId="24261" xr:uid="{00000000-0005-0000-0000-0000EF160000}"/>
    <cellStyle name="20% - Accent4 14 2 2 2 2 3 2" xfId="48094" xr:uid="{F9E983C5-1098-498B-840F-044A2D7DBC01}"/>
    <cellStyle name="20% - Accent4 14 2 2 2 2 4" xfId="32217" xr:uid="{37A8640F-33AC-46F2-B20A-0BDB29FE871F}"/>
    <cellStyle name="20% - Accent4 14 2 2 2 3" xfId="12777" xr:uid="{00000000-0005-0000-0000-0000F0160000}"/>
    <cellStyle name="20% - Accent4 14 2 2 2 3 2" xfId="36627" xr:uid="{BC89C606-0BCB-4986-8946-D2715DD034C8}"/>
    <cellStyle name="20% - Accent4 14 2 2 2 4" xfId="20732" xr:uid="{00000000-0005-0000-0000-0000F1160000}"/>
    <cellStyle name="20% - Accent4 14 2 2 2 4 2" xfId="44565" xr:uid="{7FD4411F-798D-4397-BB03-3B71F8128062}"/>
    <cellStyle name="20% - Accent4 14 2 2 2 5" xfId="28686" xr:uid="{927FA1A3-90AA-4A4B-9BAD-14F19E9FC051}"/>
    <cellStyle name="20% - Accent4 14 2 2 3" xfId="6585" xr:uid="{00000000-0005-0000-0000-0000F2160000}"/>
    <cellStyle name="20% - Accent4 14 2 2 3 2" xfId="14557" xr:uid="{00000000-0005-0000-0000-0000F3160000}"/>
    <cellStyle name="20% - Accent4 14 2 2 3 2 2" xfId="38400" xr:uid="{DABBEEE2-0483-4FE4-9FB3-A91C299FD002}"/>
    <cellStyle name="20% - Accent4 14 2 2 3 3" xfId="22504" xr:uid="{00000000-0005-0000-0000-0000F4160000}"/>
    <cellStyle name="20% - Accent4 14 2 2 3 3 2" xfId="46337" xr:uid="{086E5833-8F99-4937-99FE-ED8B67DFF434}"/>
    <cellStyle name="20% - Accent4 14 2 2 3 4" xfId="30459" xr:uid="{503F1774-AB54-469F-8D40-0B4FFC259F2A}"/>
    <cellStyle name="20% - Accent4 14 2 2 4" xfId="11021" xr:uid="{00000000-0005-0000-0000-0000F5160000}"/>
    <cellStyle name="20% - Accent4 14 2 2 4 2" xfId="34871" xr:uid="{92A56B23-2F3F-4B9D-94C4-48298D169646}"/>
    <cellStyle name="20% - Accent4 14 2 2 5" xfId="18976" xr:uid="{00000000-0005-0000-0000-0000F6160000}"/>
    <cellStyle name="20% - Accent4 14 2 2 5 2" xfId="42809" xr:uid="{15C111E8-3C71-43A4-B3BB-723A51AB72A3}"/>
    <cellStyle name="20% - Accent4 14 2 2 6" xfId="26929" xr:uid="{086BD844-6A97-4524-8F1A-FF046D015898}"/>
    <cellStyle name="20% - Accent4 14 2 2_Exh G" xfId="2347" xr:uid="{00000000-0005-0000-0000-0000F7160000}"/>
    <cellStyle name="20% - Accent4 14 2 3" xfId="3874" xr:uid="{00000000-0005-0000-0000-0000F8160000}"/>
    <cellStyle name="20% - Accent4 14 2 3 2" xfId="7466" xr:uid="{00000000-0005-0000-0000-0000F9160000}"/>
    <cellStyle name="20% - Accent4 14 2 3 2 2" xfId="15437" xr:uid="{00000000-0005-0000-0000-0000FA160000}"/>
    <cellStyle name="20% - Accent4 14 2 3 2 2 2" xfId="39280" xr:uid="{4245480D-032D-442A-8BAB-AE836BDDAE85}"/>
    <cellStyle name="20% - Accent4 14 2 3 2 3" xfId="23383" xr:uid="{00000000-0005-0000-0000-0000FB160000}"/>
    <cellStyle name="20% - Accent4 14 2 3 2 3 2" xfId="47216" xr:uid="{5760C9BF-2D27-4B5F-A9C7-ECD324DAA4FC}"/>
    <cellStyle name="20% - Accent4 14 2 3 2 4" xfId="31339" xr:uid="{623F45FE-9971-48DD-9704-D77954BF9F0C}"/>
    <cellStyle name="20% - Accent4 14 2 3 3" xfId="11899" xr:uid="{00000000-0005-0000-0000-0000FC160000}"/>
    <cellStyle name="20% - Accent4 14 2 3 3 2" xfId="35749" xr:uid="{567D2F68-61FF-4228-8861-021DF35D15D5}"/>
    <cellStyle name="20% - Accent4 14 2 3 4" xfId="19854" xr:uid="{00000000-0005-0000-0000-0000FD160000}"/>
    <cellStyle name="20% - Accent4 14 2 3 4 2" xfId="43687" xr:uid="{80142DB7-7015-439C-9372-424E1D900706}"/>
    <cellStyle name="20% - Accent4 14 2 3 5" xfId="27808" xr:uid="{7D3C456B-8A18-4284-8093-42A06BBF223A}"/>
    <cellStyle name="20% - Accent4 14 2 4" xfId="5694" xr:uid="{00000000-0005-0000-0000-0000FE160000}"/>
    <cellStyle name="20% - Accent4 14 2 4 2" xfId="13678" xr:uid="{00000000-0005-0000-0000-0000FF160000}"/>
    <cellStyle name="20% - Accent4 14 2 4 2 2" xfId="37522" xr:uid="{4922EE77-081C-480F-A3F7-67CE2FCA114E}"/>
    <cellStyle name="20% - Accent4 14 2 4 3" xfId="21626" xr:uid="{00000000-0005-0000-0000-000000170000}"/>
    <cellStyle name="20% - Accent4 14 2 4 3 2" xfId="45459" xr:uid="{93143FDC-6027-45CD-9D4F-75A113CF058F}"/>
    <cellStyle name="20% - Accent4 14 2 4 4" xfId="29581" xr:uid="{EB6C9867-AA8E-4EDE-B3CB-B1DE718463CE}"/>
    <cellStyle name="20% - Accent4 14 2 5" xfId="9247" xr:uid="{00000000-0005-0000-0000-000001170000}"/>
    <cellStyle name="20% - Accent4 14 2 5 2" xfId="17205" xr:uid="{00000000-0005-0000-0000-000002170000}"/>
    <cellStyle name="20% - Accent4 14 2 5 2 2" xfId="41046" xr:uid="{28ADEFDF-DE9C-45EE-B8E8-9B9D4B961DE2}"/>
    <cellStyle name="20% - Accent4 14 2 5 3" xfId="25149" xr:uid="{00000000-0005-0000-0000-000003170000}"/>
    <cellStyle name="20% - Accent4 14 2 5 3 2" xfId="48982" xr:uid="{66EDFA78-4465-4B34-9C6C-4217D5E4E3FB}"/>
    <cellStyle name="20% - Accent4 14 2 5 4" xfId="33105" xr:uid="{9145C565-AE3F-47BB-BA67-52C480673C1B}"/>
    <cellStyle name="20% - Accent4 14 2 6" xfId="10143" xr:uid="{00000000-0005-0000-0000-000004170000}"/>
    <cellStyle name="20% - Accent4 14 2 6 2" xfId="33993" xr:uid="{80C56B1F-344F-42A5-82C5-6B3341AAF974}"/>
    <cellStyle name="20% - Accent4 14 2 7" xfId="18098" xr:uid="{00000000-0005-0000-0000-000005170000}"/>
    <cellStyle name="20% - Accent4 14 2 7 2" xfId="41931" xr:uid="{1AF1DB51-FC89-441F-A39B-F4CD62B5ACAF}"/>
    <cellStyle name="20% - Accent4 14 2 8" xfId="26051" xr:uid="{5E2A6C53-F600-40F6-9C6F-3DF23F6F99DD}"/>
    <cellStyle name="20% - Accent4 14 2_Exh G" xfId="2346" xr:uid="{00000000-0005-0000-0000-000006170000}"/>
    <cellStyle name="20% - Accent4 14 3" xfId="1222" xr:uid="{00000000-0005-0000-0000-000007170000}"/>
    <cellStyle name="20% - Accent4 14 3 2" xfId="4752" xr:uid="{00000000-0005-0000-0000-000008170000}"/>
    <cellStyle name="20% - Accent4 14 3 2 2" xfId="8343" xr:uid="{00000000-0005-0000-0000-000009170000}"/>
    <cellStyle name="20% - Accent4 14 3 2 2 2" xfId="16314" xr:uid="{00000000-0005-0000-0000-00000A170000}"/>
    <cellStyle name="20% - Accent4 14 3 2 2 2 2" xfId="40157" xr:uid="{38748E51-3FED-488F-B548-2DC71C2F6500}"/>
    <cellStyle name="20% - Accent4 14 3 2 2 3" xfId="24260" xr:uid="{00000000-0005-0000-0000-00000B170000}"/>
    <cellStyle name="20% - Accent4 14 3 2 2 3 2" xfId="48093" xr:uid="{D821BCF6-6CEF-4966-88BA-C3A0741D8E09}"/>
    <cellStyle name="20% - Accent4 14 3 2 2 4" xfId="32216" xr:uid="{9F7D4069-FBBE-47FF-AD04-8A12F58A80BA}"/>
    <cellStyle name="20% - Accent4 14 3 2 3" xfId="12776" xr:uid="{00000000-0005-0000-0000-00000C170000}"/>
    <cellStyle name="20% - Accent4 14 3 2 3 2" xfId="36626" xr:uid="{92D67C95-86C7-4F05-BB31-501CD41E2350}"/>
    <cellStyle name="20% - Accent4 14 3 2 4" xfId="20731" xr:uid="{00000000-0005-0000-0000-00000D170000}"/>
    <cellStyle name="20% - Accent4 14 3 2 4 2" xfId="44564" xr:uid="{A2CA2D2E-043A-4C00-B4FD-0E292D744F36}"/>
    <cellStyle name="20% - Accent4 14 3 2 5" xfId="28685" xr:uid="{03C89482-C8AD-4C93-A18E-BE8EA9C3F5ED}"/>
    <cellStyle name="20% - Accent4 14 3 3" xfId="6584" xr:uid="{00000000-0005-0000-0000-00000E170000}"/>
    <cellStyle name="20% - Accent4 14 3 3 2" xfId="14556" xr:uid="{00000000-0005-0000-0000-00000F170000}"/>
    <cellStyle name="20% - Accent4 14 3 3 2 2" xfId="38399" xr:uid="{23695DBA-49F9-4342-AB84-DDE71DBF68BF}"/>
    <cellStyle name="20% - Accent4 14 3 3 3" xfId="22503" xr:uid="{00000000-0005-0000-0000-000010170000}"/>
    <cellStyle name="20% - Accent4 14 3 3 3 2" xfId="46336" xr:uid="{8E1EBDBD-4CAE-4292-A5EA-62AC11B3AF30}"/>
    <cellStyle name="20% - Accent4 14 3 3 4" xfId="30458" xr:uid="{C25E913A-A521-4BE6-A059-2E42575A2167}"/>
    <cellStyle name="20% - Accent4 14 3 4" xfId="11020" xr:uid="{00000000-0005-0000-0000-000011170000}"/>
    <cellStyle name="20% - Accent4 14 3 4 2" xfId="34870" xr:uid="{6830F753-668C-4FEA-9235-9E5458C52460}"/>
    <cellStyle name="20% - Accent4 14 3 5" xfId="18975" xr:uid="{00000000-0005-0000-0000-000012170000}"/>
    <cellStyle name="20% - Accent4 14 3 5 2" xfId="42808" xr:uid="{3A8DDCC0-F238-493A-8B1F-E98592922C03}"/>
    <cellStyle name="20% - Accent4 14 3 6" xfId="26928" xr:uid="{EB1FFAEA-8614-4916-9095-6994DADB9682}"/>
    <cellStyle name="20% - Accent4 14 3_Exh G" xfId="2348" xr:uid="{00000000-0005-0000-0000-000013170000}"/>
    <cellStyle name="20% - Accent4 14 4" xfId="3873" xr:uid="{00000000-0005-0000-0000-000014170000}"/>
    <cellStyle name="20% - Accent4 14 4 2" xfId="7465" xr:uid="{00000000-0005-0000-0000-000015170000}"/>
    <cellStyle name="20% - Accent4 14 4 2 2" xfId="15436" xr:uid="{00000000-0005-0000-0000-000016170000}"/>
    <cellStyle name="20% - Accent4 14 4 2 2 2" xfId="39279" xr:uid="{3F0B3E9B-F193-4C09-842D-7A6B0CB912AF}"/>
    <cellStyle name="20% - Accent4 14 4 2 3" xfId="23382" xr:uid="{00000000-0005-0000-0000-000017170000}"/>
    <cellStyle name="20% - Accent4 14 4 2 3 2" xfId="47215" xr:uid="{5808C5D5-420A-436A-A8D6-790BB905EF0C}"/>
    <cellStyle name="20% - Accent4 14 4 2 4" xfId="31338" xr:uid="{38C81D4D-0F8E-49C7-800F-4FCA07FCEF5C}"/>
    <cellStyle name="20% - Accent4 14 4 3" xfId="11898" xr:uid="{00000000-0005-0000-0000-000018170000}"/>
    <cellStyle name="20% - Accent4 14 4 3 2" xfId="35748" xr:uid="{727C6BA1-E010-4372-9B6E-20C9A5F1C347}"/>
    <cellStyle name="20% - Accent4 14 4 4" xfId="19853" xr:uid="{00000000-0005-0000-0000-000019170000}"/>
    <cellStyle name="20% - Accent4 14 4 4 2" xfId="43686" xr:uid="{B4D7331E-CADE-4424-940E-C4A596B14411}"/>
    <cellStyle name="20% - Accent4 14 4 5" xfId="27807" xr:uid="{004B2CAF-A353-4E6A-8AD7-D5C81CE73BE0}"/>
    <cellStyle name="20% - Accent4 14 5" xfId="5693" xr:uid="{00000000-0005-0000-0000-00001A170000}"/>
    <cellStyle name="20% - Accent4 14 5 2" xfId="13677" xr:uid="{00000000-0005-0000-0000-00001B170000}"/>
    <cellStyle name="20% - Accent4 14 5 2 2" xfId="37521" xr:uid="{0365D99F-EA6F-4788-B437-D351B9ED8350}"/>
    <cellStyle name="20% - Accent4 14 5 3" xfId="21625" xr:uid="{00000000-0005-0000-0000-00001C170000}"/>
    <cellStyle name="20% - Accent4 14 5 3 2" xfId="45458" xr:uid="{19CFFE20-88EF-4BCC-A43C-25A9BB90A5C2}"/>
    <cellStyle name="20% - Accent4 14 5 4" xfId="29580" xr:uid="{DBBBA0B2-EA7F-485F-B254-54B5E1F5DF8E}"/>
    <cellStyle name="20% - Accent4 14 6" xfId="9246" xr:uid="{00000000-0005-0000-0000-00001D170000}"/>
    <cellStyle name="20% - Accent4 14 6 2" xfId="17204" xr:uid="{00000000-0005-0000-0000-00001E170000}"/>
    <cellStyle name="20% - Accent4 14 6 2 2" xfId="41045" xr:uid="{1A8B8A87-9158-4897-93CA-002D0169D5BE}"/>
    <cellStyle name="20% - Accent4 14 6 3" xfId="25148" xr:uid="{00000000-0005-0000-0000-00001F170000}"/>
    <cellStyle name="20% - Accent4 14 6 3 2" xfId="48981" xr:uid="{46F47240-899E-415F-A01F-DB94AC2CC264}"/>
    <cellStyle name="20% - Accent4 14 6 4" xfId="33104" xr:uid="{30CD99CF-1150-46D6-999D-55556EE84E51}"/>
    <cellStyle name="20% - Accent4 14 7" xfId="10142" xr:uid="{00000000-0005-0000-0000-000020170000}"/>
    <cellStyle name="20% - Accent4 14 7 2" xfId="33992" xr:uid="{95139D4A-DE7E-4511-A7D0-A6E5A093EB00}"/>
    <cellStyle name="20% - Accent4 14 8" xfId="18097" xr:uid="{00000000-0005-0000-0000-000021170000}"/>
    <cellStyle name="20% - Accent4 14 8 2" xfId="41930" xr:uid="{3AABBC34-758F-405F-81F3-9BD6DF31D8CC}"/>
    <cellStyle name="20% - Accent4 14 9" xfId="26050" xr:uid="{3E8DC8F9-024B-45F8-840E-779CCE601BA0}"/>
    <cellStyle name="20% - Accent4 14_Exh G" xfId="2345" xr:uid="{00000000-0005-0000-0000-000022170000}"/>
    <cellStyle name="20% - Accent4 15" xfId="196" xr:uid="{00000000-0005-0000-0000-000023170000}"/>
    <cellStyle name="20% - Accent4 15 2" xfId="1224" xr:uid="{00000000-0005-0000-0000-000024170000}"/>
    <cellStyle name="20% - Accent4 15 2 2" xfId="4754" xr:uid="{00000000-0005-0000-0000-000025170000}"/>
    <cellStyle name="20% - Accent4 15 2 2 2" xfId="8345" xr:uid="{00000000-0005-0000-0000-000026170000}"/>
    <cellStyle name="20% - Accent4 15 2 2 2 2" xfId="16316" xr:uid="{00000000-0005-0000-0000-000027170000}"/>
    <cellStyle name="20% - Accent4 15 2 2 2 2 2" xfId="40159" xr:uid="{989074A1-F261-4600-A8CE-3574BF960507}"/>
    <cellStyle name="20% - Accent4 15 2 2 2 3" xfId="24262" xr:uid="{00000000-0005-0000-0000-000028170000}"/>
    <cellStyle name="20% - Accent4 15 2 2 2 3 2" xfId="48095" xr:uid="{6BC15B6C-3687-4954-B86B-0C4BE72314C0}"/>
    <cellStyle name="20% - Accent4 15 2 2 2 4" xfId="32218" xr:uid="{9BC06D1E-8891-4C2B-A84C-24E7901D7BD2}"/>
    <cellStyle name="20% - Accent4 15 2 2 3" xfId="12778" xr:uid="{00000000-0005-0000-0000-000029170000}"/>
    <cellStyle name="20% - Accent4 15 2 2 3 2" xfId="36628" xr:uid="{EC4CEB87-6773-4141-A24E-0946E9BA4FA5}"/>
    <cellStyle name="20% - Accent4 15 2 2 4" xfId="20733" xr:uid="{00000000-0005-0000-0000-00002A170000}"/>
    <cellStyle name="20% - Accent4 15 2 2 4 2" xfId="44566" xr:uid="{EBEC06D7-27C5-4C00-93C6-6BDC5FF51AC2}"/>
    <cellStyle name="20% - Accent4 15 2 2 5" xfId="28687" xr:uid="{DF885BA2-61F8-41E1-B4C3-DDF522C05C03}"/>
    <cellStyle name="20% - Accent4 15 2 3" xfId="6586" xr:uid="{00000000-0005-0000-0000-00002B170000}"/>
    <cellStyle name="20% - Accent4 15 2 3 2" xfId="14558" xr:uid="{00000000-0005-0000-0000-00002C170000}"/>
    <cellStyle name="20% - Accent4 15 2 3 2 2" xfId="38401" xr:uid="{9C0634E1-6A94-469C-A84F-97B88F28BAFA}"/>
    <cellStyle name="20% - Accent4 15 2 3 3" xfId="22505" xr:uid="{00000000-0005-0000-0000-00002D170000}"/>
    <cellStyle name="20% - Accent4 15 2 3 3 2" xfId="46338" xr:uid="{2DFCAB1B-4B6F-4B86-B724-12F872EE6D41}"/>
    <cellStyle name="20% - Accent4 15 2 3 4" xfId="30460" xr:uid="{9DF45BDB-C2F5-41B3-8DD2-B2890D639D12}"/>
    <cellStyle name="20% - Accent4 15 2 4" xfId="11022" xr:uid="{00000000-0005-0000-0000-00002E170000}"/>
    <cellStyle name="20% - Accent4 15 2 4 2" xfId="34872" xr:uid="{CDBC5F66-56F6-4B01-AF26-0095489ED651}"/>
    <cellStyle name="20% - Accent4 15 2 5" xfId="18977" xr:uid="{00000000-0005-0000-0000-00002F170000}"/>
    <cellStyle name="20% - Accent4 15 2 5 2" xfId="42810" xr:uid="{9F99904C-89CF-44A6-816B-FEC0DD68E183}"/>
    <cellStyle name="20% - Accent4 15 2 6" xfId="26930" xr:uid="{C61A2DB6-8B0D-4B6A-921B-FC234368EDF1}"/>
    <cellStyle name="20% - Accent4 15 2_Exh G" xfId="2350" xr:uid="{00000000-0005-0000-0000-000030170000}"/>
    <cellStyle name="20% - Accent4 15 3" xfId="3875" xr:uid="{00000000-0005-0000-0000-000031170000}"/>
    <cellStyle name="20% - Accent4 15 3 2" xfId="7467" xr:uid="{00000000-0005-0000-0000-000032170000}"/>
    <cellStyle name="20% - Accent4 15 3 2 2" xfId="15438" xr:uid="{00000000-0005-0000-0000-000033170000}"/>
    <cellStyle name="20% - Accent4 15 3 2 2 2" xfId="39281" xr:uid="{F65F53FD-4942-4E08-BFEE-51E2C9A1C876}"/>
    <cellStyle name="20% - Accent4 15 3 2 3" xfId="23384" xr:uid="{00000000-0005-0000-0000-000034170000}"/>
    <cellStyle name="20% - Accent4 15 3 2 3 2" xfId="47217" xr:uid="{E7BCC480-CE96-4537-A4C0-6C65D060E57D}"/>
    <cellStyle name="20% - Accent4 15 3 2 4" xfId="31340" xr:uid="{93169730-431E-4173-9CE7-D0A744BA614A}"/>
    <cellStyle name="20% - Accent4 15 3 3" xfId="11900" xr:uid="{00000000-0005-0000-0000-000035170000}"/>
    <cellStyle name="20% - Accent4 15 3 3 2" xfId="35750" xr:uid="{F0D7CC91-7917-456D-904C-2EEF1F6CA42C}"/>
    <cellStyle name="20% - Accent4 15 3 4" xfId="19855" xr:uid="{00000000-0005-0000-0000-000036170000}"/>
    <cellStyle name="20% - Accent4 15 3 4 2" xfId="43688" xr:uid="{B7CA0CE2-5827-41E5-B231-730CC2FDEA61}"/>
    <cellStyle name="20% - Accent4 15 3 5" xfId="27809" xr:uid="{327C44DA-EA47-4F06-9E44-F2AD0E3051D9}"/>
    <cellStyle name="20% - Accent4 15 4" xfId="5695" xr:uid="{00000000-0005-0000-0000-000037170000}"/>
    <cellStyle name="20% - Accent4 15 4 2" xfId="13679" xr:uid="{00000000-0005-0000-0000-000038170000}"/>
    <cellStyle name="20% - Accent4 15 4 2 2" xfId="37523" xr:uid="{EA388CB9-7207-4BDE-BBB6-1DA8CBA71A6E}"/>
    <cellStyle name="20% - Accent4 15 4 3" xfId="21627" xr:uid="{00000000-0005-0000-0000-000039170000}"/>
    <cellStyle name="20% - Accent4 15 4 3 2" xfId="45460" xr:uid="{A7C0C54F-EC9D-4353-97F1-ACB0D48FB975}"/>
    <cellStyle name="20% - Accent4 15 4 4" xfId="29582" xr:uid="{F7B13615-49B4-4718-9A95-A16244C3BDB0}"/>
    <cellStyle name="20% - Accent4 15 5" xfId="9248" xr:uid="{00000000-0005-0000-0000-00003A170000}"/>
    <cellStyle name="20% - Accent4 15 5 2" xfId="17206" xr:uid="{00000000-0005-0000-0000-00003B170000}"/>
    <cellStyle name="20% - Accent4 15 5 2 2" xfId="41047" xr:uid="{61B90E74-A252-4BC6-A86E-B93BE49A8E0A}"/>
    <cellStyle name="20% - Accent4 15 5 3" xfId="25150" xr:uid="{00000000-0005-0000-0000-00003C170000}"/>
    <cellStyle name="20% - Accent4 15 5 3 2" xfId="48983" xr:uid="{96D9BE28-55FC-4109-A3FC-ADE518747308}"/>
    <cellStyle name="20% - Accent4 15 5 4" xfId="33106" xr:uid="{FE1AE523-1051-4725-8728-AFE6D1E5D55B}"/>
    <cellStyle name="20% - Accent4 15 6" xfId="10144" xr:uid="{00000000-0005-0000-0000-00003D170000}"/>
    <cellStyle name="20% - Accent4 15 6 2" xfId="33994" xr:uid="{ADC246E7-2171-471C-96B1-A278E9AFBDDD}"/>
    <cellStyle name="20% - Accent4 15 7" xfId="18099" xr:uid="{00000000-0005-0000-0000-00003E170000}"/>
    <cellStyle name="20% - Accent4 15 7 2" xfId="41932" xr:uid="{BADE1D0D-7E90-492C-8509-C4D21AF13FF4}"/>
    <cellStyle name="20% - Accent4 15 8" xfId="26052" xr:uid="{D1283B97-7871-4CF8-BD35-14417B9BF528}"/>
    <cellStyle name="20% - Accent4 15_Exh G" xfId="2349" xr:uid="{00000000-0005-0000-0000-00003F170000}"/>
    <cellStyle name="20% - Accent4 16" xfId="846" xr:uid="{00000000-0005-0000-0000-000040170000}"/>
    <cellStyle name="20% - Accent4 16 2" xfId="1785" xr:uid="{00000000-0005-0000-0000-000041170000}"/>
    <cellStyle name="20% - Accent4 16 2 2" xfId="5306" xr:uid="{00000000-0005-0000-0000-000042170000}"/>
    <cellStyle name="20% - Accent4 16 2 2 2" xfId="8897" xr:uid="{00000000-0005-0000-0000-000043170000}"/>
    <cellStyle name="20% - Accent4 16 2 2 2 2" xfId="16868" xr:uid="{00000000-0005-0000-0000-000044170000}"/>
    <cellStyle name="20% - Accent4 16 2 2 2 2 2" xfId="40711" xr:uid="{F137ADA0-C888-45A7-9170-9C42AD3A8143}"/>
    <cellStyle name="20% - Accent4 16 2 2 2 3" xfId="24814" xr:uid="{00000000-0005-0000-0000-000045170000}"/>
    <cellStyle name="20% - Accent4 16 2 2 2 3 2" xfId="48647" xr:uid="{55D11711-46AD-4FCD-ADC9-A83F018D342D}"/>
    <cellStyle name="20% - Accent4 16 2 2 2 4" xfId="32770" xr:uid="{65CD79EB-4795-4673-97BA-28F5E509FB33}"/>
    <cellStyle name="20% - Accent4 16 2 2 3" xfId="13330" xr:uid="{00000000-0005-0000-0000-000046170000}"/>
    <cellStyle name="20% - Accent4 16 2 2 3 2" xfId="37180" xr:uid="{E60670D0-E343-426B-BD4C-4B6EDCCECA3C}"/>
    <cellStyle name="20% - Accent4 16 2 2 4" xfId="21285" xr:uid="{00000000-0005-0000-0000-000047170000}"/>
    <cellStyle name="20% - Accent4 16 2 2 4 2" xfId="45118" xr:uid="{9A538044-39F2-4500-AB23-F3021051946C}"/>
    <cellStyle name="20% - Accent4 16 2 2 5" xfId="29239" xr:uid="{4551AB6C-5CAF-4A4F-AE33-3561B27C75E9}"/>
    <cellStyle name="20% - Accent4 16 2 3" xfId="7138" xr:uid="{00000000-0005-0000-0000-000048170000}"/>
    <cellStyle name="20% - Accent4 16 2 3 2" xfId="15110" xr:uid="{00000000-0005-0000-0000-000049170000}"/>
    <cellStyle name="20% - Accent4 16 2 3 2 2" xfId="38953" xr:uid="{970DB323-39D4-4FA5-A36E-D3F8374C5FD7}"/>
    <cellStyle name="20% - Accent4 16 2 3 3" xfId="23057" xr:uid="{00000000-0005-0000-0000-00004A170000}"/>
    <cellStyle name="20% - Accent4 16 2 3 3 2" xfId="46890" xr:uid="{054030E9-6C1E-4743-B02F-AEF334C6D239}"/>
    <cellStyle name="20% - Accent4 16 2 3 4" xfId="31012" xr:uid="{1ECCBA5F-E463-48E8-B445-C491EA4272AC}"/>
    <cellStyle name="20% - Accent4 16 2 4" xfId="11574" xr:uid="{00000000-0005-0000-0000-00004B170000}"/>
    <cellStyle name="20% - Accent4 16 2 4 2" xfId="35424" xr:uid="{E7DCE463-44E5-4D51-9F07-1EE496DAD930}"/>
    <cellStyle name="20% - Accent4 16 2 5" xfId="19529" xr:uid="{00000000-0005-0000-0000-00004C170000}"/>
    <cellStyle name="20% - Accent4 16 2 5 2" xfId="43362" xr:uid="{5BC5D26D-0C9E-4854-8D15-C11D5AF11E4C}"/>
    <cellStyle name="20% - Accent4 16 2 6" xfId="27482" xr:uid="{E51F6549-8DF3-450B-9132-1AC9146D0F8E}"/>
    <cellStyle name="20% - Accent4 16 2_Exh G" xfId="2352" xr:uid="{00000000-0005-0000-0000-00004D170000}"/>
    <cellStyle name="20% - Accent4 16 3" xfId="4427" xr:uid="{00000000-0005-0000-0000-00004E170000}"/>
    <cellStyle name="20% - Accent4 16 3 2" xfId="8019" xr:uid="{00000000-0005-0000-0000-00004F170000}"/>
    <cellStyle name="20% - Accent4 16 3 2 2" xfId="15990" xr:uid="{00000000-0005-0000-0000-000050170000}"/>
    <cellStyle name="20% - Accent4 16 3 2 2 2" xfId="39833" xr:uid="{95B9B319-B2DD-41DA-9692-07732CDFC607}"/>
    <cellStyle name="20% - Accent4 16 3 2 3" xfId="23936" xr:uid="{00000000-0005-0000-0000-000051170000}"/>
    <cellStyle name="20% - Accent4 16 3 2 3 2" xfId="47769" xr:uid="{6F80BE8C-F24B-4537-8C1D-FA347C24FDB8}"/>
    <cellStyle name="20% - Accent4 16 3 2 4" xfId="31892" xr:uid="{36E05F18-E447-414C-9A2A-F30A53A5AF77}"/>
    <cellStyle name="20% - Accent4 16 3 3" xfId="12452" xr:uid="{00000000-0005-0000-0000-000052170000}"/>
    <cellStyle name="20% - Accent4 16 3 3 2" xfId="36302" xr:uid="{29E7A8F5-4F5E-44C9-AC9B-C376EC0DC428}"/>
    <cellStyle name="20% - Accent4 16 3 4" xfId="20407" xr:uid="{00000000-0005-0000-0000-000053170000}"/>
    <cellStyle name="20% - Accent4 16 3 4 2" xfId="44240" xr:uid="{0D35CB14-3E66-4794-8560-535D327DA903}"/>
    <cellStyle name="20% - Accent4 16 3 5" xfId="28361" xr:uid="{8AA19283-E416-42C4-916C-CAECA3CBF613}"/>
    <cellStyle name="20% - Accent4 16 4" xfId="6257" xr:uid="{00000000-0005-0000-0000-000054170000}"/>
    <cellStyle name="20% - Accent4 16 4 2" xfId="14232" xr:uid="{00000000-0005-0000-0000-000055170000}"/>
    <cellStyle name="20% - Accent4 16 4 2 2" xfId="38075" xr:uid="{2E851126-EA59-41B8-BBEC-80359B690313}"/>
    <cellStyle name="20% - Accent4 16 4 3" xfId="22179" xr:uid="{00000000-0005-0000-0000-000056170000}"/>
    <cellStyle name="20% - Accent4 16 4 3 2" xfId="46012" xr:uid="{CBA17560-3F1F-40B4-A1F7-A7765EEEE483}"/>
    <cellStyle name="20% - Accent4 16 4 4" xfId="30134" xr:uid="{4786A4CF-2DE4-459E-9B9E-4C59CD214542}"/>
    <cellStyle name="20% - Accent4 16 5" xfId="9800" xr:uid="{00000000-0005-0000-0000-000057170000}"/>
    <cellStyle name="20% - Accent4 16 5 2" xfId="17758" xr:uid="{00000000-0005-0000-0000-000058170000}"/>
    <cellStyle name="20% - Accent4 16 5 2 2" xfId="41599" xr:uid="{FB78A3B1-E949-41E8-AEF6-716834A3A70A}"/>
    <cellStyle name="20% - Accent4 16 5 3" xfId="25702" xr:uid="{00000000-0005-0000-0000-000059170000}"/>
    <cellStyle name="20% - Accent4 16 5 3 2" xfId="49535" xr:uid="{215AE99F-E6D7-4E93-8E35-492FEDCFD8BD}"/>
    <cellStyle name="20% - Accent4 16 5 4" xfId="33658" xr:uid="{78952F3D-7208-4073-9EC3-8008B71390F3}"/>
    <cellStyle name="20% - Accent4 16 6" xfId="10696" xr:uid="{00000000-0005-0000-0000-00005A170000}"/>
    <cellStyle name="20% - Accent4 16 6 2" xfId="34546" xr:uid="{BABD544C-ED19-421F-9A01-0E317EF3C38C}"/>
    <cellStyle name="20% - Accent4 16 7" xfId="18651" xr:uid="{00000000-0005-0000-0000-00005B170000}"/>
    <cellStyle name="20% - Accent4 16 7 2" xfId="42484" xr:uid="{8095F00B-5331-4BF7-8A86-C56165B76D74}"/>
    <cellStyle name="20% - Accent4 16 8" xfId="26604" xr:uid="{8F243F6F-702D-4258-A63B-8FCC91F643EC}"/>
    <cellStyle name="20% - Accent4 16_Exh G" xfId="2351" xr:uid="{00000000-0005-0000-0000-00005C170000}"/>
    <cellStyle name="20% - Accent4 17" xfId="49801" xr:uid="{A3501623-C8C2-484F-8D1E-F1490D9A75DE}"/>
    <cellStyle name="20% - Accent4 2" xfId="197" xr:uid="{00000000-0005-0000-0000-00005D170000}"/>
    <cellStyle name="20% - Accent4 2 10" xfId="18100" xr:uid="{00000000-0005-0000-0000-00005E170000}"/>
    <cellStyle name="20% - Accent4 2 10 2" xfId="41933" xr:uid="{CB52BEBC-5CC3-45DE-BA66-96418013B0F3}"/>
    <cellStyle name="20% - Accent4 2 11" xfId="26053" xr:uid="{30CF67D0-D4A9-47C7-B828-319DE0D0C45E}"/>
    <cellStyle name="20% - Accent4 2 12" xfId="49786" xr:uid="{EFEC892A-EA61-455C-B0F7-D0FEFE212ADF}"/>
    <cellStyle name="20% - Accent4 2 13" xfId="49814" xr:uid="{1F55978E-94B2-40ED-B708-93BCE7F77B75}"/>
    <cellStyle name="20% - Accent4 2 2" xfId="198" xr:uid="{00000000-0005-0000-0000-00005F170000}"/>
    <cellStyle name="20% - Accent4 2 2 10" xfId="26054" xr:uid="{BA715756-92D4-45B8-8527-D3C1CA93EE88}"/>
    <cellStyle name="20% - Accent4 2 2 2" xfId="199" xr:uid="{00000000-0005-0000-0000-000060170000}"/>
    <cellStyle name="20% - Accent4 2 2 2 2" xfId="1227" xr:uid="{00000000-0005-0000-0000-000061170000}"/>
    <cellStyle name="20% - Accent4 2 2 2 2 2" xfId="4757" xr:uid="{00000000-0005-0000-0000-000062170000}"/>
    <cellStyle name="20% - Accent4 2 2 2 2 2 2" xfId="8348" xr:uid="{00000000-0005-0000-0000-000063170000}"/>
    <cellStyle name="20% - Accent4 2 2 2 2 2 2 2" xfId="16319" xr:uid="{00000000-0005-0000-0000-000064170000}"/>
    <cellStyle name="20% - Accent4 2 2 2 2 2 2 2 2" xfId="40162" xr:uid="{EAEB31A5-D1C9-4676-9FC5-FD088F13B903}"/>
    <cellStyle name="20% - Accent4 2 2 2 2 2 2 3" xfId="24265" xr:uid="{00000000-0005-0000-0000-000065170000}"/>
    <cellStyle name="20% - Accent4 2 2 2 2 2 2 3 2" xfId="48098" xr:uid="{E1158F46-8CC2-44B3-9F0D-551C6B5A9D4D}"/>
    <cellStyle name="20% - Accent4 2 2 2 2 2 2 4" xfId="32221" xr:uid="{7FF72CDA-FCDA-47EC-85DB-8013A9B0F6FF}"/>
    <cellStyle name="20% - Accent4 2 2 2 2 2 3" xfId="12781" xr:uid="{00000000-0005-0000-0000-000066170000}"/>
    <cellStyle name="20% - Accent4 2 2 2 2 2 3 2" xfId="36631" xr:uid="{85AA059A-4132-4C65-9919-D4268D9D0766}"/>
    <cellStyle name="20% - Accent4 2 2 2 2 2 4" xfId="20736" xr:uid="{00000000-0005-0000-0000-000067170000}"/>
    <cellStyle name="20% - Accent4 2 2 2 2 2 4 2" xfId="44569" xr:uid="{5FD00FAA-9107-432B-AD19-ABBC88A50A2C}"/>
    <cellStyle name="20% - Accent4 2 2 2 2 2 5" xfId="28690" xr:uid="{0EB94025-24B1-4BFE-BDF9-3A414DD06E47}"/>
    <cellStyle name="20% - Accent4 2 2 2 2 3" xfId="6589" xr:uid="{00000000-0005-0000-0000-000068170000}"/>
    <cellStyle name="20% - Accent4 2 2 2 2 3 2" xfId="14561" xr:uid="{00000000-0005-0000-0000-000069170000}"/>
    <cellStyle name="20% - Accent4 2 2 2 2 3 2 2" xfId="38404" xr:uid="{35EF343B-66CF-42D8-B981-636D1FE9449B}"/>
    <cellStyle name="20% - Accent4 2 2 2 2 3 3" xfId="22508" xr:uid="{00000000-0005-0000-0000-00006A170000}"/>
    <cellStyle name="20% - Accent4 2 2 2 2 3 3 2" xfId="46341" xr:uid="{D288FCEB-3558-454E-8ABA-8E1926A247F2}"/>
    <cellStyle name="20% - Accent4 2 2 2 2 3 4" xfId="30463" xr:uid="{D8137F13-0242-4B9E-8A84-A4274AFBAC38}"/>
    <cellStyle name="20% - Accent4 2 2 2 2 4" xfId="11025" xr:uid="{00000000-0005-0000-0000-00006B170000}"/>
    <cellStyle name="20% - Accent4 2 2 2 2 4 2" xfId="34875" xr:uid="{06C5E298-BFBA-48A1-B131-463FF0F5F5C2}"/>
    <cellStyle name="20% - Accent4 2 2 2 2 5" xfId="18980" xr:uid="{00000000-0005-0000-0000-00006C170000}"/>
    <cellStyle name="20% - Accent4 2 2 2 2 5 2" xfId="42813" xr:uid="{FB8CC742-9C99-4E66-B30A-B8F2A9EADE05}"/>
    <cellStyle name="20% - Accent4 2 2 2 2 6" xfId="26933" xr:uid="{539D815E-593A-4D44-9A71-C7CE22952752}"/>
    <cellStyle name="20% - Accent4 2 2 2 2_Exh G" xfId="2356" xr:uid="{00000000-0005-0000-0000-00006D170000}"/>
    <cellStyle name="20% - Accent4 2 2 2 3" xfId="3878" xr:uid="{00000000-0005-0000-0000-00006E170000}"/>
    <cellStyle name="20% - Accent4 2 2 2 3 2" xfId="7470" xr:uid="{00000000-0005-0000-0000-00006F170000}"/>
    <cellStyle name="20% - Accent4 2 2 2 3 2 2" xfId="15441" xr:uid="{00000000-0005-0000-0000-000070170000}"/>
    <cellStyle name="20% - Accent4 2 2 2 3 2 2 2" xfId="39284" xr:uid="{E7690FAE-A223-4167-8A5D-415194C6E582}"/>
    <cellStyle name="20% - Accent4 2 2 2 3 2 3" xfId="23387" xr:uid="{00000000-0005-0000-0000-000071170000}"/>
    <cellStyle name="20% - Accent4 2 2 2 3 2 3 2" xfId="47220" xr:uid="{8903D47C-8FAD-474A-A86B-DB1EEB3A96B1}"/>
    <cellStyle name="20% - Accent4 2 2 2 3 2 4" xfId="31343" xr:uid="{38D40906-69B7-4BDF-8377-93EF6FDCB9B0}"/>
    <cellStyle name="20% - Accent4 2 2 2 3 3" xfId="11903" xr:uid="{00000000-0005-0000-0000-000072170000}"/>
    <cellStyle name="20% - Accent4 2 2 2 3 3 2" xfId="35753" xr:uid="{F0697F26-C651-431D-9CF0-8C9FBF6811C9}"/>
    <cellStyle name="20% - Accent4 2 2 2 3 4" xfId="19858" xr:uid="{00000000-0005-0000-0000-000073170000}"/>
    <cellStyle name="20% - Accent4 2 2 2 3 4 2" xfId="43691" xr:uid="{F1C2C5FB-6831-4AD3-85B9-E56B9E0889FF}"/>
    <cellStyle name="20% - Accent4 2 2 2 3 5" xfId="27812" xr:uid="{CFE1F9A5-903F-403F-977D-EC1AC830E9EF}"/>
    <cellStyle name="20% - Accent4 2 2 2 4" xfId="5698" xr:uid="{00000000-0005-0000-0000-000074170000}"/>
    <cellStyle name="20% - Accent4 2 2 2 4 2" xfId="13682" xr:uid="{00000000-0005-0000-0000-000075170000}"/>
    <cellStyle name="20% - Accent4 2 2 2 4 2 2" xfId="37526" xr:uid="{67BB0CCE-B1A0-4520-B377-47B87BFEDB44}"/>
    <cellStyle name="20% - Accent4 2 2 2 4 3" xfId="21630" xr:uid="{00000000-0005-0000-0000-000076170000}"/>
    <cellStyle name="20% - Accent4 2 2 2 4 3 2" xfId="45463" xr:uid="{196AB59F-64CF-4EE5-BB2B-9B5802FB18B7}"/>
    <cellStyle name="20% - Accent4 2 2 2 4 4" xfId="29585" xr:uid="{61BE72BB-EAF4-48F1-B6FE-95035D8922C1}"/>
    <cellStyle name="20% - Accent4 2 2 2 5" xfId="9251" xr:uid="{00000000-0005-0000-0000-000077170000}"/>
    <cellStyle name="20% - Accent4 2 2 2 5 2" xfId="17209" xr:uid="{00000000-0005-0000-0000-000078170000}"/>
    <cellStyle name="20% - Accent4 2 2 2 5 2 2" xfId="41050" xr:uid="{1C0924EF-522E-4C26-887B-24BE62F82356}"/>
    <cellStyle name="20% - Accent4 2 2 2 5 3" xfId="25153" xr:uid="{00000000-0005-0000-0000-000079170000}"/>
    <cellStyle name="20% - Accent4 2 2 2 5 3 2" xfId="48986" xr:uid="{C698AC9C-A77F-4DE2-B5A2-4C1B70FF62FB}"/>
    <cellStyle name="20% - Accent4 2 2 2 5 4" xfId="33109" xr:uid="{6B4B839D-783F-4F73-91B4-2E35D10FC1A0}"/>
    <cellStyle name="20% - Accent4 2 2 2 6" xfId="10147" xr:uid="{00000000-0005-0000-0000-00007A170000}"/>
    <cellStyle name="20% - Accent4 2 2 2 6 2" xfId="33997" xr:uid="{033836CC-741F-4245-A849-D54D8E238DD0}"/>
    <cellStyle name="20% - Accent4 2 2 2 7" xfId="18102" xr:uid="{00000000-0005-0000-0000-00007B170000}"/>
    <cellStyle name="20% - Accent4 2 2 2 7 2" xfId="41935" xr:uid="{74D9BF60-16EC-490F-ADC9-9D56DA556B23}"/>
    <cellStyle name="20% - Accent4 2 2 2 8" xfId="26055" xr:uid="{A39D4093-CACD-4C0D-B784-68BE037521C1}"/>
    <cellStyle name="20% - Accent4 2 2 2_Exh G" xfId="2355" xr:uid="{00000000-0005-0000-0000-00007C170000}"/>
    <cellStyle name="20% - Accent4 2 2 3" xfId="900" xr:uid="{00000000-0005-0000-0000-00007D170000}"/>
    <cellStyle name="20% - Accent4 2 2 3 2" xfId="1830" xr:uid="{00000000-0005-0000-0000-00007E170000}"/>
    <cellStyle name="20% - Accent4 2 2 3 2 2" xfId="5348" xr:uid="{00000000-0005-0000-0000-00007F170000}"/>
    <cellStyle name="20% - Accent4 2 2 3 2 2 2" xfId="8939" xr:uid="{00000000-0005-0000-0000-000080170000}"/>
    <cellStyle name="20% - Accent4 2 2 3 2 2 2 2" xfId="16910" xr:uid="{00000000-0005-0000-0000-000081170000}"/>
    <cellStyle name="20% - Accent4 2 2 3 2 2 2 2 2" xfId="40753" xr:uid="{81705839-7991-45E5-9789-9F492B65C3F3}"/>
    <cellStyle name="20% - Accent4 2 2 3 2 2 2 3" xfId="24856" xr:uid="{00000000-0005-0000-0000-000082170000}"/>
    <cellStyle name="20% - Accent4 2 2 3 2 2 2 3 2" xfId="48689" xr:uid="{C0229657-C043-4740-8B25-EB1AABC77124}"/>
    <cellStyle name="20% - Accent4 2 2 3 2 2 2 4" xfId="32812" xr:uid="{A6280398-8A45-4647-80E9-2B6CD600E2DA}"/>
    <cellStyle name="20% - Accent4 2 2 3 2 2 3" xfId="13372" xr:uid="{00000000-0005-0000-0000-000083170000}"/>
    <cellStyle name="20% - Accent4 2 2 3 2 2 3 2" xfId="37222" xr:uid="{9B42E893-CE5B-4CF2-8B1F-C20A49E2B9AC}"/>
    <cellStyle name="20% - Accent4 2 2 3 2 2 4" xfId="21327" xr:uid="{00000000-0005-0000-0000-000084170000}"/>
    <cellStyle name="20% - Accent4 2 2 3 2 2 4 2" xfId="45160" xr:uid="{0205325A-FC04-426F-9218-2017080AAEB5}"/>
    <cellStyle name="20% - Accent4 2 2 3 2 2 5" xfId="29281" xr:uid="{24075E4F-268F-4148-9557-6F95D8B18322}"/>
    <cellStyle name="20% - Accent4 2 2 3 2 3" xfId="7180" xr:uid="{00000000-0005-0000-0000-000085170000}"/>
    <cellStyle name="20% - Accent4 2 2 3 2 3 2" xfId="15152" xr:uid="{00000000-0005-0000-0000-000086170000}"/>
    <cellStyle name="20% - Accent4 2 2 3 2 3 2 2" xfId="38995" xr:uid="{128A7981-2073-4A31-A1D5-1F50FADA54C4}"/>
    <cellStyle name="20% - Accent4 2 2 3 2 3 3" xfId="23099" xr:uid="{00000000-0005-0000-0000-000087170000}"/>
    <cellStyle name="20% - Accent4 2 2 3 2 3 3 2" xfId="46932" xr:uid="{97AEC2DC-3AEC-4C62-8E6D-E9C8B646CAEA}"/>
    <cellStyle name="20% - Accent4 2 2 3 2 3 4" xfId="31054" xr:uid="{444776EF-061C-4257-9345-C1159A6EA85F}"/>
    <cellStyle name="20% - Accent4 2 2 3 2 4" xfId="11616" xr:uid="{00000000-0005-0000-0000-000088170000}"/>
    <cellStyle name="20% - Accent4 2 2 3 2 4 2" xfId="35466" xr:uid="{F19D0D50-7C04-4D21-9B21-CFAEAFBA82FC}"/>
    <cellStyle name="20% - Accent4 2 2 3 2 5" xfId="19571" xr:uid="{00000000-0005-0000-0000-000089170000}"/>
    <cellStyle name="20% - Accent4 2 2 3 2 5 2" xfId="43404" xr:uid="{D4BB04FC-8E62-4E1C-8BD4-39B94C76B4B5}"/>
    <cellStyle name="20% - Accent4 2 2 3 2 6" xfId="27524" xr:uid="{2B8933B1-D8E6-4806-96B6-C02FC94EFE59}"/>
    <cellStyle name="20% - Accent4 2 2 3 2_Exh G" xfId="2358" xr:uid="{00000000-0005-0000-0000-00008A170000}"/>
    <cellStyle name="20% - Accent4 2 2 3 3" xfId="4469" xr:uid="{00000000-0005-0000-0000-00008B170000}"/>
    <cellStyle name="20% - Accent4 2 2 3 3 2" xfId="8061" xr:uid="{00000000-0005-0000-0000-00008C170000}"/>
    <cellStyle name="20% - Accent4 2 2 3 3 2 2" xfId="16032" xr:uid="{00000000-0005-0000-0000-00008D170000}"/>
    <cellStyle name="20% - Accent4 2 2 3 3 2 2 2" xfId="39875" xr:uid="{2C538735-C988-4BE1-9F38-369AA5F6DC92}"/>
    <cellStyle name="20% - Accent4 2 2 3 3 2 3" xfId="23978" xr:uid="{00000000-0005-0000-0000-00008E170000}"/>
    <cellStyle name="20% - Accent4 2 2 3 3 2 3 2" xfId="47811" xr:uid="{4970337A-00EB-45BD-96DA-48960BF6AEFF}"/>
    <cellStyle name="20% - Accent4 2 2 3 3 2 4" xfId="31934" xr:uid="{3BF6054C-E4B6-4FE8-9748-AC2C84CAF3A7}"/>
    <cellStyle name="20% - Accent4 2 2 3 3 3" xfId="12494" xr:uid="{00000000-0005-0000-0000-00008F170000}"/>
    <cellStyle name="20% - Accent4 2 2 3 3 3 2" xfId="36344" xr:uid="{F5D99096-EE9A-424C-9B37-6A4357754104}"/>
    <cellStyle name="20% - Accent4 2 2 3 3 4" xfId="20449" xr:uid="{00000000-0005-0000-0000-000090170000}"/>
    <cellStyle name="20% - Accent4 2 2 3 3 4 2" xfId="44282" xr:uid="{1DF64DDB-00ED-41B7-A745-915A3F15EFDD}"/>
    <cellStyle name="20% - Accent4 2 2 3 3 5" xfId="28403" xr:uid="{F7E120AA-417A-4713-88D9-96E93DFD5FDD}"/>
    <cellStyle name="20% - Accent4 2 2 3 4" xfId="6299" xr:uid="{00000000-0005-0000-0000-000091170000}"/>
    <cellStyle name="20% - Accent4 2 2 3 4 2" xfId="14274" xr:uid="{00000000-0005-0000-0000-000092170000}"/>
    <cellStyle name="20% - Accent4 2 2 3 4 2 2" xfId="38117" xr:uid="{C5236C5D-9CDD-40C5-84C5-7E386BA6BEAC}"/>
    <cellStyle name="20% - Accent4 2 2 3 4 3" xfId="22221" xr:uid="{00000000-0005-0000-0000-000093170000}"/>
    <cellStyle name="20% - Accent4 2 2 3 4 3 2" xfId="46054" xr:uid="{C1F779A1-8362-440F-8817-7C8F24D01F93}"/>
    <cellStyle name="20% - Accent4 2 2 3 4 4" xfId="30176" xr:uid="{A28E082B-0101-4EB6-B37A-8AEE931B1A51}"/>
    <cellStyle name="20% - Accent4 2 2 3 5" xfId="9842" xr:uid="{00000000-0005-0000-0000-000094170000}"/>
    <cellStyle name="20% - Accent4 2 2 3 5 2" xfId="17800" xr:uid="{00000000-0005-0000-0000-000095170000}"/>
    <cellStyle name="20% - Accent4 2 2 3 5 2 2" xfId="41641" xr:uid="{B911CF3A-C6AA-4583-B1C6-066962674650}"/>
    <cellStyle name="20% - Accent4 2 2 3 5 3" xfId="25744" xr:uid="{00000000-0005-0000-0000-000096170000}"/>
    <cellStyle name="20% - Accent4 2 2 3 5 3 2" xfId="49577" xr:uid="{55C3EB57-EDF8-40A2-B112-5155639EF200}"/>
    <cellStyle name="20% - Accent4 2 2 3 5 4" xfId="33700" xr:uid="{37C8E50B-01F3-48D5-BDDD-DB0CC6C6134C}"/>
    <cellStyle name="20% - Accent4 2 2 3 6" xfId="10738" xr:uid="{00000000-0005-0000-0000-000097170000}"/>
    <cellStyle name="20% - Accent4 2 2 3 6 2" xfId="34588" xr:uid="{7B7F1C12-176C-4D57-B18A-901285BFFE1A}"/>
    <cellStyle name="20% - Accent4 2 2 3 7" xfId="18693" xr:uid="{00000000-0005-0000-0000-000098170000}"/>
    <cellStyle name="20% - Accent4 2 2 3 7 2" xfId="42526" xr:uid="{F599B3B9-A7FE-4E58-A5D6-DC95F6B7DFEA}"/>
    <cellStyle name="20% - Accent4 2 2 3 8" xfId="26646" xr:uid="{E2302838-B027-4AF9-A5E0-29893AF85E40}"/>
    <cellStyle name="20% - Accent4 2 2 3_Exh G" xfId="2357" xr:uid="{00000000-0005-0000-0000-000099170000}"/>
    <cellStyle name="20% - Accent4 2 2 4" xfId="1226" xr:uid="{00000000-0005-0000-0000-00009A170000}"/>
    <cellStyle name="20% - Accent4 2 2 4 2" xfId="4756" xr:uid="{00000000-0005-0000-0000-00009B170000}"/>
    <cellStyle name="20% - Accent4 2 2 4 2 2" xfId="8347" xr:uid="{00000000-0005-0000-0000-00009C170000}"/>
    <cellStyle name="20% - Accent4 2 2 4 2 2 2" xfId="16318" xr:uid="{00000000-0005-0000-0000-00009D170000}"/>
    <cellStyle name="20% - Accent4 2 2 4 2 2 2 2" xfId="40161" xr:uid="{3DE873F7-8CC0-4CE2-896E-B117E1F053B4}"/>
    <cellStyle name="20% - Accent4 2 2 4 2 2 3" xfId="24264" xr:uid="{00000000-0005-0000-0000-00009E170000}"/>
    <cellStyle name="20% - Accent4 2 2 4 2 2 3 2" xfId="48097" xr:uid="{65756777-4E21-4E52-B940-3F3FBE7C639B}"/>
    <cellStyle name="20% - Accent4 2 2 4 2 2 4" xfId="32220" xr:uid="{93808944-AB31-4046-ACF2-0A9B8D3B7E64}"/>
    <cellStyle name="20% - Accent4 2 2 4 2 3" xfId="12780" xr:uid="{00000000-0005-0000-0000-00009F170000}"/>
    <cellStyle name="20% - Accent4 2 2 4 2 3 2" xfId="36630" xr:uid="{CF60472F-5300-4202-838B-7B989B3C3F69}"/>
    <cellStyle name="20% - Accent4 2 2 4 2 4" xfId="20735" xr:uid="{00000000-0005-0000-0000-0000A0170000}"/>
    <cellStyle name="20% - Accent4 2 2 4 2 4 2" xfId="44568" xr:uid="{46C1FE31-3750-4AC6-912E-6F56C1B77D16}"/>
    <cellStyle name="20% - Accent4 2 2 4 2 5" xfId="28689" xr:uid="{35AA868D-3B95-4EA9-9E63-9FB379617442}"/>
    <cellStyle name="20% - Accent4 2 2 4 3" xfId="6588" xr:uid="{00000000-0005-0000-0000-0000A1170000}"/>
    <cellStyle name="20% - Accent4 2 2 4 3 2" xfId="14560" xr:uid="{00000000-0005-0000-0000-0000A2170000}"/>
    <cellStyle name="20% - Accent4 2 2 4 3 2 2" xfId="38403" xr:uid="{28AB7F7E-CA70-433B-A83E-7B4213F086D4}"/>
    <cellStyle name="20% - Accent4 2 2 4 3 3" xfId="22507" xr:uid="{00000000-0005-0000-0000-0000A3170000}"/>
    <cellStyle name="20% - Accent4 2 2 4 3 3 2" xfId="46340" xr:uid="{0325A4D3-E61C-47E0-A23E-193564E66523}"/>
    <cellStyle name="20% - Accent4 2 2 4 3 4" xfId="30462" xr:uid="{9AA1C9F5-92B5-48FC-859F-BB46973475E0}"/>
    <cellStyle name="20% - Accent4 2 2 4 4" xfId="11024" xr:uid="{00000000-0005-0000-0000-0000A4170000}"/>
    <cellStyle name="20% - Accent4 2 2 4 4 2" xfId="34874" xr:uid="{99B7BD67-3EFB-4082-A972-A997897152FC}"/>
    <cellStyle name="20% - Accent4 2 2 4 5" xfId="18979" xr:uid="{00000000-0005-0000-0000-0000A5170000}"/>
    <cellStyle name="20% - Accent4 2 2 4 5 2" xfId="42812" xr:uid="{D147BF5F-DCC0-4DFC-8070-D1DEA0DA98E7}"/>
    <cellStyle name="20% - Accent4 2 2 4 6" xfId="26932" xr:uid="{58226BD9-D771-4BBD-9E48-C3907388B87B}"/>
    <cellStyle name="20% - Accent4 2 2 4_Exh G" xfId="2359" xr:uid="{00000000-0005-0000-0000-0000A6170000}"/>
    <cellStyle name="20% - Accent4 2 2 5" xfId="3877" xr:uid="{00000000-0005-0000-0000-0000A7170000}"/>
    <cellStyle name="20% - Accent4 2 2 5 2" xfId="7469" xr:uid="{00000000-0005-0000-0000-0000A8170000}"/>
    <cellStyle name="20% - Accent4 2 2 5 2 2" xfId="15440" xr:uid="{00000000-0005-0000-0000-0000A9170000}"/>
    <cellStyle name="20% - Accent4 2 2 5 2 2 2" xfId="39283" xr:uid="{BAEAEED1-7536-4521-B704-990C751C2D9A}"/>
    <cellStyle name="20% - Accent4 2 2 5 2 3" xfId="23386" xr:uid="{00000000-0005-0000-0000-0000AA170000}"/>
    <cellStyle name="20% - Accent4 2 2 5 2 3 2" xfId="47219" xr:uid="{00E44BE5-C352-47AB-846E-3F2C576937D0}"/>
    <cellStyle name="20% - Accent4 2 2 5 2 4" xfId="31342" xr:uid="{FE27C434-69A2-4502-92D6-953253303118}"/>
    <cellStyle name="20% - Accent4 2 2 5 3" xfId="11902" xr:uid="{00000000-0005-0000-0000-0000AB170000}"/>
    <cellStyle name="20% - Accent4 2 2 5 3 2" xfId="35752" xr:uid="{A66011AD-DE21-4968-8E93-0589C303A561}"/>
    <cellStyle name="20% - Accent4 2 2 5 4" xfId="19857" xr:uid="{00000000-0005-0000-0000-0000AC170000}"/>
    <cellStyle name="20% - Accent4 2 2 5 4 2" xfId="43690" xr:uid="{BEBC7BEA-05D4-41E8-AC9E-A9592A47D703}"/>
    <cellStyle name="20% - Accent4 2 2 5 5" xfId="27811" xr:uid="{5D25E19F-8002-41CF-B848-B044E90AEBD4}"/>
    <cellStyle name="20% - Accent4 2 2 6" xfId="5697" xr:uid="{00000000-0005-0000-0000-0000AD170000}"/>
    <cellStyle name="20% - Accent4 2 2 6 2" xfId="13681" xr:uid="{00000000-0005-0000-0000-0000AE170000}"/>
    <cellStyle name="20% - Accent4 2 2 6 2 2" xfId="37525" xr:uid="{985182FF-6225-46A9-9380-F57EAE71E820}"/>
    <cellStyle name="20% - Accent4 2 2 6 3" xfId="21629" xr:uid="{00000000-0005-0000-0000-0000AF170000}"/>
    <cellStyle name="20% - Accent4 2 2 6 3 2" xfId="45462" xr:uid="{8B788C11-EC62-4363-971A-C416DF47069A}"/>
    <cellStyle name="20% - Accent4 2 2 6 4" xfId="29584" xr:uid="{7A37C9A6-D913-48D7-9FDE-3C189100E874}"/>
    <cellStyle name="20% - Accent4 2 2 7" xfId="9250" xr:uid="{00000000-0005-0000-0000-0000B0170000}"/>
    <cellStyle name="20% - Accent4 2 2 7 2" xfId="17208" xr:uid="{00000000-0005-0000-0000-0000B1170000}"/>
    <cellStyle name="20% - Accent4 2 2 7 2 2" xfId="41049" xr:uid="{5B2901B8-747E-4332-A7E1-5F132199E10C}"/>
    <cellStyle name="20% - Accent4 2 2 7 3" xfId="25152" xr:uid="{00000000-0005-0000-0000-0000B2170000}"/>
    <cellStyle name="20% - Accent4 2 2 7 3 2" xfId="48985" xr:uid="{B6A4E830-1225-4E92-8087-4A3B1E1FFFE3}"/>
    <cellStyle name="20% - Accent4 2 2 7 4" xfId="33108" xr:uid="{42E2955B-E3D1-4071-90D0-31CED751F251}"/>
    <cellStyle name="20% - Accent4 2 2 8" xfId="10146" xr:uid="{00000000-0005-0000-0000-0000B3170000}"/>
    <cellStyle name="20% - Accent4 2 2 8 2" xfId="33996" xr:uid="{778039E7-D279-4544-BD3F-752434B1CBF6}"/>
    <cellStyle name="20% - Accent4 2 2 9" xfId="18101" xr:uid="{00000000-0005-0000-0000-0000B4170000}"/>
    <cellStyle name="20% - Accent4 2 2 9 2" xfId="41934" xr:uid="{C311BF55-2F6A-4560-99D2-CD4FE946587B}"/>
    <cellStyle name="20% - Accent4 2 2_Exh G" xfId="2354" xr:uid="{00000000-0005-0000-0000-0000B5170000}"/>
    <cellStyle name="20% - Accent4 2 3" xfId="200" xr:uid="{00000000-0005-0000-0000-0000B6170000}"/>
    <cellStyle name="20% - Accent4 2 3 2" xfId="1228" xr:uid="{00000000-0005-0000-0000-0000B7170000}"/>
    <cellStyle name="20% - Accent4 2 3 2 2" xfId="4758" xr:uid="{00000000-0005-0000-0000-0000B8170000}"/>
    <cellStyle name="20% - Accent4 2 3 2 2 2" xfId="8349" xr:uid="{00000000-0005-0000-0000-0000B9170000}"/>
    <cellStyle name="20% - Accent4 2 3 2 2 2 2" xfId="16320" xr:uid="{00000000-0005-0000-0000-0000BA170000}"/>
    <cellStyle name="20% - Accent4 2 3 2 2 2 2 2" xfId="40163" xr:uid="{4624DF0C-183B-4BB9-8788-CF43F166B852}"/>
    <cellStyle name="20% - Accent4 2 3 2 2 2 3" xfId="24266" xr:uid="{00000000-0005-0000-0000-0000BB170000}"/>
    <cellStyle name="20% - Accent4 2 3 2 2 2 3 2" xfId="48099" xr:uid="{9D42FC55-8AE1-45A2-A7AB-3FA9E51061B8}"/>
    <cellStyle name="20% - Accent4 2 3 2 2 2 4" xfId="32222" xr:uid="{5738710B-D389-445E-A4A8-6D7D997BB607}"/>
    <cellStyle name="20% - Accent4 2 3 2 2 3" xfId="12782" xr:uid="{00000000-0005-0000-0000-0000BC170000}"/>
    <cellStyle name="20% - Accent4 2 3 2 2 3 2" xfId="36632" xr:uid="{806853C9-153C-48E8-B2F9-E87D1CC2D747}"/>
    <cellStyle name="20% - Accent4 2 3 2 2 4" xfId="20737" xr:uid="{00000000-0005-0000-0000-0000BD170000}"/>
    <cellStyle name="20% - Accent4 2 3 2 2 4 2" xfId="44570" xr:uid="{6B69F587-7CA3-4A07-9FD1-E50AEDE965BD}"/>
    <cellStyle name="20% - Accent4 2 3 2 2 5" xfId="28691" xr:uid="{A7B69231-345F-4A5F-AA6D-F0801B3095D5}"/>
    <cellStyle name="20% - Accent4 2 3 2 3" xfId="6590" xr:uid="{00000000-0005-0000-0000-0000BE170000}"/>
    <cellStyle name="20% - Accent4 2 3 2 3 2" xfId="14562" xr:uid="{00000000-0005-0000-0000-0000BF170000}"/>
    <cellStyle name="20% - Accent4 2 3 2 3 2 2" xfId="38405" xr:uid="{BFC885FD-2DFA-4CD4-B451-A66513D6FF20}"/>
    <cellStyle name="20% - Accent4 2 3 2 3 3" xfId="22509" xr:uid="{00000000-0005-0000-0000-0000C0170000}"/>
    <cellStyle name="20% - Accent4 2 3 2 3 3 2" xfId="46342" xr:uid="{9059BE67-0206-413C-A2AE-643E611D9191}"/>
    <cellStyle name="20% - Accent4 2 3 2 3 4" xfId="30464" xr:uid="{ADB2B39D-0122-4C60-A80F-6F9076F8E42D}"/>
    <cellStyle name="20% - Accent4 2 3 2 4" xfId="11026" xr:uid="{00000000-0005-0000-0000-0000C1170000}"/>
    <cellStyle name="20% - Accent4 2 3 2 4 2" xfId="34876" xr:uid="{66438CAD-9CFA-4B4C-B8EA-D380333A6837}"/>
    <cellStyle name="20% - Accent4 2 3 2 5" xfId="18981" xr:uid="{00000000-0005-0000-0000-0000C2170000}"/>
    <cellStyle name="20% - Accent4 2 3 2 5 2" xfId="42814" xr:uid="{D1E0C1A2-5A06-44E8-A9E0-2C46B2030942}"/>
    <cellStyle name="20% - Accent4 2 3 2 6" xfId="26934" xr:uid="{C72733A2-4A24-4FC0-A52F-1C2E42E6482D}"/>
    <cellStyle name="20% - Accent4 2 3 2_Exh G" xfId="2361" xr:uid="{00000000-0005-0000-0000-0000C3170000}"/>
    <cellStyle name="20% - Accent4 2 3 3" xfId="3879" xr:uid="{00000000-0005-0000-0000-0000C4170000}"/>
    <cellStyle name="20% - Accent4 2 3 3 2" xfId="7471" xr:uid="{00000000-0005-0000-0000-0000C5170000}"/>
    <cellStyle name="20% - Accent4 2 3 3 2 2" xfId="15442" xr:uid="{00000000-0005-0000-0000-0000C6170000}"/>
    <cellStyle name="20% - Accent4 2 3 3 2 2 2" xfId="39285" xr:uid="{DCC188D0-25D4-46F4-B635-C1E016559534}"/>
    <cellStyle name="20% - Accent4 2 3 3 2 3" xfId="23388" xr:uid="{00000000-0005-0000-0000-0000C7170000}"/>
    <cellStyle name="20% - Accent4 2 3 3 2 3 2" xfId="47221" xr:uid="{1D32CEAF-C808-49F8-8C75-E7CBEF38E81D}"/>
    <cellStyle name="20% - Accent4 2 3 3 2 4" xfId="31344" xr:uid="{E410A4B4-70D6-4BC0-81DB-DC1DE92964EA}"/>
    <cellStyle name="20% - Accent4 2 3 3 3" xfId="11904" xr:uid="{00000000-0005-0000-0000-0000C8170000}"/>
    <cellStyle name="20% - Accent4 2 3 3 3 2" xfId="35754" xr:uid="{CA6DB454-31C9-4F11-999E-6BD7F5FF2AF7}"/>
    <cellStyle name="20% - Accent4 2 3 3 4" xfId="19859" xr:uid="{00000000-0005-0000-0000-0000C9170000}"/>
    <cellStyle name="20% - Accent4 2 3 3 4 2" xfId="43692" xr:uid="{BA128C8F-38BA-475B-917A-3F1A165928C9}"/>
    <cellStyle name="20% - Accent4 2 3 3 5" xfId="27813" xr:uid="{3B0F2D31-BFA3-43BD-93F3-465B145E0722}"/>
    <cellStyle name="20% - Accent4 2 3 4" xfId="5699" xr:uid="{00000000-0005-0000-0000-0000CA170000}"/>
    <cellStyle name="20% - Accent4 2 3 4 2" xfId="13683" xr:uid="{00000000-0005-0000-0000-0000CB170000}"/>
    <cellStyle name="20% - Accent4 2 3 4 2 2" xfId="37527" xr:uid="{745F584E-86BB-447D-ADCC-EC853960F016}"/>
    <cellStyle name="20% - Accent4 2 3 4 3" xfId="21631" xr:uid="{00000000-0005-0000-0000-0000CC170000}"/>
    <cellStyle name="20% - Accent4 2 3 4 3 2" xfId="45464" xr:uid="{ACE7484F-5343-4C86-AC05-18A04243ECEF}"/>
    <cellStyle name="20% - Accent4 2 3 4 4" xfId="29586" xr:uid="{A93E9081-C109-4449-9783-EBE00E359C93}"/>
    <cellStyle name="20% - Accent4 2 3 5" xfId="9252" xr:uid="{00000000-0005-0000-0000-0000CD170000}"/>
    <cellStyle name="20% - Accent4 2 3 5 2" xfId="17210" xr:uid="{00000000-0005-0000-0000-0000CE170000}"/>
    <cellStyle name="20% - Accent4 2 3 5 2 2" xfId="41051" xr:uid="{5373338D-3A4E-4161-8D06-BDFD4F08ABAA}"/>
    <cellStyle name="20% - Accent4 2 3 5 3" xfId="25154" xr:uid="{00000000-0005-0000-0000-0000CF170000}"/>
    <cellStyle name="20% - Accent4 2 3 5 3 2" xfId="48987" xr:uid="{134A20B0-D045-480A-AD73-3CDF44058E00}"/>
    <cellStyle name="20% - Accent4 2 3 5 4" xfId="33110" xr:uid="{3267C9DA-6102-4242-BE7C-3B12957F6687}"/>
    <cellStyle name="20% - Accent4 2 3 6" xfId="10148" xr:uid="{00000000-0005-0000-0000-0000D0170000}"/>
    <cellStyle name="20% - Accent4 2 3 6 2" xfId="33998" xr:uid="{2E6E4B39-F14E-471D-B9E2-996490E3D0FD}"/>
    <cellStyle name="20% - Accent4 2 3 7" xfId="18103" xr:uid="{00000000-0005-0000-0000-0000D1170000}"/>
    <cellStyle name="20% - Accent4 2 3 7 2" xfId="41936" xr:uid="{5B3378D2-A0CD-41AC-8DD1-7A57BF2EEAFB}"/>
    <cellStyle name="20% - Accent4 2 3 8" xfId="26056" xr:uid="{53CD08F3-6546-4903-A2B4-9BEC7FA715B0}"/>
    <cellStyle name="20% - Accent4 2 3_Exh G" xfId="2360" xr:uid="{00000000-0005-0000-0000-0000D2170000}"/>
    <cellStyle name="20% - Accent4 2 4" xfId="899" xr:uid="{00000000-0005-0000-0000-0000D3170000}"/>
    <cellStyle name="20% - Accent4 2 4 2" xfId="1829" xr:uid="{00000000-0005-0000-0000-0000D4170000}"/>
    <cellStyle name="20% - Accent4 2 4 2 2" xfId="5347" xr:uid="{00000000-0005-0000-0000-0000D5170000}"/>
    <cellStyle name="20% - Accent4 2 4 2 2 2" xfId="8938" xr:uid="{00000000-0005-0000-0000-0000D6170000}"/>
    <cellStyle name="20% - Accent4 2 4 2 2 2 2" xfId="16909" xr:uid="{00000000-0005-0000-0000-0000D7170000}"/>
    <cellStyle name="20% - Accent4 2 4 2 2 2 2 2" xfId="40752" xr:uid="{B2F6C926-9588-46EC-9F77-703259EF437E}"/>
    <cellStyle name="20% - Accent4 2 4 2 2 2 3" xfId="24855" xr:uid="{00000000-0005-0000-0000-0000D8170000}"/>
    <cellStyle name="20% - Accent4 2 4 2 2 2 3 2" xfId="48688" xr:uid="{541EF48E-4503-4C0B-B73B-A921028FCD51}"/>
    <cellStyle name="20% - Accent4 2 4 2 2 2 4" xfId="32811" xr:uid="{0569DE58-1A97-4FCB-B02D-0776272B1275}"/>
    <cellStyle name="20% - Accent4 2 4 2 2 3" xfId="13371" xr:uid="{00000000-0005-0000-0000-0000D9170000}"/>
    <cellStyle name="20% - Accent4 2 4 2 2 3 2" xfId="37221" xr:uid="{DC86F292-0647-48F0-A1E5-38DF81DAE11B}"/>
    <cellStyle name="20% - Accent4 2 4 2 2 4" xfId="21326" xr:uid="{00000000-0005-0000-0000-0000DA170000}"/>
    <cellStyle name="20% - Accent4 2 4 2 2 4 2" xfId="45159" xr:uid="{8F2249C3-EC29-47D9-B716-F3EC93F42F47}"/>
    <cellStyle name="20% - Accent4 2 4 2 2 5" xfId="29280" xr:uid="{3660CD6F-662E-49A0-B93F-9AB5E322A0D5}"/>
    <cellStyle name="20% - Accent4 2 4 2 3" xfId="7179" xr:uid="{00000000-0005-0000-0000-0000DB170000}"/>
    <cellStyle name="20% - Accent4 2 4 2 3 2" xfId="15151" xr:uid="{00000000-0005-0000-0000-0000DC170000}"/>
    <cellStyle name="20% - Accent4 2 4 2 3 2 2" xfId="38994" xr:uid="{81D1DFC6-AB5B-40C4-8637-DE20AAC8C966}"/>
    <cellStyle name="20% - Accent4 2 4 2 3 3" xfId="23098" xr:uid="{00000000-0005-0000-0000-0000DD170000}"/>
    <cellStyle name="20% - Accent4 2 4 2 3 3 2" xfId="46931" xr:uid="{929352B9-60B8-46C8-AF93-E18B0E06A685}"/>
    <cellStyle name="20% - Accent4 2 4 2 3 4" xfId="31053" xr:uid="{0E79C24F-5B2F-4B5F-951B-8BCA238B4F79}"/>
    <cellStyle name="20% - Accent4 2 4 2 4" xfId="11615" xr:uid="{00000000-0005-0000-0000-0000DE170000}"/>
    <cellStyle name="20% - Accent4 2 4 2 4 2" xfId="35465" xr:uid="{283B8180-B3A1-4DB5-A874-7F5C329B23F9}"/>
    <cellStyle name="20% - Accent4 2 4 2 5" xfId="19570" xr:uid="{00000000-0005-0000-0000-0000DF170000}"/>
    <cellStyle name="20% - Accent4 2 4 2 5 2" xfId="43403" xr:uid="{8DBF051F-1283-426F-9A34-17F8202E34C2}"/>
    <cellStyle name="20% - Accent4 2 4 2 6" xfId="27523" xr:uid="{0E43922A-361E-4F65-AF8E-91730E51D28E}"/>
    <cellStyle name="20% - Accent4 2 4 2_Exh G" xfId="2363" xr:uid="{00000000-0005-0000-0000-0000E0170000}"/>
    <cellStyle name="20% - Accent4 2 4 3" xfId="4468" xr:uid="{00000000-0005-0000-0000-0000E1170000}"/>
    <cellStyle name="20% - Accent4 2 4 3 2" xfId="8060" xr:uid="{00000000-0005-0000-0000-0000E2170000}"/>
    <cellStyle name="20% - Accent4 2 4 3 2 2" xfId="16031" xr:uid="{00000000-0005-0000-0000-0000E3170000}"/>
    <cellStyle name="20% - Accent4 2 4 3 2 2 2" xfId="39874" xr:uid="{8CDB6056-7D06-46B3-B637-7A54DF2C4DC8}"/>
    <cellStyle name="20% - Accent4 2 4 3 2 3" xfId="23977" xr:uid="{00000000-0005-0000-0000-0000E4170000}"/>
    <cellStyle name="20% - Accent4 2 4 3 2 3 2" xfId="47810" xr:uid="{1719F63E-4B8B-4F03-8C76-DC933E4CCF5C}"/>
    <cellStyle name="20% - Accent4 2 4 3 2 4" xfId="31933" xr:uid="{D78E6479-7460-44AD-8E52-BF582F96E9BB}"/>
    <cellStyle name="20% - Accent4 2 4 3 3" xfId="12493" xr:uid="{00000000-0005-0000-0000-0000E5170000}"/>
    <cellStyle name="20% - Accent4 2 4 3 3 2" xfId="36343" xr:uid="{D81F208F-B082-4A05-855A-AEA35600359B}"/>
    <cellStyle name="20% - Accent4 2 4 3 4" xfId="20448" xr:uid="{00000000-0005-0000-0000-0000E6170000}"/>
    <cellStyle name="20% - Accent4 2 4 3 4 2" xfId="44281" xr:uid="{421F3FE3-95A5-44F2-BD4E-E7E9D00916BC}"/>
    <cellStyle name="20% - Accent4 2 4 3 5" xfId="28402" xr:uid="{4AE424C2-B3E7-470F-A0B1-73953B2E8E70}"/>
    <cellStyle name="20% - Accent4 2 4 4" xfId="6298" xr:uid="{00000000-0005-0000-0000-0000E7170000}"/>
    <cellStyle name="20% - Accent4 2 4 4 2" xfId="14273" xr:uid="{00000000-0005-0000-0000-0000E8170000}"/>
    <cellStyle name="20% - Accent4 2 4 4 2 2" xfId="38116" xr:uid="{2539587D-9040-4A43-827B-D887B0B032B1}"/>
    <cellStyle name="20% - Accent4 2 4 4 3" xfId="22220" xr:uid="{00000000-0005-0000-0000-0000E9170000}"/>
    <cellStyle name="20% - Accent4 2 4 4 3 2" xfId="46053" xr:uid="{BB15F966-2F66-4CE2-90C2-4E0A3F5E429C}"/>
    <cellStyle name="20% - Accent4 2 4 4 4" xfId="30175" xr:uid="{00E373F6-EC3B-41EF-8C93-0E2B9E0F8BA9}"/>
    <cellStyle name="20% - Accent4 2 4 5" xfId="9841" xr:uid="{00000000-0005-0000-0000-0000EA170000}"/>
    <cellStyle name="20% - Accent4 2 4 5 2" xfId="17799" xr:uid="{00000000-0005-0000-0000-0000EB170000}"/>
    <cellStyle name="20% - Accent4 2 4 5 2 2" xfId="41640" xr:uid="{4AFDCB7B-57DE-4704-AADF-ED2E625AD3DA}"/>
    <cellStyle name="20% - Accent4 2 4 5 3" xfId="25743" xr:uid="{00000000-0005-0000-0000-0000EC170000}"/>
    <cellStyle name="20% - Accent4 2 4 5 3 2" xfId="49576" xr:uid="{3B71FEBD-8E1D-4ECF-B045-8B5C05BA62BF}"/>
    <cellStyle name="20% - Accent4 2 4 5 4" xfId="33699" xr:uid="{0D54D9C8-FDE4-4758-B3BC-BAD29A9F0F7B}"/>
    <cellStyle name="20% - Accent4 2 4 6" xfId="10737" xr:uid="{00000000-0005-0000-0000-0000ED170000}"/>
    <cellStyle name="20% - Accent4 2 4 6 2" xfId="34587" xr:uid="{A8E3F315-BC69-465B-8525-7C25883272D8}"/>
    <cellStyle name="20% - Accent4 2 4 7" xfId="18692" xr:uid="{00000000-0005-0000-0000-0000EE170000}"/>
    <cellStyle name="20% - Accent4 2 4 7 2" xfId="42525" xr:uid="{08531CE4-0193-4D9F-860D-CF136151E925}"/>
    <cellStyle name="20% - Accent4 2 4 8" xfId="26645" xr:uid="{136F1A79-ABAF-4AE8-A942-5BDA6757DC35}"/>
    <cellStyle name="20% - Accent4 2 4_Exh G" xfId="2362" xr:uid="{00000000-0005-0000-0000-0000EF170000}"/>
    <cellStyle name="20% - Accent4 2 5" xfId="1225" xr:uid="{00000000-0005-0000-0000-0000F0170000}"/>
    <cellStyle name="20% - Accent4 2 5 2" xfId="4755" xr:uid="{00000000-0005-0000-0000-0000F1170000}"/>
    <cellStyle name="20% - Accent4 2 5 2 2" xfId="8346" xr:uid="{00000000-0005-0000-0000-0000F2170000}"/>
    <cellStyle name="20% - Accent4 2 5 2 2 2" xfId="16317" xr:uid="{00000000-0005-0000-0000-0000F3170000}"/>
    <cellStyle name="20% - Accent4 2 5 2 2 2 2" xfId="40160" xr:uid="{FA4982BE-911B-485F-8F7C-554FCE54E2A6}"/>
    <cellStyle name="20% - Accent4 2 5 2 2 3" xfId="24263" xr:uid="{00000000-0005-0000-0000-0000F4170000}"/>
    <cellStyle name="20% - Accent4 2 5 2 2 3 2" xfId="48096" xr:uid="{4A8ECD83-C059-4408-9422-E34E7C46F850}"/>
    <cellStyle name="20% - Accent4 2 5 2 2 4" xfId="32219" xr:uid="{507FF0D8-9C60-4646-904F-19624DF0134B}"/>
    <cellStyle name="20% - Accent4 2 5 2 3" xfId="12779" xr:uid="{00000000-0005-0000-0000-0000F5170000}"/>
    <cellStyle name="20% - Accent4 2 5 2 3 2" xfId="36629" xr:uid="{BFC7A005-01C7-4ABA-A558-83832F44221F}"/>
    <cellStyle name="20% - Accent4 2 5 2 4" xfId="20734" xr:uid="{00000000-0005-0000-0000-0000F6170000}"/>
    <cellStyle name="20% - Accent4 2 5 2 4 2" xfId="44567" xr:uid="{73CCF1E2-8991-48B8-B94F-D6EE213069A1}"/>
    <cellStyle name="20% - Accent4 2 5 2 5" xfId="28688" xr:uid="{86B997B2-08E0-4C23-9F48-5F0ED45829D1}"/>
    <cellStyle name="20% - Accent4 2 5 3" xfId="6587" xr:uid="{00000000-0005-0000-0000-0000F7170000}"/>
    <cellStyle name="20% - Accent4 2 5 3 2" xfId="14559" xr:uid="{00000000-0005-0000-0000-0000F8170000}"/>
    <cellStyle name="20% - Accent4 2 5 3 2 2" xfId="38402" xr:uid="{74BB3FB2-68C5-4AE3-AF13-FAE083055D66}"/>
    <cellStyle name="20% - Accent4 2 5 3 3" xfId="22506" xr:uid="{00000000-0005-0000-0000-0000F9170000}"/>
    <cellStyle name="20% - Accent4 2 5 3 3 2" xfId="46339" xr:uid="{EBBABF23-27BE-4D91-B3AC-31171E596AA3}"/>
    <cellStyle name="20% - Accent4 2 5 3 4" xfId="30461" xr:uid="{BB07EB93-57C9-4249-8419-39F0C38D3EEF}"/>
    <cellStyle name="20% - Accent4 2 5 4" xfId="11023" xr:uid="{00000000-0005-0000-0000-0000FA170000}"/>
    <cellStyle name="20% - Accent4 2 5 4 2" xfId="34873" xr:uid="{C3ACD3BE-38C6-44F1-B4D7-B6F0314F59CB}"/>
    <cellStyle name="20% - Accent4 2 5 5" xfId="18978" xr:uid="{00000000-0005-0000-0000-0000FB170000}"/>
    <cellStyle name="20% - Accent4 2 5 5 2" xfId="42811" xr:uid="{107703FF-28B7-4095-9398-57BAFFE12CE2}"/>
    <cellStyle name="20% - Accent4 2 5 6" xfId="26931" xr:uid="{A0260C63-958E-42D1-95C9-68C6688EDAC0}"/>
    <cellStyle name="20% - Accent4 2 5_Exh G" xfId="2364" xr:uid="{00000000-0005-0000-0000-0000FC170000}"/>
    <cellStyle name="20% - Accent4 2 6" xfId="3876" xr:uid="{00000000-0005-0000-0000-0000FD170000}"/>
    <cellStyle name="20% - Accent4 2 6 2" xfId="7468" xr:uid="{00000000-0005-0000-0000-0000FE170000}"/>
    <cellStyle name="20% - Accent4 2 6 2 2" xfId="15439" xr:uid="{00000000-0005-0000-0000-0000FF170000}"/>
    <cellStyle name="20% - Accent4 2 6 2 2 2" xfId="39282" xr:uid="{17E5C8B3-D730-4108-B96E-08A4753671EB}"/>
    <cellStyle name="20% - Accent4 2 6 2 3" xfId="23385" xr:uid="{00000000-0005-0000-0000-000000180000}"/>
    <cellStyle name="20% - Accent4 2 6 2 3 2" xfId="47218" xr:uid="{1E6E6CD4-16D1-4ECB-AD88-4BC294B2AF8C}"/>
    <cellStyle name="20% - Accent4 2 6 2 4" xfId="31341" xr:uid="{192EBFF9-B497-4102-A0D4-C3597C4A3B3C}"/>
    <cellStyle name="20% - Accent4 2 6 3" xfId="11901" xr:uid="{00000000-0005-0000-0000-000001180000}"/>
    <cellStyle name="20% - Accent4 2 6 3 2" xfId="35751" xr:uid="{E0CAC92F-C040-40DC-9F9A-55F0BE3A2C4A}"/>
    <cellStyle name="20% - Accent4 2 6 4" xfId="19856" xr:uid="{00000000-0005-0000-0000-000002180000}"/>
    <cellStyle name="20% - Accent4 2 6 4 2" xfId="43689" xr:uid="{CA363DC4-3278-4AA7-826D-659B1BAE3E3C}"/>
    <cellStyle name="20% - Accent4 2 6 5" xfId="27810" xr:uid="{178B1926-A214-4090-9FB3-FF9435326FA4}"/>
    <cellStyle name="20% - Accent4 2 7" xfId="5696" xr:uid="{00000000-0005-0000-0000-000003180000}"/>
    <cellStyle name="20% - Accent4 2 7 2" xfId="13680" xr:uid="{00000000-0005-0000-0000-000004180000}"/>
    <cellStyle name="20% - Accent4 2 7 2 2" xfId="37524" xr:uid="{A80AA4A9-6B85-4AAA-A81F-21A8AA0C026C}"/>
    <cellStyle name="20% - Accent4 2 7 3" xfId="21628" xr:uid="{00000000-0005-0000-0000-000005180000}"/>
    <cellStyle name="20% - Accent4 2 7 3 2" xfId="45461" xr:uid="{882CD716-E087-4615-A6F9-7D88B8EFA52D}"/>
    <cellStyle name="20% - Accent4 2 7 4" xfId="29583" xr:uid="{9B475ACE-D641-4341-8682-2F5E76851CE8}"/>
    <cellStyle name="20% - Accent4 2 8" xfId="9249" xr:uid="{00000000-0005-0000-0000-000006180000}"/>
    <cellStyle name="20% - Accent4 2 8 2" xfId="17207" xr:uid="{00000000-0005-0000-0000-000007180000}"/>
    <cellStyle name="20% - Accent4 2 8 2 2" xfId="41048" xr:uid="{229C4A23-AB44-4528-ABE3-4AB9FBC745B6}"/>
    <cellStyle name="20% - Accent4 2 8 3" xfId="25151" xr:uid="{00000000-0005-0000-0000-000008180000}"/>
    <cellStyle name="20% - Accent4 2 8 3 2" xfId="48984" xr:uid="{39A6C18A-A856-42A8-9789-F953883AEB76}"/>
    <cellStyle name="20% - Accent4 2 8 4" xfId="33107" xr:uid="{B12F2BDC-51B8-4933-BAE0-514B7B509F23}"/>
    <cellStyle name="20% - Accent4 2 9" xfId="10145" xr:uid="{00000000-0005-0000-0000-000009180000}"/>
    <cellStyle name="20% - Accent4 2 9 2" xfId="33995" xr:uid="{5FC07871-4595-4185-9B82-50DAB79158A9}"/>
    <cellStyle name="20% - Accent4 2_Exh G" xfId="2353" xr:uid="{00000000-0005-0000-0000-00000A180000}"/>
    <cellStyle name="20% - Accent4 3" xfId="201" xr:uid="{00000000-0005-0000-0000-00000B180000}"/>
    <cellStyle name="20% - Accent4 3 10" xfId="18104" xr:uid="{00000000-0005-0000-0000-00000C180000}"/>
    <cellStyle name="20% - Accent4 3 10 2" xfId="41937" xr:uid="{0509B170-ADF7-423C-9975-D3C80B7433CE}"/>
    <cellStyle name="20% - Accent4 3 11" xfId="26057" xr:uid="{B0F290DE-C083-4408-A36B-E34776972175}"/>
    <cellStyle name="20% - Accent4 3 12" xfId="49772" xr:uid="{1E383888-81A5-4DA1-9954-657F544F9775}"/>
    <cellStyle name="20% - Accent4 3 13" xfId="49826" xr:uid="{F79DD019-C9D3-43F5-A6CD-1027756ABF35}"/>
    <cellStyle name="20% - Accent4 3 2" xfId="202" xr:uid="{00000000-0005-0000-0000-00000D180000}"/>
    <cellStyle name="20% - Accent4 3 2 10" xfId="26058" xr:uid="{26D9F2E0-6076-47B5-A62F-1B30D525A70B}"/>
    <cellStyle name="20% - Accent4 3 2 2" xfId="203" xr:uid="{00000000-0005-0000-0000-00000E180000}"/>
    <cellStyle name="20% - Accent4 3 2 2 2" xfId="1231" xr:uid="{00000000-0005-0000-0000-00000F180000}"/>
    <cellStyle name="20% - Accent4 3 2 2 2 2" xfId="4761" xr:uid="{00000000-0005-0000-0000-000010180000}"/>
    <cellStyle name="20% - Accent4 3 2 2 2 2 2" xfId="8352" xr:uid="{00000000-0005-0000-0000-000011180000}"/>
    <cellStyle name="20% - Accent4 3 2 2 2 2 2 2" xfId="16323" xr:uid="{00000000-0005-0000-0000-000012180000}"/>
    <cellStyle name="20% - Accent4 3 2 2 2 2 2 2 2" xfId="40166" xr:uid="{7B67E401-D7C1-48F5-9495-0E03E672068F}"/>
    <cellStyle name="20% - Accent4 3 2 2 2 2 2 3" xfId="24269" xr:uid="{00000000-0005-0000-0000-000013180000}"/>
    <cellStyle name="20% - Accent4 3 2 2 2 2 2 3 2" xfId="48102" xr:uid="{8D850C18-04F4-4AF2-8FF6-C7AB91300BC8}"/>
    <cellStyle name="20% - Accent4 3 2 2 2 2 2 4" xfId="32225" xr:uid="{22EDD5E1-D285-44EF-B28E-F0094746B0F8}"/>
    <cellStyle name="20% - Accent4 3 2 2 2 2 3" xfId="12785" xr:uid="{00000000-0005-0000-0000-000014180000}"/>
    <cellStyle name="20% - Accent4 3 2 2 2 2 3 2" xfId="36635" xr:uid="{988872B8-D2A9-4DFF-BA5C-69DBD99CF0A5}"/>
    <cellStyle name="20% - Accent4 3 2 2 2 2 4" xfId="20740" xr:uid="{00000000-0005-0000-0000-000015180000}"/>
    <cellStyle name="20% - Accent4 3 2 2 2 2 4 2" xfId="44573" xr:uid="{4232A31E-42A0-48AA-A160-441B6B66C6EC}"/>
    <cellStyle name="20% - Accent4 3 2 2 2 2 5" xfId="28694" xr:uid="{DC81DA72-AD10-4821-94D7-055D01C378EE}"/>
    <cellStyle name="20% - Accent4 3 2 2 2 3" xfId="6593" xr:uid="{00000000-0005-0000-0000-000016180000}"/>
    <cellStyle name="20% - Accent4 3 2 2 2 3 2" xfId="14565" xr:uid="{00000000-0005-0000-0000-000017180000}"/>
    <cellStyle name="20% - Accent4 3 2 2 2 3 2 2" xfId="38408" xr:uid="{2C7D19D6-7C89-450C-9988-61F6127370EE}"/>
    <cellStyle name="20% - Accent4 3 2 2 2 3 3" xfId="22512" xr:uid="{00000000-0005-0000-0000-000018180000}"/>
    <cellStyle name="20% - Accent4 3 2 2 2 3 3 2" xfId="46345" xr:uid="{8AB46DE1-6096-411C-A3DF-E9CFB175AA4C}"/>
    <cellStyle name="20% - Accent4 3 2 2 2 3 4" xfId="30467" xr:uid="{6BFDECF9-AACF-49FE-8A83-667D9E6AB5DC}"/>
    <cellStyle name="20% - Accent4 3 2 2 2 4" xfId="11029" xr:uid="{00000000-0005-0000-0000-000019180000}"/>
    <cellStyle name="20% - Accent4 3 2 2 2 4 2" xfId="34879" xr:uid="{56289D73-C434-4384-A5B1-E3CE4AFA8316}"/>
    <cellStyle name="20% - Accent4 3 2 2 2 5" xfId="18984" xr:uid="{00000000-0005-0000-0000-00001A180000}"/>
    <cellStyle name="20% - Accent4 3 2 2 2 5 2" xfId="42817" xr:uid="{AF04367A-D082-4317-9046-1DC7FD76F5EF}"/>
    <cellStyle name="20% - Accent4 3 2 2 2 6" xfId="26937" xr:uid="{FD8FE2A7-1406-452A-A5E7-27A9F1099B5B}"/>
    <cellStyle name="20% - Accent4 3 2 2 2_Exh G" xfId="2368" xr:uid="{00000000-0005-0000-0000-00001B180000}"/>
    <cellStyle name="20% - Accent4 3 2 2 3" xfId="3882" xr:uid="{00000000-0005-0000-0000-00001C180000}"/>
    <cellStyle name="20% - Accent4 3 2 2 3 2" xfId="7474" xr:uid="{00000000-0005-0000-0000-00001D180000}"/>
    <cellStyle name="20% - Accent4 3 2 2 3 2 2" xfId="15445" xr:uid="{00000000-0005-0000-0000-00001E180000}"/>
    <cellStyle name="20% - Accent4 3 2 2 3 2 2 2" xfId="39288" xr:uid="{A2D75F10-4B50-4F7E-A68B-C11E096456ED}"/>
    <cellStyle name="20% - Accent4 3 2 2 3 2 3" xfId="23391" xr:uid="{00000000-0005-0000-0000-00001F180000}"/>
    <cellStyle name="20% - Accent4 3 2 2 3 2 3 2" xfId="47224" xr:uid="{19445C6B-950C-4416-8F43-BB9393487FA1}"/>
    <cellStyle name="20% - Accent4 3 2 2 3 2 4" xfId="31347" xr:uid="{0CDA4981-C3F0-4133-B8E4-F25612B34F11}"/>
    <cellStyle name="20% - Accent4 3 2 2 3 3" xfId="11907" xr:uid="{00000000-0005-0000-0000-000020180000}"/>
    <cellStyle name="20% - Accent4 3 2 2 3 3 2" xfId="35757" xr:uid="{FB4D7702-9903-4506-B98E-C37088070096}"/>
    <cellStyle name="20% - Accent4 3 2 2 3 4" xfId="19862" xr:uid="{00000000-0005-0000-0000-000021180000}"/>
    <cellStyle name="20% - Accent4 3 2 2 3 4 2" xfId="43695" xr:uid="{F907F6C6-FEB7-4FF0-8406-85B99FEAB31E}"/>
    <cellStyle name="20% - Accent4 3 2 2 3 5" xfId="27816" xr:uid="{FE1D6E2D-2333-4E05-A3E4-C85E38769A39}"/>
    <cellStyle name="20% - Accent4 3 2 2 4" xfId="5702" xr:uid="{00000000-0005-0000-0000-000022180000}"/>
    <cellStyle name="20% - Accent4 3 2 2 4 2" xfId="13686" xr:uid="{00000000-0005-0000-0000-000023180000}"/>
    <cellStyle name="20% - Accent4 3 2 2 4 2 2" xfId="37530" xr:uid="{E59E9C9A-A728-45F6-9931-0F9F93FE71B5}"/>
    <cellStyle name="20% - Accent4 3 2 2 4 3" xfId="21634" xr:uid="{00000000-0005-0000-0000-000024180000}"/>
    <cellStyle name="20% - Accent4 3 2 2 4 3 2" xfId="45467" xr:uid="{4C912C84-2B47-4253-8838-D02189A8ED0D}"/>
    <cellStyle name="20% - Accent4 3 2 2 4 4" xfId="29589" xr:uid="{C1D4716D-C4B2-4BD3-B694-397C9CE8CC3F}"/>
    <cellStyle name="20% - Accent4 3 2 2 5" xfId="9255" xr:uid="{00000000-0005-0000-0000-000025180000}"/>
    <cellStyle name="20% - Accent4 3 2 2 5 2" xfId="17213" xr:uid="{00000000-0005-0000-0000-000026180000}"/>
    <cellStyle name="20% - Accent4 3 2 2 5 2 2" xfId="41054" xr:uid="{479043FE-7488-4D7B-A6EC-19B77B0B85DA}"/>
    <cellStyle name="20% - Accent4 3 2 2 5 3" xfId="25157" xr:uid="{00000000-0005-0000-0000-000027180000}"/>
    <cellStyle name="20% - Accent4 3 2 2 5 3 2" xfId="48990" xr:uid="{2608688E-70DB-4907-8B37-64D86B477C54}"/>
    <cellStyle name="20% - Accent4 3 2 2 5 4" xfId="33113" xr:uid="{A4BCDC4A-1E01-49C7-ACD0-E6A48620EFB9}"/>
    <cellStyle name="20% - Accent4 3 2 2 6" xfId="10151" xr:uid="{00000000-0005-0000-0000-000028180000}"/>
    <cellStyle name="20% - Accent4 3 2 2 6 2" xfId="34001" xr:uid="{422C1FF8-0053-4BDC-A8E5-C80838938F27}"/>
    <cellStyle name="20% - Accent4 3 2 2 7" xfId="18106" xr:uid="{00000000-0005-0000-0000-000029180000}"/>
    <cellStyle name="20% - Accent4 3 2 2 7 2" xfId="41939" xr:uid="{4E768A42-E352-4077-8ECF-CE9F4AD90279}"/>
    <cellStyle name="20% - Accent4 3 2 2 8" xfId="26059" xr:uid="{BB663F3C-19EF-438C-ADD8-8C511447BD52}"/>
    <cellStyle name="20% - Accent4 3 2 2_Exh G" xfId="2367" xr:uid="{00000000-0005-0000-0000-00002A180000}"/>
    <cellStyle name="20% - Accent4 3 2 3" xfId="902" xr:uid="{00000000-0005-0000-0000-00002B180000}"/>
    <cellStyle name="20% - Accent4 3 2 3 2" xfId="1832" xr:uid="{00000000-0005-0000-0000-00002C180000}"/>
    <cellStyle name="20% - Accent4 3 2 3 2 2" xfId="5350" xr:uid="{00000000-0005-0000-0000-00002D180000}"/>
    <cellStyle name="20% - Accent4 3 2 3 2 2 2" xfId="8941" xr:uid="{00000000-0005-0000-0000-00002E180000}"/>
    <cellStyle name="20% - Accent4 3 2 3 2 2 2 2" xfId="16912" xr:uid="{00000000-0005-0000-0000-00002F180000}"/>
    <cellStyle name="20% - Accent4 3 2 3 2 2 2 2 2" xfId="40755" xr:uid="{EFBFD81C-21F4-43AB-B2EC-15392152FD58}"/>
    <cellStyle name="20% - Accent4 3 2 3 2 2 2 3" xfId="24858" xr:uid="{00000000-0005-0000-0000-000030180000}"/>
    <cellStyle name="20% - Accent4 3 2 3 2 2 2 3 2" xfId="48691" xr:uid="{4193BFC3-26F1-4913-95A7-FA5E04CC5648}"/>
    <cellStyle name="20% - Accent4 3 2 3 2 2 2 4" xfId="32814" xr:uid="{36217E06-B64C-4AF2-91BA-A7F858971A89}"/>
    <cellStyle name="20% - Accent4 3 2 3 2 2 3" xfId="13374" xr:uid="{00000000-0005-0000-0000-000031180000}"/>
    <cellStyle name="20% - Accent4 3 2 3 2 2 3 2" xfId="37224" xr:uid="{0BE49310-34DE-431A-8938-A897410B9569}"/>
    <cellStyle name="20% - Accent4 3 2 3 2 2 4" xfId="21329" xr:uid="{00000000-0005-0000-0000-000032180000}"/>
    <cellStyle name="20% - Accent4 3 2 3 2 2 4 2" xfId="45162" xr:uid="{2C2BC845-6663-4CB9-AEFB-B571A092703A}"/>
    <cellStyle name="20% - Accent4 3 2 3 2 2 5" xfId="29283" xr:uid="{8F9CC3E0-5F95-4338-A1AE-4DCF1C5167A2}"/>
    <cellStyle name="20% - Accent4 3 2 3 2 3" xfId="7182" xr:uid="{00000000-0005-0000-0000-000033180000}"/>
    <cellStyle name="20% - Accent4 3 2 3 2 3 2" xfId="15154" xr:uid="{00000000-0005-0000-0000-000034180000}"/>
    <cellStyle name="20% - Accent4 3 2 3 2 3 2 2" xfId="38997" xr:uid="{20402812-467A-40CD-A52A-7F26C088180C}"/>
    <cellStyle name="20% - Accent4 3 2 3 2 3 3" xfId="23101" xr:uid="{00000000-0005-0000-0000-000035180000}"/>
    <cellStyle name="20% - Accent4 3 2 3 2 3 3 2" xfId="46934" xr:uid="{F0FE19DC-BA5F-4766-ABF2-693CD8205EA1}"/>
    <cellStyle name="20% - Accent4 3 2 3 2 3 4" xfId="31056" xr:uid="{14686A12-23A2-4F75-BE25-D800802A9936}"/>
    <cellStyle name="20% - Accent4 3 2 3 2 4" xfId="11618" xr:uid="{00000000-0005-0000-0000-000036180000}"/>
    <cellStyle name="20% - Accent4 3 2 3 2 4 2" xfId="35468" xr:uid="{23C6F866-CDAB-47AB-AA05-A583EF0DAFE2}"/>
    <cellStyle name="20% - Accent4 3 2 3 2 5" xfId="19573" xr:uid="{00000000-0005-0000-0000-000037180000}"/>
    <cellStyle name="20% - Accent4 3 2 3 2 5 2" xfId="43406" xr:uid="{BED2AB90-DEEC-49B7-A3CA-5FF0857A805F}"/>
    <cellStyle name="20% - Accent4 3 2 3 2 6" xfId="27526" xr:uid="{18BC153A-B43F-48A7-AA9D-6CD1C4657E62}"/>
    <cellStyle name="20% - Accent4 3 2 3 2_Exh G" xfId="2370" xr:uid="{00000000-0005-0000-0000-000038180000}"/>
    <cellStyle name="20% - Accent4 3 2 3 3" xfId="4471" xr:uid="{00000000-0005-0000-0000-000039180000}"/>
    <cellStyle name="20% - Accent4 3 2 3 3 2" xfId="8063" xr:uid="{00000000-0005-0000-0000-00003A180000}"/>
    <cellStyle name="20% - Accent4 3 2 3 3 2 2" xfId="16034" xr:uid="{00000000-0005-0000-0000-00003B180000}"/>
    <cellStyle name="20% - Accent4 3 2 3 3 2 2 2" xfId="39877" xr:uid="{B3316EDB-88ED-4982-9A3F-B80A6EA6EA52}"/>
    <cellStyle name="20% - Accent4 3 2 3 3 2 3" xfId="23980" xr:uid="{00000000-0005-0000-0000-00003C180000}"/>
    <cellStyle name="20% - Accent4 3 2 3 3 2 3 2" xfId="47813" xr:uid="{FF19FA01-1817-4E4E-99FA-8D160B43E7AB}"/>
    <cellStyle name="20% - Accent4 3 2 3 3 2 4" xfId="31936" xr:uid="{7ED8491F-3B00-47D5-84A2-95D4B64ADF20}"/>
    <cellStyle name="20% - Accent4 3 2 3 3 3" xfId="12496" xr:uid="{00000000-0005-0000-0000-00003D180000}"/>
    <cellStyle name="20% - Accent4 3 2 3 3 3 2" xfId="36346" xr:uid="{FC874051-02FA-4B29-AAA9-DB79CF8092A5}"/>
    <cellStyle name="20% - Accent4 3 2 3 3 4" xfId="20451" xr:uid="{00000000-0005-0000-0000-00003E180000}"/>
    <cellStyle name="20% - Accent4 3 2 3 3 4 2" xfId="44284" xr:uid="{34161DF1-81B8-47B3-842F-0969E9928F82}"/>
    <cellStyle name="20% - Accent4 3 2 3 3 5" xfId="28405" xr:uid="{AD10088C-22D0-4EE9-9DD0-7E140C46A03E}"/>
    <cellStyle name="20% - Accent4 3 2 3 4" xfId="6301" xr:uid="{00000000-0005-0000-0000-00003F180000}"/>
    <cellStyle name="20% - Accent4 3 2 3 4 2" xfId="14276" xr:uid="{00000000-0005-0000-0000-000040180000}"/>
    <cellStyle name="20% - Accent4 3 2 3 4 2 2" xfId="38119" xr:uid="{6D38B09A-3137-49F3-BE17-161546F44B59}"/>
    <cellStyle name="20% - Accent4 3 2 3 4 3" xfId="22223" xr:uid="{00000000-0005-0000-0000-000041180000}"/>
    <cellStyle name="20% - Accent4 3 2 3 4 3 2" xfId="46056" xr:uid="{1083641B-95DC-49D2-BF1B-4873C213124A}"/>
    <cellStyle name="20% - Accent4 3 2 3 4 4" xfId="30178" xr:uid="{882803BC-608A-47F8-A07F-0AC2E7BAEEA3}"/>
    <cellStyle name="20% - Accent4 3 2 3 5" xfId="9844" xr:uid="{00000000-0005-0000-0000-000042180000}"/>
    <cellStyle name="20% - Accent4 3 2 3 5 2" xfId="17802" xr:uid="{00000000-0005-0000-0000-000043180000}"/>
    <cellStyle name="20% - Accent4 3 2 3 5 2 2" xfId="41643" xr:uid="{E4BA669E-5CB5-4485-A57B-A41580BC65F9}"/>
    <cellStyle name="20% - Accent4 3 2 3 5 3" xfId="25746" xr:uid="{00000000-0005-0000-0000-000044180000}"/>
    <cellStyle name="20% - Accent4 3 2 3 5 3 2" xfId="49579" xr:uid="{A9E4EEB6-CF3F-4ADC-8D48-37D95D5C6CAA}"/>
    <cellStyle name="20% - Accent4 3 2 3 5 4" xfId="33702" xr:uid="{1ED4667A-1FB7-47F9-9744-56F0D33CE9D8}"/>
    <cellStyle name="20% - Accent4 3 2 3 6" xfId="10740" xr:uid="{00000000-0005-0000-0000-000045180000}"/>
    <cellStyle name="20% - Accent4 3 2 3 6 2" xfId="34590" xr:uid="{5B00020D-A07E-44AC-8A64-36315951C897}"/>
    <cellStyle name="20% - Accent4 3 2 3 7" xfId="18695" xr:uid="{00000000-0005-0000-0000-000046180000}"/>
    <cellStyle name="20% - Accent4 3 2 3 7 2" xfId="42528" xr:uid="{948DF309-99D0-479B-B4D2-7BD83D29BDD6}"/>
    <cellStyle name="20% - Accent4 3 2 3 8" xfId="26648" xr:uid="{0BF14FFC-53B0-4474-84C2-C45638B267EE}"/>
    <cellStyle name="20% - Accent4 3 2 3_Exh G" xfId="2369" xr:uid="{00000000-0005-0000-0000-000047180000}"/>
    <cellStyle name="20% - Accent4 3 2 4" xfId="1230" xr:uid="{00000000-0005-0000-0000-000048180000}"/>
    <cellStyle name="20% - Accent4 3 2 4 2" xfId="4760" xr:uid="{00000000-0005-0000-0000-000049180000}"/>
    <cellStyle name="20% - Accent4 3 2 4 2 2" xfId="8351" xr:uid="{00000000-0005-0000-0000-00004A180000}"/>
    <cellStyle name="20% - Accent4 3 2 4 2 2 2" xfId="16322" xr:uid="{00000000-0005-0000-0000-00004B180000}"/>
    <cellStyle name="20% - Accent4 3 2 4 2 2 2 2" xfId="40165" xr:uid="{58AA22B2-E8F2-4F53-BDFE-8AE0EA6C67B7}"/>
    <cellStyle name="20% - Accent4 3 2 4 2 2 3" xfId="24268" xr:uid="{00000000-0005-0000-0000-00004C180000}"/>
    <cellStyle name="20% - Accent4 3 2 4 2 2 3 2" xfId="48101" xr:uid="{D2C278DA-CD49-4837-90AB-F938CA6E4CAE}"/>
    <cellStyle name="20% - Accent4 3 2 4 2 2 4" xfId="32224" xr:uid="{E468A719-3952-45B7-99E7-2535C5104F24}"/>
    <cellStyle name="20% - Accent4 3 2 4 2 3" xfId="12784" xr:uid="{00000000-0005-0000-0000-00004D180000}"/>
    <cellStyle name="20% - Accent4 3 2 4 2 3 2" xfId="36634" xr:uid="{F37AEE8E-089F-40FF-9FD3-4270EFF6ABB2}"/>
    <cellStyle name="20% - Accent4 3 2 4 2 4" xfId="20739" xr:uid="{00000000-0005-0000-0000-00004E180000}"/>
    <cellStyle name="20% - Accent4 3 2 4 2 4 2" xfId="44572" xr:uid="{413B5096-7398-47FA-8B09-26F1E6F594A8}"/>
    <cellStyle name="20% - Accent4 3 2 4 2 5" xfId="28693" xr:uid="{DE5D7150-3F2D-453E-8041-CA6F18B5852C}"/>
    <cellStyle name="20% - Accent4 3 2 4 3" xfId="6592" xr:uid="{00000000-0005-0000-0000-00004F180000}"/>
    <cellStyle name="20% - Accent4 3 2 4 3 2" xfId="14564" xr:uid="{00000000-0005-0000-0000-000050180000}"/>
    <cellStyle name="20% - Accent4 3 2 4 3 2 2" xfId="38407" xr:uid="{E27CE1C3-1FB0-4138-B059-ADAEB69BFAC7}"/>
    <cellStyle name="20% - Accent4 3 2 4 3 3" xfId="22511" xr:uid="{00000000-0005-0000-0000-000051180000}"/>
    <cellStyle name="20% - Accent4 3 2 4 3 3 2" xfId="46344" xr:uid="{12649156-1840-4448-A299-B8B3DE95D07F}"/>
    <cellStyle name="20% - Accent4 3 2 4 3 4" xfId="30466" xr:uid="{C33ACC22-17A4-4246-A36E-652029430726}"/>
    <cellStyle name="20% - Accent4 3 2 4 4" xfId="11028" xr:uid="{00000000-0005-0000-0000-000052180000}"/>
    <cellStyle name="20% - Accent4 3 2 4 4 2" xfId="34878" xr:uid="{74354A07-9225-4231-82E2-173A9996CE91}"/>
    <cellStyle name="20% - Accent4 3 2 4 5" xfId="18983" xr:uid="{00000000-0005-0000-0000-000053180000}"/>
    <cellStyle name="20% - Accent4 3 2 4 5 2" xfId="42816" xr:uid="{D1039971-94A0-4C6B-8388-1AA5E1D90747}"/>
    <cellStyle name="20% - Accent4 3 2 4 6" xfId="26936" xr:uid="{90A457B1-E646-47B8-B199-02393B4BEA21}"/>
    <cellStyle name="20% - Accent4 3 2 4_Exh G" xfId="2371" xr:uid="{00000000-0005-0000-0000-000054180000}"/>
    <cellStyle name="20% - Accent4 3 2 5" xfId="3881" xr:uid="{00000000-0005-0000-0000-000055180000}"/>
    <cellStyle name="20% - Accent4 3 2 5 2" xfId="7473" xr:uid="{00000000-0005-0000-0000-000056180000}"/>
    <cellStyle name="20% - Accent4 3 2 5 2 2" xfId="15444" xr:uid="{00000000-0005-0000-0000-000057180000}"/>
    <cellStyle name="20% - Accent4 3 2 5 2 2 2" xfId="39287" xr:uid="{588ADB82-80E4-4CA3-814A-7D45B13E91A9}"/>
    <cellStyle name="20% - Accent4 3 2 5 2 3" xfId="23390" xr:uid="{00000000-0005-0000-0000-000058180000}"/>
    <cellStyle name="20% - Accent4 3 2 5 2 3 2" xfId="47223" xr:uid="{26979B8C-43F7-428C-B21C-087A4E02A45D}"/>
    <cellStyle name="20% - Accent4 3 2 5 2 4" xfId="31346" xr:uid="{19C798D4-6B14-48C4-BDD0-FF6E589F0049}"/>
    <cellStyle name="20% - Accent4 3 2 5 3" xfId="11906" xr:uid="{00000000-0005-0000-0000-000059180000}"/>
    <cellStyle name="20% - Accent4 3 2 5 3 2" xfId="35756" xr:uid="{0D5C8798-7BD4-4D4F-B809-059C78394C82}"/>
    <cellStyle name="20% - Accent4 3 2 5 4" xfId="19861" xr:uid="{00000000-0005-0000-0000-00005A180000}"/>
    <cellStyle name="20% - Accent4 3 2 5 4 2" xfId="43694" xr:uid="{DAAF87D2-FE06-4E38-AA07-1DC88D138890}"/>
    <cellStyle name="20% - Accent4 3 2 5 5" xfId="27815" xr:uid="{32141005-B651-4134-A163-8AE9AC47836D}"/>
    <cellStyle name="20% - Accent4 3 2 6" xfId="5701" xr:uid="{00000000-0005-0000-0000-00005B180000}"/>
    <cellStyle name="20% - Accent4 3 2 6 2" xfId="13685" xr:uid="{00000000-0005-0000-0000-00005C180000}"/>
    <cellStyle name="20% - Accent4 3 2 6 2 2" xfId="37529" xr:uid="{BDEDF55C-B9D9-4EFA-BAFC-C04EFF72E339}"/>
    <cellStyle name="20% - Accent4 3 2 6 3" xfId="21633" xr:uid="{00000000-0005-0000-0000-00005D180000}"/>
    <cellStyle name="20% - Accent4 3 2 6 3 2" xfId="45466" xr:uid="{0B9C55BE-6032-4D82-A7A7-B82AD02A42C4}"/>
    <cellStyle name="20% - Accent4 3 2 6 4" xfId="29588" xr:uid="{90A5E544-5597-41B8-A301-8E28ACBF6744}"/>
    <cellStyle name="20% - Accent4 3 2 7" xfId="9254" xr:uid="{00000000-0005-0000-0000-00005E180000}"/>
    <cellStyle name="20% - Accent4 3 2 7 2" xfId="17212" xr:uid="{00000000-0005-0000-0000-00005F180000}"/>
    <cellStyle name="20% - Accent4 3 2 7 2 2" xfId="41053" xr:uid="{D3622A92-13F2-4831-9736-59760BD8BD71}"/>
    <cellStyle name="20% - Accent4 3 2 7 3" xfId="25156" xr:uid="{00000000-0005-0000-0000-000060180000}"/>
    <cellStyle name="20% - Accent4 3 2 7 3 2" xfId="48989" xr:uid="{E7DE4974-F557-42F0-8D9A-47583CB5C995}"/>
    <cellStyle name="20% - Accent4 3 2 7 4" xfId="33112" xr:uid="{622D8568-3145-4F14-A726-0D583A96ADDC}"/>
    <cellStyle name="20% - Accent4 3 2 8" xfId="10150" xr:uid="{00000000-0005-0000-0000-000061180000}"/>
    <cellStyle name="20% - Accent4 3 2 8 2" xfId="34000" xr:uid="{6D98A7BD-0DE4-45B6-BFCB-BC402C507E49}"/>
    <cellStyle name="20% - Accent4 3 2 9" xfId="18105" xr:uid="{00000000-0005-0000-0000-000062180000}"/>
    <cellStyle name="20% - Accent4 3 2 9 2" xfId="41938" xr:uid="{EE4D988C-DB09-4058-83A4-EF2542A1768C}"/>
    <cellStyle name="20% - Accent4 3 2_Exh G" xfId="2366" xr:uid="{00000000-0005-0000-0000-000063180000}"/>
    <cellStyle name="20% - Accent4 3 3" xfId="204" xr:uid="{00000000-0005-0000-0000-000064180000}"/>
    <cellStyle name="20% - Accent4 3 3 2" xfId="1232" xr:uid="{00000000-0005-0000-0000-000065180000}"/>
    <cellStyle name="20% - Accent4 3 3 2 2" xfId="4762" xr:uid="{00000000-0005-0000-0000-000066180000}"/>
    <cellStyle name="20% - Accent4 3 3 2 2 2" xfId="8353" xr:uid="{00000000-0005-0000-0000-000067180000}"/>
    <cellStyle name="20% - Accent4 3 3 2 2 2 2" xfId="16324" xr:uid="{00000000-0005-0000-0000-000068180000}"/>
    <cellStyle name="20% - Accent4 3 3 2 2 2 2 2" xfId="40167" xr:uid="{DA0BEF9E-DF08-4197-91A0-7A4C8E6CCF80}"/>
    <cellStyle name="20% - Accent4 3 3 2 2 2 3" xfId="24270" xr:uid="{00000000-0005-0000-0000-000069180000}"/>
    <cellStyle name="20% - Accent4 3 3 2 2 2 3 2" xfId="48103" xr:uid="{59FD1B81-87A8-4BCC-B64B-33ABF982D466}"/>
    <cellStyle name="20% - Accent4 3 3 2 2 2 4" xfId="32226" xr:uid="{8BCD1698-1D1C-4C61-9209-E115798DDB18}"/>
    <cellStyle name="20% - Accent4 3 3 2 2 3" xfId="12786" xr:uid="{00000000-0005-0000-0000-00006A180000}"/>
    <cellStyle name="20% - Accent4 3 3 2 2 3 2" xfId="36636" xr:uid="{EEF38257-446C-4882-8673-8A18926F99C1}"/>
    <cellStyle name="20% - Accent4 3 3 2 2 4" xfId="20741" xr:uid="{00000000-0005-0000-0000-00006B180000}"/>
    <cellStyle name="20% - Accent4 3 3 2 2 4 2" xfId="44574" xr:uid="{1F55B2FB-6EED-4ED8-A6EF-716D37F00646}"/>
    <cellStyle name="20% - Accent4 3 3 2 2 5" xfId="28695" xr:uid="{C758CAF6-0181-475F-8B53-CB4405ADC5B5}"/>
    <cellStyle name="20% - Accent4 3 3 2 3" xfId="6594" xr:uid="{00000000-0005-0000-0000-00006C180000}"/>
    <cellStyle name="20% - Accent4 3 3 2 3 2" xfId="14566" xr:uid="{00000000-0005-0000-0000-00006D180000}"/>
    <cellStyle name="20% - Accent4 3 3 2 3 2 2" xfId="38409" xr:uid="{7538599D-2598-470E-BDAE-F8C8B7C01350}"/>
    <cellStyle name="20% - Accent4 3 3 2 3 3" xfId="22513" xr:uid="{00000000-0005-0000-0000-00006E180000}"/>
    <cellStyle name="20% - Accent4 3 3 2 3 3 2" xfId="46346" xr:uid="{97FC5B00-570C-468C-B10F-92D36C0288D2}"/>
    <cellStyle name="20% - Accent4 3 3 2 3 4" xfId="30468" xr:uid="{4A291C75-4F39-437D-81CB-AFB4AEB11B21}"/>
    <cellStyle name="20% - Accent4 3 3 2 4" xfId="11030" xr:uid="{00000000-0005-0000-0000-00006F180000}"/>
    <cellStyle name="20% - Accent4 3 3 2 4 2" xfId="34880" xr:uid="{4AB02AD5-2E53-49A7-9782-A1A43782E5DC}"/>
    <cellStyle name="20% - Accent4 3 3 2 5" xfId="18985" xr:uid="{00000000-0005-0000-0000-000070180000}"/>
    <cellStyle name="20% - Accent4 3 3 2 5 2" xfId="42818" xr:uid="{DA90E7F7-0E26-4D56-B775-3A4E9C296F8F}"/>
    <cellStyle name="20% - Accent4 3 3 2 6" xfId="26938" xr:uid="{B7899A48-BE0E-431F-81C5-82F8BA0CB8F6}"/>
    <cellStyle name="20% - Accent4 3 3 2_Exh G" xfId="2373" xr:uid="{00000000-0005-0000-0000-000071180000}"/>
    <cellStyle name="20% - Accent4 3 3 3" xfId="3883" xr:uid="{00000000-0005-0000-0000-000072180000}"/>
    <cellStyle name="20% - Accent4 3 3 3 2" xfId="7475" xr:uid="{00000000-0005-0000-0000-000073180000}"/>
    <cellStyle name="20% - Accent4 3 3 3 2 2" xfId="15446" xr:uid="{00000000-0005-0000-0000-000074180000}"/>
    <cellStyle name="20% - Accent4 3 3 3 2 2 2" xfId="39289" xr:uid="{2F6CE684-BDBA-43D7-9011-44D417D4F3B5}"/>
    <cellStyle name="20% - Accent4 3 3 3 2 3" xfId="23392" xr:uid="{00000000-0005-0000-0000-000075180000}"/>
    <cellStyle name="20% - Accent4 3 3 3 2 3 2" xfId="47225" xr:uid="{F397E2B5-625F-4013-A0AF-89D91CE68CE5}"/>
    <cellStyle name="20% - Accent4 3 3 3 2 4" xfId="31348" xr:uid="{736D5F5E-05AC-4379-9217-E49CD4F89E1D}"/>
    <cellStyle name="20% - Accent4 3 3 3 3" xfId="11908" xr:uid="{00000000-0005-0000-0000-000076180000}"/>
    <cellStyle name="20% - Accent4 3 3 3 3 2" xfId="35758" xr:uid="{0C2B5804-A629-4D4B-AD31-E9C86E5FA8F5}"/>
    <cellStyle name="20% - Accent4 3 3 3 4" xfId="19863" xr:uid="{00000000-0005-0000-0000-000077180000}"/>
    <cellStyle name="20% - Accent4 3 3 3 4 2" xfId="43696" xr:uid="{89AC1766-647F-4432-9214-FEFF9EB0A9BB}"/>
    <cellStyle name="20% - Accent4 3 3 3 5" xfId="27817" xr:uid="{BA497687-E720-4DCE-8509-755CE516EBD6}"/>
    <cellStyle name="20% - Accent4 3 3 4" xfId="5703" xr:uid="{00000000-0005-0000-0000-000078180000}"/>
    <cellStyle name="20% - Accent4 3 3 4 2" xfId="13687" xr:uid="{00000000-0005-0000-0000-000079180000}"/>
    <cellStyle name="20% - Accent4 3 3 4 2 2" xfId="37531" xr:uid="{591219AF-B68F-478C-89FC-86EFBDDDEBFA}"/>
    <cellStyle name="20% - Accent4 3 3 4 3" xfId="21635" xr:uid="{00000000-0005-0000-0000-00007A180000}"/>
    <cellStyle name="20% - Accent4 3 3 4 3 2" xfId="45468" xr:uid="{76D1CCC9-BA0A-420C-BD34-4A5E73D0CFFE}"/>
    <cellStyle name="20% - Accent4 3 3 4 4" xfId="29590" xr:uid="{9D9F04AB-D65B-4C31-983A-6E2EE2FE506B}"/>
    <cellStyle name="20% - Accent4 3 3 5" xfId="9256" xr:uid="{00000000-0005-0000-0000-00007B180000}"/>
    <cellStyle name="20% - Accent4 3 3 5 2" xfId="17214" xr:uid="{00000000-0005-0000-0000-00007C180000}"/>
    <cellStyle name="20% - Accent4 3 3 5 2 2" xfId="41055" xr:uid="{2FF137A8-DA8C-4CCF-ADC2-CE2E7F3D2426}"/>
    <cellStyle name="20% - Accent4 3 3 5 3" xfId="25158" xr:uid="{00000000-0005-0000-0000-00007D180000}"/>
    <cellStyle name="20% - Accent4 3 3 5 3 2" xfId="48991" xr:uid="{A8C85F45-754E-4126-AB39-C74B139C7E61}"/>
    <cellStyle name="20% - Accent4 3 3 5 4" xfId="33114" xr:uid="{FC52C37B-DE46-4771-B06D-0972B1BF2402}"/>
    <cellStyle name="20% - Accent4 3 3 6" xfId="10152" xr:uid="{00000000-0005-0000-0000-00007E180000}"/>
    <cellStyle name="20% - Accent4 3 3 6 2" xfId="34002" xr:uid="{1CC5096A-C43B-421F-AB3A-880C98436CBA}"/>
    <cellStyle name="20% - Accent4 3 3 7" xfId="18107" xr:uid="{00000000-0005-0000-0000-00007F180000}"/>
    <cellStyle name="20% - Accent4 3 3 7 2" xfId="41940" xr:uid="{A84DF19E-C726-4F28-BC72-807EEF0E2A45}"/>
    <cellStyle name="20% - Accent4 3 3 8" xfId="26060" xr:uid="{A8474EA1-C13C-4BF2-B692-6E9BD8A7C2F2}"/>
    <cellStyle name="20% - Accent4 3 3_Exh G" xfId="2372" xr:uid="{00000000-0005-0000-0000-000080180000}"/>
    <cellStyle name="20% - Accent4 3 4" xfId="901" xr:uid="{00000000-0005-0000-0000-000081180000}"/>
    <cellStyle name="20% - Accent4 3 4 2" xfId="1831" xr:uid="{00000000-0005-0000-0000-000082180000}"/>
    <cellStyle name="20% - Accent4 3 4 2 2" xfId="5349" xr:uid="{00000000-0005-0000-0000-000083180000}"/>
    <cellStyle name="20% - Accent4 3 4 2 2 2" xfId="8940" xr:uid="{00000000-0005-0000-0000-000084180000}"/>
    <cellStyle name="20% - Accent4 3 4 2 2 2 2" xfId="16911" xr:uid="{00000000-0005-0000-0000-000085180000}"/>
    <cellStyle name="20% - Accent4 3 4 2 2 2 2 2" xfId="40754" xr:uid="{2B38F8BA-E3E1-4558-B322-7A255067C764}"/>
    <cellStyle name="20% - Accent4 3 4 2 2 2 3" xfId="24857" xr:uid="{00000000-0005-0000-0000-000086180000}"/>
    <cellStyle name="20% - Accent4 3 4 2 2 2 3 2" xfId="48690" xr:uid="{84F4B8E8-B2A1-4896-BB79-ACB98BEFA594}"/>
    <cellStyle name="20% - Accent4 3 4 2 2 2 4" xfId="32813" xr:uid="{7CC1F626-D42A-4847-B046-B013968CB0FB}"/>
    <cellStyle name="20% - Accent4 3 4 2 2 3" xfId="13373" xr:uid="{00000000-0005-0000-0000-000087180000}"/>
    <cellStyle name="20% - Accent4 3 4 2 2 3 2" xfId="37223" xr:uid="{97359D57-82CD-40B0-836B-1BBF5F9C7685}"/>
    <cellStyle name="20% - Accent4 3 4 2 2 4" xfId="21328" xr:uid="{00000000-0005-0000-0000-000088180000}"/>
    <cellStyle name="20% - Accent4 3 4 2 2 4 2" xfId="45161" xr:uid="{4847B3F0-B954-45BF-BB20-09F7A85D9E43}"/>
    <cellStyle name="20% - Accent4 3 4 2 2 5" xfId="29282" xr:uid="{F06FEAC0-9224-47BB-A6BE-1F448EF3AB40}"/>
    <cellStyle name="20% - Accent4 3 4 2 3" xfId="7181" xr:uid="{00000000-0005-0000-0000-000089180000}"/>
    <cellStyle name="20% - Accent4 3 4 2 3 2" xfId="15153" xr:uid="{00000000-0005-0000-0000-00008A180000}"/>
    <cellStyle name="20% - Accent4 3 4 2 3 2 2" xfId="38996" xr:uid="{1BB10337-1C18-426F-88CD-11151329C1B4}"/>
    <cellStyle name="20% - Accent4 3 4 2 3 3" xfId="23100" xr:uid="{00000000-0005-0000-0000-00008B180000}"/>
    <cellStyle name="20% - Accent4 3 4 2 3 3 2" xfId="46933" xr:uid="{D106FC7C-0F28-4271-9D9A-2D594B6FBBA5}"/>
    <cellStyle name="20% - Accent4 3 4 2 3 4" xfId="31055" xr:uid="{95D2551D-5FCF-4963-BBA0-BECF81AC094E}"/>
    <cellStyle name="20% - Accent4 3 4 2 4" xfId="11617" xr:uid="{00000000-0005-0000-0000-00008C180000}"/>
    <cellStyle name="20% - Accent4 3 4 2 4 2" xfId="35467" xr:uid="{21EF7F22-A50E-4800-9C71-0405BD2B8C79}"/>
    <cellStyle name="20% - Accent4 3 4 2 5" xfId="19572" xr:uid="{00000000-0005-0000-0000-00008D180000}"/>
    <cellStyle name="20% - Accent4 3 4 2 5 2" xfId="43405" xr:uid="{7E20AA12-C001-4C30-A2D1-1001FC5F8D39}"/>
    <cellStyle name="20% - Accent4 3 4 2 6" xfId="27525" xr:uid="{14312039-58AA-4028-8B78-A78742030589}"/>
    <cellStyle name="20% - Accent4 3 4 2_Exh G" xfId="2375" xr:uid="{00000000-0005-0000-0000-00008E180000}"/>
    <cellStyle name="20% - Accent4 3 4 3" xfId="4470" xr:uid="{00000000-0005-0000-0000-00008F180000}"/>
    <cellStyle name="20% - Accent4 3 4 3 2" xfId="8062" xr:uid="{00000000-0005-0000-0000-000090180000}"/>
    <cellStyle name="20% - Accent4 3 4 3 2 2" xfId="16033" xr:uid="{00000000-0005-0000-0000-000091180000}"/>
    <cellStyle name="20% - Accent4 3 4 3 2 2 2" xfId="39876" xr:uid="{FD7A002C-8041-436F-B465-8F821DB43F1C}"/>
    <cellStyle name="20% - Accent4 3 4 3 2 3" xfId="23979" xr:uid="{00000000-0005-0000-0000-000092180000}"/>
    <cellStyle name="20% - Accent4 3 4 3 2 3 2" xfId="47812" xr:uid="{470B4035-B245-4B6F-899E-56DBE70CD734}"/>
    <cellStyle name="20% - Accent4 3 4 3 2 4" xfId="31935" xr:uid="{C3E99150-118C-445A-8B35-995F07F7E669}"/>
    <cellStyle name="20% - Accent4 3 4 3 3" xfId="12495" xr:uid="{00000000-0005-0000-0000-000093180000}"/>
    <cellStyle name="20% - Accent4 3 4 3 3 2" xfId="36345" xr:uid="{990D9589-786C-4E55-A122-03A27430ACB6}"/>
    <cellStyle name="20% - Accent4 3 4 3 4" xfId="20450" xr:uid="{00000000-0005-0000-0000-000094180000}"/>
    <cellStyle name="20% - Accent4 3 4 3 4 2" xfId="44283" xr:uid="{C607D60E-0808-4F05-866E-FE78427AE6FE}"/>
    <cellStyle name="20% - Accent4 3 4 3 5" xfId="28404" xr:uid="{57007A74-427B-4CC8-B913-140A0F083483}"/>
    <cellStyle name="20% - Accent4 3 4 4" xfId="6300" xr:uid="{00000000-0005-0000-0000-000095180000}"/>
    <cellStyle name="20% - Accent4 3 4 4 2" xfId="14275" xr:uid="{00000000-0005-0000-0000-000096180000}"/>
    <cellStyle name="20% - Accent4 3 4 4 2 2" xfId="38118" xr:uid="{AFFCFE7C-137D-40D1-8A1D-8B75A737420D}"/>
    <cellStyle name="20% - Accent4 3 4 4 3" xfId="22222" xr:uid="{00000000-0005-0000-0000-000097180000}"/>
    <cellStyle name="20% - Accent4 3 4 4 3 2" xfId="46055" xr:uid="{78662869-7E18-4DF9-B5B7-B3608AE7526A}"/>
    <cellStyle name="20% - Accent4 3 4 4 4" xfId="30177" xr:uid="{9C034F8F-6191-4E5A-B239-D2500855E7BC}"/>
    <cellStyle name="20% - Accent4 3 4 5" xfId="9843" xr:uid="{00000000-0005-0000-0000-000098180000}"/>
    <cellStyle name="20% - Accent4 3 4 5 2" xfId="17801" xr:uid="{00000000-0005-0000-0000-000099180000}"/>
    <cellStyle name="20% - Accent4 3 4 5 2 2" xfId="41642" xr:uid="{12A1B8E3-B127-4C9B-9019-00EE6D16EF5C}"/>
    <cellStyle name="20% - Accent4 3 4 5 3" xfId="25745" xr:uid="{00000000-0005-0000-0000-00009A180000}"/>
    <cellStyle name="20% - Accent4 3 4 5 3 2" xfId="49578" xr:uid="{1F0EDF82-6437-41A4-BFDC-AEB1CBC0725A}"/>
    <cellStyle name="20% - Accent4 3 4 5 4" xfId="33701" xr:uid="{2ABD34F3-9CD8-488C-BEAD-EC91BBC89972}"/>
    <cellStyle name="20% - Accent4 3 4 6" xfId="10739" xr:uid="{00000000-0005-0000-0000-00009B180000}"/>
    <cellStyle name="20% - Accent4 3 4 6 2" xfId="34589" xr:uid="{47073609-76E7-483D-94A5-1C638166A8E5}"/>
    <cellStyle name="20% - Accent4 3 4 7" xfId="18694" xr:uid="{00000000-0005-0000-0000-00009C180000}"/>
    <cellStyle name="20% - Accent4 3 4 7 2" xfId="42527" xr:uid="{3E35AE34-4F13-4B18-B0ED-C9D4457E6E94}"/>
    <cellStyle name="20% - Accent4 3 4 8" xfId="26647" xr:uid="{A1A3F3F7-B4DF-4DB7-B239-ED4C1BFB5065}"/>
    <cellStyle name="20% - Accent4 3 4_Exh G" xfId="2374" xr:uid="{00000000-0005-0000-0000-00009D180000}"/>
    <cellStyle name="20% - Accent4 3 5" xfId="1229" xr:uid="{00000000-0005-0000-0000-00009E180000}"/>
    <cellStyle name="20% - Accent4 3 5 2" xfId="4759" xr:uid="{00000000-0005-0000-0000-00009F180000}"/>
    <cellStyle name="20% - Accent4 3 5 2 2" xfId="8350" xr:uid="{00000000-0005-0000-0000-0000A0180000}"/>
    <cellStyle name="20% - Accent4 3 5 2 2 2" xfId="16321" xr:uid="{00000000-0005-0000-0000-0000A1180000}"/>
    <cellStyle name="20% - Accent4 3 5 2 2 2 2" xfId="40164" xr:uid="{B2D3F9DE-97C8-4D77-B180-59FB5BBE9A1F}"/>
    <cellStyle name="20% - Accent4 3 5 2 2 3" xfId="24267" xr:uid="{00000000-0005-0000-0000-0000A2180000}"/>
    <cellStyle name="20% - Accent4 3 5 2 2 3 2" xfId="48100" xr:uid="{53E31DA5-7352-4DB1-9388-9352713E52E7}"/>
    <cellStyle name="20% - Accent4 3 5 2 2 4" xfId="32223" xr:uid="{96084648-2945-4A45-897E-15C251970D9B}"/>
    <cellStyle name="20% - Accent4 3 5 2 3" xfId="12783" xr:uid="{00000000-0005-0000-0000-0000A3180000}"/>
    <cellStyle name="20% - Accent4 3 5 2 3 2" xfId="36633" xr:uid="{E5504299-626C-4760-B2AA-6BD5820C5B00}"/>
    <cellStyle name="20% - Accent4 3 5 2 4" xfId="20738" xr:uid="{00000000-0005-0000-0000-0000A4180000}"/>
    <cellStyle name="20% - Accent4 3 5 2 4 2" xfId="44571" xr:uid="{72D84A8E-80E3-43BA-9B25-D9D562EF76F9}"/>
    <cellStyle name="20% - Accent4 3 5 2 5" xfId="28692" xr:uid="{BC1E3040-5066-4ED0-97C6-56146A41A883}"/>
    <cellStyle name="20% - Accent4 3 5 3" xfId="6591" xr:uid="{00000000-0005-0000-0000-0000A5180000}"/>
    <cellStyle name="20% - Accent4 3 5 3 2" xfId="14563" xr:uid="{00000000-0005-0000-0000-0000A6180000}"/>
    <cellStyle name="20% - Accent4 3 5 3 2 2" xfId="38406" xr:uid="{2C34B29A-9168-4BB9-80B4-828C6848306C}"/>
    <cellStyle name="20% - Accent4 3 5 3 3" xfId="22510" xr:uid="{00000000-0005-0000-0000-0000A7180000}"/>
    <cellStyle name="20% - Accent4 3 5 3 3 2" xfId="46343" xr:uid="{59D227B7-91A0-4FEE-ADEC-7423161ECF31}"/>
    <cellStyle name="20% - Accent4 3 5 3 4" xfId="30465" xr:uid="{CFCB81EC-4CB9-405B-A939-A4B09346964B}"/>
    <cellStyle name="20% - Accent4 3 5 4" xfId="11027" xr:uid="{00000000-0005-0000-0000-0000A8180000}"/>
    <cellStyle name="20% - Accent4 3 5 4 2" xfId="34877" xr:uid="{E7BE1A7F-C736-4E8B-B891-A8DBB49A1557}"/>
    <cellStyle name="20% - Accent4 3 5 5" xfId="18982" xr:uid="{00000000-0005-0000-0000-0000A9180000}"/>
    <cellStyle name="20% - Accent4 3 5 5 2" xfId="42815" xr:uid="{6F27BC5D-1758-4F7F-B0A9-28073507947C}"/>
    <cellStyle name="20% - Accent4 3 5 6" xfId="26935" xr:uid="{CFCBFFEA-4A40-4E59-B1A3-A382058BB593}"/>
    <cellStyle name="20% - Accent4 3 5_Exh G" xfId="2376" xr:uid="{00000000-0005-0000-0000-0000AA180000}"/>
    <cellStyle name="20% - Accent4 3 6" xfId="3880" xr:uid="{00000000-0005-0000-0000-0000AB180000}"/>
    <cellStyle name="20% - Accent4 3 6 2" xfId="7472" xr:uid="{00000000-0005-0000-0000-0000AC180000}"/>
    <cellStyle name="20% - Accent4 3 6 2 2" xfId="15443" xr:uid="{00000000-0005-0000-0000-0000AD180000}"/>
    <cellStyle name="20% - Accent4 3 6 2 2 2" xfId="39286" xr:uid="{80A09F6D-C93D-4C52-B037-756C8C8DF9A1}"/>
    <cellStyle name="20% - Accent4 3 6 2 3" xfId="23389" xr:uid="{00000000-0005-0000-0000-0000AE180000}"/>
    <cellStyle name="20% - Accent4 3 6 2 3 2" xfId="47222" xr:uid="{CF5B78E4-41C4-402F-B4CB-0D86842D8A53}"/>
    <cellStyle name="20% - Accent4 3 6 2 4" xfId="31345" xr:uid="{A5CDB62B-CB78-41E1-82D2-0F18B5A7863F}"/>
    <cellStyle name="20% - Accent4 3 6 3" xfId="11905" xr:uid="{00000000-0005-0000-0000-0000AF180000}"/>
    <cellStyle name="20% - Accent4 3 6 3 2" xfId="35755" xr:uid="{4C3A4C9C-56CF-4298-864A-1E4AF6A6B964}"/>
    <cellStyle name="20% - Accent4 3 6 4" xfId="19860" xr:uid="{00000000-0005-0000-0000-0000B0180000}"/>
    <cellStyle name="20% - Accent4 3 6 4 2" xfId="43693" xr:uid="{12E4BD6C-3741-45A1-9799-F879FD8DF22D}"/>
    <cellStyle name="20% - Accent4 3 6 5" xfId="27814" xr:uid="{7753C07A-34D6-48A6-8D03-4B3BBB376BD2}"/>
    <cellStyle name="20% - Accent4 3 7" xfId="5700" xr:uid="{00000000-0005-0000-0000-0000B1180000}"/>
    <cellStyle name="20% - Accent4 3 7 2" xfId="13684" xr:uid="{00000000-0005-0000-0000-0000B2180000}"/>
    <cellStyle name="20% - Accent4 3 7 2 2" xfId="37528" xr:uid="{649C1FD2-3AC3-4520-83FC-527A04951D9C}"/>
    <cellStyle name="20% - Accent4 3 7 3" xfId="21632" xr:uid="{00000000-0005-0000-0000-0000B3180000}"/>
    <cellStyle name="20% - Accent4 3 7 3 2" xfId="45465" xr:uid="{E589193B-6359-4428-99C6-CAB3D220CAFD}"/>
    <cellStyle name="20% - Accent4 3 7 4" xfId="29587" xr:uid="{53324198-DD17-46AA-B150-7D605D3A7D88}"/>
    <cellStyle name="20% - Accent4 3 8" xfId="9253" xr:uid="{00000000-0005-0000-0000-0000B4180000}"/>
    <cellStyle name="20% - Accent4 3 8 2" xfId="17211" xr:uid="{00000000-0005-0000-0000-0000B5180000}"/>
    <cellStyle name="20% - Accent4 3 8 2 2" xfId="41052" xr:uid="{0EF6ECBA-C333-4420-8509-F91DE1DE6B35}"/>
    <cellStyle name="20% - Accent4 3 8 3" xfId="25155" xr:uid="{00000000-0005-0000-0000-0000B6180000}"/>
    <cellStyle name="20% - Accent4 3 8 3 2" xfId="48988" xr:uid="{93876F96-D965-48B2-BB65-8D564B696ACD}"/>
    <cellStyle name="20% - Accent4 3 8 4" xfId="33111" xr:uid="{3BEA6EF0-9438-4F70-8884-7FD51DCA223A}"/>
    <cellStyle name="20% - Accent4 3 9" xfId="10149" xr:uid="{00000000-0005-0000-0000-0000B7180000}"/>
    <cellStyle name="20% - Accent4 3 9 2" xfId="33999" xr:uid="{684EA3D2-5CB6-47E3-AAB3-69DFB2B66A63}"/>
    <cellStyle name="20% - Accent4 3_Exh G" xfId="2365" xr:uid="{00000000-0005-0000-0000-0000B8180000}"/>
    <cellStyle name="20% - Accent4 4" xfId="205" xr:uid="{00000000-0005-0000-0000-0000B9180000}"/>
    <cellStyle name="20% - Accent4 4 10" xfId="18108" xr:uid="{00000000-0005-0000-0000-0000BA180000}"/>
    <cellStyle name="20% - Accent4 4 10 2" xfId="41941" xr:uid="{B28E6980-1C52-4890-911E-7560E89E3FD0}"/>
    <cellStyle name="20% - Accent4 4 11" xfId="26061" xr:uid="{40A3A78E-8F8F-401F-8FE8-70E5DF4E454D}"/>
    <cellStyle name="20% - Accent4 4 2" xfId="206" xr:uid="{00000000-0005-0000-0000-0000BB180000}"/>
    <cellStyle name="20% - Accent4 4 2 10" xfId="26062" xr:uid="{9772F1EE-EB58-45B1-BD29-8751FE56B7DD}"/>
    <cellStyle name="20% - Accent4 4 2 2" xfId="207" xr:uid="{00000000-0005-0000-0000-0000BC180000}"/>
    <cellStyle name="20% - Accent4 4 2 2 2" xfId="1235" xr:uid="{00000000-0005-0000-0000-0000BD180000}"/>
    <cellStyle name="20% - Accent4 4 2 2 2 2" xfId="4765" xr:uid="{00000000-0005-0000-0000-0000BE180000}"/>
    <cellStyle name="20% - Accent4 4 2 2 2 2 2" xfId="8356" xr:uid="{00000000-0005-0000-0000-0000BF180000}"/>
    <cellStyle name="20% - Accent4 4 2 2 2 2 2 2" xfId="16327" xr:uid="{00000000-0005-0000-0000-0000C0180000}"/>
    <cellStyle name="20% - Accent4 4 2 2 2 2 2 2 2" xfId="40170" xr:uid="{0049F0CD-924B-4D0C-8434-914CF283FBA9}"/>
    <cellStyle name="20% - Accent4 4 2 2 2 2 2 3" xfId="24273" xr:uid="{00000000-0005-0000-0000-0000C1180000}"/>
    <cellStyle name="20% - Accent4 4 2 2 2 2 2 3 2" xfId="48106" xr:uid="{FBDD3DA7-15BE-4143-9D38-94D6A9FA40F2}"/>
    <cellStyle name="20% - Accent4 4 2 2 2 2 2 4" xfId="32229" xr:uid="{754CA452-0C55-4C2D-AEC0-0A7C84A5B7BC}"/>
    <cellStyle name="20% - Accent4 4 2 2 2 2 3" xfId="12789" xr:uid="{00000000-0005-0000-0000-0000C2180000}"/>
    <cellStyle name="20% - Accent4 4 2 2 2 2 3 2" xfId="36639" xr:uid="{037EFE4B-2E67-4A3D-A703-39400DC2788C}"/>
    <cellStyle name="20% - Accent4 4 2 2 2 2 4" xfId="20744" xr:uid="{00000000-0005-0000-0000-0000C3180000}"/>
    <cellStyle name="20% - Accent4 4 2 2 2 2 4 2" xfId="44577" xr:uid="{CFA8A87B-8E75-4EA9-B165-3288738C008F}"/>
    <cellStyle name="20% - Accent4 4 2 2 2 2 5" xfId="28698" xr:uid="{B008E19C-0688-4EF7-B6A8-33895EDF63D1}"/>
    <cellStyle name="20% - Accent4 4 2 2 2 3" xfId="6597" xr:uid="{00000000-0005-0000-0000-0000C4180000}"/>
    <cellStyle name="20% - Accent4 4 2 2 2 3 2" xfId="14569" xr:uid="{00000000-0005-0000-0000-0000C5180000}"/>
    <cellStyle name="20% - Accent4 4 2 2 2 3 2 2" xfId="38412" xr:uid="{3F7EE4AB-7F68-4AFB-86E5-551E483CA06C}"/>
    <cellStyle name="20% - Accent4 4 2 2 2 3 3" xfId="22516" xr:uid="{00000000-0005-0000-0000-0000C6180000}"/>
    <cellStyle name="20% - Accent4 4 2 2 2 3 3 2" xfId="46349" xr:uid="{AE64747D-A4DC-4648-8C71-8A7B03326AC1}"/>
    <cellStyle name="20% - Accent4 4 2 2 2 3 4" xfId="30471" xr:uid="{947C2BA0-6147-4EF6-808A-E63404E35CA5}"/>
    <cellStyle name="20% - Accent4 4 2 2 2 4" xfId="11033" xr:uid="{00000000-0005-0000-0000-0000C7180000}"/>
    <cellStyle name="20% - Accent4 4 2 2 2 4 2" xfId="34883" xr:uid="{6F0FB9FC-19CB-40EB-A88A-A7B2F962C7EB}"/>
    <cellStyle name="20% - Accent4 4 2 2 2 5" xfId="18988" xr:uid="{00000000-0005-0000-0000-0000C8180000}"/>
    <cellStyle name="20% - Accent4 4 2 2 2 5 2" xfId="42821" xr:uid="{4FDB7F7C-5E28-4D23-876C-B7D60F6E1996}"/>
    <cellStyle name="20% - Accent4 4 2 2 2 6" xfId="26941" xr:uid="{ACFEF6C0-5A10-4D86-B75C-664F3D9DC052}"/>
    <cellStyle name="20% - Accent4 4 2 2 2_Exh G" xfId="2380" xr:uid="{00000000-0005-0000-0000-0000C9180000}"/>
    <cellStyle name="20% - Accent4 4 2 2 3" xfId="3886" xr:uid="{00000000-0005-0000-0000-0000CA180000}"/>
    <cellStyle name="20% - Accent4 4 2 2 3 2" xfId="7478" xr:uid="{00000000-0005-0000-0000-0000CB180000}"/>
    <cellStyle name="20% - Accent4 4 2 2 3 2 2" xfId="15449" xr:uid="{00000000-0005-0000-0000-0000CC180000}"/>
    <cellStyle name="20% - Accent4 4 2 2 3 2 2 2" xfId="39292" xr:uid="{142EC341-E898-419A-8A3F-B1B69C7BD9C3}"/>
    <cellStyle name="20% - Accent4 4 2 2 3 2 3" xfId="23395" xr:uid="{00000000-0005-0000-0000-0000CD180000}"/>
    <cellStyle name="20% - Accent4 4 2 2 3 2 3 2" xfId="47228" xr:uid="{EB538F9A-DEB1-426F-B871-BA2577D04BAB}"/>
    <cellStyle name="20% - Accent4 4 2 2 3 2 4" xfId="31351" xr:uid="{3A0F1D70-2F1A-4FB4-9607-8F96E27D3B76}"/>
    <cellStyle name="20% - Accent4 4 2 2 3 3" xfId="11911" xr:uid="{00000000-0005-0000-0000-0000CE180000}"/>
    <cellStyle name="20% - Accent4 4 2 2 3 3 2" xfId="35761" xr:uid="{3ADEF30F-D67C-413C-A0BC-4AF1D908791B}"/>
    <cellStyle name="20% - Accent4 4 2 2 3 4" xfId="19866" xr:uid="{00000000-0005-0000-0000-0000CF180000}"/>
    <cellStyle name="20% - Accent4 4 2 2 3 4 2" xfId="43699" xr:uid="{1AB7E19B-0379-4F16-B895-76DD36820ED4}"/>
    <cellStyle name="20% - Accent4 4 2 2 3 5" xfId="27820" xr:uid="{55A7B49E-3886-47CB-8B0D-ED3B074592DE}"/>
    <cellStyle name="20% - Accent4 4 2 2 4" xfId="5706" xr:uid="{00000000-0005-0000-0000-0000D0180000}"/>
    <cellStyle name="20% - Accent4 4 2 2 4 2" xfId="13690" xr:uid="{00000000-0005-0000-0000-0000D1180000}"/>
    <cellStyle name="20% - Accent4 4 2 2 4 2 2" xfId="37534" xr:uid="{462DFDEE-46DB-4F42-9544-254500D1E561}"/>
    <cellStyle name="20% - Accent4 4 2 2 4 3" xfId="21638" xr:uid="{00000000-0005-0000-0000-0000D2180000}"/>
    <cellStyle name="20% - Accent4 4 2 2 4 3 2" xfId="45471" xr:uid="{FD9D52E5-E633-43D7-BA9C-C79D56AD2584}"/>
    <cellStyle name="20% - Accent4 4 2 2 4 4" xfId="29593" xr:uid="{417F894B-F396-49F2-86EF-79DD82EF2BA3}"/>
    <cellStyle name="20% - Accent4 4 2 2 5" xfId="9259" xr:uid="{00000000-0005-0000-0000-0000D3180000}"/>
    <cellStyle name="20% - Accent4 4 2 2 5 2" xfId="17217" xr:uid="{00000000-0005-0000-0000-0000D4180000}"/>
    <cellStyle name="20% - Accent4 4 2 2 5 2 2" xfId="41058" xr:uid="{59B9035A-D0E6-44FB-9EE2-FEFABFD20EF3}"/>
    <cellStyle name="20% - Accent4 4 2 2 5 3" xfId="25161" xr:uid="{00000000-0005-0000-0000-0000D5180000}"/>
    <cellStyle name="20% - Accent4 4 2 2 5 3 2" xfId="48994" xr:uid="{8DDC0BDC-DF42-406F-A4D8-C1249F2DD087}"/>
    <cellStyle name="20% - Accent4 4 2 2 5 4" xfId="33117" xr:uid="{579B1DE1-BBF4-4C5D-A3C1-B77BF5C5777C}"/>
    <cellStyle name="20% - Accent4 4 2 2 6" xfId="10155" xr:uid="{00000000-0005-0000-0000-0000D6180000}"/>
    <cellStyle name="20% - Accent4 4 2 2 6 2" xfId="34005" xr:uid="{48B3B52D-5E90-4A28-8674-4619AEDEBB93}"/>
    <cellStyle name="20% - Accent4 4 2 2 7" xfId="18110" xr:uid="{00000000-0005-0000-0000-0000D7180000}"/>
    <cellStyle name="20% - Accent4 4 2 2 7 2" xfId="41943" xr:uid="{70354A5F-043C-45D9-BD41-024030B26D29}"/>
    <cellStyle name="20% - Accent4 4 2 2 8" xfId="26063" xr:uid="{9F2D9447-7EFD-4630-AD1B-B55690293A24}"/>
    <cellStyle name="20% - Accent4 4 2 2_Exh G" xfId="2379" xr:uid="{00000000-0005-0000-0000-0000D8180000}"/>
    <cellStyle name="20% - Accent4 4 2 3" xfId="904" xr:uid="{00000000-0005-0000-0000-0000D9180000}"/>
    <cellStyle name="20% - Accent4 4 2 3 2" xfId="1834" xr:uid="{00000000-0005-0000-0000-0000DA180000}"/>
    <cellStyle name="20% - Accent4 4 2 3 2 2" xfId="5352" xr:uid="{00000000-0005-0000-0000-0000DB180000}"/>
    <cellStyle name="20% - Accent4 4 2 3 2 2 2" xfId="8943" xr:uid="{00000000-0005-0000-0000-0000DC180000}"/>
    <cellStyle name="20% - Accent4 4 2 3 2 2 2 2" xfId="16914" xr:uid="{00000000-0005-0000-0000-0000DD180000}"/>
    <cellStyle name="20% - Accent4 4 2 3 2 2 2 2 2" xfId="40757" xr:uid="{12709120-A611-4C16-AD55-DB5EF6413BE0}"/>
    <cellStyle name="20% - Accent4 4 2 3 2 2 2 3" xfId="24860" xr:uid="{00000000-0005-0000-0000-0000DE180000}"/>
    <cellStyle name="20% - Accent4 4 2 3 2 2 2 3 2" xfId="48693" xr:uid="{C80AFD1B-8A45-4BDB-97F1-46C6B9D6B69F}"/>
    <cellStyle name="20% - Accent4 4 2 3 2 2 2 4" xfId="32816" xr:uid="{B2FDBC7B-A4B4-42C8-9A8F-9836FADAAE52}"/>
    <cellStyle name="20% - Accent4 4 2 3 2 2 3" xfId="13376" xr:uid="{00000000-0005-0000-0000-0000DF180000}"/>
    <cellStyle name="20% - Accent4 4 2 3 2 2 3 2" xfId="37226" xr:uid="{C2E5212A-C074-487F-AA1E-1C515B864FBA}"/>
    <cellStyle name="20% - Accent4 4 2 3 2 2 4" xfId="21331" xr:uid="{00000000-0005-0000-0000-0000E0180000}"/>
    <cellStyle name="20% - Accent4 4 2 3 2 2 4 2" xfId="45164" xr:uid="{6CE4DEE6-32CE-46C1-81AB-822BB1C4DF41}"/>
    <cellStyle name="20% - Accent4 4 2 3 2 2 5" xfId="29285" xr:uid="{26D6E037-24CE-4BA7-A93E-1EFBC34074BA}"/>
    <cellStyle name="20% - Accent4 4 2 3 2 3" xfId="7184" xr:uid="{00000000-0005-0000-0000-0000E1180000}"/>
    <cellStyle name="20% - Accent4 4 2 3 2 3 2" xfId="15156" xr:uid="{00000000-0005-0000-0000-0000E2180000}"/>
    <cellStyle name="20% - Accent4 4 2 3 2 3 2 2" xfId="38999" xr:uid="{61347781-111F-40C9-820B-1D4E3ECF54F9}"/>
    <cellStyle name="20% - Accent4 4 2 3 2 3 3" xfId="23103" xr:uid="{00000000-0005-0000-0000-0000E3180000}"/>
    <cellStyle name="20% - Accent4 4 2 3 2 3 3 2" xfId="46936" xr:uid="{2FB32FC0-DAAC-43D5-A596-78E193C0B877}"/>
    <cellStyle name="20% - Accent4 4 2 3 2 3 4" xfId="31058" xr:uid="{8FB4567D-FDFB-4C67-9707-135F4CEEC41F}"/>
    <cellStyle name="20% - Accent4 4 2 3 2 4" xfId="11620" xr:uid="{00000000-0005-0000-0000-0000E4180000}"/>
    <cellStyle name="20% - Accent4 4 2 3 2 4 2" xfId="35470" xr:uid="{00FBEE66-0020-4CD0-A29B-37961A389D3A}"/>
    <cellStyle name="20% - Accent4 4 2 3 2 5" xfId="19575" xr:uid="{00000000-0005-0000-0000-0000E5180000}"/>
    <cellStyle name="20% - Accent4 4 2 3 2 5 2" xfId="43408" xr:uid="{1503843F-A5A4-4293-8601-6FF34951324E}"/>
    <cellStyle name="20% - Accent4 4 2 3 2 6" xfId="27528" xr:uid="{315A6D1F-4035-4C69-BDAE-8E3C2E2C9DAD}"/>
    <cellStyle name="20% - Accent4 4 2 3 2_Exh G" xfId="2382" xr:uid="{00000000-0005-0000-0000-0000E6180000}"/>
    <cellStyle name="20% - Accent4 4 2 3 3" xfId="4473" xr:uid="{00000000-0005-0000-0000-0000E7180000}"/>
    <cellStyle name="20% - Accent4 4 2 3 3 2" xfId="8065" xr:uid="{00000000-0005-0000-0000-0000E8180000}"/>
    <cellStyle name="20% - Accent4 4 2 3 3 2 2" xfId="16036" xr:uid="{00000000-0005-0000-0000-0000E9180000}"/>
    <cellStyle name="20% - Accent4 4 2 3 3 2 2 2" xfId="39879" xr:uid="{3A5E5FE9-DD18-46DB-86DE-DC7CF98F6136}"/>
    <cellStyle name="20% - Accent4 4 2 3 3 2 3" xfId="23982" xr:uid="{00000000-0005-0000-0000-0000EA180000}"/>
    <cellStyle name="20% - Accent4 4 2 3 3 2 3 2" xfId="47815" xr:uid="{4353020C-F3B4-454E-9CE6-CA437C40E38B}"/>
    <cellStyle name="20% - Accent4 4 2 3 3 2 4" xfId="31938" xr:uid="{9EF8A89D-4A7E-4F9E-877A-DC3706106437}"/>
    <cellStyle name="20% - Accent4 4 2 3 3 3" xfId="12498" xr:uid="{00000000-0005-0000-0000-0000EB180000}"/>
    <cellStyle name="20% - Accent4 4 2 3 3 3 2" xfId="36348" xr:uid="{22239A8F-9A0F-4AA9-AD2D-D4174F122ECF}"/>
    <cellStyle name="20% - Accent4 4 2 3 3 4" xfId="20453" xr:uid="{00000000-0005-0000-0000-0000EC180000}"/>
    <cellStyle name="20% - Accent4 4 2 3 3 4 2" xfId="44286" xr:uid="{193DC27A-2680-4ADF-842D-F110E3597C58}"/>
    <cellStyle name="20% - Accent4 4 2 3 3 5" xfId="28407" xr:uid="{7B9553D2-8001-47A2-8CA2-A911BE74E46B}"/>
    <cellStyle name="20% - Accent4 4 2 3 4" xfId="6303" xr:uid="{00000000-0005-0000-0000-0000ED180000}"/>
    <cellStyle name="20% - Accent4 4 2 3 4 2" xfId="14278" xr:uid="{00000000-0005-0000-0000-0000EE180000}"/>
    <cellStyle name="20% - Accent4 4 2 3 4 2 2" xfId="38121" xr:uid="{65EDFBEA-B587-4899-8089-4430C3D1335C}"/>
    <cellStyle name="20% - Accent4 4 2 3 4 3" xfId="22225" xr:uid="{00000000-0005-0000-0000-0000EF180000}"/>
    <cellStyle name="20% - Accent4 4 2 3 4 3 2" xfId="46058" xr:uid="{04CC20A5-AF70-4E3A-9364-8EE523C9BAF2}"/>
    <cellStyle name="20% - Accent4 4 2 3 4 4" xfId="30180" xr:uid="{83E20831-1C3C-477A-A23E-FDA464284263}"/>
    <cellStyle name="20% - Accent4 4 2 3 5" xfId="9846" xr:uid="{00000000-0005-0000-0000-0000F0180000}"/>
    <cellStyle name="20% - Accent4 4 2 3 5 2" xfId="17804" xr:uid="{00000000-0005-0000-0000-0000F1180000}"/>
    <cellStyle name="20% - Accent4 4 2 3 5 2 2" xfId="41645" xr:uid="{567FBFD8-19B8-4ED5-A568-CBBDDDF98074}"/>
    <cellStyle name="20% - Accent4 4 2 3 5 3" xfId="25748" xr:uid="{00000000-0005-0000-0000-0000F2180000}"/>
    <cellStyle name="20% - Accent4 4 2 3 5 3 2" xfId="49581" xr:uid="{927A507B-8C93-486C-94E9-812F990E74D3}"/>
    <cellStyle name="20% - Accent4 4 2 3 5 4" xfId="33704" xr:uid="{C2DC4B3E-5D88-432B-A0B8-E6D6B6C163A0}"/>
    <cellStyle name="20% - Accent4 4 2 3 6" xfId="10742" xr:uid="{00000000-0005-0000-0000-0000F3180000}"/>
    <cellStyle name="20% - Accent4 4 2 3 6 2" xfId="34592" xr:uid="{953A779C-CFBB-46E6-BA35-9EDED8C4DB20}"/>
    <cellStyle name="20% - Accent4 4 2 3 7" xfId="18697" xr:uid="{00000000-0005-0000-0000-0000F4180000}"/>
    <cellStyle name="20% - Accent4 4 2 3 7 2" xfId="42530" xr:uid="{4E2B5F9E-57F2-44E5-A5B7-96174DC59C34}"/>
    <cellStyle name="20% - Accent4 4 2 3 8" xfId="26650" xr:uid="{6A268E3D-C67B-45FA-8F66-E2E72F08FD5E}"/>
    <cellStyle name="20% - Accent4 4 2 3_Exh G" xfId="2381" xr:uid="{00000000-0005-0000-0000-0000F5180000}"/>
    <cellStyle name="20% - Accent4 4 2 4" xfId="1234" xr:uid="{00000000-0005-0000-0000-0000F6180000}"/>
    <cellStyle name="20% - Accent4 4 2 4 2" xfId="4764" xr:uid="{00000000-0005-0000-0000-0000F7180000}"/>
    <cellStyle name="20% - Accent4 4 2 4 2 2" xfId="8355" xr:uid="{00000000-0005-0000-0000-0000F8180000}"/>
    <cellStyle name="20% - Accent4 4 2 4 2 2 2" xfId="16326" xr:uid="{00000000-0005-0000-0000-0000F9180000}"/>
    <cellStyle name="20% - Accent4 4 2 4 2 2 2 2" xfId="40169" xr:uid="{CD9125C5-9D51-4156-B712-74E08D8F720A}"/>
    <cellStyle name="20% - Accent4 4 2 4 2 2 3" xfId="24272" xr:uid="{00000000-0005-0000-0000-0000FA180000}"/>
    <cellStyle name="20% - Accent4 4 2 4 2 2 3 2" xfId="48105" xr:uid="{FDA62518-1821-45BA-B9CE-B5D48DD61CD6}"/>
    <cellStyle name="20% - Accent4 4 2 4 2 2 4" xfId="32228" xr:uid="{95CBE286-346D-4F4E-95CE-B60CC2EE8DA1}"/>
    <cellStyle name="20% - Accent4 4 2 4 2 3" xfId="12788" xr:uid="{00000000-0005-0000-0000-0000FB180000}"/>
    <cellStyle name="20% - Accent4 4 2 4 2 3 2" xfId="36638" xr:uid="{4B5E0C03-B0DE-4EBF-945F-5169AFBF7029}"/>
    <cellStyle name="20% - Accent4 4 2 4 2 4" xfId="20743" xr:uid="{00000000-0005-0000-0000-0000FC180000}"/>
    <cellStyle name="20% - Accent4 4 2 4 2 4 2" xfId="44576" xr:uid="{194DDEDF-5A47-45C0-8911-D53EDDD64EB6}"/>
    <cellStyle name="20% - Accent4 4 2 4 2 5" xfId="28697" xr:uid="{AE5C3A18-4C21-446B-814D-644017AA9A9B}"/>
    <cellStyle name="20% - Accent4 4 2 4 3" xfId="6596" xr:uid="{00000000-0005-0000-0000-0000FD180000}"/>
    <cellStyle name="20% - Accent4 4 2 4 3 2" xfId="14568" xr:uid="{00000000-0005-0000-0000-0000FE180000}"/>
    <cellStyle name="20% - Accent4 4 2 4 3 2 2" xfId="38411" xr:uid="{5630BAAB-2F26-469E-83D8-4B9A7DD9DE92}"/>
    <cellStyle name="20% - Accent4 4 2 4 3 3" xfId="22515" xr:uid="{00000000-0005-0000-0000-0000FF180000}"/>
    <cellStyle name="20% - Accent4 4 2 4 3 3 2" xfId="46348" xr:uid="{D2EA16CD-2C13-4562-9BEE-4D2FDFD45D72}"/>
    <cellStyle name="20% - Accent4 4 2 4 3 4" xfId="30470" xr:uid="{ECC2595A-72D7-4FCD-8D46-6900A4221761}"/>
    <cellStyle name="20% - Accent4 4 2 4 4" xfId="11032" xr:uid="{00000000-0005-0000-0000-000000190000}"/>
    <cellStyle name="20% - Accent4 4 2 4 4 2" xfId="34882" xr:uid="{C330C7A2-F7F6-4B0E-95CA-F140F34B0402}"/>
    <cellStyle name="20% - Accent4 4 2 4 5" xfId="18987" xr:uid="{00000000-0005-0000-0000-000001190000}"/>
    <cellStyle name="20% - Accent4 4 2 4 5 2" xfId="42820" xr:uid="{0F754734-EE90-4452-B1FF-58970015120D}"/>
    <cellStyle name="20% - Accent4 4 2 4 6" xfId="26940" xr:uid="{98338851-45C3-4CBC-B791-BA92EC0073C8}"/>
    <cellStyle name="20% - Accent4 4 2 4_Exh G" xfId="2383" xr:uid="{00000000-0005-0000-0000-000002190000}"/>
    <cellStyle name="20% - Accent4 4 2 5" xfId="3885" xr:uid="{00000000-0005-0000-0000-000003190000}"/>
    <cellStyle name="20% - Accent4 4 2 5 2" xfId="7477" xr:uid="{00000000-0005-0000-0000-000004190000}"/>
    <cellStyle name="20% - Accent4 4 2 5 2 2" xfId="15448" xr:uid="{00000000-0005-0000-0000-000005190000}"/>
    <cellStyle name="20% - Accent4 4 2 5 2 2 2" xfId="39291" xr:uid="{FFD1085C-D068-4C88-8F19-77A7608D7E9D}"/>
    <cellStyle name="20% - Accent4 4 2 5 2 3" xfId="23394" xr:uid="{00000000-0005-0000-0000-000006190000}"/>
    <cellStyle name="20% - Accent4 4 2 5 2 3 2" xfId="47227" xr:uid="{5189203C-4CED-4263-BC6B-E7103402A2E1}"/>
    <cellStyle name="20% - Accent4 4 2 5 2 4" xfId="31350" xr:uid="{7CF649BE-42A0-4B8B-9DAA-0498E7476D3C}"/>
    <cellStyle name="20% - Accent4 4 2 5 3" xfId="11910" xr:uid="{00000000-0005-0000-0000-000007190000}"/>
    <cellStyle name="20% - Accent4 4 2 5 3 2" xfId="35760" xr:uid="{7B64EB70-3AC4-4FF4-ABCE-EB6462564B91}"/>
    <cellStyle name="20% - Accent4 4 2 5 4" xfId="19865" xr:uid="{00000000-0005-0000-0000-000008190000}"/>
    <cellStyle name="20% - Accent4 4 2 5 4 2" xfId="43698" xr:uid="{6B15D4DC-8E3F-48FB-89AE-69A9610B1235}"/>
    <cellStyle name="20% - Accent4 4 2 5 5" xfId="27819" xr:uid="{1DFA88F0-7513-445C-BB92-65DE12EED12E}"/>
    <cellStyle name="20% - Accent4 4 2 6" xfId="5705" xr:uid="{00000000-0005-0000-0000-000009190000}"/>
    <cellStyle name="20% - Accent4 4 2 6 2" xfId="13689" xr:uid="{00000000-0005-0000-0000-00000A190000}"/>
    <cellStyle name="20% - Accent4 4 2 6 2 2" xfId="37533" xr:uid="{F516EB9B-D7EB-4EDA-9237-2662EE7E962A}"/>
    <cellStyle name="20% - Accent4 4 2 6 3" xfId="21637" xr:uid="{00000000-0005-0000-0000-00000B190000}"/>
    <cellStyle name="20% - Accent4 4 2 6 3 2" xfId="45470" xr:uid="{D6F297DF-37EE-4F14-B103-CF4F51F9F123}"/>
    <cellStyle name="20% - Accent4 4 2 6 4" xfId="29592" xr:uid="{338413E1-D2AC-4C53-B881-0FB759C6983F}"/>
    <cellStyle name="20% - Accent4 4 2 7" xfId="9258" xr:uid="{00000000-0005-0000-0000-00000C190000}"/>
    <cellStyle name="20% - Accent4 4 2 7 2" xfId="17216" xr:uid="{00000000-0005-0000-0000-00000D190000}"/>
    <cellStyle name="20% - Accent4 4 2 7 2 2" xfId="41057" xr:uid="{4510DCCA-B30E-4C9A-B164-752EDF5B9998}"/>
    <cellStyle name="20% - Accent4 4 2 7 3" xfId="25160" xr:uid="{00000000-0005-0000-0000-00000E190000}"/>
    <cellStyle name="20% - Accent4 4 2 7 3 2" xfId="48993" xr:uid="{D464DF9E-749E-48A5-8030-D918D44B6D04}"/>
    <cellStyle name="20% - Accent4 4 2 7 4" xfId="33116" xr:uid="{BE11CBB2-DAC1-4B00-A31E-DD1041063568}"/>
    <cellStyle name="20% - Accent4 4 2 8" xfId="10154" xr:uid="{00000000-0005-0000-0000-00000F190000}"/>
    <cellStyle name="20% - Accent4 4 2 8 2" xfId="34004" xr:uid="{3E20C58B-CCB5-49D2-A1CC-DC64727C34B6}"/>
    <cellStyle name="20% - Accent4 4 2 9" xfId="18109" xr:uid="{00000000-0005-0000-0000-000010190000}"/>
    <cellStyle name="20% - Accent4 4 2 9 2" xfId="41942" xr:uid="{68754A87-E81B-483D-BF97-A684F5856968}"/>
    <cellStyle name="20% - Accent4 4 2_Exh G" xfId="2378" xr:uid="{00000000-0005-0000-0000-000011190000}"/>
    <cellStyle name="20% - Accent4 4 3" xfId="208" xr:uid="{00000000-0005-0000-0000-000012190000}"/>
    <cellStyle name="20% - Accent4 4 3 2" xfId="1236" xr:uid="{00000000-0005-0000-0000-000013190000}"/>
    <cellStyle name="20% - Accent4 4 3 2 2" xfId="4766" xr:uid="{00000000-0005-0000-0000-000014190000}"/>
    <cellStyle name="20% - Accent4 4 3 2 2 2" xfId="8357" xr:uid="{00000000-0005-0000-0000-000015190000}"/>
    <cellStyle name="20% - Accent4 4 3 2 2 2 2" xfId="16328" xr:uid="{00000000-0005-0000-0000-000016190000}"/>
    <cellStyle name="20% - Accent4 4 3 2 2 2 2 2" xfId="40171" xr:uid="{01BD8F37-8B2F-40C2-925A-B15A5EABE3ED}"/>
    <cellStyle name="20% - Accent4 4 3 2 2 2 3" xfId="24274" xr:uid="{00000000-0005-0000-0000-000017190000}"/>
    <cellStyle name="20% - Accent4 4 3 2 2 2 3 2" xfId="48107" xr:uid="{60E7E31E-B48D-4952-B73C-51FEA5E1FC49}"/>
    <cellStyle name="20% - Accent4 4 3 2 2 2 4" xfId="32230" xr:uid="{3016FB48-9ADF-4F44-ABAF-87D0C23F4216}"/>
    <cellStyle name="20% - Accent4 4 3 2 2 3" xfId="12790" xr:uid="{00000000-0005-0000-0000-000018190000}"/>
    <cellStyle name="20% - Accent4 4 3 2 2 3 2" xfId="36640" xr:uid="{236D7D21-F745-4EBA-A714-51835825900A}"/>
    <cellStyle name="20% - Accent4 4 3 2 2 4" xfId="20745" xr:uid="{00000000-0005-0000-0000-000019190000}"/>
    <cellStyle name="20% - Accent4 4 3 2 2 4 2" xfId="44578" xr:uid="{ED6E12F4-D85E-4894-8098-B53EB72AEE0F}"/>
    <cellStyle name="20% - Accent4 4 3 2 2 5" xfId="28699" xr:uid="{AA02C380-28A9-429C-AE99-A50C5B5923F1}"/>
    <cellStyle name="20% - Accent4 4 3 2 3" xfId="6598" xr:uid="{00000000-0005-0000-0000-00001A190000}"/>
    <cellStyle name="20% - Accent4 4 3 2 3 2" xfId="14570" xr:uid="{00000000-0005-0000-0000-00001B190000}"/>
    <cellStyle name="20% - Accent4 4 3 2 3 2 2" xfId="38413" xr:uid="{2EE7BD8D-3087-4B2D-904D-DED696363715}"/>
    <cellStyle name="20% - Accent4 4 3 2 3 3" xfId="22517" xr:uid="{00000000-0005-0000-0000-00001C190000}"/>
    <cellStyle name="20% - Accent4 4 3 2 3 3 2" xfId="46350" xr:uid="{CF6D1809-73D3-4253-A9C8-D95FE9A94C9E}"/>
    <cellStyle name="20% - Accent4 4 3 2 3 4" xfId="30472" xr:uid="{ABC19FF3-E022-4C1A-986F-526868C76C7F}"/>
    <cellStyle name="20% - Accent4 4 3 2 4" xfId="11034" xr:uid="{00000000-0005-0000-0000-00001D190000}"/>
    <cellStyle name="20% - Accent4 4 3 2 4 2" xfId="34884" xr:uid="{6FA35F48-D264-4517-8648-9F4D7F6D1BBC}"/>
    <cellStyle name="20% - Accent4 4 3 2 5" xfId="18989" xr:uid="{00000000-0005-0000-0000-00001E190000}"/>
    <cellStyle name="20% - Accent4 4 3 2 5 2" xfId="42822" xr:uid="{2D2DBE20-A87D-42AC-A7DC-76C4192107A3}"/>
    <cellStyle name="20% - Accent4 4 3 2 6" xfId="26942" xr:uid="{0641AA11-B76B-405F-8D6A-C65DE7172364}"/>
    <cellStyle name="20% - Accent4 4 3 2_Exh G" xfId="2385" xr:uid="{00000000-0005-0000-0000-00001F190000}"/>
    <cellStyle name="20% - Accent4 4 3 3" xfId="3887" xr:uid="{00000000-0005-0000-0000-000020190000}"/>
    <cellStyle name="20% - Accent4 4 3 3 2" xfId="7479" xr:uid="{00000000-0005-0000-0000-000021190000}"/>
    <cellStyle name="20% - Accent4 4 3 3 2 2" xfId="15450" xr:uid="{00000000-0005-0000-0000-000022190000}"/>
    <cellStyle name="20% - Accent4 4 3 3 2 2 2" xfId="39293" xr:uid="{5D53F76F-265D-4449-87DD-DA860D8319F2}"/>
    <cellStyle name="20% - Accent4 4 3 3 2 3" xfId="23396" xr:uid="{00000000-0005-0000-0000-000023190000}"/>
    <cellStyle name="20% - Accent4 4 3 3 2 3 2" xfId="47229" xr:uid="{F5758FC6-478D-4038-BF1F-8D45178F5B16}"/>
    <cellStyle name="20% - Accent4 4 3 3 2 4" xfId="31352" xr:uid="{4ECBF2A5-040F-40B7-B61F-55287F0F7BF7}"/>
    <cellStyle name="20% - Accent4 4 3 3 3" xfId="11912" xr:uid="{00000000-0005-0000-0000-000024190000}"/>
    <cellStyle name="20% - Accent4 4 3 3 3 2" xfId="35762" xr:uid="{52ED39ED-0E43-4FD9-9A65-5E9EC96CDB91}"/>
    <cellStyle name="20% - Accent4 4 3 3 4" xfId="19867" xr:uid="{00000000-0005-0000-0000-000025190000}"/>
    <cellStyle name="20% - Accent4 4 3 3 4 2" xfId="43700" xr:uid="{C6E6C2BF-3E2D-4263-95DE-4545F88655B3}"/>
    <cellStyle name="20% - Accent4 4 3 3 5" xfId="27821" xr:uid="{268E3BAC-B0E4-4D88-81BA-312B16DB1959}"/>
    <cellStyle name="20% - Accent4 4 3 4" xfId="5707" xr:uid="{00000000-0005-0000-0000-000026190000}"/>
    <cellStyle name="20% - Accent4 4 3 4 2" xfId="13691" xr:uid="{00000000-0005-0000-0000-000027190000}"/>
    <cellStyle name="20% - Accent4 4 3 4 2 2" xfId="37535" xr:uid="{59C6F3EB-F7DC-4932-8830-4745EF3B7739}"/>
    <cellStyle name="20% - Accent4 4 3 4 3" xfId="21639" xr:uid="{00000000-0005-0000-0000-000028190000}"/>
    <cellStyle name="20% - Accent4 4 3 4 3 2" xfId="45472" xr:uid="{E4784548-F898-4C68-8938-AB4452C34D01}"/>
    <cellStyle name="20% - Accent4 4 3 4 4" xfId="29594" xr:uid="{EEB049A0-D744-4CDF-9478-4CC8101FCE2E}"/>
    <cellStyle name="20% - Accent4 4 3 5" xfId="9260" xr:uid="{00000000-0005-0000-0000-000029190000}"/>
    <cellStyle name="20% - Accent4 4 3 5 2" xfId="17218" xr:uid="{00000000-0005-0000-0000-00002A190000}"/>
    <cellStyle name="20% - Accent4 4 3 5 2 2" xfId="41059" xr:uid="{24E033B8-CCDC-4D4E-86B2-A0A41737C58A}"/>
    <cellStyle name="20% - Accent4 4 3 5 3" xfId="25162" xr:uid="{00000000-0005-0000-0000-00002B190000}"/>
    <cellStyle name="20% - Accent4 4 3 5 3 2" xfId="48995" xr:uid="{94F8E2C6-511E-4287-B5E6-E15B6D7C2F28}"/>
    <cellStyle name="20% - Accent4 4 3 5 4" xfId="33118" xr:uid="{4095F3CC-5455-4CB2-8B32-0A77DA066E66}"/>
    <cellStyle name="20% - Accent4 4 3 6" xfId="10156" xr:uid="{00000000-0005-0000-0000-00002C190000}"/>
    <cellStyle name="20% - Accent4 4 3 6 2" xfId="34006" xr:uid="{6BE75CC1-8262-4501-BE2F-7828C4054D29}"/>
    <cellStyle name="20% - Accent4 4 3 7" xfId="18111" xr:uid="{00000000-0005-0000-0000-00002D190000}"/>
    <cellStyle name="20% - Accent4 4 3 7 2" xfId="41944" xr:uid="{C242E214-C730-4360-8933-8DE65098229A}"/>
    <cellStyle name="20% - Accent4 4 3 8" xfId="26064" xr:uid="{D5696901-9FD4-4055-A907-12E75CFF5EF0}"/>
    <cellStyle name="20% - Accent4 4 3_Exh G" xfId="2384" xr:uid="{00000000-0005-0000-0000-00002E190000}"/>
    <cellStyle name="20% - Accent4 4 4" xfId="903" xr:uid="{00000000-0005-0000-0000-00002F190000}"/>
    <cellStyle name="20% - Accent4 4 4 2" xfId="1833" xr:uid="{00000000-0005-0000-0000-000030190000}"/>
    <cellStyle name="20% - Accent4 4 4 2 2" xfId="5351" xr:uid="{00000000-0005-0000-0000-000031190000}"/>
    <cellStyle name="20% - Accent4 4 4 2 2 2" xfId="8942" xr:uid="{00000000-0005-0000-0000-000032190000}"/>
    <cellStyle name="20% - Accent4 4 4 2 2 2 2" xfId="16913" xr:uid="{00000000-0005-0000-0000-000033190000}"/>
    <cellStyle name="20% - Accent4 4 4 2 2 2 2 2" xfId="40756" xr:uid="{0AEB68CF-972E-45FE-BBCC-3C17DFCDF0E8}"/>
    <cellStyle name="20% - Accent4 4 4 2 2 2 3" xfId="24859" xr:uid="{00000000-0005-0000-0000-000034190000}"/>
    <cellStyle name="20% - Accent4 4 4 2 2 2 3 2" xfId="48692" xr:uid="{DE86577B-4645-4F74-B51C-A1FC196D43A4}"/>
    <cellStyle name="20% - Accent4 4 4 2 2 2 4" xfId="32815" xr:uid="{89B1C100-8E88-42EE-8438-AA52DEE4BDCA}"/>
    <cellStyle name="20% - Accent4 4 4 2 2 3" xfId="13375" xr:uid="{00000000-0005-0000-0000-000035190000}"/>
    <cellStyle name="20% - Accent4 4 4 2 2 3 2" xfId="37225" xr:uid="{30ABF46E-075F-4082-96F2-6493E7AE5627}"/>
    <cellStyle name="20% - Accent4 4 4 2 2 4" xfId="21330" xr:uid="{00000000-0005-0000-0000-000036190000}"/>
    <cellStyle name="20% - Accent4 4 4 2 2 4 2" xfId="45163" xr:uid="{AA6F3DD6-7501-44AB-B70F-BA7426E0F41F}"/>
    <cellStyle name="20% - Accent4 4 4 2 2 5" xfId="29284" xr:uid="{888ABF46-60A7-4238-9490-033CD540E7F3}"/>
    <cellStyle name="20% - Accent4 4 4 2 3" xfId="7183" xr:uid="{00000000-0005-0000-0000-000037190000}"/>
    <cellStyle name="20% - Accent4 4 4 2 3 2" xfId="15155" xr:uid="{00000000-0005-0000-0000-000038190000}"/>
    <cellStyle name="20% - Accent4 4 4 2 3 2 2" xfId="38998" xr:uid="{BD454850-E788-485E-B63E-785CF1A59CFB}"/>
    <cellStyle name="20% - Accent4 4 4 2 3 3" xfId="23102" xr:uid="{00000000-0005-0000-0000-000039190000}"/>
    <cellStyle name="20% - Accent4 4 4 2 3 3 2" xfId="46935" xr:uid="{3B401170-0A7D-4A02-B617-BB31F00CF3F3}"/>
    <cellStyle name="20% - Accent4 4 4 2 3 4" xfId="31057" xr:uid="{E1361F67-1D45-4721-B2FF-A6CFFBA5F55F}"/>
    <cellStyle name="20% - Accent4 4 4 2 4" xfId="11619" xr:uid="{00000000-0005-0000-0000-00003A190000}"/>
    <cellStyle name="20% - Accent4 4 4 2 4 2" xfId="35469" xr:uid="{25E4BF0F-C41E-4B69-B740-BF321C2A573C}"/>
    <cellStyle name="20% - Accent4 4 4 2 5" xfId="19574" xr:uid="{00000000-0005-0000-0000-00003B190000}"/>
    <cellStyle name="20% - Accent4 4 4 2 5 2" xfId="43407" xr:uid="{BC2325C7-01B1-4F85-AD40-6A250FACE63A}"/>
    <cellStyle name="20% - Accent4 4 4 2 6" xfId="27527" xr:uid="{455B84AE-F22F-464D-9AA5-31D8704FDF9F}"/>
    <cellStyle name="20% - Accent4 4 4 2_Exh G" xfId="2387" xr:uid="{00000000-0005-0000-0000-00003C190000}"/>
    <cellStyle name="20% - Accent4 4 4 3" xfId="4472" xr:uid="{00000000-0005-0000-0000-00003D190000}"/>
    <cellStyle name="20% - Accent4 4 4 3 2" xfId="8064" xr:uid="{00000000-0005-0000-0000-00003E190000}"/>
    <cellStyle name="20% - Accent4 4 4 3 2 2" xfId="16035" xr:uid="{00000000-0005-0000-0000-00003F190000}"/>
    <cellStyle name="20% - Accent4 4 4 3 2 2 2" xfId="39878" xr:uid="{EC4369D0-6870-4E2A-94FF-0709DF2579F5}"/>
    <cellStyle name="20% - Accent4 4 4 3 2 3" xfId="23981" xr:uid="{00000000-0005-0000-0000-000040190000}"/>
    <cellStyle name="20% - Accent4 4 4 3 2 3 2" xfId="47814" xr:uid="{B8508F4C-0C2C-4CFD-A1EE-6E455E42A657}"/>
    <cellStyle name="20% - Accent4 4 4 3 2 4" xfId="31937" xr:uid="{AEF815A0-B5D9-4F9E-9770-8711C4584997}"/>
    <cellStyle name="20% - Accent4 4 4 3 3" xfId="12497" xr:uid="{00000000-0005-0000-0000-000041190000}"/>
    <cellStyle name="20% - Accent4 4 4 3 3 2" xfId="36347" xr:uid="{B0CC1CAE-49DA-4175-9564-87876F37C72B}"/>
    <cellStyle name="20% - Accent4 4 4 3 4" xfId="20452" xr:uid="{00000000-0005-0000-0000-000042190000}"/>
    <cellStyle name="20% - Accent4 4 4 3 4 2" xfId="44285" xr:uid="{0825ADBC-8320-4770-92E5-0C9E61A94334}"/>
    <cellStyle name="20% - Accent4 4 4 3 5" xfId="28406" xr:uid="{61F251E3-F892-4840-BB9F-E4E5B9C36BA1}"/>
    <cellStyle name="20% - Accent4 4 4 4" xfId="6302" xr:uid="{00000000-0005-0000-0000-000043190000}"/>
    <cellStyle name="20% - Accent4 4 4 4 2" xfId="14277" xr:uid="{00000000-0005-0000-0000-000044190000}"/>
    <cellStyle name="20% - Accent4 4 4 4 2 2" xfId="38120" xr:uid="{2CE32AB0-15E4-497B-A806-A9E2031F5231}"/>
    <cellStyle name="20% - Accent4 4 4 4 3" xfId="22224" xr:uid="{00000000-0005-0000-0000-000045190000}"/>
    <cellStyle name="20% - Accent4 4 4 4 3 2" xfId="46057" xr:uid="{127A668A-DC2B-4FB6-AE09-BDB319EACF0A}"/>
    <cellStyle name="20% - Accent4 4 4 4 4" xfId="30179" xr:uid="{4EBDFD50-98E0-4B66-8C24-813C512BE075}"/>
    <cellStyle name="20% - Accent4 4 4 5" xfId="9845" xr:uid="{00000000-0005-0000-0000-000046190000}"/>
    <cellStyle name="20% - Accent4 4 4 5 2" xfId="17803" xr:uid="{00000000-0005-0000-0000-000047190000}"/>
    <cellStyle name="20% - Accent4 4 4 5 2 2" xfId="41644" xr:uid="{6DD68AF1-070F-4DC6-9ABB-C2AA07C232B8}"/>
    <cellStyle name="20% - Accent4 4 4 5 3" xfId="25747" xr:uid="{00000000-0005-0000-0000-000048190000}"/>
    <cellStyle name="20% - Accent4 4 4 5 3 2" xfId="49580" xr:uid="{F3A24E1F-9609-4AC5-A998-317DFD154F04}"/>
    <cellStyle name="20% - Accent4 4 4 5 4" xfId="33703" xr:uid="{EAC4B7FD-3AA4-44A8-8A3A-E4539B40A27C}"/>
    <cellStyle name="20% - Accent4 4 4 6" xfId="10741" xr:uid="{00000000-0005-0000-0000-000049190000}"/>
    <cellStyle name="20% - Accent4 4 4 6 2" xfId="34591" xr:uid="{36D0CE69-B078-4E1A-974F-FA2E42C82462}"/>
    <cellStyle name="20% - Accent4 4 4 7" xfId="18696" xr:uid="{00000000-0005-0000-0000-00004A190000}"/>
    <cellStyle name="20% - Accent4 4 4 7 2" xfId="42529" xr:uid="{46370E89-D45D-449F-8A0E-A0A06066FC9D}"/>
    <cellStyle name="20% - Accent4 4 4 8" xfId="26649" xr:uid="{81A67E0D-6298-4B7A-8BE8-C4BD22D02F85}"/>
    <cellStyle name="20% - Accent4 4 4_Exh G" xfId="2386" xr:uid="{00000000-0005-0000-0000-00004B190000}"/>
    <cellStyle name="20% - Accent4 4 5" xfId="1233" xr:uid="{00000000-0005-0000-0000-00004C190000}"/>
    <cellStyle name="20% - Accent4 4 5 2" xfId="4763" xr:uid="{00000000-0005-0000-0000-00004D190000}"/>
    <cellStyle name="20% - Accent4 4 5 2 2" xfId="8354" xr:uid="{00000000-0005-0000-0000-00004E190000}"/>
    <cellStyle name="20% - Accent4 4 5 2 2 2" xfId="16325" xr:uid="{00000000-0005-0000-0000-00004F190000}"/>
    <cellStyle name="20% - Accent4 4 5 2 2 2 2" xfId="40168" xr:uid="{36FF9385-9544-41D8-8EDF-5CD5AF5F4283}"/>
    <cellStyle name="20% - Accent4 4 5 2 2 3" xfId="24271" xr:uid="{00000000-0005-0000-0000-000050190000}"/>
    <cellStyle name="20% - Accent4 4 5 2 2 3 2" xfId="48104" xr:uid="{9AADD416-C234-4A97-923E-272A70534FEF}"/>
    <cellStyle name="20% - Accent4 4 5 2 2 4" xfId="32227" xr:uid="{787CB09C-F670-4995-9225-86C8A8CBD798}"/>
    <cellStyle name="20% - Accent4 4 5 2 3" xfId="12787" xr:uid="{00000000-0005-0000-0000-000051190000}"/>
    <cellStyle name="20% - Accent4 4 5 2 3 2" xfId="36637" xr:uid="{14E5ABB2-F6C1-4DD8-8C81-B444BACEAD5C}"/>
    <cellStyle name="20% - Accent4 4 5 2 4" xfId="20742" xr:uid="{00000000-0005-0000-0000-000052190000}"/>
    <cellStyle name="20% - Accent4 4 5 2 4 2" xfId="44575" xr:uid="{CCA55846-A089-4D46-AF3D-4D6A01EBFC87}"/>
    <cellStyle name="20% - Accent4 4 5 2 5" xfId="28696" xr:uid="{77644437-0BBC-4E7D-96C9-4CC4020F2C08}"/>
    <cellStyle name="20% - Accent4 4 5 3" xfId="6595" xr:uid="{00000000-0005-0000-0000-000053190000}"/>
    <cellStyle name="20% - Accent4 4 5 3 2" xfId="14567" xr:uid="{00000000-0005-0000-0000-000054190000}"/>
    <cellStyle name="20% - Accent4 4 5 3 2 2" xfId="38410" xr:uid="{5117D102-7206-47AA-8786-1664DD3FC3A3}"/>
    <cellStyle name="20% - Accent4 4 5 3 3" xfId="22514" xr:uid="{00000000-0005-0000-0000-000055190000}"/>
    <cellStyle name="20% - Accent4 4 5 3 3 2" xfId="46347" xr:uid="{8E5D88CD-1F80-4616-AE64-627BD0A70143}"/>
    <cellStyle name="20% - Accent4 4 5 3 4" xfId="30469" xr:uid="{AE648020-3799-4CB3-8C26-2A5726E6BE1A}"/>
    <cellStyle name="20% - Accent4 4 5 4" xfId="11031" xr:uid="{00000000-0005-0000-0000-000056190000}"/>
    <cellStyle name="20% - Accent4 4 5 4 2" xfId="34881" xr:uid="{40CFEBA9-2013-4A60-88AA-8527B618672A}"/>
    <cellStyle name="20% - Accent4 4 5 5" xfId="18986" xr:uid="{00000000-0005-0000-0000-000057190000}"/>
    <cellStyle name="20% - Accent4 4 5 5 2" xfId="42819" xr:uid="{72DF8853-A4BC-4606-9179-76659E3BB162}"/>
    <cellStyle name="20% - Accent4 4 5 6" xfId="26939" xr:uid="{2E5BA344-250C-4348-BA6F-3687745476E4}"/>
    <cellStyle name="20% - Accent4 4 5_Exh G" xfId="2388" xr:uid="{00000000-0005-0000-0000-000058190000}"/>
    <cellStyle name="20% - Accent4 4 6" xfId="3884" xr:uid="{00000000-0005-0000-0000-000059190000}"/>
    <cellStyle name="20% - Accent4 4 6 2" xfId="7476" xr:uid="{00000000-0005-0000-0000-00005A190000}"/>
    <cellStyle name="20% - Accent4 4 6 2 2" xfId="15447" xr:uid="{00000000-0005-0000-0000-00005B190000}"/>
    <cellStyle name="20% - Accent4 4 6 2 2 2" xfId="39290" xr:uid="{C6397E08-D187-4378-9124-B8E335D74837}"/>
    <cellStyle name="20% - Accent4 4 6 2 3" xfId="23393" xr:uid="{00000000-0005-0000-0000-00005C190000}"/>
    <cellStyle name="20% - Accent4 4 6 2 3 2" xfId="47226" xr:uid="{E513A9FE-F37E-4B57-889C-69DBDE70A3F6}"/>
    <cellStyle name="20% - Accent4 4 6 2 4" xfId="31349" xr:uid="{61C6034A-D000-4DD8-9F74-9B732DADDD7D}"/>
    <cellStyle name="20% - Accent4 4 6 3" xfId="11909" xr:uid="{00000000-0005-0000-0000-00005D190000}"/>
    <cellStyle name="20% - Accent4 4 6 3 2" xfId="35759" xr:uid="{E7175BC7-D5D9-40C7-A163-58E853AFEA52}"/>
    <cellStyle name="20% - Accent4 4 6 4" xfId="19864" xr:uid="{00000000-0005-0000-0000-00005E190000}"/>
    <cellStyle name="20% - Accent4 4 6 4 2" xfId="43697" xr:uid="{057FA8D2-EA12-4DC3-BDE1-912B0C0252CB}"/>
    <cellStyle name="20% - Accent4 4 6 5" xfId="27818" xr:uid="{B9D33DE5-A0FD-450C-9744-D6917157BBBC}"/>
    <cellStyle name="20% - Accent4 4 7" xfId="5704" xr:uid="{00000000-0005-0000-0000-00005F190000}"/>
    <cellStyle name="20% - Accent4 4 7 2" xfId="13688" xr:uid="{00000000-0005-0000-0000-000060190000}"/>
    <cellStyle name="20% - Accent4 4 7 2 2" xfId="37532" xr:uid="{D75C7052-2DB1-4CD2-A8BD-16008952889C}"/>
    <cellStyle name="20% - Accent4 4 7 3" xfId="21636" xr:uid="{00000000-0005-0000-0000-000061190000}"/>
    <cellStyle name="20% - Accent4 4 7 3 2" xfId="45469" xr:uid="{397DB1EE-49A4-4CEA-A1FC-0EB532B5AFBA}"/>
    <cellStyle name="20% - Accent4 4 7 4" xfId="29591" xr:uid="{E5B77823-6802-424E-A57E-2EB0D115CDA8}"/>
    <cellStyle name="20% - Accent4 4 8" xfId="9257" xr:uid="{00000000-0005-0000-0000-000062190000}"/>
    <cellStyle name="20% - Accent4 4 8 2" xfId="17215" xr:uid="{00000000-0005-0000-0000-000063190000}"/>
    <cellStyle name="20% - Accent4 4 8 2 2" xfId="41056" xr:uid="{4A83ADF7-A946-4776-A8E1-38EB1CFF8726}"/>
    <cellStyle name="20% - Accent4 4 8 3" xfId="25159" xr:uid="{00000000-0005-0000-0000-000064190000}"/>
    <cellStyle name="20% - Accent4 4 8 3 2" xfId="48992" xr:uid="{05E91896-434F-40B9-BDAD-3403A15C4442}"/>
    <cellStyle name="20% - Accent4 4 8 4" xfId="33115" xr:uid="{B7522EB4-2F15-4230-A6B5-0DEC8F61791E}"/>
    <cellStyle name="20% - Accent4 4 9" xfId="10153" xr:uid="{00000000-0005-0000-0000-000065190000}"/>
    <cellStyle name="20% - Accent4 4 9 2" xfId="34003" xr:uid="{0AA13E02-764D-473F-A9BC-1E44DDBF6184}"/>
    <cellStyle name="20% - Accent4 4_Exh G" xfId="2377" xr:uid="{00000000-0005-0000-0000-000066190000}"/>
    <cellStyle name="20% - Accent4 5" xfId="209" xr:uid="{00000000-0005-0000-0000-000067190000}"/>
    <cellStyle name="20% - Accent4 5 10" xfId="18112" xr:uid="{00000000-0005-0000-0000-000068190000}"/>
    <cellStyle name="20% - Accent4 5 10 2" xfId="41945" xr:uid="{C6458F17-DCE1-458C-8055-04C40A529CF3}"/>
    <cellStyle name="20% - Accent4 5 11" xfId="26065" xr:uid="{86AF0820-CDBF-4531-A255-AE590D2948F7}"/>
    <cellStyle name="20% - Accent4 5 2" xfId="210" xr:uid="{00000000-0005-0000-0000-000069190000}"/>
    <cellStyle name="20% - Accent4 5 2 2" xfId="211" xr:uid="{00000000-0005-0000-0000-00006A190000}"/>
    <cellStyle name="20% - Accent4 5 2 2 2" xfId="1239" xr:uid="{00000000-0005-0000-0000-00006B190000}"/>
    <cellStyle name="20% - Accent4 5 2 2 2 2" xfId="4769" xr:uid="{00000000-0005-0000-0000-00006C190000}"/>
    <cellStyle name="20% - Accent4 5 2 2 2 2 2" xfId="8360" xr:uid="{00000000-0005-0000-0000-00006D190000}"/>
    <cellStyle name="20% - Accent4 5 2 2 2 2 2 2" xfId="16331" xr:uid="{00000000-0005-0000-0000-00006E190000}"/>
    <cellStyle name="20% - Accent4 5 2 2 2 2 2 2 2" xfId="40174" xr:uid="{4A289A99-38D6-4CCB-917D-8291C21DB51D}"/>
    <cellStyle name="20% - Accent4 5 2 2 2 2 2 3" xfId="24277" xr:uid="{00000000-0005-0000-0000-00006F190000}"/>
    <cellStyle name="20% - Accent4 5 2 2 2 2 2 3 2" xfId="48110" xr:uid="{030949FD-E3C3-488E-9F44-211D36973AE6}"/>
    <cellStyle name="20% - Accent4 5 2 2 2 2 2 4" xfId="32233" xr:uid="{96702D6B-5643-4240-A377-79729B74BC93}"/>
    <cellStyle name="20% - Accent4 5 2 2 2 2 3" xfId="12793" xr:uid="{00000000-0005-0000-0000-000070190000}"/>
    <cellStyle name="20% - Accent4 5 2 2 2 2 3 2" xfId="36643" xr:uid="{6245DFAA-89E8-4659-BFBE-0EAE59F0E966}"/>
    <cellStyle name="20% - Accent4 5 2 2 2 2 4" xfId="20748" xr:uid="{00000000-0005-0000-0000-000071190000}"/>
    <cellStyle name="20% - Accent4 5 2 2 2 2 4 2" xfId="44581" xr:uid="{4FE16273-ACBD-4510-8113-AF4CB35FFE20}"/>
    <cellStyle name="20% - Accent4 5 2 2 2 2 5" xfId="28702" xr:uid="{87DF92C0-C165-48B5-9D3E-A0E9132BEA8C}"/>
    <cellStyle name="20% - Accent4 5 2 2 2 3" xfId="6601" xr:uid="{00000000-0005-0000-0000-000072190000}"/>
    <cellStyle name="20% - Accent4 5 2 2 2 3 2" xfId="14573" xr:uid="{00000000-0005-0000-0000-000073190000}"/>
    <cellStyle name="20% - Accent4 5 2 2 2 3 2 2" xfId="38416" xr:uid="{5340366F-E8E9-418A-AE39-F06140557C9F}"/>
    <cellStyle name="20% - Accent4 5 2 2 2 3 3" xfId="22520" xr:uid="{00000000-0005-0000-0000-000074190000}"/>
    <cellStyle name="20% - Accent4 5 2 2 2 3 3 2" xfId="46353" xr:uid="{A39A5993-C10D-4C14-9AD8-42970FA91F94}"/>
    <cellStyle name="20% - Accent4 5 2 2 2 3 4" xfId="30475" xr:uid="{E4900DC6-4320-4DF5-919D-3E2A6DC88D65}"/>
    <cellStyle name="20% - Accent4 5 2 2 2 4" xfId="11037" xr:uid="{00000000-0005-0000-0000-000075190000}"/>
    <cellStyle name="20% - Accent4 5 2 2 2 4 2" xfId="34887" xr:uid="{CCB49DE8-B2E9-4B7A-953C-650AD5BA321E}"/>
    <cellStyle name="20% - Accent4 5 2 2 2 5" xfId="18992" xr:uid="{00000000-0005-0000-0000-000076190000}"/>
    <cellStyle name="20% - Accent4 5 2 2 2 5 2" xfId="42825" xr:uid="{3E87BDC6-A1BF-4411-BCF3-F03F40298628}"/>
    <cellStyle name="20% - Accent4 5 2 2 2 6" xfId="26945" xr:uid="{BB406092-87C7-44CA-BA6F-9328CE3BC00C}"/>
    <cellStyle name="20% - Accent4 5 2 2 2_Exh G" xfId="2392" xr:uid="{00000000-0005-0000-0000-000077190000}"/>
    <cellStyle name="20% - Accent4 5 2 2 3" xfId="3890" xr:uid="{00000000-0005-0000-0000-000078190000}"/>
    <cellStyle name="20% - Accent4 5 2 2 3 2" xfId="7482" xr:uid="{00000000-0005-0000-0000-000079190000}"/>
    <cellStyle name="20% - Accent4 5 2 2 3 2 2" xfId="15453" xr:uid="{00000000-0005-0000-0000-00007A190000}"/>
    <cellStyle name="20% - Accent4 5 2 2 3 2 2 2" xfId="39296" xr:uid="{0E6E395D-CC4C-4D45-B58F-63F367D70BF8}"/>
    <cellStyle name="20% - Accent4 5 2 2 3 2 3" xfId="23399" xr:uid="{00000000-0005-0000-0000-00007B190000}"/>
    <cellStyle name="20% - Accent4 5 2 2 3 2 3 2" xfId="47232" xr:uid="{E8698F3C-56F3-47C7-AE12-AF6813CFD5C9}"/>
    <cellStyle name="20% - Accent4 5 2 2 3 2 4" xfId="31355" xr:uid="{FC50F1D8-169A-4EFA-9C2B-86F34CF92899}"/>
    <cellStyle name="20% - Accent4 5 2 2 3 3" xfId="11915" xr:uid="{00000000-0005-0000-0000-00007C190000}"/>
    <cellStyle name="20% - Accent4 5 2 2 3 3 2" xfId="35765" xr:uid="{6A87DC4E-E341-4F3C-A219-186CD2C488DF}"/>
    <cellStyle name="20% - Accent4 5 2 2 3 4" xfId="19870" xr:uid="{00000000-0005-0000-0000-00007D190000}"/>
    <cellStyle name="20% - Accent4 5 2 2 3 4 2" xfId="43703" xr:uid="{C327AECD-A2BA-4A6E-81CC-9DE6322D48E6}"/>
    <cellStyle name="20% - Accent4 5 2 2 3 5" xfId="27824" xr:uid="{AB781B2E-E5DB-497A-8127-48D06D1C355F}"/>
    <cellStyle name="20% - Accent4 5 2 2 4" xfId="5710" xr:uid="{00000000-0005-0000-0000-00007E190000}"/>
    <cellStyle name="20% - Accent4 5 2 2 4 2" xfId="13694" xr:uid="{00000000-0005-0000-0000-00007F190000}"/>
    <cellStyle name="20% - Accent4 5 2 2 4 2 2" xfId="37538" xr:uid="{1F4F09EB-10DA-413E-91C2-78FD66859170}"/>
    <cellStyle name="20% - Accent4 5 2 2 4 3" xfId="21642" xr:uid="{00000000-0005-0000-0000-000080190000}"/>
    <cellStyle name="20% - Accent4 5 2 2 4 3 2" xfId="45475" xr:uid="{E2B20AA5-8C89-43C5-AE74-BA4A5A71ACF2}"/>
    <cellStyle name="20% - Accent4 5 2 2 4 4" xfId="29597" xr:uid="{592B94AA-1BD7-41CA-8EAF-81D1BFA02F09}"/>
    <cellStyle name="20% - Accent4 5 2 2 5" xfId="9263" xr:uid="{00000000-0005-0000-0000-000081190000}"/>
    <cellStyle name="20% - Accent4 5 2 2 5 2" xfId="17221" xr:uid="{00000000-0005-0000-0000-000082190000}"/>
    <cellStyle name="20% - Accent4 5 2 2 5 2 2" xfId="41062" xr:uid="{3806B2D8-D86E-4FCE-968B-748B6BE80354}"/>
    <cellStyle name="20% - Accent4 5 2 2 5 3" xfId="25165" xr:uid="{00000000-0005-0000-0000-000083190000}"/>
    <cellStyle name="20% - Accent4 5 2 2 5 3 2" xfId="48998" xr:uid="{5BFCD0A8-EDA2-41CC-A514-6A72732D7507}"/>
    <cellStyle name="20% - Accent4 5 2 2 5 4" xfId="33121" xr:uid="{8275588E-6231-4B77-95F9-DEE770CC6B12}"/>
    <cellStyle name="20% - Accent4 5 2 2 6" xfId="10159" xr:uid="{00000000-0005-0000-0000-000084190000}"/>
    <cellStyle name="20% - Accent4 5 2 2 6 2" xfId="34009" xr:uid="{05A970B5-C8F3-46F3-9AC9-D5EE5B31CA99}"/>
    <cellStyle name="20% - Accent4 5 2 2 7" xfId="18114" xr:uid="{00000000-0005-0000-0000-000085190000}"/>
    <cellStyle name="20% - Accent4 5 2 2 7 2" xfId="41947" xr:uid="{AB16C980-55EF-47D6-A411-452BFE314809}"/>
    <cellStyle name="20% - Accent4 5 2 2 8" xfId="26067" xr:uid="{6C457A52-D9DC-4B8B-BA7C-E25B2825985B}"/>
    <cellStyle name="20% - Accent4 5 2 2_Exh G" xfId="2391" xr:uid="{00000000-0005-0000-0000-000086190000}"/>
    <cellStyle name="20% - Accent4 5 2 3" xfId="1238" xr:uid="{00000000-0005-0000-0000-000087190000}"/>
    <cellStyle name="20% - Accent4 5 2 3 2" xfId="4768" xr:uid="{00000000-0005-0000-0000-000088190000}"/>
    <cellStyle name="20% - Accent4 5 2 3 2 2" xfId="8359" xr:uid="{00000000-0005-0000-0000-000089190000}"/>
    <cellStyle name="20% - Accent4 5 2 3 2 2 2" xfId="16330" xr:uid="{00000000-0005-0000-0000-00008A190000}"/>
    <cellStyle name="20% - Accent4 5 2 3 2 2 2 2" xfId="40173" xr:uid="{38C91E8D-3093-465F-BA7A-D2829585D59A}"/>
    <cellStyle name="20% - Accent4 5 2 3 2 2 3" xfId="24276" xr:uid="{00000000-0005-0000-0000-00008B190000}"/>
    <cellStyle name="20% - Accent4 5 2 3 2 2 3 2" xfId="48109" xr:uid="{B14A676E-F8C6-4EAC-BEE3-E0DD995F6695}"/>
    <cellStyle name="20% - Accent4 5 2 3 2 2 4" xfId="32232" xr:uid="{F5B0857F-C5BF-4A03-B28A-8D5E827D45EE}"/>
    <cellStyle name="20% - Accent4 5 2 3 2 3" xfId="12792" xr:uid="{00000000-0005-0000-0000-00008C190000}"/>
    <cellStyle name="20% - Accent4 5 2 3 2 3 2" xfId="36642" xr:uid="{0B8B394E-BC87-49DE-9BAF-0C9AB79CBB41}"/>
    <cellStyle name="20% - Accent4 5 2 3 2 4" xfId="20747" xr:uid="{00000000-0005-0000-0000-00008D190000}"/>
    <cellStyle name="20% - Accent4 5 2 3 2 4 2" xfId="44580" xr:uid="{99F0A78A-2FFD-49B9-A1DE-0C8715A10D19}"/>
    <cellStyle name="20% - Accent4 5 2 3 2 5" xfId="28701" xr:uid="{6C6DBD9C-08C6-4236-BD44-07A7BFF7E813}"/>
    <cellStyle name="20% - Accent4 5 2 3 3" xfId="6600" xr:uid="{00000000-0005-0000-0000-00008E190000}"/>
    <cellStyle name="20% - Accent4 5 2 3 3 2" xfId="14572" xr:uid="{00000000-0005-0000-0000-00008F190000}"/>
    <cellStyle name="20% - Accent4 5 2 3 3 2 2" xfId="38415" xr:uid="{3C889434-A998-4F90-9E44-C69C591E8EB6}"/>
    <cellStyle name="20% - Accent4 5 2 3 3 3" xfId="22519" xr:uid="{00000000-0005-0000-0000-000090190000}"/>
    <cellStyle name="20% - Accent4 5 2 3 3 3 2" xfId="46352" xr:uid="{21AD7096-C67A-4B4F-87AA-6512588DA4FC}"/>
    <cellStyle name="20% - Accent4 5 2 3 3 4" xfId="30474" xr:uid="{85FF529B-FED0-45BD-A4A0-FC405976FBEC}"/>
    <cellStyle name="20% - Accent4 5 2 3 4" xfId="11036" xr:uid="{00000000-0005-0000-0000-000091190000}"/>
    <cellStyle name="20% - Accent4 5 2 3 4 2" xfId="34886" xr:uid="{F1521721-21F1-4E07-A7A6-647FC4702D00}"/>
    <cellStyle name="20% - Accent4 5 2 3 5" xfId="18991" xr:uid="{00000000-0005-0000-0000-000092190000}"/>
    <cellStyle name="20% - Accent4 5 2 3 5 2" xfId="42824" xr:uid="{0708A16B-8DA1-49AE-B7F0-AA9DFA3CF61A}"/>
    <cellStyle name="20% - Accent4 5 2 3 6" xfId="26944" xr:uid="{D87ACD93-708B-4662-87FC-4D9E9D05C694}"/>
    <cellStyle name="20% - Accent4 5 2 3_Exh G" xfId="2393" xr:uid="{00000000-0005-0000-0000-000093190000}"/>
    <cellStyle name="20% - Accent4 5 2 4" xfId="3889" xr:uid="{00000000-0005-0000-0000-000094190000}"/>
    <cellStyle name="20% - Accent4 5 2 4 2" xfId="7481" xr:uid="{00000000-0005-0000-0000-000095190000}"/>
    <cellStyle name="20% - Accent4 5 2 4 2 2" xfId="15452" xr:uid="{00000000-0005-0000-0000-000096190000}"/>
    <cellStyle name="20% - Accent4 5 2 4 2 2 2" xfId="39295" xr:uid="{0CD43DD7-C8D4-40A9-AEE6-58BB675720C9}"/>
    <cellStyle name="20% - Accent4 5 2 4 2 3" xfId="23398" xr:uid="{00000000-0005-0000-0000-000097190000}"/>
    <cellStyle name="20% - Accent4 5 2 4 2 3 2" xfId="47231" xr:uid="{35EAF80B-970E-4A64-ADF8-C256066B9FC3}"/>
    <cellStyle name="20% - Accent4 5 2 4 2 4" xfId="31354" xr:uid="{73C94ED4-3AC5-4787-BC4E-D30BA7704F03}"/>
    <cellStyle name="20% - Accent4 5 2 4 3" xfId="11914" xr:uid="{00000000-0005-0000-0000-000098190000}"/>
    <cellStyle name="20% - Accent4 5 2 4 3 2" xfId="35764" xr:uid="{7A9770AA-417B-44B1-A0DA-0872678C3747}"/>
    <cellStyle name="20% - Accent4 5 2 4 4" xfId="19869" xr:uid="{00000000-0005-0000-0000-000099190000}"/>
    <cellStyle name="20% - Accent4 5 2 4 4 2" xfId="43702" xr:uid="{75C5D7A8-7D48-4C3C-AA9F-94F3609F8268}"/>
    <cellStyle name="20% - Accent4 5 2 4 5" xfId="27823" xr:uid="{AB264428-CFA7-45B7-B1E2-8D6AFCFB8B23}"/>
    <cellStyle name="20% - Accent4 5 2 5" xfId="5709" xr:uid="{00000000-0005-0000-0000-00009A190000}"/>
    <cellStyle name="20% - Accent4 5 2 5 2" xfId="13693" xr:uid="{00000000-0005-0000-0000-00009B190000}"/>
    <cellStyle name="20% - Accent4 5 2 5 2 2" xfId="37537" xr:uid="{E07920E3-E6E2-47DF-AA39-B57596B51D50}"/>
    <cellStyle name="20% - Accent4 5 2 5 3" xfId="21641" xr:uid="{00000000-0005-0000-0000-00009C190000}"/>
    <cellStyle name="20% - Accent4 5 2 5 3 2" xfId="45474" xr:uid="{B962AE11-E791-4130-AFF1-7DB35B9994A5}"/>
    <cellStyle name="20% - Accent4 5 2 5 4" xfId="29596" xr:uid="{26E2F54E-1C83-46B8-9B0E-98EDAFFC9BEC}"/>
    <cellStyle name="20% - Accent4 5 2 6" xfId="9262" xr:uid="{00000000-0005-0000-0000-00009D190000}"/>
    <cellStyle name="20% - Accent4 5 2 6 2" xfId="17220" xr:uid="{00000000-0005-0000-0000-00009E190000}"/>
    <cellStyle name="20% - Accent4 5 2 6 2 2" xfId="41061" xr:uid="{13C96DDB-1227-45B4-B856-633B648041F9}"/>
    <cellStyle name="20% - Accent4 5 2 6 3" xfId="25164" xr:uid="{00000000-0005-0000-0000-00009F190000}"/>
    <cellStyle name="20% - Accent4 5 2 6 3 2" xfId="48997" xr:uid="{6BDE6BD8-1825-4351-9DBC-9F1376AD9EF5}"/>
    <cellStyle name="20% - Accent4 5 2 6 4" xfId="33120" xr:uid="{D39300AA-1FBB-4E46-B392-66621DD6BF75}"/>
    <cellStyle name="20% - Accent4 5 2 7" xfId="10158" xr:uid="{00000000-0005-0000-0000-0000A0190000}"/>
    <cellStyle name="20% - Accent4 5 2 7 2" xfId="34008" xr:uid="{4016339C-0CE9-492A-B254-62ADC770BA0C}"/>
    <cellStyle name="20% - Accent4 5 2 8" xfId="18113" xr:uid="{00000000-0005-0000-0000-0000A1190000}"/>
    <cellStyle name="20% - Accent4 5 2 8 2" xfId="41946" xr:uid="{4CAE8C12-9441-429A-B3E2-E1B9AD7DE8EF}"/>
    <cellStyle name="20% - Accent4 5 2 9" xfId="26066" xr:uid="{61290B0D-5DF4-4D91-BC9C-B39AA296BA65}"/>
    <cellStyle name="20% - Accent4 5 2_Exh G" xfId="2390" xr:uid="{00000000-0005-0000-0000-0000A2190000}"/>
    <cellStyle name="20% - Accent4 5 3" xfId="212" xr:uid="{00000000-0005-0000-0000-0000A3190000}"/>
    <cellStyle name="20% - Accent4 5 3 2" xfId="1240" xr:uid="{00000000-0005-0000-0000-0000A4190000}"/>
    <cellStyle name="20% - Accent4 5 3 2 2" xfId="4770" xr:uid="{00000000-0005-0000-0000-0000A5190000}"/>
    <cellStyle name="20% - Accent4 5 3 2 2 2" xfId="8361" xr:uid="{00000000-0005-0000-0000-0000A6190000}"/>
    <cellStyle name="20% - Accent4 5 3 2 2 2 2" xfId="16332" xr:uid="{00000000-0005-0000-0000-0000A7190000}"/>
    <cellStyle name="20% - Accent4 5 3 2 2 2 2 2" xfId="40175" xr:uid="{9FE3A880-0C59-425C-B4B1-BAE0F06F19A0}"/>
    <cellStyle name="20% - Accent4 5 3 2 2 2 3" xfId="24278" xr:uid="{00000000-0005-0000-0000-0000A8190000}"/>
    <cellStyle name="20% - Accent4 5 3 2 2 2 3 2" xfId="48111" xr:uid="{AAAEE5F6-D7B2-4C8B-8830-D17B983ADE5A}"/>
    <cellStyle name="20% - Accent4 5 3 2 2 2 4" xfId="32234" xr:uid="{414998CD-FE92-4E5D-BEFA-C16AE9B2924E}"/>
    <cellStyle name="20% - Accent4 5 3 2 2 3" xfId="12794" xr:uid="{00000000-0005-0000-0000-0000A9190000}"/>
    <cellStyle name="20% - Accent4 5 3 2 2 3 2" xfId="36644" xr:uid="{B76F7AB8-7CE8-4ED9-A52F-0B31A4788E58}"/>
    <cellStyle name="20% - Accent4 5 3 2 2 4" xfId="20749" xr:uid="{00000000-0005-0000-0000-0000AA190000}"/>
    <cellStyle name="20% - Accent4 5 3 2 2 4 2" xfId="44582" xr:uid="{23A0213C-DF98-4E71-997B-12BA1D65200E}"/>
    <cellStyle name="20% - Accent4 5 3 2 2 5" xfId="28703" xr:uid="{4BBE1646-CD31-4B70-9920-A9FE7415272E}"/>
    <cellStyle name="20% - Accent4 5 3 2 3" xfId="6602" xr:uid="{00000000-0005-0000-0000-0000AB190000}"/>
    <cellStyle name="20% - Accent4 5 3 2 3 2" xfId="14574" xr:uid="{00000000-0005-0000-0000-0000AC190000}"/>
    <cellStyle name="20% - Accent4 5 3 2 3 2 2" xfId="38417" xr:uid="{5A0618B1-F35C-4914-93D5-93BF0EC66DB1}"/>
    <cellStyle name="20% - Accent4 5 3 2 3 3" xfId="22521" xr:uid="{00000000-0005-0000-0000-0000AD190000}"/>
    <cellStyle name="20% - Accent4 5 3 2 3 3 2" xfId="46354" xr:uid="{8D327149-D6C9-4748-B90D-631CE9A0CD8F}"/>
    <cellStyle name="20% - Accent4 5 3 2 3 4" xfId="30476" xr:uid="{CFD642EC-C93F-48A0-A7EA-66A7DBF52516}"/>
    <cellStyle name="20% - Accent4 5 3 2 4" xfId="11038" xr:uid="{00000000-0005-0000-0000-0000AE190000}"/>
    <cellStyle name="20% - Accent4 5 3 2 4 2" xfId="34888" xr:uid="{A51557E4-CAA9-4673-A5E2-4EE24ABA5C1A}"/>
    <cellStyle name="20% - Accent4 5 3 2 5" xfId="18993" xr:uid="{00000000-0005-0000-0000-0000AF190000}"/>
    <cellStyle name="20% - Accent4 5 3 2 5 2" xfId="42826" xr:uid="{51552FF3-B452-455F-9407-F105CA2D4A3F}"/>
    <cellStyle name="20% - Accent4 5 3 2 6" xfId="26946" xr:uid="{FCF63DA8-E34F-4FEF-A860-C4AEC91F4D43}"/>
    <cellStyle name="20% - Accent4 5 3 2_Exh G" xfId="2395" xr:uid="{00000000-0005-0000-0000-0000B0190000}"/>
    <cellStyle name="20% - Accent4 5 3 3" xfId="3891" xr:uid="{00000000-0005-0000-0000-0000B1190000}"/>
    <cellStyle name="20% - Accent4 5 3 3 2" xfId="7483" xr:uid="{00000000-0005-0000-0000-0000B2190000}"/>
    <cellStyle name="20% - Accent4 5 3 3 2 2" xfId="15454" xr:uid="{00000000-0005-0000-0000-0000B3190000}"/>
    <cellStyle name="20% - Accent4 5 3 3 2 2 2" xfId="39297" xr:uid="{1FF8407D-8756-4018-9B98-21566C35BBC6}"/>
    <cellStyle name="20% - Accent4 5 3 3 2 3" xfId="23400" xr:uid="{00000000-0005-0000-0000-0000B4190000}"/>
    <cellStyle name="20% - Accent4 5 3 3 2 3 2" xfId="47233" xr:uid="{D43E3991-A372-417D-80B0-EAF020529A13}"/>
    <cellStyle name="20% - Accent4 5 3 3 2 4" xfId="31356" xr:uid="{6C85B9B2-070A-4AA2-88B9-397934C97C9E}"/>
    <cellStyle name="20% - Accent4 5 3 3 3" xfId="11916" xr:uid="{00000000-0005-0000-0000-0000B5190000}"/>
    <cellStyle name="20% - Accent4 5 3 3 3 2" xfId="35766" xr:uid="{FA6C84CF-5939-4D02-AB4C-C0EEB898098E}"/>
    <cellStyle name="20% - Accent4 5 3 3 4" xfId="19871" xr:uid="{00000000-0005-0000-0000-0000B6190000}"/>
    <cellStyle name="20% - Accent4 5 3 3 4 2" xfId="43704" xr:uid="{07404500-C494-45F8-A6F4-2B7697005B19}"/>
    <cellStyle name="20% - Accent4 5 3 3 5" xfId="27825" xr:uid="{A0744C9C-1E4B-4DF7-9181-9B6B5226AC6C}"/>
    <cellStyle name="20% - Accent4 5 3 4" xfId="5711" xr:uid="{00000000-0005-0000-0000-0000B7190000}"/>
    <cellStyle name="20% - Accent4 5 3 4 2" xfId="13695" xr:uid="{00000000-0005-0000-0000-0000B8190000}"/>
    <cellStyle name="20% - Accent4 5 3 4 2 2" xfId="37539" xr:uid="{7858AE39-8C71-4819-81EA-5F52D75ED5C7}"/>
    <cellStyle name="20% - Accent4 5 3 4 3" xfId="21643" xr:uid="{00000000-0005-0000-0000-0000B9190000}"/>
    <cellStyle name="20% - Accent4 5 3 4 3 2" xfId="45476" xr:uid="{0BC1685F-8EC8-487F-B362-F3C096AA2A5E}"/>
    <cellStyle name="20% - Accent4 5 3 4 4" xfId="29598" xr:uid="{CD894598-1DDB-4F70-A04E-53C31400B673}"/>
    <cellStyle name="20% - Accent4 5 3 5" xfId="9264" xr:uid="{00000000-0005-0000-0000-0000BA190000}"/>
    <cellStyle name="20% - Accent4 5 3 5 2" xfId="17222" xr:uid="{00000000-0005-0000-0000-0000BB190000}"/>
    <cellStyle name="20% - Accent4 5 3 5 2 2" xfId="41063" xr:uid="{AEC7FBD2-2F99-40F3-A40F-877D5F0CF61C}"/>
    <cellStyle name="20% - Accent4 5 3 5 3" xfId="25166" xr:uid="{00000000-0005-0000-0000-0000BC190000}"/>
    <cellStyle name="20% - Accent4 5 3 5 3 2" xfId="48999" xr:uid="{E73160E1-EAD4-47C9-B7B7-FEAC94D7B343}"/>
    <cellStyle name="20% - Accent4 5 3 5 4" xfId="33122" xr:uid="{0E3B42E8-0710-41A3-9804-12987C93D302}"/>
    <cellStyle name="20% - Accent4 5 3 6" xfId="10160" xr:uid="{00000000-0005-0000-0000-0000BD190000}"/>
    <cellStyle name="20% - Accent4 5 3 6 2" xfId="34010" xr:uid="{FDBE27BE-E95D-4D29-8F1D-DD7F8AF22713}"/>
    <cellStyle name="20% - Accent4 5 3 7" xfId="18115" xr:uid="{00000000-0005-0000-0000-0000BE190000}"/>
    <cellStyle name="20% - Accent4 5 3 7 2" xfId="41948" xr:uid="{2D744479-D4B8-409F-9826-EE6DD3C09C8B}"/>
    <cellStyle name="20% - Accent4 5 3 8" xfId="26068" xr:uid="{697E07A9-FBA8-4377-8FFE-0593B6386844}"/>
    <cellStyle name="20% - Accent4 5 3_Exh G" xfId="2394" xr:uid="{00000000-0005-0000-0000-0000BF190000}"/>
    <cellStyle name="20% - Accent4 5 4" xfId="905" xr:uid="{00000000-0005-0000-0000-0000C0190000}"/>
    <cellStyle name="20% - Accent4 5 5" xfId="1237" xr:uid="{00000000-0005-0000-0000-0000C1190000}"/>
    <cellStyle name="20% - Accent4 5 5 2" xfId="4767" xr:uid="{00000000-0005-0000-0000-0000C2190000}"/>
    <cellStyle name="20% - Accent4 5 5 2 2" xfId="8358" xr:uid="{00000000-0005-0000-0000-0000C3190000}"/>
    <cellStyle name="20% - Accent4 5 5 2 2 2" xfId="16329" xr:uid="{00000000-0005-0000-0000-0000C4190000}"/>
    <cellStyle name="20% - Accent4 5 5 2 2 2 2" xfId="40172" xr:uid="{1D5397CA-C497-4E02-9C3A-A42A6B3A2DA5}"/>
    <cellStyle name="20% - Accent4 5 5 2 2 3" xfId="24275" xr:uid="{00000000-0005-0000-0000-0000C5190000}"/>
    <cellStyle name="20% - Accent4 5 5 2 2 3 2" xfId="48108" xr:uid="{F6F5178D-D58A-4CDC-BB61-24BCFEAE76C4}"/>
    <cellStyle name="20% - Accent4 5 5 2 2 4" xfId="32231" xr:uid="{4F51BA1F-C8CE-437E-AD39-6C3E7723D726}"/>
    <cellStyle name="20% - Accent4 5 5 2 3" xfId="12791" xr:uid="{00000000-0005-0000-0000-0000C6190000}"/>
    <cellStyle name="20% - Accent4 5 5 2 3 2" xfId="36641" xr:uid="{344E5F6C-B5DB-4A64-BD2D-A79574709E9C}"/>
    <cellStyle name="20% - Accent4 5 5 2 4" xfId="20746" xr:uid="{00000000-0005-0000-0000-0000C7190000}"/>
    <cellStyle name="20% - Accent4 5 5 2 4 2" xfId="44579" xr:uid="{45281A76-B7CB-47EE-9B72-35A1DA4745D1}"/>
    <cellStyle name="20% - Accent4 5 5 2 5" xfId="28700" xr:uid="{90B6277A-8120-462E-9E77-4EF9E3DB7BC8}"/>
    <cellStyle name="20% - Accent4 5 5 3" xfId="6599" xr:uid="{00000000-0005-0000-0000-0000C8190000}"/>
    <cellStyle name="20% - Accent4 5 5 3 2" xfId="14571" xr:uid="{00000000-0005-0000-0000-0000C9190000}"/>
    <cellStyle name="20% - Accent4 5 5 3 2 2" xfId="38414" xr:uid="{25030A0B-17BB-421B-AE07-1EC587623D0F}"/>
    <cellStyle name="20% - Accent4 5 5 3 3" xfId="22518" xr:uid="{00000000-0005-0000-0000-0000CA190000}"/>
    <cellStyle name="20% - Accent4 5 5 3 3 2" xfId="46351" xr:uid="{F720B5E8-6345-4099-8049-98D29B0F5693}"/>
    <cellStyle name="20% - Accent4 5 5 3 4" xfId="30473" xr:uid="{42035A3A-04D4-4F3B-AFB0-F19A4E3AFAC6}"/>
    <cellStyle name="20% - Accent4 5 5 4" xfId="11035" xr:uid="{00000000-0005-0000-0000-0000CB190000}"/>
    <cellStyle name="20% - Accent4 5 5 4 2" xfId="34885" xr:uid="{DDA057A8-3DCD-42B2-9CDD-4418F2A9F51C}"/>
    <cellStyle name="20% - Accent4 5 5 5" xfId="18990" xr:uid="{00000000-0005-0000-0000-0000CC190000}"/>
    <cellStyle name="20% - Accent4 5 5 5 2" xfId="42823" xr:uid="{C40D21FD-2C16-4388-A67C-9DB3552E611E}"/>
    <cellStyle name="20% - Accent4 5 5 6" xfId="26943" xr:uid="{E71C5015-7DEB-4E4D-9B14-FB4B953B2964}"/>
    <cellStyle name="20% - Accent4 5 5_Exh G" xfId="2396" xr:uid="{00000000-0005-0000-0000-0000CD190000}"/>
    <cellStyle name="20% - Accent4 5 6" xfId="3888" xr:uid="{00000000-0005-0000-0000-0000CE190000}"/>
    <cellStyle name="20% - Accent4 5 6 2" xfId="7480" xr:uid="{00000000-0005-0000-0000-0000CF190000}"/>
    <cellStyle name="20% - Accent4 5 6 2 2" xfId="15451" xr:uid="{00000000-0005-0000-0000-0000D0190000}"/>
    <cellStyle name="20% - Accent4 5 6 2 2 2" xfId="39294" xr:uid="{801E55AF-50FB-460C-8A5D-C85C4B841285}"/>
    <cellStyle name="20% - Accent4 5 6 2 3" xfId="23397" xr:uid="{00000000-0005-0000-0000-0000D1190000}"/>
    <cellStyle name="20% - Accent4 5 6 2 3 2" xfId="47230" xr:uid="{AD094A27-C516-4D30-AF6C-26B6CA7F5AC8}"/>
    <cellStyle name="20% - Accent4 5 6 2 4" xfId="31353" xr:uid="{D8FA30AD-AC4A-4F91-A2B2-9897CDAC4252}"/>
    <cellStyle name="20% - Accent4 5 6 3" xfId="11913" xr:uid="{00000000-0005-0000-0000-0000D2190000}"/>
    <cellStyle name="20% - Accent4 5 6 3 2" xfId="35763" xr:uid="{2CC57EA1-3B32-4CD3-8CE1-02E0B3CEF5DF}"/>
    <cellStyle name="20% - Accent4 5 6 4" xfId="19868" xr:uid="{00000000-0005-0000-0000-0000D3190000}"/>
    <cellStyle name="20% - Accent4 5 6 4 2" xfId="43701" xr:uid="{EB30DBB7-084D-4C56-B958-6D2B0B9B3732}"/>
    <cellStyle name="20% - Accent4 5 6 5" xfId="27822" xr:uid="{B386347B-992F-441E-A21C-6DF03F65B99C}"/>
    <cellStyle name="20% - Accent4 5 7" xfId="5708" xr:uid="{00000000-0005-0000-0000-0000D4190000}"/>
    <cellStyle name="20% - Accent4 5 7 2" xfId="13692" xr:uid="{00000000-0005-0000-0000-0000D5190000}"/>
    <cellStyle name="20% - Accent4 5 7 2 2" xfId="37536" xr:uid="{E586132F-D355-4E39-AFC3-94E169495BD2}"/>
    <cellStyle name="20% - Accent4 5 7 3" xfId="21640" xr:uid="{00000000-0005-0000-0000-0000D6190000}"/>
    <cellStyle name="20% - Accent4 5 7 3 2" xfId="45473" xr:uid="{6295D51E-7F33-4BA1-8C4D-06EE53EB55E1}"/>
    <cellStyle name="20% - Accent4 5 7 4" xfId="29595" xr:uid="{47359226-F6D4-4613-85C0-18D4F0FE074A}"/>
    <cellStyle name="20% - Accent4 5 8" xfId="9261" xr:uid="{00000000-0005-0000-0000-0000D7190000}"/>
    <cellStyle name="20% - Accent4 5 8 2" xfId="17219" xr:uid="{00000000-0005-0000-0000-0000D8190000}"/>
    <cellStyle name="20% - Accent4 5 8 2 2" xfId="41060" xr:uid="{F3CD08C0-B3BD-4D95-89C5-88E238EA6388}"/>
    <cellStyle name="20% - Accent4 5 8 3" xfId="25163" xr:uid="{00000000-0005-0000-0000-0000D9190000}"/>
    <cellStyle name="20% - Accent4 5 8 3 2" xfId="48996" xr:uid="{110C7B46-D7CE-4576-AF59-928D37898D0A}"/>
    <cellStyle name="20% - Accent4 5 8 4" xfId="33119" xr:uid="{902418C7-812D-4201-97D7-23F0207E4F3B}"/>
    <cellStyle name="20% - Accent4 5 9" xfId="10157" xr:uid="{00000000-0005-0000-0000-0000DA190000}"/>
    <cellStyle name="20% - Accent4 5 9 2" xfId="34007" xr:uid="{384EF4B5-5404-43EF-908B-3C299F557C7F}"/>
    <cellStyle name="20% - Accent4 5_Exh G" xfId="2389" xr:uid="{00000000-0005-0000-0000-0000DB190000}"/>
    <cellStyle name="20% - Accent4 6" xfId="213" xr:uid="{00000000-0005-0000-0000-0000DC190000}"/>
    <cellStyle name="20% - Accent4 6 10" xfId="18116" xr:uid="{00000000-0005-0000-0000-0000DD190000}"/>
    <cellStyle name="20% - Accent4 6 10 2" xfId="41949" xr:uid="{66E9A9CE-A746-4448-AAEE-979134804269}"/>
    <cellStyle name="20% - Accent4 6 11" xfId="26069" xr:uid="{2FD60BEF-7285-4DEA-8973-7BF40D96836E}"/>
    <cellStyle name="20% - Accent4 6 2" xfId="214" xr:uid="{00000000-0005-0000-0000-0000DE190000}"/>
    <cellStyle name="20% - Accent4 6 2 2" xfId="215" xr:uid="{00000000-0005-0000-0000-0000DF190000}"/>
    <cellStyle name="20% - Accent4 6 2 2 2" xfId="1243" xr:uid="{00000000-0005-0000-0000-0000E0190000}"/>
    <cellStyle name="20% - Accent4 6 2 2 2 2" xfId="4773" xr:uid="{00000000-0005-0000-0000-0000E1190000}"/>
    <cellStyle name="20% - Accent4 6 2 2 2 2 2" xfId="8364" xr:uid="{00000000-0005-0000-0000-0000E2190000}"/>
    <cellStyle name="20% - Accent4 6 2 2 2 2 2 2" xfId="16335" xr:uid="{00000000-0005-0000-0000-0000E3190000}"/>
    <cellStyle name="20% - Accent4 6 2 2 2 2 2 2 2" xfId="40178" xr:uid="{4E535568-1C5A-40BB-B6A3-C46D0D4E0A68}"/>
    <cellStyle name="20% - Accent4 6 2 2 2 2 2 3" xfId="24281" xr:uid="{00000000-0005-0000-0000-0000E4190000}"/>
    <cellStyle name="20% - Accent4 6 2 2 2 2 2 3 2" xfId="48114" xr:uid="{2B4C0757-6BDA-47C7-B209-4FBAAD7007C6}"/>
    <cellStyle name="20% - Accent4 6 2 2 2 2 2 4" xfId="32237" xr:uid="{06FB73EB-D875-4E0A-9E7B-34ADC7AE4BA1}"/>
    <cellStyle name="20% - Accent4 6 2 2 2 2 3" xfId="12797" xr:uid="{00000000-0005-0000-0000-0000E5190000}"/>
    <cellStyle name="20% - Accent4 6 2 2 2 2 3 2" xfId="36647" xr:uid="{14FB9D43-FE28-41EB-8E39-A0E0742B4023}"/>
    <cellStyle name="20% - Accent4 6 2 2 2 2 4" xfId="20752" xr:uid="{00000000-0005-0000-0000-0000E6190000}"/>
    <cellStyle name="20% - Accent4 6 2 2 2 2 4 2" xfId="44585" xr:uid="{A4C2F5B5-A14F-4CFD-907D-4D95C83FCD8E}"/>
    <cellStyle name="20% - Accent4 6 2 2 2 2 5" xfId="28706" xr:uid="{E37956B3-1FEC-4D4A-B3B3-C9EBF0AF4FFB}"/>
    <cellStyle name="20% - Accent4 6 2 2 2 3" xfId="6605" xr:uid="{00000000-0005-0000-0000-0000E7190000}"/>
    <cellStyle name="20% - Accent4 6 2 2 2 3 2" xfId="14577" xr:uid="{00000000-0005-0000-0000-0000E8190000}"/>
    <cellStyle name="20% - Accent4 6 2 2 2 3 2 2" xfId="38420" xr:uid="{205FC1B6-8D0E-4383-8BD2-F1AB2C7EBB43}"/>
    <cellStyle name="20% - Accent4 6 2 2 2 3 3" xfId="22524" xr:uid="{00000000-0005-0000-0000-0000E9190000}"/>
    <cellStyle name="20% - Accent4 6 2 2 2 3 3 2" xfId="46357" xr:uid="{62307F4B-E830-4259-B0B0-07CCA7714480}"/>
    <cellStyle name="20% - Accent4 6 2 2 2 3 4" xfId="30479" xr:uid="{83DB1464-1AB3-404F-B178-45B1C93B1C18}"/>
    <cellStyle name="20% - Accent4 6 2 2 2 4" xfId="11041" xr:uid="{00000000-0005-0000-0000-0000EA190000}"/>
    <cellStyle name="20% - Accent4 6 2 2 2 4 2" xfId="34891" xr:uid="{759284B6-E644-4F0B-BF72-41D685AA9FDB}"/>
    <cellStyle name="20% - Accent4 6 2 2 2 5" xfId="18996" xr:uid="{00000000-0005-0000-0000-0000EB190000}"/>
    <cellStyle name="20% - Accent4 6 2 2 2 5 2" xfId="42829" xr:uid="{977A473F-379C-499C-95E3-53F4B225CFD9}"/>
    <cellStyle name="20% - Accent4 6 2 2 2 6" xfId="26949" xr:uid="{4CD0702B-AC07-440B-8A18-E8F4D990487E}"/>
    <cellStyle name="20% - Accent4 6 2 2 2_Exh G" xfId="2400" xr:uid="{00000000-0005-0000-0000-0000EC190000}"/>
    <cellStyle name="20% - Accent4 6 2 2 3" xfId="3894" xr:uid="{00000000-0005-0000-0000-0000ED190000}"/>
    <cellStyle name="20% - Accent4 6 2 2 3 2" xfId="7486" xr:uid="{00000000-0005-0000-0000-0000EE190000}"/>
    <cellStyle name="20% - Accent4 6 2 2 3 2 2" xfId="15457" xr:uid="{00000000-0005-0000-0000-0000EF190000}"/>
    <cellStyle name="20% - Accent4 6 2 2 3 2 2 2" xfId="39300" xr:uid="{C83DE09D-D98F-41E4-B0D5-34DAF55E515E}"/>
    <cellStyle name="20% - Accent4 6 2 2 3 2 3" xfId="23403" xr:uid="{00000000-0005-0000-0000-0000F0190000}"/>
    <cellStyle name="20% - Accent4 6 2 2 3 2 3 2" xfId="47236" xr:uid="{216CB698-DD93-4AF4-B27F-379EBF8F51D6}"/>
    <cellStyle name="20% - Accent4 6 2 2 3 2 4" xfId="31359" xr:uid="{713925ED-5905-4397-81AF-21E7886E2316}"/>
    <cellStyle name="20% - Accent4 6 2 2 3 3" xfId="11919" xr:uid="{00000000-0005-0000-0000-0000F1190000}"/>
    <cellStyle name="20% - Accent4 6 2 2 3 3 2" xfId="35769" xr:uid="{83E52899-B4CF-40A3-B319-4FCB8C25B1F6}"/>
    <cellStyle name="20% - Accent4 6 2 2 3 4" xfId="19874" xr:uid="{00000000-0005-0000-0000-0000F2190000}"/>
    <cellStyle name="20% - Accent4 6 2 2 3 4 2" xfId="43707" xr:uid="{239B424C-3802-4D5D-A18F-8CF22850F7CF}"/>
    <cellStyle name="20% - Accent4 6 2 2 3 5" xfId="27828" xr:uid="{26EC64E9-97FC-4FF3-8BAB-C476C694EEDF}"/>
    <cellStyle name="20% - Accent4 6 2 2 4" xfId="5714" xr:uid="{00000000-0005-0000-0000-0000F3190000}"/>
    <cellStyle name="20% - Accent4 6 2 2 4 2" xfId="13698" xr:uid="{00000000-0005-0000-0000-0000F4190000}"/>
    <cellStyle name="20% - Accent4 6 2 2 4 2 2" xfId="37542" xr:uid="{383D5795-EA1C-448E-9839-2AB1E08CAF6F}"/>
    <cellStyle name="20% - Accent4 6 2 2 4 3" xfId="21646" xr:uid="{00000000-0005-0000-0000-0000F5190000}"/>
    <cellStyle name="20% - Accent4 6 2 2 4 3 2" xfId="45479" xr:uid="{7E56BA82-2406-435D-A4FD-AEA833AA1C3B}"/>
    <cellStyle name="20% - Accent4 6 2 2 4 4" xfId="29601" xr:uid="{E8A4CF39-601A-41D4-B376-2965D08A1924}"/>
    <cellStyle name="20% - Accent4 6 2 2 5" xfId="9267" xr:uid="{00000000-0005-0000-0000-0000F6190000}"/>
    <cellStyle name="20% - Accent4 6 2 2 5 2" xfId="17225" xr:uid="{00000000-0005-0000-0000-0000F7190000}"/>
    <cellStyle name="20% - Accent4 6 2 2 5 2 2" xfId="41066" xr:uid="{477033E6-080A-469D-BDEB-823C7ABF1FDD}"/>
    <cellStyle name="20% - Accent4 6 2 2 5 3" xfId="25169" xr:uid="{00000000-0005-0000-0000-0000F8190000}"/>
    <cellStyle name="20% - Accent4 6 2 2 5 3 2" xfId="49002" xr:uid="{ACBAC2D8-C589-4E60-8E21-476EF1AA07D7}"/>
    <cellStyle name="20% - Accent4 6 2 2 5 4" xfId="33125" xr:uid="{BE584B73-F322-4EBF-AB73-59177FA3ADBE}"/>
    <cellStyle name="20% - Accent4 6 2 2 6" xfId="10163" xr:uid="{00000000-0005-0000-0000-0000F9190000}"/>
    <cellStyle name="20% - Accent4 6 2 2 6 2" xfId="34013" xr:uid="{2FBB9DB5-B261-4723-9A8B-B8A77614C162}"/>
    <cellStyle name="20% - Accent4 6 2 2 7" xfId="18118" xr:uid="{00000000-0005-0000-0000-0000FA190000}"/>
    <cellStyle name="20% - Accent4 6 2 2 7 2" xfId="41951" xr:uid="{A981B18D-9F15-405D-A44E-C3F7911C8857}"/>
    <cellStyle name="20% - Accent4 6 2 2 8" xfId="26071" xr:uid="{211E5913-D96E-4625-A691-973574095625}"/>
    <cellStyle name="20% - Accent4 6 2 2_Exh G" xfId="2399" xr:uid="{00000000-0005-0000-0000-0000FB190000}"/>
    <cellStyle name="20% - Accent4 6 2 3" xfId="1242" xr:uid="{00000000-0005-0000-0000-0000FC190000}"/>
    <cellStyle name="20% - Accent4 6 2 3 2" xfId="4772" xr:uid="{00000000-0005-0000-0000-0000FD190000}"/>
    <cellStyle name="20% - Accent4 6 2 3 2 2" xfId="8363" xr:uid="{00000000-0005-0000-0000-0000FE190000}"/>
    <cellStyle name="20% - Accent4 6 2 3 2 2 2" xfId="16334" xr:uid="{00000000-0005-0000-0000-0000FF190000}"/>
    <cellStyle name="20% - Accent4 6 2 3 2 2 2 2" xfId="40177" xr:uid="{D42D9D08-850A-45A5-BCAD-22165B625987}"/>
    <cellStyle name="20% - Accent4 6 2 3 2 2 3" xfId="24280" xr:uid="{00000000-0005-0000-0000-0000001A0000}"/>
    <cellStyle name="20% - Accent4 6 2 3 2 2 3 2" xfId="48113" xr:uid="{A11B2FB5-22A6-4791-A6B0-254A55D6ED02}"/>
    <cellStyle name="20% - Accent4 6 2 3 2 2 4" xfId="32236" xr:uid="{C21CCB4F-C002-47CF-94F9-8924583E63B2}"/>
    <cellStyle name="20% - Accent4 6 2 3 2 3" xfId="12796" xr:uid="{00000000-0005-0000-0000-0000011A0000}"/>
    <cellStyle name="20% - Accent4 6 2 3 2 3 2" xfId="36646" xr:uid="{087E21E3-3C25-43B3-9CFF-1C698F5630A4}"/>
    <cellStyle name="20% - Accent4 6 2 3 2 4" xfId="20751" xr:uid="{00000000-0005-0000-0000-0000021A0000}"/>
    <cellStyle name="20% - Accent4 6 2 3 2 4 2" xfId="44584" xr:uid="{6BAC3B53-2DED-4403-A7AC-C5C9C507D7F3}"/>
    <cellStyle name="20% - Accent4 6 2 3 2 5" xfId="28705" xr:uid="{C96CA034-B183-4831-93AB-63540EAD30ED}"/>
    <cellStyle name="20% - Accent4 6 2 3 3" xfId="6604" xr:uid="{00000000-0005-0000-0000-0000031A0000}"/>
    <cellStyle name="20% - Accent4 6 2 3 3 2" xfId="14576" xr:uid="{00000000-0005-0000-0000-0000041A0000}"/>
    <cellStyle name="20% - Accent4 6 2 3 3 2 2" xfId="38419" xr:uid="{4075FF95-0CC0-460B-9776-8126CF3F0C7D}"/>
    <cellStyle name="20% - Accent4 6 2 3 3 3" xfId="22523" xr:uid="{00000000-0005-0000-0000-0000051A0000}"/>
    <cellStyle name="20% - Accent4 6 2 3 3 3 2" xfId="46356" xr:uid="{48DCBD70-9FA2-4F9B-9FB1-FA2B4794A8A9}"/>
    <cellStyle name="20% - Accent4 6 2 3 3 4" xfId="30478" xr:uid="{C1F8CAE4-90A5-4946-BA27-E9442BE960CE}"/>
    <cellStyle name="20% - Accent4 6 2 3 4" xfId="11040" xr:uid="{00000000-0005-0000-0000-0000061A0000}"/>
    <cellStyle name="20% - Accent4 6 2 3 4 2" xfId="34890" xr:uid="{4D7F09E8-3B56-4EF5-8246-3633DB300459}"/>
    <cellStyle name="20% - Accent4 6 2 3 5" xfId="18995" xr:uid="{00000000-0005-0000-0000-0000071A0000}"/>
    <cellStyle name="20% - Accent4 6 2 3 5 2" xfId="42828" xr:uid="{085E3631-CB96-4FE0-8D27-75A9965AC187}"/>
    <cellStyle name="20% - Accent4 6 2 3 6" xfId="26948" xr:uid="{0220C2DA-670E-4DB8-841F-EDECE904738E}"/>
    <cellStyle name="20% - Accent4 6 2 3_Exh G" xfId="2401" xr:uid="{00000000-0005-0000-0000-0000081A0000}"/>
    <cellStyle name="20% - Accent4 6 2 4" xfId="3893" xr:uid="{00000000-0005-0000-0000-0000091A0000}"/>
    <cellStyle name="20% - Accent4 6 2 4 2" xfId="7485" xr:uid="{00000000-0005-0000-0000-00000A1A0000}"/>
    <cellStyle name="20% - Accent4 6 2 4 2 2" xfId="15456" xr:uid="{00000000-0005-0000-0000-00000B1A0000}"/>
    <cellStyle name="20% - Accent4 6 2 4 2 2 2" xfId="39299" xr:uid="{D6940727-AC70-4013-95D9-7875003A684E}"/>
    <cellStyle name="20% - Accent4 6 2 4 2 3" xfId="23402" xr:uid="{00000000-0005-0000-0000-00000C1A0000}"/>
    <cellStyle name="20% - Accent4 6 2 4 2 3 2" xfId="47235" xr:uid="{4B553759-483A-4A17-BF02-69C2A3D39846}"/>
    <cellStyle name="20% - Accent4 6 2 4 2 4" xfId="31358" xr:uid="{0CE07800-D16A-41F4-B25A-CDD9888FEAE0}"/>
    <cellStyle name="20% - Accent4 6 2 4 3" xfId="11918" xr:uid="{00000000-0005-0000-0000-00000D1A0000}"/>
    <cellStyle name="20% - Accent4 6 2 4 3 2" xfId="35768" xr:uid="{31F83388-4B14-4B47-B9F6-1C135339985D}"/>
    <cellStyle name="20% - Accent4 6 2 4 4" xfId="19873" xr:uid="{00000000-0005-0000-0000-00000E1A0000}"/>
    <cellStyle name="20% - Accent4 6 2 4 4 2" xfId="43706" xr:uid="{BF9436B7-4994-4E58-A32C-B43BA6A56D49}"/>
    <cellStyle name="20% - Accent4 6 2 4 5" xfId="27827" xr:uid="{20C14128-5394-4C7A-B9CF-C9A2E48C100D}"/>
    <cellStyle name="20% - Accent4 6 2 5" xfId="5713" xr:uid="{00000000-0005-0000-0000-00000F1A0000}"/>
    <cellStyle name="20% - Accent4 6 2 5 2" xfId="13697" xr:uid="{00000000-0005-0000-0000-0000101A0000}"/>
    <cellStyle name="20% - Accent4 6 2 5 2 2" xfId="37541" xr:uid="{8B068841-A636-4326-A044-FA9BF8268AB5}"/>
    <cellStyle name="20% - Accent4 6 2 5 3" xfId="21645" xr:uid="{00000000-0005-0000-0000-0000111A0000}"/>
    <cellStyle name="20% - Accent4 6 2 5 3 2" xfId="45478" xr:uid="{90535992-DFEF-469B-BA2C-4A052E048B91}"/>
    <cellStyle name="20% - Accent4 6 2 5 4" xfId="29600" xr:uid="{68130589-54DB-41F2-AB37-0E175A49909B}"/>
    <cellStyle name="20% - Accent4 6 2 6" xfId="9266" xr:uid="{00000000-0005-0000-0000-0000121A0000}"/>
    <cellStyle name="20% - Accent4 6 2 6 2" xfId="17224" xr:uid="{00000000-0005-0000-0000-0000131A0000}"/>
    <cellStyle name="20% - Accent4 6 2 6 2 2" xfId="41065" xr:uid="{D4340FC3-2A14-45D6-ABCF-5915FD428BB5}"/>
    <cellStyle name="20% - Accent4 6 2 6 3" xfId="25168" xr:uid="{00000000-0005-0000-0000-0000141A0000}"/>
    <cellStyle name="20% - Accent4 6 2 6 3 2" xfId="49001" xr:uid="{72AF33A3-434C-49A7-8CA6-552A6D77427D}"/>
    <cellStyle name="20% - Accent4 6 2 6 4" xfId="33124" xr:uid="{2899277A-CCEA-41C1-895B-697525CB7161}"/>
    <cellStyle name="20% - Accent4 6 2 7" xfId="10162" xr:uid="{00000000-0005-0000-0000-0000151A0000}"/>
    <cellStyle name="20% - Accent4 6 2 7 2" xfId="34012" xr:uid="{20E6E4B0-9079-40AB-9ACA-BDB24362680A}"/>
    <cellStyle name="20% - Accent4 6 2 8" xfId="18117" xr:uid="{00000000-0005-0000-0000-0000161A0000}"/>
    <cellStyle name="20% - Accent4 6 2 8 2" xfId="41950" xr:uid="{544D8936-5A8A-4B4E-90CF-36550B7E3C5C}"/>
    <cellStyle name="20% - Accent4 6 2 9" xfId="26070" xr:uid="{E447843A-54CB-4114-A895-8318CF9EC5CC}"/>
    <cellStyle name="20% - Accent4 6 2_Exh G" xfId="2398" xr:uid="{00000000-0005-0000-0000-0000171A0000}"/>
    <cellStyle name="20% - Accent4 6 3" xfId="216" xr:uid="{00000000-0005-0000-0000-0000181A0000}"/>
    <cellStyle name="20% - Accent4 6 3 2" xfId="1244" xr:uid="{00000000-0005-0000-0000-0000191A0000}"/>
    <cellStyle name="20% - Accent4 6 3 2 2" xfId="4774" xr:uid="{00000000-0005-0000-0000-00001A1A0000}"/>
    <cellStyle name="20% - Accent4 6 3 2 2 2" xfId="8365" xr:uid="{00000000-0005-0000-0000-00001B1A0000}"/>
    <cellStyle name="20% - Accent4 6 3 2 2 2 2" xfId="16336" xr:uid="{00000000-0005-0000-0000-00001C1A0000}"/>
    <cellStyle name="20% - Accent4 6 3 2 2 2 2 2" xfId="40179" xr:uid="{4357CED8-12E1-4069-8651-EBC9E9A94B52}"/>
    <cellStyle name="20% - Accent4 6 3 2 2 2 3" xfId="24282" xr:uid="{00000000-0005-0000-0000-00001D1A0000}"/>
    <cellStyle name="20% - Accent4 6 3 2 2 2 3 2" xfId="48115" xr:uid="{BC536CA1-17C8-49FA-8981-EC0E74930CB3}"/>
    <cellStyle name="20% - Accent4 6 3 2 2 2 4" xfId="32238" xr:uid="{4972AAD5-5755-4FA8-8685-2FF8D371F3BE}"/>
    <cellStyle name="20% - Accent4 6 3 2 2 3" xfId="12798" xr:uid="{00000000-0005-0000-0000-00001E1A0000}"/>
    <cellStyle name="20% - Accent4 6 3 2 2 3 2" xfId="36648" xr:uid="{98765BCE-1D93-4B43-A533-2407514A6260}"/>
    <cellStyle name="20% - Accent4 6 3 2 2 4" xfId="20753" xr:uid="{00000000-0005-0000-0000-00001F1A0000}"/>
    <cellStyle name="20% - Accent4 6 3 2 2 4 2" xfId="44586" xr:uid="{7FBE7B00-FFA9-44DD-B234-6FDBEC165B0D}"/>
    <cellStyle name="20% - Accent4 6 3 2 2 5" xfId="28707" xr:uid="{2102957A-FFD2-49DB-BCBB-3C604E9A7B0B}"/>
    <cellStyle name="20% - Accent4 6 3 2 3" xfId="6606" xr:uid="{00000000-0005-0000-0000-0000201A0000}"/>
    <cellStyle name="20% - Accent4 6 3 2 3 2" xfId="14578" xr:uid="{00000000-0005-0000-0000-0000211A0000}"/>
    <cellStyle name="20% - Accent4 6 3 2 3 2 2" xfId="38421" xr:uid="{2A60D633-BCB0-468F-9931-03BDE3090829}"/>
    <cellStyle name="20% - Accent4 6 3 2 3 3" xfId="22525" xr:uid="{00000000-0005-0000-0000-0000221A0000}"/>
    <cellStyle name="20% - Accent4 6 3 2 3 3 2" xfId="46358" xr:uid="{74D688E3-CF2E-4BE9-8C67-B727EAD51415}"/>
    <cellStyle name="20% - Accent4 6 3 2 3 4" xfId="30480" xr:uid="{9E690785-BEE3-4E68-A9C4-67F048304F12}"/>
    <cellStyle name="20% - Accent4 6 3 2 4" xfId="11042" xr:uid="{00000000-0005-0000-0000-0000231A0000}"/>
    <cellStyle name="20% - Accent4 6 3 2 4 2" xfId="34892" xr:uid="{1E3DD993-6800-4973-9711-0C33BDED1991}"/>
    <cellStyle name="20% - Accent4 6 3 2 5" xfId="18997" xr:uid="{00000000-0005-0000-0000-0000241A0000}"/>
    <cellStyle name="20% - Accent4 6 3 2 5 2" xfId="42830" xr:uid="{859838ED-579B-42E2-84C1-366AFCC4BE73}"/>
    <cellStyle name="20% - Accent4 6 3 2 6" xfId="26950" xr:uid="{DE011A2E-7C59-43A2-890F-854EB81377D7}"/>
    <cellStyle name="20% - Accent4 6 3 2_Exh G" xfId="2403" xr:uid="{00000000-0005-0000-0000-0000251A0000}"/>
    <cellStyle name="20% - Accent4 6 3 3" xfId="3895" xr:uid="{00000000-0005-0000-0000-0000261A0000}"/>
    <cellStyle name="20% - Accent4 6 3 3 2" xfId="7487" xr:uid="{00000000-0005-0000-0000-0000271A0000}"/>
    <cellStyle name="20% - Accent4 6 3 3 2 2" xfId="15458" xr:uid="{00000000-0005-0000-0000-0000281A0000}"/>
    <cellStyle name="20% - Accent4 6 3 3 2 2 2" xfId="39301" xr:uid="{99A56E6E-F8FE-46BE-9C37-67E73D42A28D}"/>
    <cellStyle name="20% - Accent4 6 3 3 2 3" xfId="23404" xr:uid="{00000000-0005-0000-0000-0000291A0000}"/>
    <cellStyle name="20% - Accent4 6 3 3 2 3 2" xfId="47237" xr:uid="{5A4665E4-9B45-44BA-9D11-C6096CA82606}"/>
    <cellStyle name="20% - Accent4 6 3 3 2 4" xfId="31360" xr:uid="{D81DC923-9C1E-4B13-870B-465E6A852BFB}"/>
    <cellStyle name="20% - Accent4 6 3 3 3" xfId="11920" xr:uid="{00000000-0005-0000-0000-00002A1A0000}"/>
    <cellStyle name="20% - Accent4 6 3 3 3 2" xfId="35770" xr:uid="{0706B390-3E13-4B40-8605-3383B4E7906C}"/>
    <cellStyle name="20% - Accent4 6 3 3 4" xfId="19875" xr:uid="{00000000-0005-0000-0000-00002B1A0000}"/>
    <cellStyle name="20% - Accent4 6 3 3 4 2" xfId="43708" xr:uid="{F92D4DD7-EC5E-42E4-BCBA-D27E5DD83978}"/>
    <cellStyle name="20% - Accent4 6 3 3 5" xfId="27829" xr:uid="{157AFC25-8244-435C-84E8-E24EF316E02C}"/>
    <cellStyle name="20% - Accent4 6 3 4" xfId="5715" xr:uid="{00000000-0005-0000-0000-00002C1A0000}"/>
    <cellStyle name="20% - Accent4 6 3 4 2" xfId="13699" xr:uid="{00000000-0005-0000-0000-00002D1A0000}"/>
    <cellStyle name="20% - Accent4 6 3 4 2 2" xfId="37543" xr:uid="{DD4B5C29-70FC-46B2-8925-4780476862B9}"/>
    <cellStyle name="20% - Accent4 6 3 4 3" xfId="21647" xr:uid="{00000000-0005-0000-0000-00002E1A0000}"/>
    <cellStyle name="20% - Accent4 6 3 4 3 2" xfId="45480" xr:uid="{80AF3818-B807-4D36-8D29-9CCE27DA28CF}"/>
    <cellStyle name="20% - Accent4 6 3 4 4" xfId="29602" xr:uid="{FC9BCB91-9895-454D-A724-4E6DF6AEC007}"/>
    <cellStyle name="20% - Accent4 6 3 5" xfId="9268" xr:uid="{00000000-0005-0000-0000-00002F1A0000}"/>
    <cellStyle name="20% - Accent4 6 3 5 2" xfId="17226" xr:uid="{00000000-0005-0000-0000-0000301A0000}"/>
    <cellStyle name="20% - Accent4 6 3 5 2 2" xfId="41067" xr:uid="{7A0D8156-4757-4244-953C-AEF0B92A7382}"/>
    <cellStyle name="20% - Accent4 6 3 5 3" xfId="25170" xr:uid="{00000000-0005-0000-0000-0000311A0000}"/>
    <cellStyle name="20% - Accent4 6 3 5 3 2" xfId="49003" xr:uid="{4E772278-E08F-48F1-A4B4-C8B32A82F91C}"/>
    <cellStyle name="20% - Accent4 6 3 5 4" xfId="33126" xr:uid="{4319875F-2D3C-4020-9EBE-4C4B254FCC5E}"/>
    <cellStyle name="20% - Accent4 6 3 6" xfId="10164" xr:uid="{00000000-0005-0000-0000-0000321A0000}"/>
    <cellStyle name="20% - Accent4 6 3 6 2" xfId="34014" xr:uid="{77C4C12D-ED17-44E8-8A78-C6B7A594CB0E}"/>
    <cellStyle name="20% - Accent4 6 3 7" xfId="18119" xr:uid="{00000000-0005-0000-0000-0000331A0000}"/>
    <cellStyle name="20% - Accent4 6 3 7 2" xfId="41952" xr:uid="{CB43BBE2-D2C3-4172-AA49-579B20628755}"/>
    <cellStyle name="20% - Accent4 6 3 8" xfId="26072" xr:uid="{0892BE36-76E2-45FA-A613-9954523E55A7}"/>
    <cellStyle name="20% - Accent4 6 3_Exh G" xfId="2402" xr:uid="{00000000-0005-0000-0000-0000341A0000}"/>
    <cellStyle name="20% - Accent4 6 4" xfId="906" xr:uid="{00000000-0005-0000-0000-0000351A0000}"/>
    <cellStyle name="20% - Accent4 6 4 2" xfId="1835" xr:uid="{00000000-0005-0000-0000-0000361A0000}"/>
    <cellStyle name="20% - Accent4 6 4 2 2" xfId="5353" xr:uid="{00000000-0005-0000-0000-0000371A0000}"/>
    <cellStyle name="20% - Accent4 6 4 2 2 2" xfId="8944" xr:uid="{00000000-0005-0000-0000-0000381A0000}"/>
    <cellStyle name="20% - Accent4 6 4 2 2 2 2" xfId="16915" xr:uid="{00000000-0005-0000-0000-0000391A0000}"/>
    <cellStyle name="20% - Accent4 6 4 2 2 2 2 2" xfId="40758" xr:uid="{3E2856C3-D0F3-4CAE-B44F-299E4F640716}"/>
    <cellStyle name="20% - Accent4 6 4 2 2 2 3" xfId="24861" xr:uid="{00000000-0005-0000-0000-00003A1A0000}"/>
    <cellStyle name="20% - Accent4 6 4 2 2 2 3 2" xfId="48694" xr:uid="{8E1FFBB6-D1F3-47AC-A9AC-F9669EE75577}"/>
    <cellStyle name="20% - Accent4 6 4 2 2 2 4" xfId="32817" xr:uid="{DD30733E-02BD-4828-A100-B9E192EF77DC}"/>
    <cellStyle name="20% - Accent4 6 4 2 2 3" xfId="13377" xr:uid="{00000000-0005-0000-0000-00003B1A0000}"/>
    <cellStyle name="20% - Accent4 6 4 2 2 3 2" xfId="37227" xr:uid="{ECDD905E-8F17-4CC6-A929-FB97B9927822}"/>
    <cellStyle name="20% - Accent4 6 4 2 2 4" xfId="21332" xr:uid="{00000000-0005-0000-0000-00003C1A0000}"/>
    <cellStyle name="20% - Accent4 6 4 2 2 4 2" xfId="45165" xr:uid="{ECF742C7-952A-45B6-B47F-6CEF9FFA8527}"/>
    <cellStyle name="20% - Accent4 6 4 2 2 5" xfId="29286" xr:uid="{F60C3465-F36D-4E3E-80F0-44819224CB8F}"/>
    <cellStyle name="20% - Accent4 6 4 2 3" xfId="7185" xr:uid="{00000000-0005-0000-0000-00003D1A0000}"/>
    <cellStyle name="20% - Accent4 6 4 2 3 2" xfId="15157" xr:uid="{00000000-0005-0000-0000-00003E1A0000}"/>
    <cellStyle name="20% - Accent4 6 4 2 3 2 2" xfId="39000" xr:uid="{92AF8E9F-173F-4233-AB3D-C574204C042B}"/>
    <cellStyle name="20% - Accent4 6 4 2 3 3" xfId="23104" xr:uid="{00000000-0005-0000-0000-00003F1A0000}"/>
    <cellStyle name="20% - Accent4 6 4 2 3 3 2" xfId="46937" xr:uid="{95440AD9-EDA9-4E6C-821D-C3754A077F0C}"/>
    <cellStyle name="20% - Accent4 6 4 2 3 4" xfId="31059" xr:uid="{3AF28B3F-CC2F-4B71-ADF8-783DE12E66F8}"/>
    <cellStyle name="20% - Accent4 6 4 2 4" xfId="11621" xr:uid="{00000000-0005-0000-0000-0000401A0000}"/>
    <cellStyle name="20% - Accent4 6 4 2 4 2" xfId="35471" xr:uid="{514D56A8-1AFF-4C2D-B570-06B7F0C5C66A}"/>
    <cellStyle name="20% - Accent4 6 4 2 5" xfId="19576" xr:uid="{00000000-0005-0000-0000-0000411A0000}"/>
    <cellStyle name="20% - Accent4 6 4 2 5 2" xfId="43409" xr:uid="{6625DA6D-AE7C-40BF-A2A0-4227E2C239B5}"/>
    <cellStyle name="20% - Accent4 6 4 2 6" xfId="27529" xr:uid="{6039621D-2EB4-4EA1-A89B-8C4499B9291C}"/>
    <cellStyle name="20% - Accent4 6 4 2_Exh G" xfId="2405" xr:uid="{00000000-0005-0000-0000-0000421A0000}"/>
    <cellStyle name="20% - Accent4 6 4 3" xfId="4474" xr:uid="{00000000-0005-0000-0000-0000431A0000}"/>
    <cellStyle name="20% - Accent4 6 4 3 2" xfId="8066" xr:uid="{00000000-0005-0000-0000-0000441A0000}"/>
    <cellStyle name="20% - Accent4 6 4 3 2 2" xfId="16037" xr:uid="{00000000-0005-0000-0000-0000451A0000}"/>
    <cellStyle name="20% - Accent4 6 4 3 2 2 2" xfId="39880" xr:uid="{C1FF289C-54F6-419D-998E-E3C86E80946E}"/>
    <cellStyle name="20% - Accent4 6 4 3 2 3" xfId="23983" xr:uid="{00000000-0005-0000-0000-0000461A0000}"/>
    <cellStyle name="20% - Accent4 6 4 3 2 3 2" xfId="47816" xr:uid="{8B4FAC62-418D-4E74-86CA-655A73620053}"/>
    <cellStyle name="20% - Accent4 6 4 3 2 4" xfId="31939" xr:uid="{276A9FEF-2F99-4BA6-859E-22C4862E56B6}"/>
    <cellStyle name="20% - Accent4 6 4 3 3" xfId="12499" xr:uid="{00000000-0005-0000-0000-0000471A0000}"/>
    <cellStyle name="20% - Accent4 6 4 3 3 2" xfId="36349" xr:uid="{525BB6DE-AF37-430C-8EDC-219BCDA2FF9C}"/>
    <cellStyle name="20% - Accent4 6 4 3 4" xfId="20454" xr:uid="{00000000-0005-0000-0000-0000481A0000}"/>
    <cellStyle name="20% - Accent4 6 4 3 4 2" xfId="44287" xr:uid="{84779ECD-4E63-42F4-9AF7-7A0C41B7CC88}"/>
    <cellStyle name="20% - Accent4 6 4 3 5" xfId="28408" xr:uid="{E6A8D895-E7A8-4599-80B6-D22F281A7F36}"/>
    <cellStyle name="20% - Accent4 6 4 4" xfId="6304" xr:uid="{00000000-0005-0000-0000-0000491A0000}"/>
    <cellStyle name="20% - Accent4 6 4 4 2" xfId="14279" xr:uid="{00000000-0005-0000-0000-00004A1A0000}"/>
    <cellStyle name="20% - Accent4 6 4 4 2 2" xfId="38122" xr:uid="{805B70E1-BBA0-48D4-9411-09DBCE8BDD92}"/>
    <cellStyle name="20% - Accent4 6 4 4 3" xfId="22226" xr:uid="{00000000-0005-0000-0000-00004B1A0000}"/>
    <cellStyle name="20% - Accent4 6 4 4 3 2" xfId="46059" xr:uid="{94833CC0-2ED1-4302-9B89-A899E7694FD9}"/>
    <cellStyle name="20% - Accent4 6 4 4 4" xfId="30181" xr:uid="{459FA423-45B2-4829-BF57-4B2FE7204F90}"/>
    <cellStyle name="20% - Accent4 6 4 5" xfId="9847" xr:uid="{00000000-0005-0000-0000-00004C1A0000}"/>
    <cellStyle name="20% - Accent4 6 4 5 2" xfId="17805" xr:uid="{00000000-0005-0000-0000-00004D1A0000}"/>
    <cellStyle name="20% - Accent4 6 4 5 2 2" xfId="41646" xr:uid="{5E917C59-7754-4643-87C8-7FC0E29FE770}"/>
    <cellStyle name="20% - Accent4 6 4 5 3" xfId="25749" xr:uid="{00000000-0005-0000-0000-00004E1A0000}"/>
    <cellStyle name="20% - Accent4 6 4 5 3 2" xfId="49582" xr:uid="{83DB7A5C-1FDD-438A-9050-97D24CD6A43F}"/>
    <cellStyle name="20% - Accent4 6 4 5 4" xfId="33705" xr:uid="{5602C15A-9D67-4E08-8D9D-5AC41CAF9C42}"/>
    <cellStyle name="20% - Accent4 6 4 6" xfId="10743" xr:uid="{00000000-0005-0000-0000-00004F1A0000}"/>
    <cellStyle name="20% - Accent4 6 4 6 2" xfId="34593" xr:uid="{44D9D407-51DB-4822-8512-8B8DCB4DF86A}"/>
    <cellStyle name="20% - Accent4 6 4 7" xfId="18698" xr:uid="{00000000-0005-0000-0000-0000501A0000}"/>
    <cellStyle name="20% - Accent4 6 4 7 2" xfId="42531" xr:uid="{3F1D984D-6FE6-4647-A121-184139522B70}"/>
    <cellStyle name="20% - Accent4 6 4 8" xfId="26651" xr:uid="{6D164DF3-8BB5-4FC8-948C-EAEF82E5E308}"/>
    <cellStyle name="20% - Accent4 6 4_Exh G" xfId="2404" xr:uid="{00000000-0005-0000-0000-0000511A0000}"/>
    <cellStyle name="20% - Accent4 6 5" xfId="1241" xr:uid="{00000000-0005-0000-0000-0000521A0000}"/>
    <cellStyle name="20% - Accent4 6 5 2" xfId="4771" xr:uid="{00000000-0005-0000-0000-0000531A0000}"/>
    <cellStyle name="20% - Accent4 6 5 2 2" xfId="8362" xr:uid="{00000000-0005-0000-0000-0000541A0000}"/>
    <cellStyle name="20% - Accent4 6 5 2 2 2" xfId="16333" xr:uid="{00000000-0005-0000-0000-0000551A0000}"/>
    <cellStyle name="20% - Accent4 6 5 2 2 2 2" xfId="40176" xr:uid="{C1EA6B8D-3E5D-4350-A3E4-A12EF8C30454}"/>
    <cellStyle name="20% - Accent4 6 5 2 2 3" xfId="24279" xr:uid="{00000000-0005-0000-0000-0000561A0000}"/>
    <cellStyle name="20% - Accent4 6 5 2 2 3 2" xfId="48112" xr:uid="{5258546E-24F2-443C-B0C5-3A83F7C27657}"/>
    <cellStyle name="20% - Accent4 6 5 2 2 4" xfId="32235" xr:uid="{DA845360-B3FB-4B44-9FD8-547C7252F3FB}"/>
    <cellStyle name="20% - Accent4 6 5 2 3" xfId="12795" xr:uid="{00000000-0005-0000-0000-0000571A0000}"/>
    <cellStyle name="20% - Accent4 6 5 2 3 2" xfId="36645" xr:uid="{3EC7CCBF-3187-4E41-B039-FF53FE65E878}"/>
    <cellStyle name="20% - Accent4 6 5 2 4" xfId="20750" xr:uid="{00000000-0005-0000-0000-0000581A0000}"/>
    <cellStyle name="20% - Accent4 6 5 2 4 2" xfId="44583" xr:uid="{A23E3B40-AB73-4FE0-B706-FCC425389655}"/>
    <cellStyle name="20% - Accent4 6 5 2 5" xfId="28704" xr:uid="{B4E6088F-CE81-41DB-88B7-2A3D49540DE1}"/>
    <cellStyle name="20% - Accent4 6 5 3" xfId="6603" xr:uid="{00000000-0005-0000-0000-0000591A0000}"/>
    <cellStyle name="20% - Accent4 6 5 3 2" xfId="14575" xr:uid="{00000000-0005-0000-0000-00005A1A0000}"/>
    <cellStyle name="20% - Accent4 6 5 3 2 2" xfId="38418" xr:uid="{5B99BAAA-55A4-4964-A7A0-CCF83DDAE610}"/>
    <cellStyle name="20% - Accent4 6 5 3 3" xfId="22522" xr:uid="{00000000-0005-0000-0000-00005B1A0000}"/>
    <cellStyle name="20% - Accent4 6 5 3 3 2" xfId="46355" xr:uid="{1C601579-2A76-4267-80F3-9A1D965D566C}"/>
    <cellStyle name="20% - Accent4 6 5 3 4" xfId="30477" xr:uid="{0D93D906-56FD-42EB-B77E-074D9DA4972B}"/>
    <cellStyle name="20% - Accent4 6 5 4" xfId="11039" xr:uid="{00000000-0005-0000-0000-00005C1A0000}"/>
    <cellStyle name="20% - Accent4 6 5 4 2" xfId="34889" xr:uid="{1D68D343-D87F-4DC6-B437-20731ED040B0}"/>
    <cellStyle name="20% - Accent4 6 5 5" xfId="18994" xr:uid="{00000000-0005-0000-0000-00005D1A0000}"/>
    <cellStyle name="20% - Accent4 6 5 5 2" xfId="42827" xr:uid="{10F3B6CA-74C3-42E8-82B5-9547F8020FA0}"/>
    <cellStyle name="20% - Accent4 6 5 6" xfId="26947" xr:uid="{58D61269-131F-40B9-912A-A197A3AD6C14}"/>
    <cellStyle name="20% - Accent4 6 5_Exh G" xfId="2406" xr:uid="{00000000-0005-0000-0000-00005E1A0000}"/>
    <cellStyle name="20% - Accent4 6 6" xfId="3892" xr:uid="{00000000-0005-0000-0000-00005F1A0000}"/>
    <cellStyle name="20% - Accent4 6 6 2" xfId="7484" xr:uid="{00000000-0005-0000-0000-0000601A0000}"/>
    <cellStyle name="20% - Accent4 6 6 2 2" xfId="15455" xr:uid="{00000000-0005-0000-0000-0000611A0000}"/>
    <cellStyle name="20% - Accent4 6 6 2 2 2" xfId="39298" xr:uid="{1BBC34B6-A755-457B-93FE-A4F50E5559B3}"/>
    <cellStyle name="20% - Accent4 6 6 2 3" xfId="23401" xr:uid="{00000000-0005-0000-0000-0000621A0000}"/>
    <cellStyle name="20% - Accent4 6 6 2 3 2" xfId="47234" xr:uid="{067F77EB-EDA3-4A78-B4BA-1D80D83E030F}"/>
    <cellStyle name="20% - Accent4 6 6 2 4" xfId="31357" xr:uid="{A112BBA7-2C0F-40CF-80CC-2F52EFC54D6F}"/>
    <cellStyle name="20% - Accent4 6 6 3" xfId="11917" xr:uid="{00000000-0005-0000-0000-0000631A0000}"/>
    <cellStyle name="20% - Accent4 6 6 3 2" xfId="35767" xr:uid="{3E91C717-9D48-455D-A076-483D8FC02AE5}"/>
    <cellStyle name="20% - Accent4 6 6 4" xfId="19872" xr:uid="{00000000-0005-0000-0000-0000641A0000}"/>
    <cellStyle name="20% - Accent4 6 6 4 2" xfId="43705" xr:uid="{E94E45BB-D8C7-4781-B6F4-C1BA719AA322}"/>
    <cellStyle name="20% - Accent4 6 6 5" xfId="27826" xr:uid="{2F62E4F2-CBD5-4B47-B3D9-F288A9A38732}"/>
    <cellStyle name="20% - Accent4 6 7" xfId="5712" xr:uid="{00000000-0005-0000-0000-0000651A0000}"/>
    <cellStyle name="20% - Accent4 6 7 2" xfId="13696" xr:uid="{00000000-0005-0000-0000-0000661A0000}"/>
    <cellStyle name="20% - Accent4 6 7 2 2" xfId="37540" xr:uid="{0FF68D6D-C51D-4C16-9C9A-FFCAC9BFBF7E}"/>
    <cellStyle name="20% - Accent4 6 7 3" xfId="21644" xr:uid="{00000000-0005-0000-0000-0000671A0000}"/>
    <cellStyle name="20% - Accent4 6 7 3 2" xfId="45477" xr:uid="{9E56E71C-9421-4E5F-B58F-8AE28AFDE9A6}"/>
    <cellStyle name="20% - Accent4 6 7 4" xfId="29599" xr:uid="{B04F51DB-7EA5-4D2B-B5BD-EB8B8A5A6EDA}"/>
    <cellStyle name="20% - Accent4 6 8" xfId="9265" xr:uid="{00000000-0005-0000-0000-0000681A0000}"/>
    <cellStyle name="20% - Accent4 6 8 2" xfId="17223" xr:uid="{00000000-0005-0000-0000-0000691A0000}"/>
    <cellStyle name="20% - Accent4 6 8 2 2" xfId="41064" xr:uid="{D54EFDF6-4C79-4086-A856-2467AE3F6A7C}"/>
    <cellStyle name="20% - Accent4 6 8 3" xfId="25167" xr:uid="{00000000-0005-0000-0000-00006A1A0000}"/>
    <cellStyle name="20% - Accent4 6 8 3 2" xfId="49000" xr:uid="{BBFFA65C-B45D-4F23-B6F0-5B3D7D80AC01}"/>
    <cellStyle name="20% - Accent4 6 8 4" xfId="33123" xr:uid="{1A1B0B05-4EF3-4BAA-A06F-A0E2FB748358}"/>
    <cellStyle name="20% - Accent4 6 9" xfId="10161" xr:uid="{00000000-0005-0000-0000-00006B1A0000}"/>
    <cellStyle name="20% - Accent4 6 9 2" xfId="34011" xr:uid="{160A82D3-C6AF-4DDB-83B5-8C83B25633DA}"/>
    <cellStyle name="20% - Accent4 6_Exh G" xfId="2397" xr:uid="{00000000-0005-0000-0000-00006C1A0000}"/>
    <cellStyle name="20% - Accent4 7" xfId="217" xr:uid="{00000000-0005-0000-0000-00006D1A0000}"/>
    <cellStyle name="20% - Accent4 7 10" xfId="18120" xr:uid="{00000000-0005-0000-0000-00006E1A0000}"/>
    <cellStyle name="20% - Accent4 7 10 2" xfId="41953" xr:uid="{065D5985-5109-442B-8066-046E8356B9BF}"/>
    <cellStyle name="20% - Accent4 7 11" xfId="26073" xr:uid="{F5F8D76D-E5C5-47BF-AB15-4FEA2C0E8BC2}"/>
    <cellStyle name="20% - Accent4 7 2" xfId="218" xr:uid="{00000000-0005-0000-0000-00006F1A0000}"/>
    <cellStyle name="20% - Accent4 7 2 2" xfId="219" xr:uid="{00000000-0005-0000-0000-0000701A0000}"/>
    <cellStyle name="20% - Accent4 7 2 2 2" xfId="1247" xr:uid="{00000000-0005-0000-0000-0000711A0000}"/>
    <cellStyle name="20% - Accent4 7 2 2 2 2" xfId="4777" xr:uid="{00000000-0005-0000-0000-0000721A0000}"/>
    <cellStyle name="20% - Accent4 7 2 2 2 2 2" xfId="8368" xr:uid="{00000000-0005-0000-0000-0000731A0000}"/>
    <cellStyle name="20% - Accent4 7 2 2 2 2 2 2" xfId="16339" xr:uid="{00000000-0005-0000-0000-0000741A0000}"/>
    <cellStyle name="20% - Accent4 7 2 2 2 2 2 2 2" xfId="40182" xr:uid="{BF4896DA-0D58-43EA-A245-1CBFAE87D903}"/>
    <cellStyle name="20% - Accent4 7 2 2 2 2 2 3" xfId="24285" xr:uid="{00000000-0005-0000-0000-0000751A0000}"/>
    <cellStyle name="20% - Accent4 7 2 2 2 2 2 3 2" xfId="48118" xr:uid="{693CE446-562D-4A78-954F-F0B3CA7DC43C}"/>
    <cellStyle name="20% - Accent4 7 2 2 2 2 2 4" xfId="32241" xr:uid="{BE0486B9-CD7F-4D31-B674-032E60D5CB16}"/>
    <cellStyle name="20% - Accent4 7 2 2 2 2 3" xfId="12801" xr:uid="{00000000-0005-0000-0000-0000761A0000}"/>
    <cellStyle name="20% - Accent4 7 2 2 2 2 3 2" xfId="36651" xr:uid="{6F42792E-8163-404F-AD96-742AB6ECB38E}"/>
    <cellStyle name="20% - Accent4 7 2 2 2 2 4" xfId="20756" xr:uid="{00000000-0005-0000-0000-0000771A0000}"/>
    <cellStyle name="20% - Accent4 7 2 2 2 2 4 2" xfId="44589" xr:uid="{CBA9FF11-8C50-4BCB-BB3C-C75EF066451D}"/>
    <cellStyle name="20% - Accent4 7 2 2 2 2 5" xfId="28710" xr:uid="{73811649-7A37-4BC6-B619-70BDFF2251F1}"/>
    <cellStyle name="20% - Accent4 7 2 2 2 3" xfId="6609" xr:uid="{00000000-0005-0000-0000-0000781A0000}"/>
    <cellStyle name="20% - Accent4 7 2 2 2 3 2" xfId="14581" xr:uid="{00000000-0005-0000-0000-0000791A0000}"/>
    <cellStyle name="20% - Accent4 7 2 2 2 3 2 2" xfId="38424" xr:uid="{D37511DE-C8D3-4335-A9A9-02C8D8264134}"/>
    <cellStyle name="20% - Accent4 7 2 2 2 3 3" xfId="22528" xr:uid="{00000000-0005-0000-0000-00007A1A0000}"/>
    <cellStyle name="20% - Accent4 7 2 2 2 3 3 2" xfId="46361" xr:uid="{050A755A-88D6-4095-AE6F-CD78BF0D5DD6}"/>
    <cellStyle name="20% - Accent4 7 2 2 2 3 4" xfId="30483" xr:uid="{6600BC6C-8EA7-4DD1-BE93-49F13DA75AB0}"/>
    <cellStyle name="20% - Accent4 7 2 2 2 4" xfId="11045" xr:uid="{00000000-0005-0000-0000-00007B1A0000}"/>
    <cellStyle name="20% - Accent4 7 2 2 2 4 2" xfId="34895" xr:uid="{09D4BCFB-9850-441D-BE62-778DBB974A79}"/>
    <cellStyle name="20% - Accent4 7 2 2 2 5" xfId="19000" xr:uid="{00000000-0005-0000-0000-00007C1A0000}"/>
    <cellStyle name="20% - Accent4 7 2 2 2 5 2" xfId="42833" xr:uid="{1E9E8FF6-6F45-44E5-A34D-1183776B63FF}"/>
    <cellStyle name="20% - Accent4 7 2 2 2 6" xfId="26953" xr:uid="{DAC159BE-7B1A-46D9-B34C-1A0E1AF41ED6}"/>
    <cellStyle name="20% - Accent4 7 2 2 2_Exh G" xfId="2410" xr:uid="{00000000-0005-0000-0000-00007D1A0000}"/>
    <cellStyle name="20% - Accent4 7 2 2 3" xfId="3898" xr:uid="{00000000-0005-0000-0000-00007E1A0000}"/>
    <cellStyle name="20% - Accent4 7 2 2 3 2" xfId="7490" xr:uid="{00000000-0005-0000-0000-00007F1A0000}"/>
    <cellStyle name="20% - Accent4 7 2 2 3 2 2" xfId="15461" xr:uid="{00000000-0005-0000-0000-0000801A0000}"/>
    <cellStyle name="20% - Accent4 7 2 2 3 2 2 2" xfId="39304" xr:uid="{204E0715-C10C-41E4-92BB-C55A3DAF93DA}"/>
    <cellStyle name="20% - Accent4 7 2 2 3 2 3" xfId="23407" xr:uid="{00000000-0005-0000-0000-0000811A0000}"/>
    <cellStyle name="20% - Accent4 7 2 2 3 2 3 2" xfId="47240" xr:uid="{9955D344-C8B4-4821-BA41-10B66CE120D6}"/>
    <cellStyle name="20% - Accent4 7 2 2 3 2 4" xfId="31363" xr:uid="{9FDF81D1-5879-4AE9-8B5A-E17C357C92FF}"/>
    <cellStyle name="20% - Accent4 7 2 2 3 3" xfId="11923" xr:uid="{00000000-0005-0000-0000-0000821A0000}"/>
    <cellStyle name="20% - Accent4 7 2 2 3 3 2" xfId="35773" xr:uid="{976E8EDC-154D-487A-B432-E1086C63DE76}"/>
    <cellStyle name="20% - Accent4 7 2 2 3 4" xfId="19878" xr:uid="{00000000-0005-0000-0000-0000831A0000}"/>
    <cellStyle name="20% - Accent4 7 2 2 3 4 2" xfId="43711" xr:uid="{246D4557-CC84-4EEF-8D2C-2CCCB64600E1}"/>
    <cellStyle name="20% - Accent4 7 2 2 3 5" xfId="27832" xr:uid="{26B43ADB-17F6-4F60-8D63-F1E72306C140}"/>
    <cellStyle name="20% - Accent4 7 2 2 4" xfId="5718" xr:uid="{00000000-0005-0000-0000-0000841A0000}"/>
    <cellStyle name="20% - Accent4 7 2 2 4 2" xfId="13702" xr:uid="{00000000-0005-0000-0000-0000851A0000}"/>
    <cellStyle name="20% - Accent4 7 2 2 4 2 2" xfId="37546" xr:uid="{D7433D96-4DC6-4A40-A294-B600ADC549E4}"/>
    <cellStyle name="20% - Accent4 7 2 2 4 3" xfId="21650" xr:uid="{00000000-0005-0000-0000-0000861A0000}"/>
    <cellStyle name="20% - Accent4 7 2 2 4 3 2" xfId="45483" xr:uid="{EE6646DD-C1E6-435B-B8CD-F2A24FBB23E0}"/>
    <cellStyle name="20% - Accent4 7 2 2 4 4" xfId="29605" xr:uid="{C15D2589-1C45-4DE9-A82A-8814437D3B94}"/>
    <cellStyle name="20% - Accent4 7 2 2 5" xfId="9271" xr:uid="{00000000-0005-0000-0000-0000871A0000}"/>
    <cellStyle name="20% - Accent4 7 2 2 5 2" xfId="17229" xr:uid="{00000000-0005-0000-0000-0000881A0000}"/>
    <cellStyle name="20% - Accent4 7 2 2 5 2 2" xfId="41070" xr:uid="{CFE94FA2-DE81-45F9-8333-A2C4A0C4462C}"/>
    <cellStyle name="20% - Accent4 7 2 2 5 3" xfId="25173" xr:uid="{00000000-0005-0000-0000-0000891A0000}"/>
    <cellStyle name="20% - Accent4 7 2 2 5 3 2" xfId="49006" xr:uid="{E1D5319B-E33D-4BC7-92DB-364E1CF281A5}"/>
    <cellStyle name="20% - Accent4 7 2 2 5 4" xfId="33129" xr:uid="{A8C28E8E-9DCE-4489-8947-24053EB1078B}"/>
    <cellStyle name="20% - Accent4 7 2 2 6" xfId="10167" xr:uid="{00000000-0005-0000-0000-00008A1A0000}"/>
    <cellStyle name="20% - Accent4 7 2 2 6 2" xfId="34017" xr:uid="{50281B7B-5C84-424A-A7F3-BF2E2A7C369D}"/>
    <cellStyle name="20% - Accent4 7 2 2 7" xfId="18122" xr:uid="{00000000-0005-0000-0000-00008B1A0000}"/>
    <cellStyle name="20% - Accent4 7 2 2 7 2" xfId="41955" xr:uid="{4AF154AF-3155-458D-90CB-4587827CA8FB}"/>
    <cellStyle name="20% - Accent4 7 2 2 8" xfId="26075" xr:uid="{D3CEC8E1-4BCC-4B1D-B01C-D47AE5C541AD}"/>
    <cellStyle name="20% - Accent4 7 2 2_Exh G" xfId="2409" xr:uid="{00000000-0005-0000-0000-00008C1A0000}"/>
    <cellStyle name="20% - Accent4 7 2 3" xfId="1246" xr:uid="{00000000-0005-0000-0000-00008D1A0000}"/>
    <cellStyle name="20% - Accent4 7 2 3 2" xfId="4776" xr:uid="{00000000-0005-0000-0000-00008E1A0000}"/>
    <cellStyle name="20% - Accent4 7 2 3 2 2" xfId="8367" xr:uid="{00000000-0005-0000-0000-00008F1A0000}"/>
    <cellStyle name="20% - Accent4 7 2 3 2 2 2" xfId="16338" xr:uid="{00000000-0005-0000-0000-0000901A0000}"/>
    <cellStyle name="20% - Accent4 7 2 3 2 2 2 2" xfId="40181" xr:uid="{73620774-6190-44FC-B83A-D3BEB430705B}"/>
    <cellStyle name="20% - Accent4 7 2 3 2 2 3" xfId="24284" xr:uid="{00000000-0005-0000-0000-0000911A0000}"/>
    <cellStyle name="20% - Accent4 7 2 3 2 2 3 2" xfId="48117" xr:uid="{AD426F75-C345-4AF9-8E67-8BEF4C2BDBA5}"/>
    <cellStyle name="20% - Accent4 7 2 3 2 2 4" xfId="32240" xr:uid="{A97C9C43-6286-431A-889A-3229C384E305}"/>
    <cellStyle name="20% - Accent4 7 2 3 2 3" xfId="12800" xr:uid="{00000000-0005-0000-0000-0000921A0000}"/>
    <cellStyle name="20% - Accent4 7 2 3 2 3 2" xfId="36650" xr:uid="{135E2660-748E-41E6-964B-56769600245E}"/>
    <cellStyle name="20% - Accent4 7 2 3 2 4" xfId="20755" xr:uid="{00000000-0005-0000-0000-0000931A0000}"/>
    <cellStyle name="20% - Accent4 7 2 3 2 4 2" xfId="44588" xr:uid="{DBCA0AFC-5520-4E29-8ECB-3208DD0C5534}"/>
    <cellStyle name="20% - Accent4 7 2 3 2 5" xfId="28709" xr:uid="{7D0EA7BE-88B8-4C86-9CCF-452DACB79028}"/>
    <cellStyle name="20% - Accent4 7 2 3 3" xfId="6608" xr:uid="{00000000-0005-0000-0000-0000941A0000}"/>
    <cellStyle name="20% - Accent4 7 2 3 3 2" xfId="14580" xr:uid="{00000000-0005-0000-0000-0000951A0000}"/>
    <cellStyle name="20% - Accent4 7 2 3 3 2 2" xfId="38423" xr:uid="{95B8B8BD-AF10-4B7B-85FB-F3C7CEC0F063}"/>
    <cellStyle name="20% - Accent4 7 2 3 3 3" xfId="22527" xr:uid="{00000000-0005-0000-0000-0000961A0000}"/>
    <cellStyle name="20% - Accent4 7 2 3 3 3 2" xfId="46360" xr:uid="{1C5992E1-D89C-4E71-89F4-B67EF0915484}"/>
    <cellStyle name="20% - Accent4 7 2 3 3 4" xfId="30482" xr:uid="{01928A58-3543-45A6-B1B9-E6012787090A}"/>
    <cellStyle name="20% - Accent4 7 2 3 4" xfId="11044" xr:uid="{00000000-0005-0000-0000-0000971A0000}"/>
    <cellStyle name="20% - Accent4 7 2 3 4 2" xfId="34894" xr:uid="{6E05A4BF-5623-4999-A012-68AC74A883D6}"/>
    <cellStyle name="20% - Accent4 7 2 3 5" xfId="18999" xr:uid="{00000000-0005-0000-0000-0000981A0000}"/>
    <cellStyle name="20% - Accent4 7 2 3 5 2" xfId="42832" xr:uid="{AD177143-A3FF-44E1-BE93-D76B41BC85F1}"/>
    <cellStyle name="20% - Accent4 7 2 3 6" xfId="26952" xr:uid="{CCBE11FA-B817-47CF-8DE6-E3AF58EA2F9D}"/>
    <cellStyle name="20% - Accent4 7 2 3_Exh G" xfId="2411" xr:uid="{00000000-0005-0000-0000-0000991A0000}"/>
    <cellStyle name="20% - Accent4 7 2 4" xfId="3897" xr:uid="{00000000-0005-0000-0000-00009A1A0000}"/>
    <cellStyle name="20% - Accent4 7 2 4 2" xfId="7489" xr:uid="{00000000-0005-0000-0000-00009B1A0000}"/>
    <cellStyle name="20% - Accent4 7 2 4 2 2" xfId="15460" xr:uid="{00000000-0005-0000-0000-00009C1A0000}"/>
    <cellStyle name="20% - Accent4 7 2 4 2 2 2" xfId="39303" xr:uid="{99F7321E-C7BF-4231-A75E-530CB62167CD}"/>
    <cellStyle name="20% - Accent4 7 2 4 2 3" xfId="23406" xr:uid="{00000000-0005-0000-0000-00009D1A0000}"/>
    <cellStyle name="20% - Accent4 7 2 4 2 3 2" xfId="47239" xr:uid="{36541586-D17E-4FAD-B22A-DB116F771DCC}"/>
    <cellStyle name="20% - Accent4 7 2 4 2 4" xfId="31362" xr:uid="{1F54EF4D-5898-4CD9-913D-124B76E4F506}"/>
    <cellStyle name="20% - Accent4 7 2 4 3" xfId="11922" xr:uid="{00000000-0005-0000-0000-00009E1A0000}"/>
    <cellStyle name="20% - Accent4 7 2 4 3 2" xfId="35772" xr:uid="{5BE6C3AC-605D-404D-9A10-6C6B06151F04}"/>
    <cellStyle name="20% - Accent4 7 2 4 4" xfId="19877" xr:uid="{00000000-0005-0000-0000-00009F1A0000}"/>
    <cellStyle name="20% - Accent4 7 2 4 4 2" xfId="43710" xr:uid="{2447832F-E7A7-4B42-9C70-BFAD08AE1341}"/>
    <cellStyle name="20% - Accent4 7 2 4 5" xfId="27831" xr:uid="{735A202C-0030-478C-9D5B-B653B02FFFFD}"/>
    <cellStyle name="20% - Accent4 7 2 5" xfId="5717" xr:uid="{00000000-0005-0000-0000-0000A01A0000}"/>
    <cellStyle name="20% - Accent4 7 2 5 2" xfId="13701" xr:uid="{00000000-0005-0000-0000-0000A11A0000}"/>
    <cellStyle name="20% - Accent4 7 2 5 2 2" xfId="37545" xr:uid="{27AD4742-8409-4716-AEC9-2BC20090EE1A}"/>
    <cellStyle name="20% - Accent4 7 2 5 3" xfId="21649" xr:uid="{00000000-0005-0000-0000-0000A21A0000}"/>
    <cellStyle name="20% - Accent4 7 2 5 3 2" xfId="45482" xr:uid="{66786C83-7A72-4C7B-A4E5-7381DCB64E53}"/>
    <cellStyle name="20% - Accent4 7 2 5 4" xfId="29604" xr:uid="{B40DE9BE-868C-4AED-B90D-F19EC5984772}"/>
    <cellStyle name="20% - Accent4 7 2 6" xfId="9270" xr:uid="{00000000-0005-0000-0000-0000A31A0000}"/>
    <cellStyle name="20% - Accent4 7 2 6 2" xfId="17228" xr:uid="{00000000-0005-0000-0000-0000A41A0000}"/>
    <cellStyle name="20% - Accent4 7 2 6 2 2" xfId="41069" xr:uid="{BA1AFC48-170F-4842-BB22-DE14FAB9DCF4}"/>
    <cellStyle name="20% - Accent4 7 2 6 3" xfId="25172" xr:uid="{00000000-0005-0000-0000-0000A51A0000}"/>
    <cellStyle name="20% - Accent4 7 2 6 3 2" xfId="49005" xr:uid="{25716EAF-0CB5-486D-8A19-FF33D7E75E53}"/>
    <cellStyle name="20% - Accent4 7 2 6 4" xfId="33128" xr:uid="{68752D02-56E6-4820-9C10-D063A4CB3AE4}"/>
    <cellStyle name="20% - Accent4 7 2 7" xfId="10166" xr:uid="{00000000-0005-0000-0000-0000A61A0000}"/>
    <cellStyle name="20% - Accent4 7 2 7 2" xfId="34016" xr:uid="{5173BFAE-B444-45A2-A70D-E83ABEBA20F3}"/>
    <cellStyle name="20% - Accent4 7 2 8" xfId="18121" xr:uid="{00000000-0005-0000-0000-0000A71A0000}"/>
    <cellStyle name="20% - Accent4 7 2 8 2" xfId="41954" xr:uid="{F9AB771C-ACC2-4523-A4F4-26C1D63EF628}"/>
    <cellStyle name="20% - Accent4 7 2 9" xfId="26074" xr:uid="{E3BEE09A-6D48-41A7-8BBA-1426558D982B}"/>
    <cellStyle name="20% - Accent4 7 2_Exh G" xfId="2408" xr:uid="{00000000-0005-0000-0000-0000A81A0000}"/>
    <cellStyle name="20% - Accent4 7 3" xfId="220" xr:uid="{00000000-0005-0000-0000-0000A91A0000}"/>
    <cellStyle name="20% - Accent4 7 3 2" xfId="1248" xr:uid="{00000000-0005-0000-0000-0000AA1A0000}"/>
    <cellStyle name="20% - Accent4 7 3 2 2" xfId="4778" xr:uid="{00000000-0005-0000-0000-0000AB1A0000}"/>
    <cellStyle name="20% - Accent4 7 3 2 2 2" xfId="8369" xr:uid="{00000000-0005-0000-0000-0000AC1A0000}"/>
    <cellStyle name="20% - Accent4 7 3 2 2 2 2" xfId="16340" xr:uid="{00000000-0005-0000-0000-0000AD1A0000}"/>
    <cellStyle name="20% - Accent4 7 3 2 2 2 2 2" xfId="40183" xr:uid="{47E2722D-7C21-46BC-81F3-33B2EC92D7B5}"/>
    <cellStyle name="20% - Accent4 7 3 2 2 2 3" xfId="24286" xr:uid="{00000000-0005-0000-0000-0000AE1A0000}"/>
    <cellStyle name="20% - Accent4 7 3 2 2 2 3 2" xfId="48119" xr:uid="{0FFBA355-DCE5-4941-86B9-AFA8BB443D24}"/>
    <cellStyle name="20% - Accent4 7 3 2 2 2 4" xfId="32242" xr:uid="{E8EC9CB5-1345-4440-A500-2F91FEAAE51D}"/>
    <cellStyle name="20% - Accent4 7 3 2 2 3" xfId="12802" xr:uid="{00000000-0005-0000-0000-0000AF1A0000}"/>
    <cellStyle name="20% - Accent4 7 3 2 2 3 2" xfId="36652" xr:uid="{5A9D6922-0648-4743-A517-7C1022D9D640}"/>
    <cellStyle name="20% - Accent4 7 3 2 2 4" xfId="20757" xr:uid="{00000000-0005-0000-0000-0000B01A0000}"/>
    <cellStyle name="20% - Accent4 7 3 2 2 4 2" xfId="44590" xr:uid="{5D1B11D8-F931-48C8-8B91-12B96B6278AE}"/>
    <cellStyle name="20% - Accent4 7 3 2 2 5" xfId="28711" xr:uid="{82F5E931-508F-4D32-992C-308E25A95E9F}"/>
    <cellStyle name="20% - Accent4 7 3 2 3" xfId="6610" xr:uid="{00000000-0005-0000-0000-0000B11A0000}"/>
    <cellStyle name="20% - Accent4 7 3 2 3 2" xfId="14582" xr:uid="{00000000-0005-0000-0000-0000B21A0000}"/>
    <cellStyle name="20% - Accent4 7 3 2 3 2 2" xfId="38425" xr:uid="{85CA6915-E311-4850-873E-0DF4A7D98CE7}"/>
    <cellStyle name="20% - Accent4 7 3 2 3 3" xfId="22529" xr:uid="{00000000-0005-0000-0000-0000B31A0000}"/>
    <cellStyle name="20% - Accent4 7 3 2 3 3 2" xfId="46362" xr:uid="{CB3FFC69-6BBD-47EC-AF1C-BCCD626FBF4D}"/>
    <cellStyle name="20% - Accent4 7 3 2 3 4" xfId="30484" xr:uid="{73C277BC-1EB6-4DA0-9595-D35E0C582B3D}"/>
    <cellStyle name="20% - Accent4 7 3 2 4" xfId="11046" xr:uid="{00000000-0005-0000-0000-0000B41A0000}"/>
    <cellStyle name="20% - Accent4 7 3 2 4 2" xfId="34896" xr:uid="{0471694B-17C9-4547-BF76-E610EF628DFF}"/>
    <cellStyle name="20% - Accent4 7 3 2 5" xfId="19001" xr:uid="{00000000-0005-0000-0000-0000B51A0000}"/>
    <cellStyle name="20% - Accent4 7 3 2 5 2" xfId="42834" xr:uid="{83C08043-2FED-4646-8C59-8E58B22B4F68}"/>
    <cellStyle name="20% - Accent4 7 3 2 6" xfId="26954" xr:uid="{A672A01D-0448-45AE-87F6-E9412209DFEC}"/>
    <cellStyle name="20% - Accent4 7 3 2_Exh G" xfId="2413" xr:uid="{00000000-0005-0000-0000-0000B61A0000}"/>
    <cellStyle name="20% - Accent4 7 3 3" xfId="3899" xr:uid="{00000000-0005-0000-0000-0000B71A0000}"/>
    <cellStyle name="20% - Accent4 7 3 3 2" xfId="7491" xr:uid="{00000000-0005-0000-0000-0000B81A0000}"/>
    <cellStyle name="20% - Accent4 7 3 3 2 2" xfId="15462" xr:uid="{00000000-0005-0000-0000-0000B91A0000}"/>
    <cellStyle name="20% - Accent4 7 3 3 2 2 2" xfId="39305" xr:uid="{F8FDB6EA-F6A7-45BF-BD70-791231F86E97}"/>
    <cellStyle name="20% - Accent4 7 3 3 2 3" xfId="23408" xr:uid="{00000000-0005-0000-0000-0000BA1A0000}"/>
    <cellStyle name="20% - Accent4 7 3 3 2 3 2" xfId="47241" xr:uid="{D6AB4D5F-7A34-4E48-A426-A5A50EDC2161}"/>
    <cellStyle name="20% - Accent4 7 3 3 2 4" xfId="31364" xr:uid="{2BEC4112-E804-44A3-8AA8-9C035E937765}"/>
    <cellStyle name="20% - Accent4 7 3 3 3" xfId="11924" xr:uid="{00000000-0005-0000-0000-0000BB1A0000}"/>
    <cellStyle name="20% - Accent4 7 3 3 3 2" xfId="35774" xr:uid="{A594197B-DF9D-486B-825D-B53579F5AD59}"/>
    <cellStyle name="20% - Accent4 7 3 3 4" xfId="19879" xr:uid="{00000000-0005-0000-0000-0000BC1A0000}"/>
    <cellStyle name="20% - Accent4 7 3 3 4 2" xfId="43712" xr:uid="{A9EE897C-3A58-4607-853A-DB317F1ACBF6}"/>
    <cellStyle name="20% - Accent4 7 3 3 5" xfId="27833" xr:uid="{D6A3CAB0-6A20-4746-984A-5D770CDFAE9B}"/>
    <cellStyle name="20% - Accent4 7 3 4" xfId="5719" xr:uid="{00000000-0005-0000-0000-0000BD1A0000}"/>
    <cellStyle name="20% - Accent4 7 3 4 2" xfId="13703" xr:uid="{00000000-0005-0000-0000-0000BE1A0000}"/>
    <cellStyle name="20% - Accent4 7 3 4 2 2" xfId="37547" xr:uid="{FC465506-CA79-4B66-A4F3-A2A914381306}"/>
    <cellStyle name="20% - Accent4 7 3 4 3" xfId="21651" xr:uid="{00000000-0005-0000-0000-0000BF1A0000}"/>
    <cellStyle name="20% - Accent4 7 3 4 3 2" xfId="45484" xr:uid="{FAA5199A-7770-4E0A-BBBA-2E6D9676379F}"/>
    <cellStyle name="20% - Accent4 7 3 4 4" xfId="29606" xr:uid="{C14323AE-D517-4DD1-8870-B806EA2F3BA9}"/>
    <cellStyle name="20% - Accent4 7 3 5" xfId="9272" xr:uid="{00000000-0005-0000-0000-0000C01A0000}"/>
    <cellStyle name="20% - Accent4 7 3 5 2" xfId="17230" xr:uid="{00000000-0005-0000-0000-0000C11A0000}"/>
    <cellStyle name="20% - Accent4 7 3 5 2 2" xfId="41071" xr:uid="{B2F9BCAC-F059-42EB-BDA0-7DCC35F000C9}"/>
    <cellStyle name="20% - Accent4 7 3 5 3" xfId="25174" xr:uid="{00000000-0005-0000-0000-0000C21A0000}"/>
    <cellStyle name="20% - Accent4 7 3 5 3 2" xfId="49007" xr:uid="{B7742D82-FA2C-4BDB-91DA-16BBD27DBE46}"/>
    <cellStyle name="20% - Accent4 7 3 5 4" xfId="33130" xr:uid="{DFE70221-4D97-4FA4-95E9-9E50AB3E6E4A}"/>
    <cellStyle name="20% - Accent4 7 3 6" xfId="10168" xr:uid="{00000000-0005-0000-0000-0000C31A0000}"/>
    <cellStyle name="20% - Accent4 7 3 6 2" xfId="34018" xr:uid="{4A41EF79-5AAE-4793-8B78-E30FADF297E6}"/>
    <cellStyle name="20% - Accent4 7 3 7" xfId="18123" xr:uid="{00000000-0005-0000-0000-0000C41A0000}"/>
    <cellStyle name="20% - Accent4 7 3 7 2" xfId="41956" xr:uid="{D3FF53CF-F7C3-44B4-88CD-7065E0F02800}"/>
    <cellStyle name="20% - Accent4 7 3 8" xfId="26076" xr:uid="{20670803-A1A4-4DC3-8FAA-6A5F84D1CA36}"/>
    <cellStyle name="20% - Accent4 7 3_Exh G" xfId="2412" xr:uid="{00000000-0005-0000-0000-0000C51A0000}"/>
    <cellStyle name="20% - Accent4 7 4" xfId="907" xr:uid="{00000000-0005-0000-0000-0000C61A0000}"/>
    <cellStyle name="20% - Accent4 7 4 2" xfId="1836" xr:uid="{00000000-0005-0000-0000-0000C71A0000}"/>
    <cellStyle name="20% - Accent4 7 4 2 2" xfId="5354" xr:uid="{00000000-0005-0000-0000-0000C81A0000}"/>
    <cellStyle name="20% - Accent4 7 4 2 2 2" xfId="8945" xr:uid="{00000000-0005-0000-0000-0000C91A0000}"/>
    <cellStyle name="20% - Accent4 7 4 2 2 2 2" xfId="16916" xr:uid="{00000000-0005-0000-0000-0000CA1A0000}"/>
    <cellStyle name="20% - Accent4 7 4 2 2 2 2 2" xfId="40759" xr:uid="{4DD27479-CF72-4EE6-8675-F69DB19352B1}"/>
    <cellStyle name="20% - Accent4 7 4 2 2 2 3" xfId="24862" xr:uid="{00000000-0005-0000-0000-0000CB1A0000}"/>
    <cellStyle name="20% - Accent4 7 4 2 2 2 3 2" xfId="48695" xr:uid="{51276587-CE5B-4218-ACE3-09EC83152811}"/>
    <cellStyle name="20% - Accent4 7 4 2 2 2 4" xfId="32818" xr:uid="{2E65EE1C-19F3-481F-A9E0-D8B2547AF427}"/>
    <cellStyle name="20% - Accent4 7 4 2 2 3" xfId="13378" xr:uid="{00000000-0005-0000-0000-0000CC1A0000}"/>
    <cellStyle name="20% - Accent4 7 4 2 2 3 2" xfId="37228" xr:uid="{65538BDD-33DC-438D-86C4-B62620C26632}"/>
    <cellStyle name="20% - Accent4 7 4 2 2 4" xfId="21333" xr:uid="{00000000-0005-0000-0000-0000CD1A0000}"/>
    <cellStyle name="20% - Accent4 7 4 2 2 4 2" xfId="45166" xr:uid="{747AA458-948A-45E7-8359-D80107574487}"/>
    <cellStyle name="20% - Accent4 7 4 2 2 5" xfId="29287" xr:uid="{FE83B10A-07EC-4797-8BF7-A9C7AF2D78AC}"/>
    <cellStyle name="20% - Accent4 7 4 2 3" xfId="7186" xr:uid="{00000000-0005-0000-0000-0000CE1A0000}"/>
    <cellStyle name="20% - Accent4 7 4 2 3 2" xfId="15158" xr:uid="{00000000-0005-0000-0000-0000CF1A0000}"/>
    <cellStyle name="20% - Accent4 7 4 2 3 2 2" xfId="39001" xr:uid="{18040262-25D4-48F0-A199-67033E50BCA6}"/>
    <cellStyle name="20% - Accent4 7 4 2 3 3" xfId="23105" xr:uid="{00000000-0005-0000-0000-0000D01A0000}"/>
    <cellStyle name="20% - Accent4 7 4 2 3 3 2" xfId="46938" xr:uid="{944F96FA-7486-4867-82D4-B280466DFA76}"/>
    <cellStyle name="20% - Accent4 7 4 2 3 4" xfId="31060" xr:uid="{3FB2DBCA-418B-4EBA-95D3-6C99889E5B9C}"/>
    <cellStyle name="20% - Accent4 7 4 2 4" xfId="11622" xr:uid="{00000000-0005-0000-0000-0000D11A0000}"/>
    <cellStyle name="20% - Accent4 7 4 2 4 2" xfId="35472" xr:uid="{6BE95718-EE9C-4B5C-9AC9-5707E231EC9C}"/>
    <cellStyle name="20% - Accent4 7 4 2 5" xfId="19577" xr:uid="{00000000-0005-0000-0000-0000D21A0000}"/>
    <cellStyle name="20% - Accent4 7 4 2 5 2" xfId="43410" xr:uid="{6C5B1238-5EF5-4324-A388-7F9DE68D33A5}"/>
    <cellStyle name="20% - Accent4 7 4 2 6" xfId="27530" xr:uid="{4D758A88-ACC8-4252-8EA7-A3C7CD68A99B}"/>
    <cellStyle name="20% - Accent4 7 4 2_Exh G" xfId="2415" xr:uid="{00000000-0005-0000-0000-0000D31A0000}"/>
    <cellStyle name="20% - Accent4 7 4 3" xfId="4475" xr:uid="{00000000-0005-0000-0000-0000D41A0000}"/>
    <cellStyle name="20% - Accent4 7 4 3 2" xfId="8067" xr:uid="{00000000-0005-0000-0000-0000D51A0000}"/>
    <cellStyle name="20% - Accent4 7 4 3 2 2" xfId="16038" xr:uid="{00000000-0005-0000-0000-0000D61A0000}"/>
    <cellStyle name="20% - Accent4 7 4 3 2 2 2" xfId="39881" xr:uid="{1D6BD881-821B-43FB-B401-4DDD5A24827F}"/>
    <cellStyle name="20% - Accent4 7 4 3 2 3" xfId="23984" xr:uid="{00000000-0005-0000-0000-0000D71A0000}"/>
    <cellStyle name="20% - Accent4 7 4 3 2 3 2" xfId="47817" xr:uid="{3F90B127-2E76-48B3-B90F-05152A3B3983}"/>
    <cellStyle name="20% - Accent4 7 4 3 2 4" xfId="31940" xr:uid="{D3DD9936-6B5E-4247-8585-D333BA2593F2}"/>
    <cellStyle name="20% - Accent4 7 4 3 3" xfId="12500" xr:uid="{00000000-0005-0000-0000-0000D81A0000}"/>
    <cellStyle name="20% - Accent4 7 4 3 3 2" xfId="36350" xr:uid="{C9F76D6D-9E47-4164-A205-3A583BBDC754}"/>
    <cellStyle name="20% - Accent4 7 4 3 4" xfId="20455" xr:uid="{00000000-0005-0000-0000-0000D91A0000}"/>
    <cellStyle name="20% - Accent4 7 4 3 4 2" xfId="44288" xr:uid="{8A69A285-EE5A-4F64-8A41-0C6E025538E0}"/>
    <cellStyle name="20% - Accent4 7 4 3 5" xfId="28409" xr:uid="{37582F85-D9D0-4AE1-9C12-A6384EAE150F}"/>
    <cellStyle name="20% - Accent4 7 4 4" xfId="6305" xr:uid="{00000000-0005-0000-0000-0000DA1A0000}"/>
    <cellStyle name="20% - Accent4 7 4 4 2" xfId="14280" xr:uid="{00000000-0005-0000-0000-0000DB1A0000}"/>
    <cellStyle name="20% - Accent4 7 4 4 2 2" xfId="38123" xr:uid="{48985B25-FFDF-43CD-AF05-E90E30F52FAB}"/>
    <cellStyle name="20% - Accent4 7 4 4 3" xfId="22227" xr:uid="{00000000-0005-0000-0000-0000DC1A0000}"/>
    <cellStyle name="20% - Accent4 7 4 4 3 2" xfId="46060" xr:uid="{29810AAC-C0C5-42CE-BFC1-8587E461BC18}"/>
    <cellStyle name="20% - Accent4 7 4 4 4" xfId="30182" xr:uid="{64D7487B-960D-425B-AE9E-93D711B16942}"/>
    <cellStyle name="20% - Accent4 7 4 5" xfId="9848" xr:uid="{00000000-0005-0000-0000-0000DD1A0000}"/>
    <cellStyle name="20% - Accent4 7 4 5 2" xfId="17806" xr:uid="{00000000-0005-0000-0000-0000DE1A0000}"/>
    <cellStyle name="20% - Accent4 7 4 5 2 2" xfId="41647" xr:uid="{F1D99AD4-E6F0-413A-A589-713988386820}"/>
    <cellStyle name="20% - Accent4 7 4 5 3" xfId="25750" xr:uid="{00000000-0005-0000-0000-0000DF1A0000}"/>
    <cellStyle name="20% - Accent4 7 4 5 3 2" xfId="49583" xr:uid="{D5B34698-7923-48AB-BBC7-4A8378DC3280}"/>
    <cellStyle name="20% - Accent4 7 4 5 4" xfId="33706" xr:uid="{6E688504-C3AA-41C8-8EA0-9C7EFD7E2FE0}"/>
    <cellStyle name="20% - Accent4 7 4 6" xfId="10744" xr:uid="{00000000-0005-0000-0000-0000E01A0000}"/>
    <cellStyle name="20% - Accent4 7 4 6 2" xfId="34594" xr:uid="{71E4C788-C48F-46EF-AA2D-C43E84BAA70C}"/>
    <cellStyle name="20% - Accent4 7 4 7" xfId="18699" xr:uid="{00000000-0005-0000-0000-0000E11A0000}"/>
    <cellStyle name="20% - Accent4 7 4 7 2" xfId="42532" xr:uid="{7957BA38-CAD7-4756-ADB7-CE1BFA0B38C5}"/>
    <cellStyle name="20% - Accent4 7 4 8" xfId="26652" xr:uid="{33610684-6B20-4657-88D6-CAC263E0B51B}"/>
    <cellStyle name="20% - Accent4 7 4_Exh G" xfId="2414" xr:uid="{00000000-0005-0000-0000-0000E21A0000}"/>
    <cellStyle name="20% - Accent4 7 5" xfId="1245" xr:uid="{00000000-0005-0000-0000-0000E31A0000}"/>
    <cellStyle name="20% - Accent4 7 5 2" xfId="4775" xr:uid="{00000000-0005-0000-0000-0000E41A0000}"/>
    <cellStyle name="20% - Accent4 7 5 2 2" xfId="8366" xr:uid="{00000000-0005-0000-0000-0000E51A0000}"/>
    <cellStyle name="20% - Accent4 7 5 2 2 2" xfId="16337" xr:uid="{00000000-0005-0000-0000-0000E61A0000}"/>
    <cellStyle name="20% - Accent4 7 5 2 2 2 2" xfId="40180" xr:uid="{8CC9D023-0528-41DD-988D-21D2CD7FAFA0}"/>
    <cellStyle name="20% - Accent4 7 5 2 2 3" xfId="24283" xr:uid="{00000000-0005-0000-0000-0000E71A0000}"/>
    <cellStyle name="20% - Accent4 7 5 2 2 3 2" xfId="48116" xr:uid="{587420FA-0208-4A42-BB13-5B3473B3C346}"/>
    <cellStyle name="20% - Accent4 7 5 2 2 4" xfId="32239" xr:uid="{724AE73B-8DAE-447D-A514-60A703D042A1}"/>
    <cellStyle name="20% - Accent4 7 5 2 3" xfId="12799" xr:uid="{00000000-0005-0000-0000-0000E81A0000}"/>
    <cellStyle name="20% - Accent4 7 5 2 3 2" xfId="36649" xr:uid="{8672D9C4-815A-4CD1-90FB-25F14733DFD3}"/>
    <cellStyle name="20% - Accent4 7 5 2 4" xfId="20754" xr:uid="{00000000-0005-0000-0000-0000E91A0000}"/>
    <cellStyle name="20% - Accent4 7 5 2 4 2" xfId="44587" xr:uid="{87AF7727-7BEF-414A-9A4F-0462047FA61F}"/>
    <cellStyle name="20% - Accent4 7 5 2 5" xfId="28708" xr:uid="{7F578046-CF05-440E-BEB7-4BE8E60919EA}"/>
    <cellStyle name="20% - Accent4 7 5 3" xfId="6607" xr:uid="{00000000-0005-0000-0000-0000EA1A0000}"/>
    <cellStyle name="20% - Accent4 7 5 3 2" xfId="14579" xr:uid="{00000000-0005-0000-0000-0000EB1A0000}"/>
    <cellStyle name="20% - Accent4 7 5 3 2 2" xfId="38422" xr:uid="{74D8AA53-DDE0-401B-9E6F-7CFCC3A37834}"/>
    <cellStyle name="20% - Accent4 7 5 3 3" xfId="22526" xr:uid="{00000000-0005-0000-0000-0000EC1A0000}"/>
    <cellStyle name="20% - Accent4 7 5 3 3 2" xfId="46359" xr:uid="{BF439B5E-5D9A-41B5-B46E-355776EF766D}"/>
    <cellStyle name="20% - Accent4 7 5 3 4" xfId="30481" xr:uid="{CAC672D1-B179-4E6B-83CE-E33AEE97D760}"/>
    <cellStyle name="20% - Accent4 7 5 4" xfId="11043" xr:uid="{00000000-0005-0000-0000-0000ED1A0000}"/>
    <cellStyle name="20% - Accent4 7 5 4 2" xfId="34893" xr:uid="{FCB47929-AAC6-4AD9-ACF5-4FE999061B5E}"/>
    <cellStyle name="20% - Accent4 7 5 5" xfId="18998" xr:uid="{00000000-0005-0000-0000-0000EE1A0000}"/>
    <cellStyle name="20% - Accent4 7 5 5 2" xfId="42831" xr:uid="{716882E5-42F0-4E9D-AEC6-5FD07C168904}"/>
    <cellStyle name="20% - Accent4 7 5 6" xfId="26951" xr:uid="{171A4780-581B-47F1-B391-C2B4BAD60245}"/>
    <cellStyle name="20% - Accent4 7 5_Exh G" xfId="2416" xr:uid="{00000000-0005-0000-0000-0000EF1A0000}"/>
    <cellStyle name="20% - Accent4 7 6" xfId="3896" xr:uid="{00000000-0005-0000-0000-0000F01A0000}"/>
    <cellStyle name="20% - Accent4 7 6 2" xfId="7488" xr:uid="{00000000-0005-0000-0000-0000F11A0000}"/>
    <cellStyle name="20% - Accent4 7 6 2 2" xfId="15459" xr:uid="{00000000-0005-0000-0000-0000F21A0000}"/>
    <cellStyle name="20% - Accent4 7 6 2 2 2" xfId="39302" xr:uid="{DC001199-E54D-44C7-86DF-C8C1164D3509}"/>
    <cellStyle name="20% - Accent4 7 6 2 3" xfId="23405" xr:uid="{00000000-0005-0000-0000-0000F31A0000}"/>
    <cellStyle name="20% - Accent4 7 6 2 3 2" xfId="47238" xr:uid="{8C7AA6FD-A4CD-4886-80A7-A0F4F37BFE9E}"/>
    <cellStyle name="20% - Accent4 7 6 2 4" xfId="31361" xr:uid="{6D4A80CC-EC80-4813-88D3-0310C6A705AC}"/>
    <cellStyle name="20% - Accent4 7 6 3" xfId="11921" xr:uid="{00000000-0005-0000-0000-0000F41A0000}"/>
    <cellStyle name="20% - Accent4 7 6 3 2" xfId="35771" xr:uid="{3896EB58-A41A-40D6-8F99-4B7C67EA641E}"/>
    <cellStyle name="20% - Accent4 7 6 4" xfId="19876" xr:uid="{00000000-0005-0000-0000-0000F51A0000}"/>
    <cellStyle name="20% - Accent4 7 6 4 2" xfId="43709" xr:uid="{F9734F1A-C90C-44D7-BD4A-9C95665A8DE3}"/>
    <cellStyle name="20% - Accent4 7 6 5" xfId="27830" xr:uid="{8E75D2DF-3C44-43B9-A0EF-2F2DA9EECBD2}"/>
    <cellStyle name="20% - Accent4 7 7" xfId="5716" xr:uid="{00000000-0005-0000-0000-0000F61A0000}"/>
    <cellStyle name="20% - Accent4 7 7 2" xfId="13700" xr:uid="{00000000-0005-0000-0000-0000F71A0000}"/>
    <cellStyle name="20% - Accent4 7 7 2 2" xfId="37544" xr:uid="{00A12EF8-3D1E-40D7-92F4-D179ECCF18B6}"/>
    <cellStyle name="20% - Accent4 7 7 3" xfId="21648" xr:uid="{00000000-0005-0000-0000-0000F81A0000}"/>
    <cellStyle name="20% - Accent4 7 7 3 2" xfId="45481" xr:uid="{114560D0-33B2-4789-90FE-2518A3E5732F}"/>
    <cellStyle name="20% - Accent4 7 7 4" xfId="29603" xr:uid="{736C3B16-1359-49D0-ADE5-C3D596893C7D}"/>
    <cellStyle name="20% - Accent4 7 8" xfId="9269" xr:uid="{00000000-0005-0000-0000-0000F91A0000}"/>
    <cellStyle name="20% - Accent4 7 8 2" xfId="17227" xr:uid="{00000000-0005-0000-0000-0000FA1A0000}"/>
    <cellStyle name="20% - Accent4 7 8 2 2" xfId="41068" xr:uid="{5DBA1B12-848E-45C5-9165-EA95DC321FA5}"/>
    <cellStyle name="20% - Accent4 7 8 3" xfId="25171" xr:uid="{00000000-0005-0000-0000-0000FB1A0000}"/>
    <cellStyle name="20% - Accent4 7 8 3 2" xfId="49004" xr:uid="{8EDB5523-DE31-4EAD-8F90-B8FBCC082119}"/>
    <cellStyle name="20% - Accent4 7 8 4" xfId="33127" xr:uid="{CA6386E6-F799-414D-BD99-E366690BEEBF}"/>
    <cellStyle name="20% - Accent4 7 9" xfId="10165" xr:uid="{00000000-0005-0000-0000-0000FC1A0000}"/>
    <cellStyle name="20% - Accent4 7 9 2" xfId="34015" xr:uid="{EE7072B5-5994-40B5-9595-24F4EBAD060F}"/>
    <cellStyle name="20% - Accent4 7_Exh G" xfId="2407" xr:uid="{00000000-0005-0000-0000-0000FD1A0000}"/>
    <cellStyle name="20% - Accent4 8" xfId="221" xr:uid="{00000000-0005-0000-0000-0000FE1A0000}"/>
    <cellStyle name="20% - Accent4 8 10" xfId="18124" xr:uid="{00000000-0005-0000-0000-0000FF1A0000}"/>
    <cellStyle name="20% - Accent4 8 10 2" xfId="41957" xr:uid="{BB39354A-2F99-48E0-AC92-BD468AD9A0E9}"/>
    <cellStyle name="20% - Accent4 8 11" xfId="26077" xr:uid="{9D067B38-5BD4-4791-9113-97ADB9AD0984}"/>
    <cellStyle name="20% - Accent4 8 2" xfId="222" xr:uid="{00000000-0005-0000-0000-0000001B0000}"/>
    <cellStyle name="20% - Accent4 8 2 2" xfId="223" xr:uid="{00000000-0005-0000-0000-0000011B0000}"/>
    <cellStyle name="20% - Accent4 8 2 2 2" xfId="1251" xr:uid="{00000000-0005-0000-0000-0000021B0000}"/>
    <cellStyle name="20% - Accent4 8 2 2 2 2" xfId="4781" xr:uid="{00000000-0005-0000-0000-0000031B0000}"/>
    <cellStyle name="20% - Accent4 8 2 2 2 2 2" xfId="8372" xr:uid="{00000000-0005-0000-0000-0000041B0000}"/>
    <cellStyle name="20% - Accent4 8 2 2 2 2 2 2" xfId="16343" xr:uid="{00000000-0005-0000-0000-0000051B0000}"/>
    <cellStyle name="20% - Accent4 8 2 2 2 2 2 2 2" xfId="40186" xr:uid="{78E30755-E03E-43CD-B521-5EE1964F4BBD}"/>
    <cellStyle name="20% - Accent4 8 2 2 2 2 2 3" xfId="24289" xr:uid="{00000000-0005-0000-0000-0000061B0000}"/>
    <cellStyle name="20% - Accent4 8 2 2 2 2 2 3 2" xfId="48122" xr:uid="{B6D70DD4-8601-4A93-A348-D629948987D1}"/>
    <cellStyle name="20% - Accent4 8 2 2 2 2 2 4" xfId="32245" xr:uid="{4D1E7035-B7BA-423E-A34B-736204565B7C}"/>
    <cellStyle name="20% - Accent4 8 2 2 2 2 3" xfId="12805" xr:uid="{00000000-0005-0000-0000-0000071B0000}"/>
    <cellStyle name="20% - Accent4 8 2 2 2 2 3 2" xfId="36655" xr:uid="{5D4E957E-11B2-4D50-8A41-C48CD6C89417}"/>
    <cellStyle name="20% - Accent4 8 2 2 2 2 4" xfId="20760" xr:uid="{00000000-0005-0000-0000-0000081B0000}"/>
    <cellStyle name="20% - Accent4 8 2 2 2 2 4 2" xfId="44593" xr:uid="{05B743A9-DAF5-4C77-AEA1-75A17AC0BC41}"/>
    <cellStyle name="20% - Accent4 8 2 2 2 2 5" xfId="28714" xr:uid="{5121AD4F-7ED4-4EE9-A5AF-E8CB774175CA}"/>
    <cellStyle name="20% - Accent4 8 2 2 2 3" xfId="6613" xr:uid="{00000000-0005-0000-0000-0000091B0000}"/>
    <cellStyle name="20% - Accent4 8 2 2 2 3 2" xfId="14585" xr:uid="{00000000-0005-0000-0000-00000A1B0000}"/>
    <cellStyle name="20% - Accent4 8 2 2 2 3 2 2" xfId="38428" xr:uid="{096F46E4-7B31-409A-909B-3D927F0D4C8C}"/>
    <cellStyle name="20% - Accent4 8 2 2 2 3 3" xfId="22532" xr:uid="{00000000-0005-0000-0000-00000B1B0000}"/>
    <cellStyle name="20% - Accent4 8 2 2 2 3 3 2" xfId="46365" xr:uid="{C00FAC44-32F0-4BB7-B104-65B8C32F4CAF}"/>
    <cellStyle name="20% - Accent4 8 2 2 2 3 4" xfId="30487" xr:uid="{6CCDE9F1-F5F8-48E7-98CE-05E9DF8F8DEB}"/>
    <cellStyle name="20% - Accent4 8 2 2 2 4" xfId="11049" xr:uid="{00000000-0005-0000-0000-00000C1B0000}"/>
    <cellStyle name="20% - Accent4 8 2 2 2 4 2" xfId="34899" xr:uid="{7C432B5D-53BB-4273-9AF3-D0E6ACEF388F}"/>
    <cellStyle name="20% - Accent4 8 2 2 2 5" xfId="19004" xr:uid="{00000000-0005-0000-0000-00000D1B0000}"/>
    <cellStyle name="20% - Accent4 8 2 2 2 5 2" xfId="42837" xr:uid="{7CA8DE2F-59B9-47E0-8220-33F19607468F}"/>
    <cellStyle name="20% - Accent4 8 2 2 2 6" xfId="26957" xr:uid="{48643456-59B4-415F-A238-65B0B389F14E}"/>
    <cellStyle name="20% - Accent4 8 2 2 2_Exh G" xfId="2420" xr:uid="{00000000-0005-0000-0000-00000E1B0000}"/>
    <cellStyle name="20% - Accent4 8 2 2 3" xfId="3902" xr:uid="{00000000-0005-0000-0000-00000F1B0000}"/>
    <cellStyle name="20% - Accent4 8 2 2 3 2" xfId="7494" xr:uid="{00000000-0005-0000-0000-0000101B0000}"/>
    <cellStyle name="20% - Accent4 8 2 2 3 2 2" xfId="15465" xr:uid="{00000000-0005-0000-0000-0000111B0000}"/>
    <cellStyle name="20% - Accent4 8 2 2 3 2 2 2" xfId="39308" xr:uid="{98ADA9DB-3988-40A3-A0C8-4885FE035C24}"/>
    <cellStyle name="20% - Accent4 8 2 2 3 2 3" xfId="23411" xr:uid="{00000000-0005-0000-0000-0000121B0000}"/>
    <cellStyle name="20% - Accent4 8 2 2 3 2 3 2" xfId="47244" xr:uid="{A7F0AB66-5C02-4F3A-B8DD-977B7E95B6BD}"/>
    <cellStyle name="20% - Accent4 8 2 2 3 2 4" xfId="31367" xr:uid="{5E590DB7-DE9D-466A-A997-C466CB5C6594}"/>
    <cellStyle name="20% - Accent4 8 2 2 3 3" xfId="11927" xr:uid="{00000000-0005-0000-0000-0000131B0000}"/>
    <cellStyle name="20% - Accent4 8 2 2 3 3 2" xfId="35777" xr:uid="{43B16251-A58B-40F1-85D0-41DDF150D63D}"/>
    <cellStyle name="20% - Accent4 8 2 2 3 4" xfId="19882" xr:uid="{00000000-0005-0000-0000-0000141B0000}"/>
    <cellStyle name="20% - Accent4 8 2 2 3 4 2" xfId="43715" xr:uid="{4332D988-421B-47D5-9FFD-B53947DE2A24}"/>
    <cellStyle name="20% - Accent4 8 2 2 3 5" xfId="27836" xr:uid="{6A12E75B-117F-401D-A7DF-F5F9A4B56443}"/>
    <cellStyle name="20% - Accent4 8 2 2 4" xfId="5722" xr:uid="{00000000-0005-0000-0000-0000151B0000}"/>
    <cellStyle name="20% - Accent4 8 2 2 4 2" xfId="13706" xr:uid="{00000000-0005-0000-0000-0000161B0000}"/>
    <cellStyle name="20% - Accent4 8 2 2 4 2 2" xfId="37550" xr:uid="{76869E9D-A4C1-446D-BF18-4F04691C1CF9}"/>
    <cellStyle name="20% - Accent4 8 2 2 4 3" xfId="21654" xr:uid="{00000000-0005-0000-0000-0000171B0000}"/>
    <cellStyle name="20% - Accent4 8 2 2 4 3 2" xfId="45487" xr:uid="{C7FF03FA-3C21-4259-AF9C-6A378DC22338}"/>
    <cellStyle name="20% - Accent4 8 2 2 4 4" xfId="29609" xr:uid="{D0B15529-0EE8-4C46-94ED-0C702C2CDE77}"/>
    <cellStyle name="20% - Accent4 8 2 2 5" xfId="9275" xr:uid="{00000000-0005-0000-0000-0000181B0000}"/>
    <cellStyle name="20% - Accent4 8 2 2 5 2" xfId="17233" xr:uid="{00000000-0005-0000-0000-0000191B0000}"/>
    <cellStyle name="20% - Accent4 8 2 2 5 2 2" xfId="41074" xr:uid="{3929F473-4960-4FC8-B3D2-F56E9AE69185}"/>
    <cellStyle name="20% - Accent4 8 2 2 5 3" xfId="25177" xr:uid="{00000000-0005-0000-0000-00001A1B0000}"/>
    <cellStyle name="20% - Accent4 8 2 2 5 3 2" xfId="49010" xr:uid="{03A708EC-BCF5-4B28-8986-21E681D9F452}"/>
    <cellStyle name="20% - Accent4 8 2 2 5 4" xfId="33133" xr:uid="{A94AC99A-D3F9-436F-9EBA-19232E350B70}"/>
    <cellStyle name="20% - Accent4 8 2 2 6" xfId="10171" xr:uid="{00000000-0005-0000-0000-00001B1B0000}"/>
    <cellStyle name="20% - Accent4 8 2 2 6 2" xfId="34021" xr:uid="{53D0CE1B-31AA-494F-97FF-6A23278A9648}"/>
    <cellStyle name="20% - Accent4 8 2 2 7" xfId="18126" xr:uid="{00000000-0005-0000-0000-00001C1B0000}"/>
    <cellStyle name="20% - Accent4 8 2 2 7 2" xfId="41959" xr:uid="{23B747C8-D14A-45FA-ADC7-85D6B80FD90F}"/>
    <cellStyle name="20% - Accent4 8 2 2 8" xfId="26079" xr:uid="{2AA24308-938C-4B82-BA29-3FEEBF3193E1}"/>
    <cellStyle name="20% - Accent4 8 2 2_Exh G" xfId="2419" xr:uid="{00000000-0005-0000-0000-00001D1B0000}"/>
    <cellStyle name="20% - Accent4 8 2 3" xfId="1250" xr:uid="{00000000-0005-0000-0000-00001E1B0000}"/>
    <cellStyle name="20% - Accent4 8 2 3 2" xfId="4780" xr:uid="{00000000-0005-0000-0000-00001F1B0000}"/>
    <cellStyle name="20% - Accent4 8 2 3 2 2" xfId="8371" xr:uid="{00000000-0005-0000-0000-0000201B0000}"/>
    <cellStyle name="20% - Accent4 8 2 3 2 2 2" xfId="16342" xr:uid="{00000000-0005-0000-0000-0000211B0000}"/>
    <cellStyle name="20% - Accent4 8 2 3 2 2 2 2" xfId="40185" xr:uid="{E2C57838-0C44-461E-99AE-52B86FEFE7FB}"/>
    <cellStyle name="20% - Accent4 8 2 3 2 2 3" xfId="24288" xr:uid="{00000000-0005-0000-0000-0000221B0000}"/>
    <cellStyle name="20% - Accent4 8 2 3 2 2 3 2" xfId="48121" xr:uid="{CFA20F41-6D28-4C94-B4D8-D15BFC35230B}"/>
    <cellStyle name="20% - Accent4 8 2 3 2 2 4" xfId="32244" xr:uid="{9F7276C4-DCE4-411A-A36D-9846413EF2D5}"/>
    <cellStyle name="20% - Accent4 8 2 3 2 3" xfId="12804" xr:uid="{00000000-0005-0000-0000-0000231B0000}"/>
    <cellStyle name="20% - Accent4 8 2 3 2 3 2" xfId="36654" xr:uid="{5D244F2E-850D-4DF1-A25D-E1537484242C}"/>
    <cellStyle name="20% - Accent4 8 2 3 2 4" xfId="20759" xr:uid="{00000000-0005-0000-0000-0000241B0000}"/>
    <cellStyle name="20% - Accent4 8 2 3 2 4 2" xfId="44592" xr:uid="{04516790-D497-4165-A7E5-0A50A2764DBB}"/>
    <cellStyle name="20% - Accent4 8 2 3 2 5" xfId="28713" xr:uid="{1145832E-2963-432A-AE6C-EE2BC178314A}"/>
    <cellStyle name="20% - Accent4 8 2 3 3" xfId="6612" xr:uid="{00000000-0005-0000-0000-0000251B0000}"/>
    <cellStyle name="20% - Accent4 8 2 3 3 2" xfId="14584" xr:uid="{00000000-0005-0000-0000-0000261B0000}"/>
    <cellStyle name="20% - Accent4 8 2 3 3 2 2" xfId="38427" xr:uid="{660BDE30-D3BA-4458-803E-7ACD17FB35B7}"/>
    <cellStyle name="20% - Accent4 8 2 3 3 3" xfId="22531" xr:uid="{00000000-0005-0000-0000-0000271B0000}"/>
    <cellStyle name="20% - Accent4 8 2 3 3 3 2" xfId="46364" xr:uid="{9D7FC43E-6669-455C-9935-0ED474D8D9F0}"/>
    <cellStyle name="20% - Accent4 8 2 3 3 4" xfId="30486" xr:uid="{C11CA7BC-34BD-429B-8249-7A9210AE9820}"/>
    <cellStyle name="20% - Accent4 8 2 3 4" xfId="11048" xr:uid="{00000000-0005-0000-0000-0000281B0000}"/>
    <cellStyle name="20% - Accent4 8 2 3 4 2" xfId="34898" xr:uid="{70DCEFF2-6652-423A-91FC-FC82F3ACF21F}"/>
    <cellStyle name="20% - Accent4 8 2 3 5" xfId="19003" xr:uid="{00000000-0005-0000-0000-0000291B0000}"/>
    <cellStyle name="20% - Accent4 8 2 3 5 2" xfId="42836" xr:uid="{A674C493-20BE-47CC-9DD6-13ACEFD4588F}"/>
    <cellStyle name="20% - Accent4 8 2 3 6" xfId="26956" xr:uid="{38A0FD29-F45E-46A8-B87C-031F6A567E5F}"/>
    <cellStyle name="20% - Accent4 8 2 3_Exh G" xfId="2421" xr:uid="{00000000-0005-0000-0000-00002A1B0000}"/>
    <cellStyle name="20% - Accent4 8 2 4" xfId="3901" xr:uid="{00000000-0005-0000-0000-00002B1B0000}"/>
    <cellStyle name="20% - Accent4 8 2 4 2" xfId="7493" xr:uid="{00000000-0005-0000-0000-00002C1B0000}"/>
    <cellStyle name="20% - Accent4 8 2 4 2 2" xfId="15464" xr:uid="{00000000-0005-0000-0000-00002D1B0000}"/>
    <cellStyle name="20% - Accent4 8 2 4 2 2 2" xfId="39307" xr:uid="{DB0F7102-02DC-41DF-A7D7-F1C729EBCCA6}"/>
    <cellStyle name="20% - Accent4 8 2 4 2 3" xfId="23410" xr:uid="{00000000-0005-0000-0000-00002E1B0000}"/>
    <cellStyle name="20% - Accent4 8 2 4 2 3 2" xfId="47243" xr:uid="{4246146A-CCCF-4AF7-8524-7DED9DD5BA6D}"/>
    <cellStyle name="20% - Accent4 8 2 4 2 4" xfId="31366" xr:uid="{F426F636-DB73-42AD-8554-65DE25AC0235}"/>
    <cellStyle name="20% - Accent4 8 2 4 3" xfId="11926" xr:uid="{00000000-0005-0000-0000-00002F1B0000}"/>
    <cellStyle name="20% - Accent4 8 2 4 3 2" xfId="35776" xr:uid="{512F39B5-9F1E-4B5C-B6F8-E2B99853E541}"/>
    <cellStyle name="20% - Accent4 8 2 4 4" xfId="19881" xr:uid="{00000000-0005-0000-0000-0000301B0000}"/>
    <cellStyle name="20% - Accent4 8 2 4 4 2" xfId="43714" xr:uid="{5A8AE9C3-F54C-49CE-9E83-FB4CE82C3B98}"/>
    <cellStyle name="20% - Accent4 8 2 4 5" xfId="27835" xr:uid="{671A2619-5C0A-4AD7-A781-B0C052C337D8}"/>
    <cellStyle name="20% - Accent4 8 2 5" xfId="5721" xr:uid="{00000000-0005-0000-0000-0000311B0000}"/>
    <cellStyle name="20% - Accent4 8 2 5 2" xfId="13705" xr:uid="{00000000-0005-0000-0000-0000321B0000}"/>
    <cellStyle name="20% - Accent4 8 2 5 2 2" xfId="37549" xr:uid="{1D8C1181-23D0-402C-ABE4-06AFF4386D17}"/>
    <cellStyle name="20% - Accent4 8 2 5 3" xfId="21653" xr:uid="{00000000-0005-0000-0000-0000331B0000}"/>
    <cellStyle name="20% - Accent4 8 2 5 3 2" xfId="45486" xr:uid="{B8A2FCC9-206D-4914-A0F1-76756706056A}"/>
    <cellStyle name="20% - Accent4 8 2 5 4" xfId="29608" xr:uid="{2C7347FB-5397-44E0-B6E0-0E2B668D2E1E}"/>
    <cellStyle name="20% - Accent4 8 2 6" xfId="9274" xr:uid="{00000000-0005-0000-0000-0000341B0000}"/>
    <cellStyle name="20% - Accent4 8 2 6 2" xfId="17232" xr:uid="{00000000-0005-0000-0000-0000351B0000}"/>
    <cellStyle name="20% - Accent4 8 2 6 2 2" xfId="41073" xr:uid="{C23FB914-2CE4-4E83-B2B9-57ECED4E67DD}"/>
    <cellStyle name="20% - Accent4 8 2 6 3" xfId="25176" xr:uid="{00000000-0005-0000-0000-0000361B0000}"/>
    <cellStyle name="20% - Accent4 8 2 6 3 2" xfId="49009" xr:uid="{954DD775-D1A7-49D4-8996-D0EBB445CE6D}"/>
    <cellStyle name="20% - Accent4 8 2 6 4" xfId="33132" xr:uid="{95EC0BD8-2666-4953-8159-FC7DC84C4932}"/>
    <cellStyle name="20% - Accent4 8 2 7" xfId="10170" xr:uid="{00000000-0005-0000-0000-0000371B0000}"/>
    <cellStyle name="20% - Accent4 8 2 7 2" xfId="34020" xr:uid="{777D102B-6E30-4480-B159-A400F3B22A21}"/>
    <cellStyle name="20% - Accent4 8 2 8" xfId="18125" xr:uid="{00000000-0005-0000-0000-0000381B0000}"/>
    <cellStyle name="20% - Accent4 8 2 8 2" xfId="41958" xr:uid="{CFEBB8EA-5259-4071-90D9-9877C9E85E92}"/>
    <cellStyle name="20% - Accent4 8 2 9" xfId="26078" xr:uid="{40AE9769-E8DC-493C-9141-1B4DCE3390C1}"/>
    <cellStyle name="20% - Accent4 8 2_Exh G" xfId="2418" xr:uid="{00000000-0005-0000-0000-0000391B0000}"/>
    <cellStyle name="20% - Accent4 8 3" xfId="224" xr:uid="{00000000-0005-0000-0000-00003A1B0000}"/>
    <cellStyle name="20% - Accent4 8 3 2" xfId="1252" xr:uid="{00000000-0005-0000-0000-00003B1B0000}"/>
    <cellStyle name="20% - Accent4 8 3 2 2" xfId="4782" xr:uid="{00000000-0005-0000-0000-00003C1B0000}"/>
    <cellStyle name="20% - Accent4 8 3 2 2 2" xfId="8373" xr:uid="{00000000-0005-0000-0000-00003D1B0000}"/>
    <cellStyle name="20% - Accent4 8 3 2 2 2 2" xfId="16344" xr:uid="{00000000-0005-0000-0000-00003E1B0000}"/>
    <cellStyle name="20% - Accent4 8 3 2 2 2 2 2" xfId="40187" xr:uid="{9F4D76EB-02B6-4949-87FB-B00257211A26}"/>
    <cellStyle name="20% - Accent4 8 3 2 2 2 3" xfId="24290" xr:uid="{00000000-0005-0000-0000-00003F1B0000}"/>
    <cellStyle name="20% - Accent4 8 3 2 2 2 3 2" xfId="48123" xr:uid="{B817249A-7172-45F5-BEB8-3AD65B5DEA89}"/>
    <cellStyle name="20% - Accent4 8 3 2 2 2 4" xfId="32246" xr:uid="{DF5F68B9-904F-429C-8F99-1AF828EF6517}"/>
    <cellStyle name="20% - Accent4 8 3 2 2 3" xfId="12806" xr:uid="{00000000-0005-0000-0000-0000401B0000}"/>
    <cellStyle name="20% - Accent4 8 3 2 2 3 2" xfId="36656" xr:uid="{FF9808A0-5D23-4020-99F1-3115937B8994}"/>
    <cellStyle name="20% - Accent4 8 3 2 2 4" xfId="20761" xr:uid="{00000000-0005-0000-0000-0000411B0000}"/>
    <cellStyle name="20% - Accent4 8 3 2 2 4 2" xfId="44594" xr:uid="{1669437B-67D9-4DB5-BEC2-EE00E9A5759B}"/>
    <cellStyle name="20% - Accent4 8 3 2 2 5" xfId="28715" xr:uid="{0A9F6091-52CD-459C-A519-947C77906ACD}"/>
    <cellStyle name="20% - Accent4 8 3 2 3" xfId="6614" xr:uid="{00000000-0005-0000-0000-0000421B0000}"/>
    <cellStyle name="20% - Accent4 8 3 2 3 2" xfId="14586" xr:uid="{00000000-0005-0000-0000-0000431B0000}"/>
    <cellStyle name="20% - Accent4 8 3 2 3 2 2" xfId="38429" xr:uid="{9AC999D2-703C-454C-B82D-58DAABFAE5B0}"/>
    <cellStyle name="20% - Accent4 8 3 2 3 3" xfId="22533" xr:uid="{00000000-0005-0000-0000-0000441B0000}"/>
    <cellStyle name="20% - Accent4 8 3 2 3 3 2" xfId="46366" xr:uid="{BCF17C27-D25E-4A38-87E9-D8C0C7D7CCA2}"/>
    <cellStyle name="20% - Accent4 8 3 2 3 4" xfId="30488" xr:uid="{872E17F6-56FD-4AA4-8A1A-F56A8A66DF52}"/>
    <cellStyle name="20% - Accent4 8 3 2 4" xfId="11050" xr:uid="{00000000-0005-0000-0000-0000451B0000}"/>
    <cellStyle name="20% - Accent4 8 3 2 4 2" xfId="34900" xr:uid="{AF674572-5C32-45F3-B4CE-F48A091EED1F}"/>
    <cellStyle name="20% - Accent4 8 3 2 5" xfId="19005" xr:uid="{00000000-0005-0000-0000-0000461B0000}"/>
    <cellStyle name="20% - Accent4 8 3 2 5 2" xfId="42838" xr:uid="{F587B167-0510-480B-A31D-E9EDD67059F7}"/>
    <cellStyle name="20% - Accent4 8 3 2 6" xfId="26958" xr:uid="{77391935-9C90-42D1-8BB1-3F06360A8DF4}"/>
    <cellStyle name="20% - Accent4 8 3 2_Exh G" xfId="2423" xr:uid="{00000000-0005-0000-0000-0000471B0000}"/>
    <cellStyle name="20% - Accent4 8 3 3" xfId="3903" xr:uid="{00000000-0005-0000-0000-0000481B0000}"/>
    <cellStyle name="20% - Accent4 8 3 3 2" xfId="7495" xr:uid="{00000000-0005-0000-0000-0000491B0000}"/>
    <cellStyle name="20% - Accent4 8 3 3 2 2" xfId="15466" xr:uid="{00000000-0005-0000-0000-00004A1B0000}"/>
    <cellStyle name="20% - Accent4 8 3 3 2 2 2" xfId="39309" xr:uid="{6064D393-C458-4A65-84BF-063A87BDD891}"/>
    <cellStyle name="20% - Accent4 8 3 3 2 3" xfId="23412" xr:uid="{00000000-0005-0000-0000-00004B1B0000}"/>
    <cellStyle name="20% - Accent4 8 3 3 2 3 2" xfId="47245" xr:uid="{703A9CCA-47D1-45C7-BC6E-6AFCBE6240F3}"/>
    <cellStyle name="20% - Accent4 8 3 3 2 4" xfId="31368" xr:uid="{4FE70BA2-8C5F-4F65-B071-BFC1639FBE0B}"/>
    <cellStyle name="20% - Accent4 8 3 3 3" xfId="11928" xr:uid="{00000000-0005-0000-0000-00004C1B0000}"/>
    <cellStyle name="20% - Accent4 8 3 3 3 2" xfId="35778" xr:uid="{EEFEAE32-A3DA-4EAB-B82F-73535607EB3C}"/>
    <cellStyle name="20% - Accent4 8 3 3 4" xfId="19883" xr:uid="{00000000-0005-0000-0000-00004D1B0000}"/>
    <cellStyle name="20% - Accent4 8 3 3 4 2" xfId="43716" xr:uid="{57E46137-A558-4936-AFA6-900D0F6CDED7}"/>
    <cellStyle name="20% - Accent4 8 3 3 5" xfId="27837" xr:uid="{0D2BE6D4-64BE-4DE5-A951-AEC3D49D0ADB}"/>
    <cellStyle name="20% - Accent4 8 3 4" xfId="5723" xr:uid="{00000000-0005-0000-0000-00004E1B0000}"/>
    <cellStyle name="20% - Accent4 8 3 4 2" xfId="13707" xr:uid="{00000000-0005-0000-0000-00004F1B0000}"/>
    <cellStyle name="20% - Accent4 8 3 4 2 2" xfId="37551" xr:uid="{523E3DA7-C372-4FA3-8280-B08B77413A3F}"/>
    <cellStyle name="20% - Accent4 8 3 4 3" xfId="21655" xr:uid="{00000000-0005-0000-0000-0000501B0000}"/>
    <cellStyle name="20% - Accent4 8 3 4 3 2" xfId="45488" xr:uid="{62092C9F-9522-4052-8623-A03EAB4AC516}"/>
    <cellStyle name="20% - Accent4 8 3 4 4" xfId="29610" xr:uid="{0424BBEF-3302-4E50-B482-0F7938ED5F38}"/>
    <cellStyle name="20% - Accent4 8 3 5" xfId="9276" xr:uid="{00000000-0005-0000-0000-0000511B0000}"/>
    <cellStyle name="20% - Accent4 8 3 5 2" xfId="17234" xr:uid="{00000000-0005-0000-0000-0000521B0000}"/>
    <cellStyle name="20% - Accent4 8 3 5 2 2" xfId="41075" xr:uid="{EC6CE914-EAB6-4A8D-94EB-522BA94E2660}"/>
    <cellStyle name="20% - Accent4 8 3 5 3" xfId="25178" xr:uid="{00000000-0005-0000-0000-0000531B0000}"/>
    <cellStyle name="20% - Accent4 8 3 5 3 2" xfId="49011" xr:uid="{68A5951D-8275-4E4E-BEBE-F7674056400E}"/>
    <cellStyle name="20% - Accent4 8 3 5 4" xfId="33134" xr:uid="{27DFB471-E0E4-4E63-9F1F-AC7163B93624}"/>
    <cellStyle name="20% - Accent4 8 3 6" xfId="10172" xr:uid="{00000000-0005-0000-0000-0000541B0000}"/>
    <cellStyle name="20% - Accent4 8 3 6 2" xfId="34022" xr:uid="{30BEE497-3730-4C0C-B52C-0ECE3A6BECF6}"/>
    <cellStyle name="20% - Accent4 8 3 7" xfId="18127" xr:uid="{00000000-0005-0000-0000-0000551B0000}"/>
    <cellStyle name="20% - Accent4 8 3 7 2" xfId="41960" xr:uid="{EF1E3226-5A37-4976-BF08-05B715ED3220}"/>
    <cellStyle name="20% - Accent4 8 3 8" xfId="26080" xr:uid="{6E2C3C65-0B78-4558-A4D9-0662D2CD917D}"/>
    <cellStyle name="20% - Accent4 8 3_Exh G" xfId="2422" xr:uid="{00000000-0005-0000-0000-0000561B0000}"/>
    <cellStyle name="20% - Accent4 8 4" xfId="908" xr:uid="{00000000-0005-0000-0000-0000571B0000}"/>
    <cellStyle name="20% - Accent4 8 4 2" xfId="1837" xr:uid="{00000000-0005-0000-0000-0000581B0000}"/>
    <cellStyle name="20% - Accent4 8 4 2 2" xfId="5355" xr:uid="{00000000-0005-0000-0000-0000591B0000}"/>
    <cellStyle name="20% - Accent4 8 4 2 2 2" xfId="8946" xr:uid="{00000000-0005-0000-0000-00005A1B0000}"/>
    <cellStyle name="20% - Accent4 8 4 2 2 2 2" xfId="16917" xr:uid="{00000000-0005-0000-0000-00005B1B0000}"/>
    <cellStyle name="20% - Accent4 8 4 2 2 2 2 2" xfId="40760" xr:uid="{57B3660A-579F-49CD-A922-DD2364E7CE4D}"/>
    <cellStyle name="20% - Accent4 8 4 2 2 2 3" xfId="24863" xr:uid="{00000000-0005-0000-0000-00005C1B0000}"/>
    <cellStyle name="20% - Accent4 8 4 2 2 2 3 2" xfId="48696" xr:uid="{48D22642-00A4-4AAE-9EDF-5AA761E867D9}"/>
    <cellStyle name="20% - Accent4 8 4 2 2 2 4" xfId="32819" xr:uid="{6340CC4B-1D38-4EB5-896C-A1BA05415A4A}"/>
    <cellStyle name="20% - Accent4 8 4 2 2 3" xfId="13379" xr:uid="{00000000-0005-0000-0000-00005D1B0000}"/>
    <cellStyle name="20% - Accent4 8 4 2 2 3 2" xfId="37229" xr:uid="{EF5F57C9-694F-4484-A698-5F870948EC2D}"/>
    <cellStyle name="20% - Accent4 8 4 2 2 4" xfId="21334" xr:uid="{00000000-0005-0000-0000-00005E1B0000}"/>
    <cellStyle name="20% - Accent4 8 4 2 2 4 2" xfId="45167" xr:uid="{E66D5402-9405-45CC-AC12-84390B267056}"/>
    <cellStyle name="20% - Accent4 8 4 2 2 5" xfId="29288" xr:uid="{2F10097C-5082-4B5B-ABC1-2309C4C5F353}"/>
    <cellStyle name="20% - Accent4 8 4 2 3" xfId="7187" xr:uid="{00000000-0005-0000-0000-00005F1B0000}"/>
    <cellStyle name="20% - Accent4 8 4 2 3 2" xfId="15159" xr:uid="{00000000-0005-0000-0000-0000601B0000}"/>
    <cellStyle name="20% - Accent4 8 4 2 3 2 2" xfId="39002" xr:uid="{C874026D-8392-4501-8962-AF7E0FF7556D}"/>
    <cellStyle name="20% - Accent4 8 4 2 3 3" xfId="23106" xr:uid="{00000000-0005-0000-0000-0000611B0000}"/>
    <cellStyle name="20% - Accent4 8 4 2 3 3 2" xfId="46939" xr:uid="{873B6B27-615E-496B-8EA3-673A874491C6}"/>
    <cellStyle name="20% - Accent4 8 4 2 3 4" xfId="31061" xr:uid="{C7143F62-7397-4913-8E17-FF4A5F9F1592}"/>
    <cellStyle name="20% - Accent4 8 4 2 4" xfId="11623" xr:uid="{00000000-0005-0000-0000-0000621B0000}"/>
    <cellStyle name="20% - Accent4 8 4 2 4 2" xfId="35473" xr:uid="{8FC218B3-EACC-43CF-8111-3126B79853B2}"/>
    <cellStyle name="20% - Accent4 8 4 2 5" xfId="19578" xr:uid="{00000000-0005-0000-0000-0000631B0000}"/>
    <cellStyle name="20% - Accent4 8 4 2 5 2" xfId="43411" xr:uid="{C54EE1D5-2531-4253-9640-4B6B13CAB378}"/>
    <cellStyle name="20% - Accent4 8 4 2 6" xfId="27531" xr:uid="{803DF120-7828-4E7E-B3FE-0C27173FF7D5}"/>
    <cellStyle name="20% - Accent4 8 4 2_Exh G" xfId="2425" xr:uid="{00000000-0005-0000-0000-0000641B0000}"/>
    <cellStyle name="20% - Accent4 8 4 3" xfId="4476" xr:uid="{00000000-0005-0000-0000-0000651B0000}"/>
    <cellStyle name="20% - Accent4 8 4 3 2" xfId="8068" xr:uid="{00000000-0005-0000-0000-0000661B0000}"/>
    <cellStyle name="20% - Accent4 8 4 3 2 2" xfId="16039" xr:uid="{00000000-0005-0000-0000-0000671B0000}"/>
    <cellStyle name="20% - Accent4 8 4 3 2 2 2" xfId="39882" xr:uid="{CDFFC458-9FD0-4ED1-8863-959C147CE816}"/>
    <cellStyle name="20% - Accent4 8 4 3 2 3" xfId="23985" xr:uid="{00000000-0005-0000-0000-0000681B0000}"/>
    <cellStyle name="20% - Accent4 8 4 3 2 3 2" xfId="47818" xr:uid="{29E7514C-B17E-43EA-8BEB-2BCA85CF3E09}"/>
    <cellStyle name="20% - Accent4 8 4 3 2 4" xfId="31941" xr:uid="{CAB1E456-6C11-4032-8AF2-0624C394FE06}"/>
    <cellStyle name="20% - Accent4 8 4 3 3" xfId="12501" xr:uid="{00000000-0005-0000-0000-0000691B0000}"/>
    <cellStyle name="20% - Accent4 8 4 3 3 2" xfId="36351" xr:uid="{7E9B6AF0-EB92-4DC4-AFB7-0E4DED8C025A}"/>
    <cellStyle name="20% - Accent4 8 4 3 4" xfId="20456" xr:uid="{00000000-0005-0000-0000-00006A1B0000}"/>
    <cellStyle name="20% - Accent4 8 4 3 4 2" xfId="44289" xr:uid="{C79FEDE5-025C-4DA6-AFD3-440606936451}"/>
    <cellStyle name="20% - Accent4 8 4 3 5" xfId="28410" xr:uid="{20BC8449-6D07-4888-B0F3-A42985C5F31B}"/>
    <cellStyle name="20% - Accent4 8 4 4" xfId="6306" xr:uid="{00000000-0005-0000-0000-00006B1B0000}"/>
    <cellStyle name="20% - Accent4 8 4 4 2" xfId="14281" xr:uid="{00000000-0005-0000-0000-00006C1B0000}"/>
    <cellStyle name="20% - Accent4 8 4 4 2 2" xfId="38124" xr:uid="{D07F7462-9DED-4586-BA38-098780DA0B65}"/>
    <cellStyle name="20% - Accent4 8 4 4 3" xfId="22228" xr:uid="{00000000-0005-0000-0000-00006D1B0000}"/>
    <cellStyle name="20% - Accent4 8 4 4 3 2" xfId="46061" xr:uid="{8A23ADA3-EADD-47AF-BE99-14210760C7AC}"/>
    <cellStyle name="20% - Accent4 8 4 4 4" xfId="30183" xr:uid="{80DCAB39-D9EF-494C-A1A9-788235939A43}"/>
    <cellStyle name="20% - Accent4 8 4 5" xfId="9849" xr:uid="{00000000-0005-0000-0000-00006E1B0000}"/>
    <cellStyle name="20% - Accent4 8 4 5 2" xfId="17807" xr:uid="{00000000-0005-0000-0000-00006F1B0000}"/>
    <cellStyle name="20% - Accent4 8 4 5 2 2" xfId="41648" xr:uid="{75FA73B2-21CF-4ACF-8F12-21BBB423DF13}"/>
    <cellStyle name="20% - Accent4 8 4 5 3" xfId="25751" xr:uid="{00000000-0005-0000-0000-0000701B0000}"/>
    <cellStyle name="20% - Accent4 8 4 5 3 2" xfId="49584" xr:uid="{BF1B2A66-919E-4170-A448-00E91AE5B82B}"/>
    <cellStyle name="20% - Accent4 8 4 5 4" xfId="33707" xr:uid="{46CF378B-9DE0-43FF-8720-107AB3918F05}"/>
    <cellStyle name="20% - Accent4 8 4 6" xfId="10745" xr:uid="{00000000-0005-0000-0000-0000711B0000}"/>
    <cellStyle name="20% - Accent4 8 4 6 2" xfId="34595" xr:uid="{8EDF9C1D-D0C3-460C-9120-DB2A70764858}"/>
    <cellStyle name="20% - Accent4 8 4 7" xfId="18700" xr:uid="{00000000-0005-0000-0000-0000721B0000}"/>
    <cellStyle name="20% - Accent4 8 4 7 2" xfId="42533" xr:uid="{8EF14750-27EB-44A7-8924-573C671E60C3}"/>
    <cellStyle name="20% - Accent4 8 4 8" xfId="26653" xr:uid="{23E3CC0A-A7A3-4D4C-B0F9-599C61F187C9}"/>
    <cellStyle name="20% - Accent4 8 4_Exh G" xfId="2424" xr:uid="{00000000-0005-0000-0000-0000731B0000}"/>
    <cellStyle name="20% - Accent4 8 5" xfId="1249" xr:uid="{00000000-0005-0000-0000-0000741B0000}"/>
    <cellStyle name="20% - Accent4 8 5 2" xfId="4779" xr:uid="{00000000-0005-0000-0000-0000751B0000}"/>
    <cellStyle name="20% - Accent4 8 5 2 2" xfId="8370" xr:uid="{00000000-0005-0000-0000-0000761B0000}"/>
    <cellStyle name="20% - Accent4 8 5 2 2 2" xfId="16341" xr:uid="{00000000-0005-0000-0000-0000771B0000}"/>
    <cellStyle name="20% - Accent4 8 5 2 2 2 2" xfId="40184" xr:uid="{9113CDD5-4E19-4930-B2D2-3E8932431F8C}"/>
    <cellStyle name="20% - Accent4 8 5 2 2 3" xfId="24287" xr:uid="{00000000-0005-0000-0000-0000781B0000}"/>
    <cellStyle name="20% - Accent4 8 5 2 2 3 2" xfId="48120" xr:uid="{3BE6C462-9213-4993-A308-130EC5743254}"/>
    <cellStyle name="20% - Accent4 8 5 2 2 4" xfId="32243" xr:uid="{8C572A68-8F86-40F5-AFA7-5880E0127314}"/>
    <cellStyle name="20% - Accent4 8 5 2 3" xfId="12803" xr:uid="{00000000-0005-0000-0000-0000791B0000}"/>
    <cellStyle name="20% - Accent4 8 5 2 3 2" xfId="36653" xr:uid="{1DCADC33-8486-4BD3-899D-BB8287C07E4A}"/>
    <cellStyle name="20% - Accent4 8 5 2 4" xfId="20758" xr:uid="{00000000-0005-0000-0000-00007A1B0000}"/>
    <cellStyle name="20% - Accent4 8 5 2 4 2" xfId="44591" xr:uid="{9C630401-8413-48D9-A2F7-D1536868EC22}"/>
    <cellStyle name="20% - Accent4 8 5 2 5" xfId="28712" xr:uid="{1A2442E1-638A-4308-ADCB-4D727057BA32}"/>
    <cellStyle name="20% - Accent4 8 5 3" xfId="6611" xr:uid="{00000000-0005-0000-0000-00007B1B0000}"/>
    <cellStyle name="20% - Accent4 8 5 3 2" xfId="14583" xr:uid="{00000000-0005-0000-0000-00007C1B0000}"/>
    <cellStyle name="20% - Accent4 8 5 3 2 2" xfId="38426" xr:uid="{DE031F47-A177-4527-914E-9413287D2346}"/>
    <cellStyle name="20% - Accent4 8 5 3 3" xfId="22530" xr:uid="{00000000-0005-0000-0000-00007D1B0000}"/>
    <cellStyle name="20% - Accent4 8 5 3 3 2" xfId="46363" xr:uid="{32192288-8A2F-4E80-8230-ADDF40830465}"/>
    <cellStyle name="20% - Accent4 8 5 3 4" xfId="30485" xr:uid="{8A1B10C0-3851-44BD-9B5A-CAFDB3ABF41F}"/>
    <cellStyle name="20% - Accent4 8 5 4" xfId="11047" xr:uid="{00000000-0005-0000-0000-00007E1B0000}"/>
    <cellStyle name="20% - Accent4 8 5 4 2" xfId="34897" xr:uid="{2367CA52-7841-4759-BF24-4A5DCE9355C3}"/>
    <cellStyle name="20% - Accent4 8 5 5" xfId="19002" xr:uid="{00000000-0005-0000-0000-00007F1B0000}"/>
    <cellStyle name="20% - Accent4 8 5 5 2" xfId="42835" xr:uid="{4C15B901-6D87-48FB-BF8D-933134806749}"/>
    <cellStyle name="20% - Accent4 8 5 6" xfId="26955" xr:uid="{1EAA7552-E350-4E41-A8C0-F57B23EC7073}"/>
    <cellStyle name="20% - Accent4 8 5_Exh G" xfId="2426" xr:uid="{00000000-0005-0000-0000-0000801B0000}"/>
    <cellStyle name="20% - Accent4 8 6" xfId="3900" xr:uid="{00000000-0005-0000-0000-0000811B0000}"/>
    <cellStyle name="20% - Accent4 8 6 2" xfId="7492" xr:uid="{00000000-0005-0000-0000-0000821B0000}"/>
    <cellStyle name="20% - Accent4 8 6 2 2" xfId="15463" xr:uid="{00000000-0005-0000-0000-0000831B0000}"/>
    <cellStyle name="20% - Accent4 8 6 2 2 2" xfId="39306" xr:uid="{7C03E4A2-B590-420D-8433-D9563DAA19F6}"/>
    <cellStyle name="20% - Accent4 8 6 2 3" xfId="23409" xr:uid="{00000000-0005-0000-0000-0000841B0000}"/>
    <cellStyle name="20% - Accent4 8 6 2 3 2" xfId="47242" xr:uid="{AF710421-46FF-483E-9050-2888E273AC0C}"/>
    <cellStyle name="20% - Accent4 8 6 2 4" xfId="31365" xr:uid="{5FB10508-4E8F-4DEA-97DD-EBAA56561A8A}"/>
    <cellStyle name="20% - Accent4 8 6 3" xfId="11925" xr:uid="{00000000-0005-0000-0000-0000851B0000}"/>
    <cellStyle name="20% - Accent4 8 6 3 2" xfId="35775" xr:uid="{F77DE8EA-47B0-4023-8D5E-82D3B23AB5D2}"/>
    <cellStyle name="20% - Accent4 8 6 4" xfId="19880" xr:uid="{00000000-0005-0000-0000-0000861B0000}"/>
    <cellStyle name="20% - Accent4 8 6 4 2" xfId="43713" xr:uid="{EA29E85E-7C71-4115-80CC-A48EF00CFD37}"/>
    <cellStyle name="20% - Accent4 8 6 5" xfId="27834" xr:uid="{93382D07-B94C-4C4F-BCCB-164697CA8C94}"/>
    <cellStyle name="20% - Accent4 8 7" xfId="5720" xr:uid="{00000000-0005-0000-0000-0000871B0000}"/>
    <cellStyle name="20% - Accent4 8 7 2" xfId="13704" xr:uid="{00000000-0005-0000-0000-0000881B0000}"/>
    <cellStyle name="20% - Accent4 8 7 2 2" xfId="37548" xr:uid="{562D4FEF-EA75-4520-B8C7-53DE1F8062A5}"/>
    <cellStyle name="20% - Accent4 8 7 3" xfId="21652" xr:uid="{00000000-0005-0000-0000-0000891B0000}"/>
    <cellStyle name="20% - Accent4 8 7 3 2" xfId="45485" xr:uid="{9A57D445-93C4-494B-982E-1FA29EC9B17D}"/>
    <cellStyle name="20% - Accent4 8 7 4" xfId="29607" xr:uid="{CD8F2697-831E-4842-90CD-ABB19FAE5129}"/>
    <cellStyle name="20% - Accent4 8 8" xfId="9273" xr:uid="{00000000-0005-0000-0000-00008A1B0000}"/>
    <cellStyle name="20% - Accent4 8 8 2" xfId="17231" xr:uid="{00000000-0005-0000-0000-00008B1B0000}"/>
    <cellStyle name="20% - Accent4 8 8 2 2" xfId="41072" xr:uid="{27BF970D-95A2-48AE-8C18-87CD77D30661}"/>
    <cellStyle name="20% - Accent4 8 8 3" xfId="25175" xr:uid="{00000000-0005-0000-0000-00008C1B0000}"/>
    <cellStyle name="20% - Accent4 8 8 3 2" xfId="49008" xr:uid="{93D48654-8F33-42DC-8BBC-7E0974903D49}"/>
    <cellStyle name="20% - Accent4 8 8 4" xfId="33131" xr:uid="{8F66AD67-CCFB-4111-9350-245FCB10059D}"/>
    <cellStyle name="20% - Accent4 8 9" xfId="10169" xr:uid="{00000000-0005-0000-0000-00008D1B0000}"/>
    <cellStyle name="20% - Accent4 8 9 2" xfId="34019" xr:uid="{B2BD4E8F-1DAB-424E-B004-03B37CDA3FB5}"/>
    <cellStyle name="20% - Accent4 8_Exh G" xfId="2417" xr:uid="{00000000-0005-0000-0000-00008E1B0000}"/>
    <cellStyle name="20% - Accent4 9" xfId="225" xr:uid="{00000000-0005-0000-0000-00008F1B0000}"/>
    <cellStyle name="20% - Accent4 9 10" xfId="18128" xr:uid="{00000000-0005-0000-0000-0000901B0000}"/>
    <cellStyle name="20% - Accent4 9 10 2" xfId="41961" xr:uid="{11FA11AE-BD9C-4E1E-9314-3F40202A462D}"/>
    <cellStyle name="20% - Accent4 9 11" xfId="26081" xr:uid="{2DFCE371-8C54-4AD2-B352-7862623C33CD}"/>
    <cellStyle name="20% - Accent4 9 2" xfId="226" xr:uid="{00000000-0005-0000-0000-0000911B0000}"/>
    <cellStyle name="20% - Accent4 9 2 2" xfId="227" xr:uid="{00000000-0005-0000-0000-0000921B0000}"/>
    <cellStyle name="20% - Accent4 9 2 2 2" xfId="1255" xr:uid="{00000000-0005-0000-0000-0000931B0000}"/>
    <cellStyle name="20% - Accent4 9 2 2 2 2" xfId="4785" xr:uid="{00000000-0005-0000-0000-0000941B0000}"/>
    <cellStyle name="20% - Accent4 9 2 2 2 2 2" xfId="8376" xr:uid="{00000000-0005-0000-0000-0000951B0000}"/>
    <cellStyle name="20% - Accent4 9 2 2 2 2 2 2" xfId="16347" xr:uid="{00000000-0005-0000-0000-0000961B0000}"/>
    <cellStyle name="20% - Accent4 9 2 2 2 2 2 2 2" xfId="40190" xr:uid="{7CDB54C2-D85A-4D69-8464-61A3C30E0B69}"/>
    <cellStyle name="20% - Accent4 9 2 2 2 2 2 3" xfId="24293" xr:uid="{00000000-0005-0000-0000-0000971B0000}"/>
    <cellStyle name="20% - Accent4 9 2 2 2 2 2 3 2" xfId="48126" xr:uid="{FBEF530F-D50C-4BC8-BED1-AD54164BD046}"/>
    <cellStyle name="20% - Accent4 9 2 2 2 2 2 4" xfId="32249" xr:uid="{24D05ADC-3BA9-4282-B399-B0CAE749DB33}"/>
    <cellStyle name="20% - Accent4 9 2 2 2 2 3" xfId="12809" xr:uid="{00000000-0005-0000-0000-0000981B0000}"/>
    <cellStyle name="20% - Accent4 9 2 2 2 2 3 2" xfId="36659" xr:uid="{8B9FAFC0-5081-4150-BE2F-9286C2439FA8}"/>
    <cellStyle name="20% - Accent4 9 2 2 2 2 4" xfId="20764" xr:uid="{00000000-0005-0000-0000-0000991B0000}"/>
    <cellStyle name="20% - Accent4 9 2 2 2 2 4 2" xfId="44597" xr:uid="{3256E3A2-31EE-4B1A-A6A7-658F58072E1B}"/>
    <cellStyle name="20% - Accent4 9 2 2 2 2 5" xfId="28718" xr:uid="{98945753-4D06-4D3F-9B81-271044EB5877}"/>
    <cellStyle name="20% - Accent4 9 2 2 2 3" xfId="6617" xr:uid="{00000000-0005-0000-0000-00009A1B0000}"/>
    <cellStyle name="20% - Accent4 9 2 2 2 3 2" xfId="14589" xr:uid="{00000000-0005-0000-0000-00009B1B0000}"/>
    <cellStyle name="20% - Accent4 9 2 2 2 3 2 2" xfId="38432" xr:uid="{EBD58EE9-9423-4A84-8DA5-D8162BAD86A6}"/>
    <cellStyle name="20% - Accent4 9 2 2 2 3 3" xfId="22536" xr:uid="{00000000-0005-0000-0000-00009C1B0000}"/>
    <cellStyle name="20% - Accent4 9 2 2 2 3 3 2" xfId="46369" xr:uid="{518E7129-CC0F-4659-A1B2-F1086B65CF99}"/>
    <cellStyle name="20% - Accent4 9 2 2 2 3 4" xfId="30491" xr:uid="{993881D1-270F-4060-A167-D4C83DD4311E}"/>
    <cellStyle name="20% - Accent4 9 2 2 2 4" xfId="11053" xr:uid="{00000000-0005-0000-0000-00009D1B0000}"/>
    <cellStyle name="20% - Accent4 9 2 2 2 4 2" xfId="34903" xr:uid="{A021F6D8-C357-4BB4-A4A9-C8A5E35DBE30}"/>
    <cellStyle name="20% - Accent4 9 2 2 2 5" xfId="19008" xr:uid="{00000000-0005-0000-0000-00009E1B0000}"/>
    <cellStyle name="20% - Accent4 9 2 2 2 5 2" xfId="42841" xr:uid="{F549CFC4-4B6E-44AA-9716-7D7855C8B7A8}"/>
    <cellStyle name="20% - Accent4 9 2 2 2 6" xfId="26961" xr:uid="{187F5087-7DE1-46D8-8A5A-0F073C20C2EE}"/>
    <cellStyle name="20% - Accent4 9 2 2 2_Exh G" xfId="2430" xr:uid="{00000000-0005-0000-0000-00009F1B0000}"/>
    <cellStyle name="20% - Accent4 9 2 2 3" xfId="3906" xr:uid="{00000000-0005-0000-0000-0000A01B0000}"/>
    <cellStyle name="20% - Accent4 9 2 2 3 2" xfId="7498" xr:uid="{00000000-0005-0000-0000-0000A11B0000}"/>
    <cellStyle name="20% - Accent4 9 2 2 3 2 2" xfId="15469" xr:uid="{00000000-0005-0000-0000-0000A21B0000}"/>
    <cellStyle name="20% - Accent4 9 2 2 3 2 2 2" xfId="39312" xr:uid="{4AE33FC1-D977-49AE-A7A3-5B1C5688B4B6}"/>
    <cellStyle name="20% - Accent4 9 2 2 3 2 3" xfId="23415" xr:uid="{00000000-0005-0000-0000-0000A31B0000}"/>
    <cellStyle name="20% - Accent4 9 2 2 3 2 3 2" xfId="47248" xr:uid="{0977D8F6-06A9-449A-AEA9-99AED63575A9}"/>
    <cellStyle name="20% - Accent4 9 2 2 3 2 4" xfId="31371" xr:uid="{940D04BA-8696-40A7-BFC7-2B2D18A5D465}"/>
    <cellStyle name="20% - Accent4 9 2 2 3 3" xfId="11931" xr:uid="{00000000-0005-0000-0000-0000A41B0000}"/>
    <cellStyle name="20% - Accent4 9 2 2 3 3 2" xfId="35781" xr:uid="{48B9E701-6F35-436D-B2C6-AC1A8DEA25C9}"/>
    <cellStyle name="20% - Accent4 9 2 2 3 4" xfId="19886" xr:uid="{00000000-0005-0000-0000-0000A51B0000}"/>
    <cellStyle name="20% - Accent4 9 2 2 3 4 2" xfId="43719" xr:uid="{A49B1212-B3CF-4EDA-8200-E7AC4DC6DDAE}"/>
    <cellStyle name="20% - Accent4 9 2 2 3 5" xfId="27840" xr:uid="{2C4D42B5-F7C2-45EF-A19B-7604389FBFE1}"/>
    <cellStyle name="20% - Accent4 9 2 2 4" xfId="5726" xr:uid="{00000000-0005-0000-0000-0000A61B0000}"/>
    <cellStyle name="20% - Accent4 9 2 2 4 2" xfId="13710" xr:uid="{00000000-0005-0000-0000-0000A71B0000}"/>
    <cellStyle name="20% - Accent4 9 2 2 4 2 2" xfId="37554" xr:uid="{8719B895-F367-42AC-B327-E07E75230F93}"/>
    <cellStyle name="20% - Accent4 9 2 2 4 3" xfId="21658" xr:uid="{00000000-0005-0000-0000-0000A81B0000}"/>
    <cellStyle name="20% - Accent4 9 2 2 4 3 2" xfId="45491" xr:uid="{87D34152-B973-4B89-BD67-4CA131B924CC}"/>
    <cellStyle name="20% - Accent4 9 2 2 4 4" xfId="29613" xr:uid="{2A0E5B3F-91DB-4029-B8A1-72C9FFA90E97}"/>
    <cellStyle name="20% - Accent4 9 2 2 5" xfId="9279" xr:uid="{00000000-0005-0000-0000-0000A91B0000}"/>
    <cellStyle name="20% - Accent4 9 2 2 5 2" xfId="17237" xr:uid="{00000000-0005-0000-0000-0000AA1B0000}"/>
    <cellStyle name="20% - Accent4 9 2 2 5 2 2" xfId="41078" xr:uid="{FB8EC6A1-9443-4496-A2D1-77ECAF623914}"/>
    <cellStyle name="20% - Accent4 9 2 2 5 3" xfId="25181" xr:uid="{00000000-0005-0000-0000-0000AB1B0000}"/>
    <cellStyle name="20% - Accent4 9 2 2 5 3 2" xfId="49014" xr:uid="{3F93E550-03F5-4F00-8F34-9DC88B05B09E}"/>
    <cellStyle name="20% - Accent4 9 2 2 5 4" xfId="33137" xr:uid="{5FE67217-37C6-4325-BD2B-50D5A990FD17}"/>
    <cellStyle name="20% - Accent4 9 2 2 6" xfId="10175" xr:uid="{00000000-0005-0000-0000-0000AC1B0000}"/>
    <cellStyle name="20% - Accent4 9 2 2 6 2" xfId="34025" xr:uid="{526B7533-C02C-4818-965B-72193017D9EC}"/>
    <cellStyle name="20% - Accent4 9 2 2 7" xfId="18130" xr:uid="{00000000-0005-0000-0000-0000AD1B0000}"/>
    <cellStyle name="20% - Accent4 9 2 2 7 2" xfId="41963" xr:uid="{71981150-470C-4F41-8735-69408EEFBCBB}"/>
    <cellStyle name="20% - Accent4 9 2 2 8" xfId="26083" xr:uid="{F5EC2CF9-2591-49BA-A4DF-9EDDBA73AF03}"/>
    <cellStyle name="20% - Accent4 9 2 2_Exh G" xfId="2429" xr:uid="{00000000-0005-0000-0000-0000AE1B0000}"/>
    <cellStyle name="20% - Accent4 9 2 3" xfId="1254" xr:uid="{00000000-0005-0000-0000-0000AF1B0000}"/>
    <cellStyle name="20% - Accent4 9 2 3 2" xfId="4784" xr:uid="{00000000-0005-0000-0000-0000B01B0000}"/>
    <cellStyle name="20% - Accent4 9 2 3 2 2" xfId="8375" xr:uid="{00000000-0005-0000-0000-0000B11B0000}"/>
    <cellStyle name="20% - Accent4 9 2 3 2 2 2" xfId="16346" xr:uid="{00000000-0005-0000-0000-0000B21B0000}"/>
    <cellStyle name="20% - Accent4 9 2 3 2 2 2 2" xfId="40189" xr:uid="{B0919E1F-CE0C-44DA-AE72-F1347D028614}"/>
    <cellStyle name="20% - Accent4 9 2 3 2 2 3" xfId="24292" xr:uid="{00000000-0005-0000-0000-0000B31B0000}"/>
    <cellStyle name="20% - Accent4 9 2 3 2 2 3 2" xfId="48125" xr:uid="{960A9876-0DDF-45C0-8010-2E734C047658}"/>
    <cellStyle name="20% - Accent4 9 2 3 2 2 4" xfId="32248" xr:uid="{C6B80271-1E57-424E-9639-C5B9A3CCBA89}"/>
    <cellStyle name="20% - Accent4 9 2 3 2 3" xfId="12808" xr:uid="{00000000-0005-0000-0000-0000B41B0000}"/>
    <cellStyle name="20% - Accent4 9 2 3 2 3 2" xfId="36658" xr:uid="{F847F9F4-08FB-4C38-AA05-3B29BBD9FCAE}"/>
    <cellStyle name="20% - Accent4 9 2 3 2 4" xfId="20763" xr:uid="{00000000-0005-0000-0000-0000B51B0000}"/>
    <cellStyle name="20% - Accent4 9 2 3 2 4 2" xfId="44596" xr:uid="{1C51912A-EB66-433A-B4A4-82C88B26F4B6}"/>
    <cellStyle name="20% - Accent4 9 2 3 2 5" xfId="28717" xr:uid="{5AA23FDF-C7C8-483B-B954-FB06FB11F55C}"/>
    <cellStyle name="20% - Accent4 9 2 3 3" xfId="6616" xr:uid="{00000000-0005-0000-0000-0000B61B0000}"/>
    <cellStyle name="20% - Accent4 9 2 3 3 2" xfId="14588" xr:uid="{00000000-0005-0000-0000-0000B71B0000}"/>
    <cellStyle name="20% - Accent4 9 2 3 3 2 2" xfId="38431" xr:uid="{60F28E7D-019E-408A-9977-F57F8EDA72A8}"/>
    <cellStyle name="20% - Accent4 9 2 3 3 3" xfId="22535" xr:uid="{00000000-0005-0000-0000-0000B81B0000}"/>
    <cellStyle name="20% - Accent4 9 2 3 3 3 2" xfId="46368" xr:uid="{8F04CABD-F0FC-4AA1-BD54-16A847B75239}"/>
    <cellStyle name="20% - Accent4 9 2 3 3 4" xfId="30490" xr:uid="{7F99C9C8-598C-4447-90B3-368EEABF2E12}"/>
    <cellStyle name="20% - Accent4 9 2 3 4" xfId="11052" xr:uid="{00000000-0005-0000-0000-0000B91B0000}"/>
    <cellStyle name="20% - Accent4 9 2 3 4 2" xfId="34902" xr:uid="{5980A628-55D5-48B8-85EE-424AA06705F8}"/>
    <cellStyle name="20% - Accent4 9 2 3 5" xfId="19007" xr:uid="{00000000-0005-0000-0000-0000BA1B0000}"/>
    <cellStyle name="20% - Accent4 9 2 3 5 2" xfId="42840" xr:uid="{227A0BD1-DA22-4B51-BCE8-3218CA286272}"/>
    <cellStyle name="20% - Accent4 9 2 3 6" xfId="26960" xr:uid="{FB181604-D808-49A3-B2A8-BC4ED46AB749}"/>
    <cellStyle name="20% - Accent4 9 2 3_Exh G" xfId="2431" xr:uid="{00000000-0005-0000-0000-0000BB1B0000}"/>
    <cellStyle name="20% - Accent4 9 2 4" xfId="3905" xr:uid="{00000000-0005-0000-0000-0000BC1B0000}"/>
    <cellStyle name="20% - Accent4 9 2 4 2" xfId="7497" xr:uid="{00000000-0005-0000-0000-0000BD1B0000}"/>
    <cellStyle name="20% - Accent4 9 2 4 2 2" xfId="15468" xr:uid="{00000000-0005-0000-0000-0000BE1B0000}"/>
    <cellStyle name="20% - Accent4 9 2 4 2 2 2" xfId="39311" xr:uid="{9EA268E2-043A-4E07-AED3-1BBB34A1C2E4}"/>
    <cellStyle name="20% - Accent4 9 2 4 2 3" xfId="23414" xr:uid="{00000000-0005-0000-0000-0000BF1B0000}"/>
    <cellStyle name="20% - Accent4 9 2 4 2 3 2" xfId="47247" xr:uid="{0775EAE1-0545-4EBD-B127-0B579D6D8370}"/>
    <cellStyle name="20% - Accent4 9 2 4 2 4" xfId="31370" xr:uid="{249705A8-9C58-434F-97F6-06BCEFAAD2E2}"/>
    <cellStyle name="20% - Accent4 9 2 4 3" xfId="11930" xr:uid="{00000000-0005-0000-0000-0000C01B0000}"/>
    <cellStyle name="20% - Accent4 9 2 4 3 2" xfId="35780" xr:uid="{BFBB6FB3-F63D-41A1-B7B1-E3F9F4A34619}"/>
    <cellStyle name="20% - Accent4 9 2 4 4" xfId="19885" xr:uid="{00000000-0005-0000-0000-0000C11B0000}"/>
    <cellStyle name="20% - Accent4 9 2 4 4 2" xfId="43718" xr:uid="{F9690037-D2D0-48CE-9544-3EE8E84320D1}"/>
    <cellStyle name="20% - Accent4 9 2 4 5" xfId="27839" xr:uid="{973D10A2-FAA2-4CE9-BABB-CE8E84830F56}"/>
    <cellStyle name="20% - Accent4 9 2 5" xfId="5725" xr:uid="{00000000-0005-0000-0000-0000C21B0000}"/>
    <cellStyle name="20% - Accent4 9 2 5 2" xfId="13709" xr:uid="{00000000-0005-0000-0000-0000C31B0000}"/>
    <cellStyle name="20% - Accent4 9 2 5 2 2" xfId="37553" xr:uid="{63894365-07B1-44F5-9620-EC69187652AB}"/>
    <cellStyle name="20% - Accent4 9 2 5 3" xfId="21657" xr:uid="{00000000-0005-0000-0000-0000C41B0000}"/>
    <cellStyle name="20% - Accent4 9 2 5 3 2" xfId="45490" xr:uid="{98CDF4C0-722D-4E21-80F1-CD056B689108}"/>
    <cellStyle name="20% - Accent4 9 2 5 4" xfId="29612" xr:uid="{5E2D45C7-7B6E-40B8-BE8D-D25F62833368}"/>
    <cellStyle name="20% - Accent4 9 2 6" xfId="9278" xr:uid="{00000000-0005-0000-0000-0000C51B0000}"/>
    <cellStyle name="20% - Accent4 9 2 6 2" xfId="17236" xr:uid="{00000000-0005-0000-0000-0000C61B0000}"/>
    <cellStyle name="20% - Accent4 9 2 6 2 2" xfId="41077" xr:uid="{6C202C26-25B0-4BCD-88E1-4BE17EFC36D4}"/>
    <cellStyle name="20% - Accent4 9 2 6 3" xfId="25180" xr:uid="{00000000-0005-0000-0000-0000C71B0000}"/>
    <cellStyle name="20% - Accent4 9 2 6 3 2" xfId="49013" xr:uid="{F1312D35-1CE0-44F1-A8F7-2F1143F4805F}"/>
    <cellStyle name="20% - Accent4 9 2 6 4" xfId="33136" xr:uid="{F73174EB-A67E-47B9-9255-13DB821CF037}"/>
    <cellStyle name="20% - Accent4 9 2 7" xfId="10174" xr:uid="{00000000-0005-0000-0000-0000C81B0000}"/>
    <cellStyle name="20% - Accent4 9 2 7 2" xfId="34024" xr:uid="{DCB6C088-354A-4206-86CE-47CADFDE2A7E}"/>
    <cellStyle name="20% - Accent4 9 2 8" xfId="18129" xr:uid="{00000000-0005-0000-0000-0000C91B0000}"/>
    <cellStyle name="20% - Accent4 9 2 8 2" xfId="41962" xr:uid="{C7CBCF10-1590-4373-B203-C9C44F96E548}"/>
    <cellStyle name="20% - Accent4 9 2 9" xfId="26082" xr:uid="{07175DEB-5809-48BF-8EE0-E8598729ED95}"/>
    <cellStyle name="20% - Accent4 9 2_Exh G" xfId="2428" xr:uid="{00000000-0005-0000-0000-0000CA1B0000}"/>
    <cellStyle name="20% - Accent4 9 3" xfId="228" xr:uid="{00000000-0005-0000-0000-0000CB1B0000}"/>
    <cellStyle name="20% - Accent4 9 3 2" xfId="1256" xr:uid="{00000000-0005-0000-0000-0000CC1B0000}"/>
    <cellStyle name="20% - Accent4 9 3 2 2" xfId="4786" xr:uid="{00000000-0005-0000-0000-0000CD1B0000}"/>
    <cellStyle name="20% - Accent4 9 3 2 2 2" xfId="8377" xr:uid="{00000000-0005-0000-0000-0000CE1B0000}"/>
    <cellStyle name="20% - Accent4 9 3 2 2 2 2" xfId="16348" xr:uid="{00000000-0005-0000-0000-0000CF1B0000}"/>
    <cellStyle name="20% - Accent4 9 3 2 2 2 2 2" xfId="40191" xr:uid="{47C73347-F2AA-4767-948B-DF8ECA0E9D98}"/>
    <cellStyle name="20% - Accent4 9 3 2 2 2 3" xfId="24294" xr:uid="{00000000-0005-0000-0000-0000D01B0000}"/>
    <cellStyle name="20% - Accent4 9 3 2 2 2 3 2" xfId="48127" xr:uid="{26CEE285-AEBC-49B9-AB65-D0CF2D12081B}"/>
    <cellStyle name="20% - Accent4 9 3 2 2 2 4" xfId="32250" xr:uid="{E90EC33A-E0AA-48BF-9BEA-FD768823A363}"/>
    <cellStyle name="20% - Accent4 9 3 2 2 3" xfId="12810" xr:uid="{00000000-0005-0000-0000-0000D11B0000}"/>
    <cellStyle name="20% - Accent4 9 3 2 2 3 2" xfId="36660" xr:uid="{F1C25E43-27FB-4D85-A482-63D82F2A9737}"/>
    <cellStyle name="20% - Accent4 9 3 2 2 4" xfId="20765" xr:uid="{00000000-0005-0000-0000-0000D21B0000}"/>
    <cellStyle name="20% - Accent4 9 3 2 2 4 2" xfId="44598" xr:uid="{F27B6DE7-3ED3-4A58-AA0E-B5205B5B5441}"/>
    <cellStyle name="20% - Accent4 9 3 2 2 5" xfId="28719" xr:uid="{494A45B0-93B6-4074-A7EC-17B5A66A5D95}"/>
    <cellStyle name="20% - Accent4 9 3 2 3" xfId="6618" xr:uid="{00000000-0005-0000-0000-0000D31B0000}"/>
    <cellStyle name="20% - Accent4 9 3 2 3 2" xfId="14590" xr:uid="{00000000-0005-0000-0000-0000D41B0000}"/>
    <cellStyle name="20% - Accent4 9 3 2 3 2 2" xfId="38433" xr:uid="{48F74DBB-A9D0-41C7-BF72-5CA81C42818B}"/>
    <cellStyle name="20% - Accent4 9 3 2 3 3" xfId="22537" xr:uid="{00000000-0005-0000-0000-0000D51B0000}"/>
    <cellStyle name="20% - Accent4 9 3 2 3 3 2" xfId="46370" xr:uid="{5A8D6DE3-6796-4F20-9DCE-A6E1B03BAB7E}"/>
    <cellStyle name="20% - Accent4 9 3 2 3 4" xfId="30492" xr:uid="{689F79A9-4D6C-4751-997E-C980BC20DB51}"/>
    <cellStyle name="20% - Accent4 9 3 2 4" xfId="11054" xr:uid="{00000000-0005-0000-0000-0000D61B0000}"/>
    <cellStyle name="20% - Accent4 9 3 2 4 2" xfId="34904" xr:uid="{7F26849B-CE8C-45C6-A4F4-FBDB232E99C9}"/>
    <cellStyle name="20% - Accent4 9 3 2 5" xfId="19009" xr:uid="{00000000-0005-0000-0000-0000D71B0000}"/>
    <cellStyle name="20% - Accent4 9 3 2 5 2" xfId="42842" xr:uid="{104E8EE3-EDD7-4213-A413-6003E1F342D5}"/>
    <cellStyle name="20% - Accent4 9 3 2 6" xfId="26962" xr:uid="{B173A7AA-0995-4F96-8FD5-4B9C88B3BD2F}"/>
    <cellStyle name="20% - Accent4 9 3 2_Exh G" xfId="2433" xr:uid="{00000000-0005-0000-0000-0000D81B0000}"/>
    <cellStyle name="20% - Accent4 9 3 3" xfId="3907" xr:uid="{00000000-0005-0000-0000-0000D91B0000}"/>
    <cellStyle name="20% - Accent4 9 3 3 2" xfId="7499" xr:uid="{00000000-0005-0000-0000-0000DA1B0000}"/>
    <cellStyle name="20% - Accent4 9 3 3 2 2" xfId="15470" xr:uid="{00000000-0005-0000-0000-0000DB1B0000}"/>
    <cellStyle name="20% - Accent4 9 3 3 2 2 2" xfId="39313" xr:uid="{2C9EF351-6D1C-4953-91DD-D1ADB9D8426B}"/>
    <cellStyle name="20% - Accent4 9 3 3 2 3" xfId="23416" xr:uid="{00000000-0005-0000-0000-0000DC1B0000}"/>
    <cellStyle name="20% - Accent4 9 3 3 2 3 2" xfId="47249" xr:uid="{BBD28727-6A46-47F5-997C-E2B781A9CBA0}"/>
    <cellStyle name="20% - Accent4 9 3 3 2 4" xfId="31372" xr:uid="{F604B4BD-6F44-4EA4-AEC0-525990F5F838}"/>
    <cellStyle name="20% - Accent4 9 3 3 3" xfId="11932" xr:uid="{00000000-0005-0000-0000-0000DD1B0000}"/>
    <cellStyle name="20% - Accent4 9 3 3 3 2" xfId="35782" xr:uid="{A4854C00-29B0-4333-88FA-7881951E4AE6}"/>
    <cellStyle name="20% - Accent4 9 3 3 4" xfId="19887" xr:uid="{00000000-0005-0000-0000-0000DE1B0000}"/>
    <cellStyle name="20% - Accent4 9 3 3 4 2" xfId="43720" xr:uid="{D3CCB66B-3DF4-400E-A2A5-816C2C403F1D}"/>
    <cellStyle name="20% - Accent4 9 3 3 5" xfId="27841" xr:uid="{78D6064B-7F1E-45C7-A491-DB8994D50684}"/>
    <cellStyle name="20% - Accent4 9 3 4" xfId="5727" xr:uid="{00000000-0005-0000-0000-0000DF1B0000}"/>
    <cellStyle name="20% - Accent4 9 3 4 2" xfId="13711" xr:uid="{00000000-0005-0000-0000-0000E01B0000}"/>
    <cellStyle name="20% - Accent4 9 3 4 2 2" xfId="37555" xr:uid="{F8FCBE34-CA51-40C9-BAFC-23EC0459D377}"/>
    <cellStyle name="20% - Accent4 9 3 4 3" xfId="21659" xr:uid="{00000000-0005-0000-0000-0000E11B0000}"/>
    <cellStyle name="20% - Accent4 9 3 4 3 2" xfId="45492" xr:uid="{557EB789-50CC-4458-9378-7A743A4D4081}"/>
    <cellStyle name="20% - Accent4 9 3 4 4" xfId="29614" xr:uid="{16104CB7-7765-443C-BCC0-C6375573F6AF}"/>
    <cellStyle name="20% - Accent4 9 3 5" xfId="9280" xr:uid="{00000000-0005-0000-0000-0000E21B0000}"/>
    <cellStyle name="20% - Accent4 9 3 5 2" xfId="17238" xr:uid="{00000000-0005-0000-0000-0000E31B0000}"/>
    <cellStyle name="20% - Accent4 9 3 5 2 2" xfId="41079" xr:uid="{B0AA858A-EF2D-454F-A06B-4FF0B16E5877}"/>
    <cellStyle name="20% - Accent4 9 3 5 3" xfId="25182" xr:uid="{00000000-0005-0000-0000-0000E41B0000}"/>
    <cellStyle name="20% - Accent4 9 3 5 3 2" xfId="49015" xr:uid="{8E3439C7-83A3-4474-A836-304AE5B00094}"/>
    <cellStyle name="20% - Accent4 9 3 5 4" xfId="33138" xr:uid="{03638FF3-9D5B-4F7F-A5E4-4D0F01C89531}"/>
    <cellStyle name="20% - Accent4 9 3 6" xfId="10176" xr:uid="{00000000-0005-0000-0000-0000E51B0000}"/>
    <cellStyle name="20% - Accent4 9 3 6 2" xfId="34026" xr:uid="{013C1EDE-FF4B-40B8-87C0-50603449D742}"/>
    <cellStyle name="20% - Accent4 9 3 7" xfId="18131" xr:uid="{00000000-0005-0000-0000-0000E61B0000}"/>
    <cellStyle name="20% - Accent4 9 3 7 2" xfId="41964" xr:uid="{73B01E60-399B-4998-B72F-96C5F88D9E57}"/>
    <cellStyle name="20% - Accent4 9 3 8" xfId="26084" xr:uid="{BC95548C-AF46-49A3-9719-B02507D85AEE}"/>
    <cellStyle name="20% - Accent4 9 3_Exh G" xfId="2432" xr:uid="{00000000-0005-0000-0000-0000E71B0000}"/>
    <cellStyle name="20% - Accent4 9 4" xfId="909" xr:uid="{00000000-0005-0000-0000-0000E81B0000}"/>
    <cellStyle name="20% - Accent4 9 4 2" xfId="1838" xr:uid="{00000000-0005-0000-0000-0000E91B0000}"/>
    <cellStyle name="20% - Accent4 9 4 2 2" xfId="5356" xr:uid="{00000000-0005-0000-0000-0000EA1B0000}"/>
    <cellStyle name="20% - Accent4 9 4 2 2 2" xfId="8947" xr:uid="{00000000-0005-0000-0000-0000EB1B0000}"/>
    <cellStyle name="20% - Accent4 9 4 2 2 2 2" xfId="16918" xr:uid="{00000000-0005-0000-0000-0000EC1B0000}"/>
    <cellStyle name="20% - Accent4 9 4 2 2 2 2 2" xfId="40761" xr:uid="{88D477B0-A4DF-49C0-A281-B988AF24498E}"/>
    <cellStyle name="20% - Accent4 9 4 2 2 2 3" xfId="24864" xr:uid="{00000000-0005-0000-0000-0000ED1B0000}"/>
    <cellStyle name="20% - Accent4 9 4 2 2 2 3 2" xfId="48697" xr:uid="{195DA8F0-552C-4F78-B265-B89D77143CD5}"/>
    <cellStyle name="20% - Accent4 9 4 2 2 2 4" xfId="32820" xr:uid="{4958E4F7-9894-4272-BE06-015341B1A52D}"/>
    <cellStyle name="20% - Accent4 9 4 2 2 3" xfId="13380" xr:uid="{00000000-0005-0000-0000-0000EE1B0000}"/>
    <cellStyle name="20% - Accent4 9 4 2 2 3 2" xfId="37230" xr:uid="{9D788031-9200-47D1-9286-D01BF2FDFF53}"/>
    <cellStyle name="20% - Accent4 9 4 2 2 4" xfId="21335" xr:uid="{00000000-0005-0000-0000-0000EF1B0000}"/>
    <cellStyle name="20% - Accent4 9 4 2 2 4 2" xfId="45168" xr:uid="{708633BD-7368-4075-8E0C-ABB2CD2521B7}"/>
    <cellStyle name="20% - Accent4 9 4 2 2 5" xfId="29289" xr:uid="{10D60517-33DE-4559-BAF0-E4318D130951}"/>
    <cellStyle name="20% - Accent4 9 4 2 3" xfId="7188" xr:uid="{00000000-0005-0000-0000-0000F01B0000}"/>
    <cellStyle name="20% - Accent4 9 4 2 3 2" xfId="15160" xr:uid="{00000000-0005-0000-0000-0000F11B0000}"/>
    <cellStyle name="20% - Accent4 9 4 2 3 2 2" xfId="39003" xr:uid="{09732ED0-9A20-4C18-A787-7675483922AA}"/>
    <cellStyle name="20% - Accent4 9 4 2 3 3" xfId="23107" xr:uid="{00000000-0005-0000-0000-0000F21B0000}"/>
    <cellStyle name="20% - Accent4 9 4 2 3 3 2" xfId="46940" xr:uid="{E2A9ADD5-926F-4B2F-BD30-6659B7F656B3}"/>
    <cellStyle name="20% - Accent4 9 4 2 3 4" xfId="31062" xr:uid="{D5F58A75-3048-42DC-9FCB-D8A9416FB028}"/>
    <cellStyle name="20% - Accent4 9 4 2 4" xfId="11624" xr:uid="{00000000-0005-0000-0000-0000F31B0000}"/>
    <cellStyle name="20% - Accent4 9 4 2 4 2" xfId="35474" xr:uid="{F9828049-06FD-4433-8B1D-3BF97428A586}"/>
    <cellStyle name="20% - Accent4 9 4 2 5" xfId="19579" xr:uid="{00000000-0005-0000-0000-0000F41B0000}"/>
    <cellStyle name="20% - Accent4 9 4 2 5 2" xfId="43412" xr:uid="{C9ECB0CC-21BF-4EA4-8964-0D198742F5CD}"/>
    <cellStyle name="20% - Accent4 9 4 2 6" xfId="27532" xr:uid="{86E53F30-EC32-4FDA-B0DB-FB69329CC153}"/>
    <cellStyle name="20% - Accent4 9 4 2_Exh G" xfId="2435" xr:uid="{00000000-0005-0000-0000-0000F51B0000}"/>
    <cellStyle name="20% - Accent4 9 4 3" xfId="4477" xr:uid="{00000000-0005-0000-0000-0000F61B0000}"/>
    <cellStyle name="20% - Accent4 9 4 3 2" xfId="8069" xr:uid="{00000000-0005-0000-0000-0000F71B0000}"/>
    <cellStyle name="20% - Accent4 9 4 3 2 2" xfId="16040" xr:uid="{00000000-0005-0000-0000-0000F81B0000}"/>
    <cellStyle name="20% - Accent4 9 4 3 2 2 2" xfId="39883" xr:uid="{FE1DBB86-BAFC-4145-9EB2-5B80F509D9BC}"/>
    <cellStyle name="20% - Accent4 9 4 3 2 3" xfId="23986" xr:uid="{00000000-0005-0000-0000-0000F91B0000}"/>
    <cellStyle name="20% - Accent4 9 4 3 2 3 2" xfId="47819" xr:uid="{15EE5A92-12B2-4C4D-8193-3129DF2E290F}"/>
    <cellStyle name="20% - Accent4 9 4 3 2 4" xfId="31942" xr:uid="{51A2CF71-E166-446E-9008-79AE6CDA0219}"/>
    <cellStyle name="20% - Accent4 9 4 3 3" xfId="12502" xr:uid="{00000000-0005-0000-0000-0000FA1B0000}"/>
    <cellStyle name="20% - Accent4 9 4 3 3 2" xfId="36352" xr:uid="{72EF6A82-9908-4D9D-896D-881EE4AEF073}"/>
    <cellStyle name="20% - Accent4 9 4 3 4" xfId="20457" xr:uid="{00000000-0005-0000-0000-0000FB1B0000}"/>
    <cellStyle name="20% - Accent4 9 4 3 4 2" xfId="44290" xr:uid="{69A14A9A-AB14-4890-8D11-D37742354B99}"/>
    <cellStyle name="20% - Accent4 9 4 3 5" xfId="28411" xr:uid="{780EE6E2-EB4D-4870-BDAF-56F9DD697373}"/>
    <cellStyle name="20% - Accent4 9 4 4" xfId="6307" xr:uid="{00000000-0005-0000-0000-0000FC1B0000}"/>
    <cellStyle name="20% - Accent4 9 4 4 2" xfId="14282" xr:uid="{00000000-0005-0000-0000-0000FD1B0000}"/>
    <cellStyle name="20% - Accent4 9 4 4 2 2" xfId="38125" xr:uid="{3A117EA0-180B-4226-AA11-EB58D8F59044}"/>
    <cellStyle name="20% - Accent4 9 4 4 3" xfId="22229" xr:uid="{00000000-0005-0000-0000-0000FE1B0000}"/>
    <cellStyle name="20% - Accent4 9 4 4 3 2" xfId="46062" xr:uid="{93BC6381-BC5E-407F-97AB-B0E63AD809E7}"/>
    <cellStyle name="20% - Accent4 9 4 4 4" xfId="30184" xr:uid="{C98AB223-E7DB-4DCD-9D9A-DDC1FD4C205D}"/>
    <cellStyle name="20% - Accent4 9 4 5" xfId="9850" xr:uid="{00000000-0005-0000-0000-0000FF1B0000}"/>
    <cellStyle name="20% - Accent4 9 4 5 2" xfId="17808" xr:uid="{00000000-0005-0000-0000-0000001C0000}"/>
    <cellStyle name="20% - Accent4 9 4 5 2 2" xfId="41649" xr:uid="{A67A6DCC-D33C-48FD-A700-1DE67CC26AA3}"/>
    <cellStyle name="20% - Accent4 9 4 5 3" xfId="25752" xr:uid="{00000000-0005-0000-0000-0000011C0000}"/>
    <cellStyle name="20% - Accent4 9 4 5 3 2" xfId="49585" xr:uid="{E0F2ED26-7D2C-45FC-8F99-D8A24EE926B3}"/>
    <cellStyle name="20% - Accent4 9 4 5 4" xfId="33708" xr:uid="{66AFE92E-673D-401A-881F-D242C1E1550A}"/>
    <cellStyle name="20% - Accent4 9 4 6" xfId="10746" xr:uid="{00000000-0005-0000-0000-0000021C0000}"/>
    <cellStyle name="20% - Accent4 9 4 6 2" xfId="34596" xr:uid="{73279337-B76E-479B-8AEB-A6239C9BABE7}"/>
    <cellStyle name="20% - Accent4 9 4 7" xfId="18701" xr:uid="{00000000-0005-0000-0000-0000031C0000}"/>
    <cellStyle name="20% - Accent4 9 4 7 2" xfId="42534" xr:uid="{EB8E5FCD-941C-4246-BCB5-42FBB7A9E4C3}"/>
    <cellStyle name="20% - Accent4 9 4 8" xfId="26654" xr:uid="{8CF61BAF-D0FB-466D-A932-93E40FCBA1D8}"/>
    <cellStyle name="20% - Accent4 9 4_Exh G" xfId="2434" xr:uid="{00000000-0005-0000-0000-0000041C0000}"/>
    <cellStyle name="20% - Accent4 9 5" xfId="1253" xr:uid="{00000000-0005-0000-0000-0000051C0000}"/>
    <cellStyle name="20% - Accent4 9 5 2" xfId="4783" xr:uid="{00000000-0005-0000-0000-0000061C0000}"/>
    <cellStyle name="20% - Accent4 9 5 2 2" xfId="8374" xr:uid="{00000000-0005-0000-0000-0000071C0000}"/>
    <cellStyle name="20% - Accent4 9 5 2 2 2" xfId="16345" xr:uid="{00000000-0005-0000-0000-0000081C0000}"/>
    <cellStyle name="20% - Accent4 9 5 2 2 2 2" xfId="40188" xr:uid="{EE205BBC-2CF2-4F6B-A7BD-7EC7CD91D2EE}"/>
    <cellStyle name="20% - Accent4 9 5 2 2 3" xfId="24291" xr:uid="{00000000-0005-0000-0000-0000091C0000}"/>
    <cellStyle name="20% - Accent4 9 5 2 2 3 2" xfId="48124" xr:uid="{E31D8AC6-0DA8-4760-B610-8135C9783677}"/>
    <cellStyle name="20% - Accent4 9 5 2 2 4" xfId="32247" xr:uid="{5E4997CC-F70C-46BC-8871-86065280862E}"/>
    <cellStyle name="20% - Accent4 9 5 2 3" xfId="12807" xr:uid="{00000000-0005-0000-0000-00000A1C0000}"/>
    <cellStyle name="20% - Accent4 9 5 2 3 2" xfId="36657" xr:uid="{D44A35E1-F569-4240-86B8-E3986B207D97}"/>
    <cellStyle name="20% - Accent4 9 5 2 4" xfId="20762" xr:uid="{00000000-0005-0000-0000-00000B1C0000}"/>
    <cellStyle name="20% - Accent4 9 5 2 4 2" xfId="44595" xr:uid="{C9131E65-713D-4F3F-9B7B-F43A3C368EDD}"/>
    <cellStyle name="20% - Accent4 9 5 2 5" xfId="28716" xr:uid="{8BDD2768-1135-4E8D-8B94-0C8AD0636E38}"/>
    <cellStyle name="20% - Accent4 9 5 3" xfId="6615" xr:uid="{00000000-0005-0000-0000-00000C1C0000}"/>
    <cellStyle name="20% - Accent4 9 5 3 2" xfId="14587" xr:uid="{00000000-0005-0000-0000-00000D1C0000}"/>
    <cellStyle name="20% - Accent4 9 5 3 2 2" xfId="38430" xr:uid="{FE26C3A8-BC77-4A26-8108-AE4ECDBB2B0C}"/>
    <cellStyle name="20% - Accent4 9 5 3 3" xfId="22534" xr:uid="{00000000-0005-0000-0000-00000E1C0000}"/>
    <cellStyle name="20% - Accent4 9 5 3 3 2" xfId="46367" xr:uid="{E8F2BF6F-49EB-4219-A6F9-D479FEF98E8C}"/>
    <cellStyle name="20% - Accent4 9 5 3 4" xfId="30489" xr:uid="{88357BF8-300A-4A09-89B3-ECED42546231}"/>
    <cellStyle name="20% - Accent4 9 5 4" xfId="11051" xr:uid="{00000000-0005-0000-0000-00000F1C0000}"/>
    <cellStyle name="20% - Accent4 9 5 4 2" xfId="34901" xr:uid="{A92ECB3A-E6B0-4B33-A046-59ECE0AC542E}"/>
    <cellStyle name="20% - Accent4 9 5 5" xfId="19006" xr:uid="{00000000-0005-0000-0000-0000101C0000}"/>
    <cellStyle name="20% - Accent4 9 5 5 2" xfId="42839" xr:uid="{745FCED0-DBC9-4538-B9D1-779D9292F76B}"/>
    <cellStyle name="20% - Accent4 9 5 6" xfId="26959" xr:uid="{8CDE856D-25E0-4920-AEFB-1A5AE1C2D682}"/>
    <cellStyle name="20% - Accent4 9 5_Exh G" xfId="2436" xr:uid="{00000000-0005-0000-0000-0000111C0000}"/>
    <cellStyle name="20% - Accent4 9 6" xfId="3904" xr:uid="{00000000-0005-0000-0000-0000121C0000}"/>
    <cellStyle name="20% - Accent4 9 6 2" xfId="7496" xr:uid="{00000000-0005-0000-0000-0000131C0000}"/>
    <cellStyle name="20% - Accent4 9 6 2 2" xfId="15467" xr:uid="{00000000-0005-0000-0000-0000141C0000}"/>
    <cellStyle name="20% - Accent4 9 6 2 2 2" xfId="39310" xr:uid="{0A4420AE-A813-4FC5-9E4E-960515BBCE4A}"/>
    <cellStyle name="20% - Accent4 9 6 2 3" xfId="23413" xr:uid="{00000000-0005-0000-0000-0000151C0000}"/>
    <cellStyle name="20% - Accent4 9 6 2 3 2" xfId="47246" xr:uid="{EDF91C0D-102F-4B36-A39D-457BC2F3C1DC}"/>
    <cellStyle name="20% - Accent4 9 6 2 4" xfId="31369" xr:uid="{B0022A87-2B47-457A-98C4-1BB43FD67F4A}"/>
    <cellStyle name="20% - Accent4 9 6 3" xfId="11929" xr:uid="{00000000-0005-0000-0000-0000161C0000}"/>
    <cellStyle name="20% - Accent4 9 6 3 2" xfId="35779" xr:uid="{F13AA409-B70A-4DB8-A823-5686E254468F}"/>
    <cellStyle name="20% - Accent4 9 6 4" xfId="19884" xr:uid="{00000000-0005-0000-0000-0000171C0000}"/>
    <cellStyle name="20% - Accent4 9 6 4 2" xfId="43717" xr:uid="{16D650E0-3310-402D-BE7E-27C1F7F40C13}"/>
    <cellStyle name="20% - Accent4 9 6 5" xfId="27838" xr:uid="{4B92A250-E0B2-4FE8-A12B-C5F29988353B}"/>
    <cellStyle name="20% - Accent4 9 7" xfId="5724" xr:uid="{00000000-0005-0000-0000-0000181C0000}"/>
    <cellStyle name="20% - Accent4 9 7 2" xfId="13708" xr:uid="{00000000-0005-0000-0000-0000191C0000}"/>
    <cellStyle name="20% - Accent4 9 7 2 2" xfId="37552" xr:uid="{E71DF474-8903-459A-97F3-59EB09F29760}"/>
    <cellStyle name="20% - Accent4 9 7 3" xfId="21656" xr:uid="{00000000-0005-0000-0000-00001A1C0000}"/>
    <cellStyle name="20% - Accent4 9 7 3 2" xfId="45489" xr:uid="{98AE592C-BD24-4029-B909-3185E910C5AB}"/>
    <cellStyle name="20% - Accent4 9 7 4" xfId="29611" xr:uid="{EF2E0F12-7A8E-471A-8416-21D89764A2DB}"/>
    <cellStyle name="20% - Accent4 9 8" xfId="9277" xr:uid="{00000000-0005-0000-0000-00001B1C0000}"/>
    <cellStyle name="20% - Accent4 9 8 2" xfId="17235" xr:uid="{00000000-0005-0000-0000-00001C1C0000}"/>
    <cellStyle name="20% - Accent4 9 8 2 2" xfId="41076" xr:uid="{54326F12-BCB4-4E9F-ADA5-1244B0D668C4}"/>
    <cellStyle name="20% - Accent4 9 8 3" xfId="25179" xr:uid="{00000000-0005-0000-0000-00001D1C0000}"/>
    <cellStyle name="20% - Accent4 9 8 3 2" xfId="49012" xr:uid="{293E62FD-F374-484D-9AB7-B0197F32171F}"/>
    <cellStyle name="20% - Accent4 9 8 4" xfId="33135" xr:uid="{02D8B0EC-D5A8-4364-8C5E-35AAAFC7E2F1}"/>
    <cellStyle name="20% - Accent4 9 9" xfId="10173" xr:uid="{00000000-0005-0000-0000-00001E1C0000}"/>
    <cellStyle name="20% - Accent4 9 9 2" xfId="34023" xr:uid="{810E4705-7635-4A82-B930-F29468AB1552}"/>
    <cellStyle name="20% - Accent4 9_Exh G" xfId="2427" xr:uid="{00000000-0005-0000-0000-00001F1C0000}"/>
    <cellStyle name="20% - Accent5" xfId="49705" builtinId="46" customBuiltin="1"/>
    <cellStyle name="20% - Accent5 10" xfId="229" xr:uid="{00000000-0005-0000-0000-0000201C0000}"/>
    <cellStyle name="20% - Accent5 10 10" xfId="18132" xr:uid="{00000000-0005-0000-0000-0000211C0000}"/>
    <cellStyle name="20% - Accent5 10 10 2" xfId="41965" xr:uid="{0382A021-9D4D-44E3-91C8-BFF906197714}"/>
    <cellStyle name="20% - Accent5 10 11" xfId="26085" xr:uid="{36A457C4-C6C3-43BE-A192-02407EA1F343}"/>
    <cellStyle name="20% - Accent5 10 2" xfId="230" xr:uid="{00000000-0005-0000-0000-0000221C0000}"/>
    <cellStyle name="20% - Accent5 10 2 2" xfId="231" xr:uid="{00000000-0005-0000-0000-0000231C0000}"/>
    <cellStyle name="20% - Accent5 10 2 2 2" xfId="1259" xr:uid="{00000000-0005-0000-0000-0000241C0000}"/>
    <cellStyle name="20% - Accent5 10 2 2 2 2" xfId="4789" xr:uid="{00000000-0005-0000-0000-0000251C0000}"/>
    <cellStyle name="20% - Accent5 10 2 2 2 2 2" xfId="8380" xr:uid="{00000000-0005-0000-0000-0000261C0000}"/>
    <cellStyle name="20% - Accent5 10 2 2 2 2 2 2" xfId="16351" xr:uid="{00000000-0005-0000-0000-0000271C0000}"/>
    <cellStyle name="20% - Accent5 10 2 2 2 2 2 2 2" xfId="40194" xr:uid="{9A7D8FAD-C508-41A6-8426-1C9406C4255B}"/>
    <cellStyle name="20% - Accent5 10 2 2 2 2 2 3" xfId="24297" xr:uid="{00000000-0005-0000-0000-0000281C0000}"/>
    <cellStyle name="20% - Accent5 10 2 2 2 2 2 3 2" xfId="48130" xr:uid="{BB542403-15A9-4445-8FAD-861E571DF08A}"/>
    <cellStyle name="20% - Accent5 10 2 2 2 2 2 4" xfId="32253" xr:uid="{BE47B085-BA8C-4317-A40D-BFF687962068}"/>
    <cellStyle name="20% - Accent5 10 2 2 2 2 3" xfId="12813" xr:uid="{00000000-0005-0000-0000-0000291C0000}"/>
    <cellStyle name="20% - Accent5 10 2 2 2 2 3 2" xfId="36663" xr:uid="{F2AFA4BC-5905-4F9D-9021-9FF72F621FEA}"/>
    <cellStyle name="20% - Accent5 10 2 2 2 2 4" xfId="20768" xr:uid="{00000000-0005-0000-0000-00002A1C0000}"/>
    <cellStyle name="20% - Accent5 10 2 2 2 2 4 2" xfId="44601" xr:uid="{BB1D70F5-748A-466C-B414-4E394D35A7F3}"/>
    <cellStyle name="20% - Accent5 10 2 2 2 2 5" xfId="28722" xr:uid="{0CB2EC3A-12E3-4AED-B525-3DE9D1D1AFA2}"/>
    <cellStyle name="20% - Accent5 10 2 2 2 3" xfId="6621" xr:uid="{00000000-0005-0000-0000-00002B1C0000}"/>
    <cellStyle name="20% - Accent5 10 2 2 2 3 2" xfId="14593" xr:uid="{00000000-0005-0000-0000-00002C1C0000}"/>
    <cellStyle name="20% - Accent5 10 2 2 2 3 2 2" xfId="38436" xr:uid="{402D85C1-6F54-4DC5-A378-32FF54F6A26E}"/>
    <cellStyle name="20% - Accent5 10 2 2 2 3 3" xfId="22540" xr:uid="{00000000-0005-0000-0000-00002D1C0000}"/>
    <cellStyle name="20% - Accent5 10 2 2 2 3 3 2" xfId="46373" xr:uid="{4896EADE-E3FD-4031-854F-C5004A33C7FB}"/>
    <cellStyle name="20% - Accent5 10 2 2 2 3 4" xfId="30495" xr:uid="{62228452-E75E-4505-926D-6ADFB5A2428F}"/>
    <cellStyle name="20% - Accent5 10 2 2 2 4" xfId="11057" xr:uid="{00000000-0005-0000-0000-00002E1C0000}"/>
    <cellStyle name="20% - Accent5 10 2 2 2 4 2" xfId="34907" xr:uid="{C05FE5A9-487D-448B-AA18-421D1ACAE4BC}"/>
    <cellStyle name="20% - Accent5 10 2 2 2 5" xfId="19012" xr:uid="{00000000-0005-0000-0000-00002F1C0000}"/>
    <cellStyle name="20% - Accent5 10 2 2 2 5 2" xfId="42845" xr:uid="{3DEBFC98-68D6-44C9-9C6D-9079D3A7889A}"/>
    <cellStyle name="20% - Accent5 10 2 2 2 6" xfId="26965" xr:uid="{26B354E1-87E0-431D-9268-8F1F366263B2}"/>
    <cellStyle name="20% - Accent5 10 2 2 2_Exh G" xfId="2440" xr:uid="{00000000-0005-0000-0000-0000301C0000}"/>
    <cellStyle name="20% - Accent5 10 2 2 3" xfId="3910" xr:uid="{00000000-0005-0000-0000-0000311C0000}"/>
    <cellStyle name="20% - Accent5 10 2 2 3 2" xfId="7502" xr:uid="{00000000-0005-0000-0000-0000321C0000}"/>
    <cellStyle name="20% - Accent5 10 2 2 3 2 2" xfId="15473" xr:uid="{00000000-0005-0000-0000-0000331C0000}"/>
    <cellStyle name="20% - Accent5 10 2 2 3 2 2 2" xfId="39316" xr:uid="{298512FA-DA12-4EDC-B6AE-BD1AD2E1A2A8}"/>
    <cellStyle name="20% - Accent5 10 2 2 3 2 3" xfId="23419" xr:uid="{00000000-0005-0000-0000-0000341C0000}"/>
    <cellStyle name="20% - Accent5 10 2 2 3 2 3 2" xfId="47252" xr:uid="{400DAC39-CEB1-41C9-94E2-FB7812FE574E}"/>
    <cellStyle name="20% - Accent5 10 2 2 3 2 4" xfId="31375" xr:uid="{C69BC268-BB61-4BC6-9D44-1EC32D8E255F}"/>
    <cellStyle name="20% - Accent5 10 2 2 3 3" xfId="11935" xr:uid="{00000000-0005-0000-0000-0000351C0000}"/>
    <cellStyle name="20% - Accent5 10 2 2 3 3 2" xfId="35785" xr:uid="{0C956393-F5ED-42BB-A8E8-2167A8AB034D}"/>
    <cellStyle name="20% - Accent5 10 2 2 3 4" xfId="19890" xr:uid="{00000000-0005-0000-0000-0000361C0000}"/>
    <cellStyle name="20% - Accent5 10 2 2 3 4 2" xfId="43723" xr:uid="{D9140B1E-BDF7-4A8F-AC49-2251AAD004FC}"/>
    <cellStyle name="20% - Accent5 10 2 2 3 5" xfId="27844" xr:uid="{722AC416-D26A-4785-BB9B-509F099878D7}"/>
    <cellStyle name="20% - Accent5 10 2 2 4" xfId="5730" xr:uid="{00000000-0005-0000-0000-0000371C0000}"/>
    <cellStyle name="20% - Accent5 10 2 2 4 2" xfId="13714" xr:uid="{00000000-0005-0000-0000-0000381C0000}"/>
    <cellStyle name="20% - Accent5 10 2 2 4 2 2" xfId="37558" xr:uid="{F7B4A214-1CD2-4C5A-B652-AEFAE8476AC1}"/>
    <cellStyle name="20% - Accent5 10 2 2 4 3" xfId="21662" xr:uid="{00000000-0005-0000-0000-0000391C0000}"/>
    <cellStyle name="20% - Accent5 10 2 2 4 3 2" xfId="45495" xr:uid="{9BA096FB-2EF2-4854-8C97-E55D7C183875}"/>
    <cellStyle name="20% - Accent5 10 2 2 4 4" xfId="29617" xr:uid="{F585D550-5B19-45F7-91A4-119B3CF8129D}"/>
    <cellStyle name="20% - Accent5 10 2 2 5" xfId="9283" xr:uid="{00000000-0005-0000-0000-00003A1C0000}"/>
    <cellStyle name="20% - Accent5 10 2 2 5 2" xfId="17241" xr:uid="{00000000-0005-0000-0000-00003B1C0000}"/>
    <cellStyle name="20% - Accent5 10 2 2 5 2 2" xfId="41082" xr:uid="{8B08668B-04D3-46DA-9109-E2F02E11A53E}"/>
    <cellStyle name="20% - Accent5 10 2 2 5 3" xfId="25185" xr:uid="{00000000-0005-0000-0000-00003C1C0000}"/>
    <cellStyle name="20% - Accent5 10 2 2 5 3 2" xfId="49018" xr:uid="{153FB33B-881C-4F3F-A8E5-5A8256246B9B}"/>
    <cellStyle name="20% - Accent5 10 2 2 5 4" xfId="33141" xr:uid="{3CFDD78F-0DB6-4C2E-A72E-53757629421B}"/>
    <cellStyle name="20% - Accent5 10 2 2 6" xfId="10179" xr:uid="{00000000-0005-0000-0000-00003D1C0000}"/>
    <cellStyle name="20% - Accent5 10 2 2 6 2" xfId="34029" xr:uid="{3EDAFF54-849A-40D5-9565-CD662A09FA2B}"/>
    <cellStyle name="20% - Accent5 10 2 2 7" xfId="18134" xr:uid="{00000000-0005-0000-0000-00003E1C0000}"/>
    <cellStyle name="20% - Accent5 10 2 2 7 2" xfId="41967" xr:uid="{ECD71E6C-E6A8-46B9-AA0D-688ACB0B54A3}"/>
    <cellStyle name="20% - Accent5 10 2 2 8" xfId="26087" xr:uid="{DF64EEED-AF39-41EB-8F41-9827F4A21EEF}"/>
    <cellStyle name="20% - Accent5 10 2 2_Exh G" xfId="2439" xr:uid="{00000000-0005-0000-0000-00003F1C0000}"/>
    <cellStyle name="20% - Accent5 10 2 3" xfId="1258" xr:uid="{00000000-0005-0000-0000-0000401C0000}"/>
    <cellStyle name="20% - Accent5 10 2 3 2" xfId="4788" xr:uid="{00000000-0005-0000-0000-0000411C0000}"/>
    <cellStyle name="20% - Accent5 10 2 3 2 2" xfId="8379" xr:uid="{00000000-0005-0000-0000-0000421C0000}"/>
    <cellStyle name="20% - Accent5 10 2 3 2 2 2" xfId="16350" xr:uid="{00000000-0005-0000-0000-0000431C0000}"/>
    <cellStyle name="20% - Accent5 10 2 3 2 2 2 2" xfId="40193" xr:uid="{5A3F5F80-890B-47C0-AAF4-A77AD8FAEE45}"/>
    <cellStyle name="20% - Accent5 10 2 3 2 2 3" xfId="24296" xr:uid="{00000000-0005-0000-0000-0000441C0000}"/>
    <cellStyle name="20% - Accent5 10 2 3 2 2 3 2" xfId="48129" xr:uid="{D4E1DE46-2174-4BA5-BE68-7BA744AC2ACF}"/>
    <cellStyle name="20% - Accent5 10 2 3 2 2 4" xfId="32252" xr:uid="{33348D50-3142-4620-840A-92EA5CF89EEA}"/>
    <cellStyle name="20% - Accent5 10 2 3 2 3" xfId="12812" xr:uid="{00000000-0005-0000-0000-0000451C0000}"/>
    <cellStyle name="20% - Accent5 10 2 3 2 3 2" xfId="36662" xr:uid="{49E0BC18-1586-4168-8F34-1D4731F2914F}"/>
    <cellStyle name="20% - Accent5 10 2 3 2 4" xfId="20767" xr:uid="{00000000-0005-0000-0000-0000461C0000}"/>
    <cellStyle name="20% - Accent5 10 2 3 2 4 2" xfId="44600" xr:uid="{8C5B2C9D-D124-4136-820C-8920FFD358F4}"/>
    <cellStyle name="20% - Accent5 10 2 3 2 5" xfId="28721" xr:uid="{E47E8487-853B-46BE-9350-7A02E2CA1EE7}"/>
    <cellStyle name="20% - Accent5 10 2 3 3" xfId="6620" xr:uid="{00000000-0005-0000-0000-0000471C0000}"/>
    <cellStyle name="20% - Accent5 10 2 3 3 2" xfId="14592" xr:uid="{00000000-0005-0000-0000-0000481C0000}"/>
    <cellStyle name="20% - Accent5 10 2 3 3 2 2" xfId="38435" xr:uid="{5D28D4F1-F570-4FA9-810D-E39C41AE4C33}"/>
    <cellStyle name="20% - Accent5 10 2 3 3 3" xfId="22539" xr:uid="{00000000-0005-0000-0000-0000491C0000}"/>
    <cellStyle name="20% - Accent5 10 2 3 3 3 2" xfId="46372" xr:uid="{FD644518-BDE7-437F-B343-226CE1962A3B}"/>
    <cellStyle name="20% - Accent5 10 2 3 3 4" xfId="30494" xr:uid="{C326F107-6E73-4650-AD06-10A765E6FC25}"/>
    <cellStyle name="20% - Accent5 10 2 3 4" xfId="11056" xr:uid="{00000000-0005-0000-0000-00004A1C0000}"/>
    <cellStyle name="20% - Accent5 10 2 3 4 2" xfId="34906" xr:uid="{03BEC86E-1AA6-468C-A646-6A08DA3EC481}"/>
    <cellStyle name="20% - Accent5 10 2 3 5" xfId="19011" xr:uid="{00000000-0005-0000-0000-00004B1C0000}"/>
    <cellStyle name="20% - Accent5 10 2 3 5 2" xfId="42844" xr:uid="{1E34BFDD-02E9-4BA0-99C5-6D2AB75303C8}"/>
    <cellStyle name="20% - Accent5 10 2 3 6" xfId="26964" xr:uid="{CC609BDB-DC51-41F5-978A-93FCAFBD32AA}"/>
    <cellStyle name="20% - Accent5 10 2 3_Exh G" xfId="2441" xr:uid="{00000000-0005-0000-0000-00004C1C0000}"/>
    <cellStyle name="20% - Accent5 10 2 4" xfId="3909" xr:uid="{00000000-0005-0000-0000-00004D1C0000}"/>
    <cellStyle name="20% - Accent5 10 2 4 2" xfId="7501" xr:uid="{00000000-0005-0000-0000-00004E1C0000}"/>
    <cellStyle name="20% - Accent5 10 2 4 2 2" xfId="15472" xr:uid="{00000000-0005-0000-0000-00004F1C0000}"/>
    <cellStyle name="20% - Accent5 10 2 4 2 2 2" xfId="39315" xr:uid="{10F17AB7-2630-49E3-BF69-B4AA263EAD7F}"/>
    <cellStyle name="20% - Accent5 10 2 4 2 3" xfId="23418" xr:uid="{00000000-0005-0000-0000-0000501C0000}"/>
    <cellStyle name="20% - Accent5 10 2 4 2 3 2" xfId="47251" xr:uid="{680A11E5-1860-489E-8148-5C2D0941A58F}"/>
    <cellStyle name="20% - Accent5 10 2 4 2 4" xfId="31374" xr:uid="{7A9D1359-C691-41E5-95DE-37DBB3CECAF2}"/>
    <cellStyle name="20% - Accent5 10 2 4 3" xfId="11934" xr:uid="{00000000-0005-0000-0000-0000511C0000}"/>
    <cellStyle name="20% - Accent5 10 2 4 3 2" xfId="35784" xr:uid="{7AA7CF15-AD64-436B-BECC-6B4404FFFE30}"/>
    <cellStyle name="20% - Accent5 10 2 4 4" xfId="19889" xr:uid="{00000000-0005-0000-0000-0000521C0000}"/>
    <cellStyle name="20% - Accent5 10 2 4 4 2" xfId="43722" xr:uid="{1BF33EAB-B2E8-485E-9533-306A3AB89097}"/>
    <cellStyle name="20% - Accent5 10 2 4 5" xfId="27843" xr:uid="{3A1CD1D2-1D33-48CB-BB56-DF095EBC8270}"/>
    <cellStyle name="20% - Accent5 10 2 5" xfId="5729" xr:uid="{00000000-0005-0000-0000-0000531C0000}"/>
    <cellStyle name="20% - Accent5 10 2 5 2" xfId="13713" xr:uid="{00000000-0005-0000-0000-0000541C0000}"/>
    <cellStyle name="20% - Accent5 10 2 5 2 2" xfId="37557" xr:uid="{0FA2CBE7-656E-484C-A5C8-E9AF9151C266}"/>
    <cellStyle name="20% - Accent5 10 2 5 3" xfId="21661" xr:uid="{00000000-0005-0000-0000-0000551C0000}"/>
    <cellStyle name="20% - Accent5 10 2 5 3 2" xfId="45494" xr:uid="{0705397E-A28C-4BEC-A703-FCC77E719D75}"/>
    <cellStyle name="20% - Accent5 10 2 5 4" xfId="29616" xr:uid="{AA8271D3-849C-4C19-90BC-DAA95F0AADC0}"/>
    <cellStyle name="20% - Accent5 10 2 6" xfId="9282" xr:uid="{00000000-0005-0000-0000-0000561C0000}"/>
    <cellStyle name="20% - Accent5 10 2 6 2" xfId="17240" xr:uid="{00000000-0005-0000-0000-0000571C0000}"/>
    <cellStyle name="20% - Accent5 10 2 6 2 2" xfId="41081" xr:uid="{771A4402-3CDB-4CCE-B40D-E4DE6E284233}"/>
    <cellStyle name="20% - Accent5 10 2 6 3" xfId="25184" xr:uid="{00000000-0005-0000-0000-0000581C0000}"/>
    <cellStyle name="20% - Accent5 10 2 6 3 2" xfId="49017" xr:uid="{17E9B780-4DCB-4EF9-8EC7-139FB2698800}"/>
    <cellStyle name="20% - Accent5 10 2 6 4" xfId="33140" xr:uid="{C63D2C88-7366-4FBE-87DC-7B48EFD3F441}"/>
    <cellStyle name="20% - Accent5 10 2 7" xfId="10178" xr:uid="{00000000-0005-0000-0000-0000591C0000}"/>
    <cellStyle name="20% - Accent5 10 2 7 2" xfId="34028" xr:uid="{5BAD8B33-0C3C-4F8A-963A-8B232CBAAF7C}"/>
    <cellStyle name="20% - Accent5 10 2 8" xfId="18133" xr:uid="{00000000-0005-0000-0000-00005A1C0000}"/>
    <cellStyle name="20% - Accent5 10 2 8 2" xfId="41966" xr:uid="{50F445C0-DBD0-44AD-9F54-63D81C269430}"/>
    <cellStyle name="20% - Accent5 10 2 9" xfId="26086" xr:uid="{58AADB83-5D6E-47CA-8F2C-1767B2B577FC}"/>
    <cellStyle name="20% - Accent5 10 2_Exh G" xfId="2438" xr:uid="{00000000-0005-0000-0000-00005B1C0000}"/>
    <cellStyle name="20% - Accent5 10 3" xfId="232" xr:uid="{00000000-0005-0000-0000-00005C1C0000}"/>
    <cellStyle name="20% - Accent5 10 3 2" xfId="1260" xr:uid="{00000000-0005-0000-0000-00005D1C0000}"/>
    <cellStyle name="20% - Accent5 10 3 2 2" xfId="4790" xr:uid="{00000000-0005-0000-0000-00005E1C0000}"/>
    <cellStyle name="20% - Accent5 10 3 2 2 2" xfId="8381" xr:uid="{00000000-0005-0000-0000-00005F1C0000}"/>
    <cellStyle name="20% - Accent5 10 3 2 2 2 2" xfId="16352" xr:uid="{00000000-0005-0000-0000-0000601C0000}"/>
    <cellStyle name="20% - Accent5 10 3 2 2 2 2 2" xfId="40195" xr:uid="{43E4FD08-47C3-44A2-B940-4617948787C2}"/>
    <cellStyle name="20% - Accent5 10 3 2 2 2 3" xfId="24298" xr:uid="{00000000-0005-0000-0000-0000611C0000}"/>
    <cellStyle name="20% - Accent5 10 3 2 2 2 3 2" xfId="48131" xr:uid="{B1AF985F-E59B-4E72-B864-A4B9DC7F18F4}"/>
    <cellStyle name="20% - Accent5 10 3 2 2 2 4" xfId="32254" xr:uid="{40E3AB47-FDD8-489F-8626-3EAAC4727B3D}"/>
    <cellStyle name="20% - Accent5 10 3 2 2 3" xfId="12814" xr:uid="{00000000-0005-0000-0000-0000621C0000}"/>
    <cellStyle name="20% - Accent5 10 3 2 2 3 2" xfId="36664" xr:uid="{05775A7F-7069-4297-A90A-80EC4FDBCC69}"/>
    <cellStyle name="20% - Accent5 10 3 2 2 4" xfId="20769" xr:uid="{00000000-0005-0000-0000-0000631C0000}"/>
    <cellStyle name="20% - Accent5 10 3 2 2 4 2" xfId="44602" xr:uid="{9B777533-D6E0-4FB3-9DE1-20E9DFA307A0}"/>
    <cellStyle name="20% - Accent5 10 3 2 2 5" xfId="28723" xr:uid="{628A6C2A-AB7B-45CB-8AC0-57A856F0578D}"/>
    <cellStyle name="20% - Accent5 10 3 2 3" xfId="6622" xr:uid="{00000000-0005-0000-0000-0000641C0000}"/>
    <cellStyle name="20% - Accent5 10 3 2 3 2" xfId="14594" xr:uid="{00000000-0005-0000-0000-0000651C0000}"/>
    <cellStyle name="20% - Accent5 10 3 2 3 2 2" xfId="38437" xr:uid="{BFD357F1-C2DA-4D75-85EB-E3FDABF2663C}"/>
    <cellStyle name="20% - Accent5 10 3 2 3 3" xfId="22541" xr:uid="{00000000-0005-0000-0000-0000661C0000}"/>
    <cellStyle name="20% - Accent5 10 3 2 3 3 2" xfId="46374" xr:uid="{ABDA118C-6624-4358-BDF3-5B3BAA809072}"/>
    <cellStyle name="20% - Accent5 10 3 2 3 4" xfId="30496" xr:uid="{7B316612-5686-4EA8-BBE7-1CA51D8B437C}"/>
    <cellStyle name="20% - Accent5 10 3 2 4" xfId="11058" xr:uid="{00000000-0005-0000-0000-0000671C0000}"/>
    <cellStyle name="20% - Accent5 10 3 2 4 2" xfId="34908" xr:uid="{573111CE-5B2E-4343-A7B8-EEB8701722D0}"/>
    <cellStyle name="20% - Accent5 10 3 2 5" xfId="19013" xr:uid="{00000000-0005-0000-0000-0000681C0000}"/>
    <cellStyle name="20% - Accent5 10 3 2 5 2" xfId="42846" xr:uid="{81D72D70-F21F-415B-A3EF-556CDBEC40E5}"/>
    <cellStyle name="20% - Accent5 10 3 2 6" xfId="26966" xr:uid="{034E9799-04FB-4A70-A156-3DCD18401F73}"/>
    <cellStyle name="20% - Accent5 10 3 2_Exh G" xfId="2443" xr:uid="{00000000-0005-0000-0000-0000691C0000}"/>
    <cellStyle name="20% - Accent5 10 3 3" xfId="3911" xr:uid="{00000000-0005-0000-0000-00006A1C0000}"/>
    <cellStyle name="20% - Accent5 10 3 3 2" xfId="7503" xr:uid="{00000000-0005-0000-0000-00006B1C0000}"/>
    <cellStyle name="20% - Accent5 10 3 3 2 2" xfId="15474" xr:uid="{00000000-0005-0000-0000-00006C1C0000}"/>
    <cellStyle name="20% - Accent5 10 3 3 2 2 2" xfId="39317" xr:uid="{8862584C-5982-4C1F-8CFA-89B9FD59D504}"/>
    <cellStyle name="20% - Accent5 10 3 3 2 3" xfId="23420" xr:uid="{00000000-0005-0000-0000-00006D1C0000}"/>
    <cellStyle name="20% - Accent5 10 3 3 2 3 2" xfId="47253" xr:uid="{1F8CBB97-DCB4-41BE-9362-627005F6522C}"/>
    <cellStyle name="20% - Accent5 10 3 3 2 4" xfId="31376" xr:uid="{42D2A9D6-CD59-4BB2-9D06-333327AB2F28}"/>
    <cellStyle name="20% - Accent5 10 3 3 3" xfId="11936" xr:uid="{00000000-0005-0000-0000-00006E1C0000}"/>
    <cellStyle name="20% - Accent5 10 3 3 3 2" xfId="35786" xr:uid="{EE3F9DBA-C544-432C-83BA-23BECA2764C6}"/>
    <cellStyle name="20% - Accent5 10 3 3 4" xfId="19891" xr:uid="{00000000-0005-0000-0000-00006F1C0000}"/>
    <cellStyle name="20% - Accent5 10 3 3 4 2" xfId="43724" xr:uid="{2C07D6D1-FB13-4851-9D2B-A3537FD7F949}"/>
    <cellStyle name="20% - Accent5 10 3 3 5" xfId="27845" xr:uid="{F8EE1DBE-5E54-47CC-B929-64847896DC26}"/>
    <cellStyle name="20% - Accent5 10 3 4" xfId="5731" xr:uid="{00000000-0005-0000-0000-0000701C0000}"/>
    <cellStyle name="20% - Accent5 10 3 4 2" xfId="13715" xr:uid="{00000000-0005-0000-0000-0000711C0000}"/>
    <cellStyle name="20% - Accent5 10 3 4 2 2" xfId="37559" xr:uid="{03F943E8-BE31-45C5-ACE7-E43D4B3225DF}"/>
    <cellStyle name="20% - Accent5 10 3 4 3" xfId="21663" xr:uid="{00000000-0005-0000-0000-0000721C0000}"/>
    <cellStyle name="20% - Accent5 10 3 4 3 2" xfId="45496" xr:uid="{FF60EA60-FF75-4823-B3A8-7AB33FE1FD1B}"/>
    <cellStyle name="20% - Accent5 10 3 4 4" xfId="29618" xr:uid="{BFDF12E4-7876-4B08-8DAD-4BBA9C6FF6A4}"/>
    <cellStyle name="20% - Accent5 10 3 5" xfId="9284" xr:uid="{00000000-0005-0000-0000-0000731C0000}"/>
    <cellStyle name="20% - Accent5 10 3 5 2" xfId="17242" xr:uid="{00000000-0005-0000-0000-0000741C0000}"/>
    <cellStyle name="20% - Accent5 10 3 5 2 2" xfId="41083" xr:uid="{CFD7E979-80AB-4E38-BD38-598F903B179B}"/>
    <cellStyle name="20% - Accent5 10 3 5 3" xfId="25186" xr:uid="{00000000-0005-0000-0000-0000751C0000}"/>
    <cellStyle name="20% - Accent5 10 3 5 3 2" xfId="49019" xr:uid="{D368C919-1899-4795-8350-D427444B5BCA}"/>
    <cellStyle name="20% - Accent5 10 3 5 4" xfId="33142" xr:uid="{9CC6921C-A3F4-411E-AEE7-D45A281F4FF4}"/>
    <cellStyle name="20% - Accent5 10 3 6" xfId="10180" xr:uid="{00000000-0005-0000-0000-0000761C0000}"/>
    <cellStyle name="20% - Accent5 10 3 6 2" xfId="34030" xr:uid="{F5D36921-90B0-4AAF-BE0B-D5359730D833}"/>
    <cellStyle name="20% - Accent5 10 3 7" xfId="18135" xr:uid="{00000000-0005-0000-0000-0000771C0000}"/>
    <cellStyle name="20% - Accent5 10 3 7 2" xfId="41968" xr:uid="{D0FB25F7-9611-4CBB-97A0-8634E1016905}"/>
    <cellStyle name="20% - Accent5 10 3 8" xfId="26088" xr:uid="{0164B109-8F1A-47B1-BF2B-D48E17A9BA9F}"/>
    <cellStyle name="20% - Accent5 10 3_Exh G" xfId="2442" xr:uid="{00000000-0005-0000-0000-0000781C0000}"/>
    <cellStyle name="20% - Accent5 10 4" xfId="910" xr:uid="{00000000-0005-0000-0000-0000791C0000}"/>
    <cellStyle name="20% - Accent5 10 5" xfId="1257" xr:uid="{00000000-0005-0000-0000-00007A1C0000}"/>
    <cellStyle name="20% - Accent5 10 5 2" xfId="4787" xr:uid="{00000000-0005-0000-0000-00007B1C0000}"/>
    <cellStyle name="20% - Accent5 10 5 2 2" xfId="8378" xr:uid="{00000000-0005-0000-0000-00007C1C0000}"/>
    <cellStyle name="20% - Accent5 10 5 2 2 2" xfId="16349" xr:uid="{00000000-0005-0000-0000-00007D1C0000}"/>
    <cellStyle name="20% - Accent5 10 5 2 2 2 2" xfId="40192" xr:uid="{AD1F3109-9B43-4DA8-A552-D8A037F0CB16}"/>
    <cellStyle name="20% - Accent5 10 5 2 2 3" xfId="24295" xr:uid="{00000000-0005-0000-0000-00007E1C0000}"/>
    <cellStyle name="20% - Accent5 10 5 2 2 3 2" xfId="48128" xr:uid="{A3979616-2552-4035-A1CF-4CE44552AF8E}"/>
    <cellStyle name="20% - Accent5 10 5 2 2 4" xfId="32251" xr:uid="{EB7B50A4-E23C-4729-9B4F-814A5C3CEB47}"/>
    <cellStyle name="20% - Accent5 10 5 2 3" xfId="12811" xr:uid="{00000000-0005-0000-0000-00007F1C0000}"/>
    <cellStyle name="20% - Accent5 10 5 2 3 2" xfId="36661" xr:uid="{0919F1F1-E138-4C70-8E01-CFB85BF3EC54}"/>
    <cellStyle name="20% - Accent5 10 5 2 4" xfId="20766" xr:uid="{00000000-0005-0000-0000-0000801C0000}"/>
    <cellStyle name="20% - Accent5 10 5 2 4 2" xfId="44599" xr:uid="{72C32024-FB89-43F1-B054-FEC83650A801}"/>
    <cellStyle name="20% - Accent5 10 5 2 5" xfId="28720" xr:uid="{8545159D-4A5F-4A06-B43B-82FD16673566}"/>
    <cellStyle name="20% - Accent5 10 5 3" xfId="6619" xr:uid="{00000000-0005-0000-0000-0000811C0000}"/>
    <cellStyle name="20% - Accent5 10 5 3 2" xfId="14591" xr:uid="{00000000-0005-0000-0000-0000821C0000}"/>
    <cellStyle name="20% - Accent5 10 5 3 2 2" xfId="38434" xr:uid="{5BDB1B05-0C8B-4009-AF7E-618E59D89844}"/>
    <cellStyle name="20% - Accent5 10 5 3 3" xfId="22538" xr:uid="{00000000-0005-0000-0000-0000831C0000}"/>
    <cellStyle name="20% - Accent5 10 5 3 3 2" xfId="46371" xr:uid="{366E6DE6-2B20-4649-9DE8-5253A9650FD4}"/>
    <cellStyle name="20% - Accent5 10 5 3 4" xfId="30493" xr:uid="{B5528302-4608-4965-891A-1E7B4E376ACD}"/>
    <cellStyle name="20% - Accent5 10 5 4" xfId="11055" xr:uid="{00000000-0005-0000-0000-0000841C0000}"/>
    <cellStyle name="20% - Accent5 10 5 4 2" xfId="34905" xr:uid="{53FD3E23-3F48-40DE-B372-41B02C3DECE1}"/>
    <cellStyle name="20% - Accent5 10 5 5" xfId="19010" xr:uid="{00000000-0005-0000-0000-0000851C0000}"/>
    <cellStyle name="20% - Accent5 10 5 5 2" xfId="42843" xr:uid="{4D0035B5-5C8D-43DC-8D9B-5BFB3088996B}"/>
    <cellStyle name="20% - Accent5 10 5 6" xfId="26963" xr:uid="{65D77784-85C4-4777-922F-F1FCE838F9A8}"/>
    <cellStyle name="20% - Accent5 10 5_Exh G" xfId="2444" xr:uid="{00000000-0005-0000-0000-0000861C0000}"/>
    <cellStyle name="20% - Accent5 10 6" xfId="3908" xr:uid="{00000000-0005-0000-0000-0000871C0000}"/>
    <cellStyle name="20% - Accent5 10 6 2" xfId="7500" xr:uid="{00000000-0005-0000-0000-0000881C0000}"/>
    <cellStyle name="20% - Accent5 10 6 2 2" xfId="15471" xr:uid="{00000000-0005-0000-0000-0000891C0000}"/>
    <cellStyle name="20% - Accent5 10 6 2 2 2" xfId="39314" xr:uid="{CA0C6D32-7321-4FAD-B7B7-25616F4C9F6C}"/>
    <cellStyle name="20% - Accent5 10 6 2 3" xfId="23417" xr:uid="{00000000-0005-0000-0000-00008A1C0000}"/>
    <cellStyle name="20% - Accent5 10 6 2 3 2" xfId="47250" xr:uid="{2415DE6D-8F56-4796-B4BB-4385FF4B7881}"/>
    <cellStyle name="20% - Accent5 10 6 2 4" xfId="31373" xr:uid="{4C864121-2619-4FD6-9C24-6AC7C894D0BF}"/>
    <cellStyle name="20% - Accent5 10 6 3" xfId="11933" xr:uid="{00000000-0005-0000-0000-00008B1C0000}"/>
    <cellStyle name="20% - Accent5 10 6 3 2" xfId="35783" xr:uid="{644ACAA5-D02D-493B-A308-6BADCA67BC5A}"/>
    <cellStyle name="20% - Accent5 10 6 4" xfId="19888" xr:uid="{00000000-0005-0000-0000-00008C1C0000}"/>
    <cellStyle name="20% - Accent5 10 6 4 2" xfId="43721" xr:uid="{95542E62-7B2B-4B97-AB6A-DF0FC23644C3}"/>
    <cellStyle name="20% - Accent5 10 6 5" xfId="27842" xr:uid="{721FCBB0-32FA-45D7-BB64-BA07AD0B903D}"/>
    <cellStyle name="20% - Accent5 10 7" xfId="5728" xr:uid="{00000000-0005-0000-0000-00008D1C0000}"/>
    <cellStyle name="20% - Accent5 10 7 2" xfId="13712" xr:uid="{00000000-0005-0000-0000-00008E1C0000}"/>
    <cellStyle name="20% - Accent5 10 7 2 2" xfId="37556" xr:uid="{1238BD8F-1D6A-4A9B-A9CD-450482C9FD6B}"/>
    <cellStyle name="20% - Accent5 10 7 3" xfId="21660" xr:uid="{00000000-0005-0000-0000-00008F1C0000}"/>
    <cellStyle name="20% - Accent5 10 7 3 2" xfId="45493" xr:uid="{89D4248E-404C-4999-A7DD-C070DBA8B590}"/>
    <cellStyle name="20% - Accent5 10 7 4" xfId="29615" xr:uid="{CCC9C34F-3E66-43A2-957E-13BB18B467B4}"/>
    <cellStyle name="20% - Accent5 10 8" xfId="9281" xr:uid="{00000000-0005-0000-0000-0000901C0000}"/>
    <cellStyle name="20% - Accent5 10 8 2" xfId="17239" xr:uid="{00000000-0005-0000-0000-0000911C0000}"/>
    <cellStyle name="20% - Accent5 10 8 2 2" xfId="41080" xr:uid="{E452C764-0AC2-4CAF-B698-AEEB2DF7005C}"/>
    <cellStyle name="20% - Accent5 10 8 3" xfId="25183" xr:uid="{00000000-0005-0000-0000-0000921C0000}"/>
    <cellStyle name="20% - Accent5 10 8 3 2" xfId="49016" xr:uid="{C59D144B-B78A-409B-A353-51556266F3AE}"/>
    <cellStyle name="20% - Accent5 10 8 4" xfId="33139" xr:uid="{008ACFC2-91AB-49E0-8A53-DA66D3AF75E6}"/>
    <cellStyle name="20% - Accent5 10 9" xfId="10177" xr:uid="{00000000-0005-0000-0000-0000931C0000}"/>
    <cellStyle name="20% - Accent5 10 9 2" xfId="34027" xr:uid="{52ECCAC9-FA6D-4E9A-A1EF-354016018187}"/>
    <cellStyle name="20% - Accent5 10_Exh G" xfId="2437" xr:uid="{00000000-0005-0000-0000-0000941C0000}"/>
    <cellStyle name="20% - Accent5 11" xfId="233" xr:uid="{00000000-0005-0000-0000-0000951C0000}"/>
    <cellStyle name="20% - Accent5 11 10" xfId="26089" xr:uid="{EDEA82C3-748E-454D-BB64-626ABAACC178}"/>
    <cellStyle name="20% - Accent5 11 2" xfId="234" xr:uid="{00000000-0005-0000-0000-0000961C0000}"/>
    <cellStyle name="20% - Accent5 11 2 2" xfId="235" xr:uid="{00000000-0005-0000-0000-0000971C0000}"/>
    <cellStyle name="20% - Accent5 11 2 2 2" xfId="1263" xr:uid="{00000000-0005-0000-0000-0000981C0000}"/>
    <cellStyle name="20% - Accent5 11 2 2 2 2" xfId="4793" xr:uid="{00000000-0005-0000-0000-0000991C0000}"/>
    <cellStyle name="20% - Accent5 11 2 2 2 2 2" xfId="8384" xr:uid="{00000000-0005-0000-0000-00009A1C0000}"/>
    <cellStyle name="20% - Accent5 11 2 2 2 2 2 2" xfId="16355" xr:uid="{00000000-0005-0000-0000-00009B1C0000}"/>
    <cellStyle name="20% - Accent5 11 2 2 2 2 2 2 2" xfId="40198" xr:uid="{4F6C1A86-3F14-4D19-91A1-2C9D6BB37B3A}"/>
    <cellStyle name="20% - Accent5 11 2 2 2 2 2 3" xfId="24301" xr:uid="{00000000-0005-0000-0000-00009C1C0000}"/>
    <cellStyle name="20% - Accent5 11 2 2 2 2 2 3 2" xfId="48134" xr:uid="{1A9060FC-7903-4EC1-A658-607E7CFEC170}"/>
    <cellStyle name="20% - Accent5 11 2 2 2 2 2 4" xfId="32257" xr:uid="{3EF68755-B640-4DF1-9D1D-871E6464716C}"/>
    <cellStyle name="20% - Accent5 11 2 2 2 2 3" xfId="12817" xr:uid="{00000000-0005-0000-0000-00009D1C0000}"/>
    <cellStyle name="20% - Accent5 11 2 2 2 2 3 2" xfId="36667" xr:uid="{88C57EB4-5FE1-41B0-9A3A-5A304773DC91}"/>
    <cellStyle name="20% - Accent5 11 2 2 2 2 4" xfId="20772" xr:uid="{00000000-0005-0000-0000-00009E1C0000}"/>
    <cellStyle name="20% - Accent5 11 2 2 2 2 4 2" xfId="44605" xr:uid="{8A786332-C944-439E-99C7-FB234F773162}"/>
    <cellStyle name="20% - Accent5 11 2 2 2 2 5" xfId="28726" xr:uid="{AD1D3A04-E042-42E4-A8BF-F31C847297E9}"/>
    <cellStyle name="20% - Accent5 11 2 2 2 3" xfId="6625" xr:uid="{00000000-0005-0000-0000-00009F1C0000}"/>
    <cellStyle name="20% - Accent5 11 2 2 2 3 2" xfId="14597" xr:uid="{00000000-0005-0000-0000-0000A01C0000}"/>
    <cellStyle name="20% - Accent5 11 2 2 2 3 2 2" xfId="38440" xr:uid="{1849DFAE-1C39-425D-A6F0-74245902DB34}"/>
    <cellStyle name="20% - Accent5 11 2 2 2 3 3" xfId="22544" xr:uid="{00000000-0005-0000-0000-0000A11C0000}"/>
    <cellStyle name="20% - Accent5 11 2 2 2 3 3 2" xfId="46377" xr:uid="{71722771-2B0F-4D18-AA41-5DD694587CD0}"/>
    <cellStyle name="20% - Accent5 11 2 2 2 3 4" xfId="30499" xr:uid="{10551933-2DFD-4D82-B742-CB16B2207D11}"/>
    <cellStyle name="20% - Accent5 11 2 2 2 4" xfId="11061" xr:uid="{00000000-0005-0000-0000-0000A21C0000}"/>
    <cellStyle name="20% - Accent5 11 2 2 2 4 2" xfId="34911" xr:uid="{54B4EE6F-F37E-4EF6-BF78-6EC5163537AE}"/>
    <cellStyle name="20% - Accent5 11 2 2 2 5" xfId="19016" xr:uid="{00000000-0005-0000-0000-0000A31C0000}"/>
    <cellStyle name="20% - Accent5 11 2 2 2 5 2" xfId="42849" xr:uid="{C079F5D9-9817-4728-B307-398DB2B75986}"/>
    <cellStyle name="20% - Accent5 11 2 2 2 6" xfId="26969" xr:uid="{8FBF3C09-C484-4D2D-AA79-AA8786BF3EE5}"/>
    <cellStyle name="20% - Accent5 11 2 2 2_Exh G" xfId="2448" xr:uid="{00000000-0005-0000-0000-0000A41C0000}"/>
    <cellStyle name="20% - Accent5 11 2 2 3" xfId="3914" xr:uid="{00000000-0005-0000-0000-0000A51C0000}"/>
    <cellStyle name="20% - Accent5 11 2 2 3 2" xfId="7506" xr:uid="{00000000-0005-0000-0000-0000A61C0000}"/>
    <cellStyle name="20% - Accent5 11 2 2 3 2 2" xfId="15477" xr:uid="{00000000-0005-0000-0000-0000A71C0000}"/>
    <cellStyle name="20% - Accent5 11 2 2 3 2 2 2" xfId="39320" xr:uid="{CFB0554A-423B-4663-B865-FDE4B86A251C}"/>
    <cellStyle name="20% - Accent5 11 2 2 3 2 3" xfId="23423" xr:uid="{00000000-0005-0000-0000-0000A81C0000}"/>
    <cellStyle name="20% - Accent5 11 2 2 3 2 3 2" xfId="47256" xr:uid="{88DB5BDF-52E2-4FB1-8884-3E991EBAA355}"/>
    <cellStyle name="20% - Accent5 11 2 2 3 2 4" xfId="31379" xr:uid="{AB4406FB-D717-4680-AE3A-F4CEDA939B42}"/>
    <cellStyle name="20% - Accent5 11 2 2 3 3" xfId="11939" xr:uid="{00000000-0005-0000-0000-0000A91C0000}"/>
    <cellStyle name="20% - Accent5 11 2 2 3 3 2" xfId="35789" xr:uid="{920F9742-AE8A-466B-83ED-1CE518EB1B63}"/>
    <cellStyle name="20% - Accent5 11 2 2 3 4" xfId="19894" xr:uid="{00000000-0005-0000-0000-0000AA1C0000}"/>
    <cellStyle name="20% - Accent5 11 2 2 3 4 2" xfId="43727" xr:uid="{3F6957CD-2B62-4C59-8720-58328A1219EE}"/>
    <cellStyle name="20% - Accent5 11 2 2 3 5" xfId="27848" xr:uid="{4E66131D-D904-4EA6-9212-2DD404082256}"/>
    <cellStyle name="20% - Accent5 11 2 2 4" xfId="5734" xr:uid="{00000000-0005-0000-0000-0000AB1C0000}"/>
    <cellStyle name="20% - Accent5 11 2 2 4 2" xfId="13718" xr:uid="{00000000-0005-0000-0000-0000AC1C0000}"/>
    <cellStyle name="20% - Accent5 11 2 2 4 2 2" xfId="37562" xr:uid="{13C51DA4-9C28-4B51-8978-3AD704F86221}"/>
    <cellStyle name="20% - Accent5 11 2 2 4 3" xfId="21666" xr:uid="{00000000-0005-0000-0000-0000AD1C0000}"/>
    <cellStyle name="20% - Accent5 11 2 2 4 3 2" xfId="45499" xr:uid="{93859073-A23E-4E85-A58B-C1988B74825A}"/>
    <cellStyle name="20% - Accent5 11 2 2 4 4" xfId="29621" xr:uid="{C314DC11-B72A-4686-BB5C-288D416DB2E7}"/>
    <cellStyle name="20% - Accent5 11 2 2 5" xfId="9287" xr:uid="{00000000-0005-0000-0000-0000AE1C0000}"/>
    <cellStyle name="20% - Accent5 11 2 2 5 2" xfId="17245" xr:uid="{00000000-0005-0000-0000-0000AF1C0000}"/>
    <cellStyle name="20% - Accent5 11 2 2 5 2 2" xfId="41086" xr:uid="{0AD4C625-747F-42FB-86CD-5B62E49EBFB0}"/>
    <cellStyle name="20% - Accent5 11 2 2 5 3" xfId="25189" xr:uid="{00000000-0005-0000-0000-0000B01C0000}"/>
    <cellStyle name="20% - Accent5 11 2 2 5 3 2" xfId="49022" xr:uid="{7ED74E57-D90B-4E7D-B089-FD0BD6A58C5C}"/>
    <cellStyle name="20% - Accent5 11 2 2 5 4" xfId="33145" xr:uid="{EB9E82B6-D015-46BD-9E7E-90F3B0809757}"/>
    <cellStyle name="20% - Accent5 11 2 2 6" xfId="10183" xr:uid="{00000000-0005-0000-0000-0000B11C0000}"/>
    <cellStyle name="20% - Accent5 11 2 2 6 2" xfId="34033" xr:uid="{59164C0C-E5C0-433D-9A24-40782F35D337}"/>
    <cellStyle name="20% - Accent5 11 2 2 7" xfId="18138" xr:uid="{00000000-0005-0000-0000-0000B21C0000}"/>
    <cellStyle name="20% - Accent5 11 2 2 7 2" xfId="41971" xr:uid="{91C16DE7-9BED-4507-8327-9518A879DAB1}"/>
    <cellStyle name="20% - Accent5 11 2 2 8" xfId="26091" xr:uid="{4863A611-FF6F-4E32-8018-2D9FA05FC9C8}"/>
    <cellStyle name="20% - Accent5 11 2 2_Exh G" xfId="2447" xr:uid="{00000000-0005-0000-0000-0000B31C0000}"/>
    <cellStyle name="20% - Accent5 11 2 3" xfId="1262" xr:uid="{00000000-0005-0000-0000-0000B41C0000}"/>
    <cellStyle name="20% - Accent5 11 2 3 2" xfId="4792" xr:uid="{00000000-0005-0000-0000-0000B51C0000}"/>
    <cellStyle name="20% - Accent5 11 2 3 2 2" xfId="8383" xr:uid="{00000000-0005-0000-0000-0000B61C0000}"/>
    <cellStyle name="20% - Accent5 11 2 3 2 2 2" xfId="16354" xr:uid="{00000000-0005-0000-0000-0000B71C0000}"/>
    <cellStyle name="20% - Accent5 11 2 3 2 2 2 2" xfId="40197" xr:uid="{310FDDEA-9377-430C-B644-5C3E58527AA8}"/>
    <cellStyle name="20% - Accent5 11 2 3 2 2 3" xfId="24300" xr:uid="{00000000-0005-0000-0000-0000B81C0000}"/>
    <cellStyle name="20% - Accent5 11 2 3 2 2 3 2" xfId="48133" xr:uid="{89DD1B20-528E-4975-887C-007CD9CD13A9}"/>
    <cellStyle name="20% - Accent5 11 2 3 2 2 4" xfId="32256" xr:uid="{D18DB40C-7F63-428F-97DE-33425B08113F}"/>
    <cellStyle name="20% - Accent5 11 2 3 2 3" xfId="12816" xr:uid="{00000000-0005-0000-0000-0000B91C0000}"/>
    <cellStyle name="20% - Accent5 11 2 3 2 3 2" xfId="36666" xr:uid="{FB7C5DA0-BFE6-4D62-809B-2C9A18C9900C}"/>
    <cellStyle name="20% - Accent5 11 2 3 2 4" xfId="20771" xr:uid="{00000000-0005-0000-0000-0000BA1C0000}"/>
    <cellStyle name="20% - Accent5 11 2 3 2 4 2" xfId="44604" xr:uid="{249423B6-B710-4C06-A82C-4F2D8497F77F}"/>
    <cellStyle name="20% - Accent5 11 2 3 2 5" xfId="28725" xr:uid="{06C7A405-EC7F-45CC-AAB1-6CAA25D53817}"/>
    <cellStyle name="20% - Accent5 11 2 3 3" xfId="6624" xr:uid="{00000000-0005-0000-0000-0000BB1C0000}"/>
    <cellStyle name="20% - Accent5 11 2 3 3 2" xfId="14596" xr:uid="{00000000-0005-0000-0000-0000BC1C0000}"/>
    <cellStyle name="20% - Accent5 11 2 3 3 2 2" xfId="38439" xr:uid="{131B6437-A1D1-4AFF-B435-33626A5822C0}"/>
    <cellStyle name="20% - Accent5 11 2 3 3 3" xfId="22543" xr:uid="{00000000-0005-0000-0000-0000BD1C0000}"/>
    <cellStyle name="20% - Accent5 11 2 3 3 3 2" xfId="46376" xr:uid="{5A6F6A27-528A-4160-9008-9C5382677AAB}"/>
    <cellStyle name="20% - Accent5 11 2 3 3 4" xfId="30498" xr:uid="{F7007F0A-5E47-4E12-9CB2-CB631AFA3FC8}"/>
    <cellStyle name="20% - Accent5 11 2 3 4" xfId="11060" xr:uid="{00000000-0005-0000-0000-0000BE1C0000}"/>
    <cellStyle name="20% - Accent5 11 2 3 4 2" xfId="34910" xr:uid="{22E54021-5C31-4E09-BD46-1A3A3EC8E65D}"/>
    <cellStyle name="20% - Accent5 11 2 3 5" xfId="19015" xr:uid="{00000000-0005-0000-0000-0000BF1C0000}"/>
    <cellStyle name="20% - Accent5 11 2 3 5 2" xfId="42848" xr:uid="{4FE39032-F57D-4F9D-9CBB-676DA8ADE827}"/>
    <cellStyle name="20% - Accent5 11 2 3 6" xfId="26968" xr:uid="{A2DAD41A-01A6-462D-A7D0-DE9EEAAF7FAF}"/>
    <cellStyle name="20% - Accent5 11 2 3_Exh G" xfId="2449" xr:uid="{00000000-0005-0000-0000-0000C01C0000}"/>
    <cellStyle name="20% - Accent5 11 2 4" xfId="3913" xr:uid="{00000000-0005-0000-0000-0000C11C0000}"/>
    <cellStyle name="20% - Accent5 11 2 4 2" xfId="7505" xr:uid="{00000000-0005-0000-0000-0000C21C0000}"/>
    <cellStyle name="20% - Accent5 11 2 4 2 2" xfId="15476" xr:uid="{00000000-0005-0000-0000-0000C31C0000}"/>
    <cellStyle name="20% - Accent5 11 2 4 2 2 2" xfId="39319" xr:uid="{2F402230-F091-4AD4-BD6C-44EDDCB60021}"/>
    <cellStyle name="20% - Accent5 11 2 4 2 3" xfId="23422" xr:uid="{00000000-0005-0000-0000-0000C41C0000}"/>
    <cellStyle name="20% - Accent5 11 2 4 2 3 2" xfId="47255" xr:uid="{50183291-70E8-472C-AB38-4CD8E488FB7E}"/>
    <cellStyle name="20% - Accent5 11 2 4 2 4" xfId="31378" xr:uid="{77A17ADD-55E4-4EFD-A997-90E996712A28}"/>
    <cellStyle name="20% - Accent5 11 2 4 3" xfId="11938" xr:uid="{00000000-0005-0000-0000-0000C51C0000}"/>
    <cellStyle name="20% - Accent5 11 2 4 3 2" xfId="35788" xr:uid="{462ADD5A-0EFA-41AA-B6F5-4A56E3F2266B}"/>
    <cellStyle name="20% - Accent5 11 2 4 4" xfId="19893" xr:uid="{00000000-0005-0000-0000-0000C61C0000}"/>
    <cellStyle name="20% - Accent5 11 2 4 4 2" xfId="43726" xr:uid="{B5EA47F4-C962-4890-B164-2AA454903002}"/>
    <cellStyle name="20% - Accent5 11 2 4 5" xfId="27847" xr:uid="{FA1B38C1-6E2F-4E5F-9DEF-2AA2F7143D7C}"/>
    <cellStyle name="20% - Accent5 11 2 5" xfId="5733" xr:uid="{00000000-0005-0000-0000-0000C71C0000}"/>
    <cellStyle name="20% - Accent5 11 2 5 2" xfId="13717" xr:uid="{00000000-0005-0000-0000-0000C81C0000}"/>
    <cellStyle name="20% - Accent5 11 2 5 2 2" xfId="37561" xr:uid="{BEF2E6CF-156E-47F7-B366-0688CDA5A8DC}"/>
    <cellStyle name="20% - Accent5 11 2 5 3" xfId="21665" xr:uid="{00000000-0005-0000-0000-0000C91C0000}"/>
    <cellStyle name="20% - Accent5 11 2 5 3 2" xfId="45498" xr:uid="{40AE2D1F-C1FB-4B88-BE17-915B0CA8C8DD}"/>
    <cellStyle name="20% - Accent5 11 2 5 4" xfId="29620" xr:uid="{3231EB43-7961-4812-8BE4-4DC1FC341924}"/>
    <cellStyle name="20% - Accent5 11 2 6" xfId="9286" xr:uid="{00000000-0005-0000-0000-0000CA1C0000}"/>
    <cellStyle name="20% - Accent5 11 2 6 2" xfId="17244" xr:uid="{00000000-0005-0000-0000-0000CB1C0000}"/>
    <cellStyle name="20% - Accent5 11 2 6 2 2" xfId="41085" xr:uid="{0CA48069-1245-49E7-AE3B-036E1BFCCCF4}"/>
    <cellStyle name="20% - Accent5 11 2 6 3" xfId="25188" xr:uid="{00000000-0005-0000-0000-0000CC1C0000}"/>
    <cellStyle name="20% - Accent5 11 2 6 3 2" xfId="49021" xr:uid="{12063BB9-2A8C-4D3D-9643-9F1CAD96DB84}"/>
    <cellStyle name="20% - Accent5 11 2 6 4" xfId="33144" xr:uid="{37D73305-E695-4AF9-BA2B-CED766FE8523}"/>
    <cellStyle name="20% - Accent5 11 2 7" xfId="10182" xr:uid="{00000000-0005-0000-0000-0000CD1C0000}"/>
    <cellStyle name="20% - Accent5 11 2 7 2" xfId="34032" xr:uid="{3F31E5AB-23CB-457D-A9EB-60169ED21472}"/>
    <cellStyle name="20% - Accent5 11 2 8" xfId="18137" xr:uid="{00000000-0005-0000-0000-0000CE1C0000}"/>
    <cellStyle name="20% - Accent5 11 2 8 2" xfId="41970" xr:uid="{CEBB8A24-6DF9-47C0-9EF2-9CECF9E4FC46}"/>
    <cellStyle name="20% - Accent5 11 2 9" xfId="26090" xr:uid="{A4F8018E-1328-4899-8F5A-4F7040089C21}"/>
    <cellStyle name="20% - Accent5 11 2_Exh G" xfId="2446" xr:uid="{00000000-0005-0000-0000-0000CF1C0000}"/>
    <cellStyle name="20% - Accent5 11 3" xfId="236" xr:uid="{00000000-0005-0000-0000-0000D01C0000}"/>
    <cellStyle name="20% - Accent5 11 3 2" xfId="1264" xr:uid="{00000000-0005-0000-0000-0000D11C0000}"/>
    <cellStyle name="20% - Accent5 11 3 2 2" xfId="4794" xr:uid="{00000000-0005-0000-0000-0000D21C0000}"/>
    <cellStyle name="20% - Accent5 11 3 2 2 2" xfId="8385" xr:uid="{00000000-0005-0000-0000-0000D31C0000}"/>
    <cellStyle name="20% - Accent5 11 3 2 2 2 2" xfId="16356" xr:uid="{00000000-0005-0000-0000-0000D41C0000}"/>
    <cellStyle name="20% - Accent5 11 3 2 2 2 2 2" xfId="40199" xr:uid="{83AF2C13-7F38-4048-BB7B-59F729869EB8}"/>
    <cellStyle name="20% - Accent5 11 3 2 2 2 3" xfId="24302" xr:uid="{00000000-0005-0000-0000-0000D51C0000}"/>
    <cellStyle name="20% - Accent5 11 3 2 2 2 3 2" xfId="48135" xr:uid="{7EABBFCE-DC97-478F-A0C7-188416A33290}"/>
    <cellStyle name="20% - Accent5 11 3 2 2 2 4" xfId="32258" xr:uid="{3FC81779-CB3A-4FAD-970A-F0526547FC56}"/>
    <cellStyle name="20% - Accent5 11 3 2 2 3" xfId="12818" xr:uid="{00000000-0005-0000-0000-0000D61C0000}"/>
    <cellStyle name="20% - Accent5 11 3 2 2 3 2" xfId="36668" xr:uid="{E817D027-4855-40AC-AC95-45D7C8FAB9D3}"/>
    <cellStyle name="20% - Accent5 11 3 2 2 4" xfId="20773" xr:uid="{00000000-0005-0000-0000-0000D71C0000}"/>
    <cellStyle name="20% - Accent5 11 3 2 2 4 2" xfId="44606" xr:uid="{17AE358D-A062-447A-A126-08E9B42A8DA0}"/>
    <cellStyle name="20% - Accent5 11 3 2 2 5" xfId="28727" xr:uid="{C25C3C7B-DBCF-4EFA-BE58-A8DA98624E87}"/>
    <cellStyle name="20% - Accent5 11 3 2 3" xfId="6626" xr:uid="{00000000-0005-0000-0000-0000D81C0000}"/>
    <cellStyle name="20% - Accent5 11 3 2 3 2" xfId="14598" xr:uid="{00000000-0005-0000-0000-0000D91C0000}"/>
    <cellStyle name="20% - Accent5 11 3 2 3 2 2" xfId="38441" xr:uid="{659F2084-F903-4815-8405-C249D4692674}"/>
    <cellStyle name="20% - Accent5 11 3 2 3 3" xfId="22545" xr:uid="{00000000-0005-0000-0000-0000DA1C0000}"/>
    <cellStyle name="20% - Accent5 11 3 2 3 3 2" xfId="46378" xr:uid="{AB738CC1-C3AB-4F79-B792-09B45ECBCCBE}"/>
    <cellStyle name="20% - Accent5 11 3 2 3 4" xfId="30500" xr:uid="{25144A3C-94C0-4DC0-95BC-577A6C58E682}"/>
    <cellStyle name="20% - Accent5 11 3 2 4" xfId="11062" xr:uid="{00000000-0005-0000-0000-0000DB1C0000}"/>
    <cellStyle name="20% - Accent5 11 3 2 4 2" xfId="34912" xr:uid="{0B453F2A-8A25-4630-A18D-4023DD5F46A6}"/>
    <cellStyle name="20% - Accent5 11 3 2 5" xfId="19017" xr:uid="{00000000-0005-0000-0000-0000DC1C0000}"/>
    <cellStyle name="20% - Accent5 11 3 2 5 2" xfId="42850" xr:uid="{4D781934-D1A6-4246-9665-A599AFD95609}"/>
    <cellStyle name="20% - Accent5 11 3 2 6" xfId="26970" xr:uid="{A95177D1-5D77-49DA-B084-AEDFD4D011F0}"/>
    <cellStyle name="20% - Accent5 11 3 2_Exh G" xfId="2451" xr:uid="{00000000-0005-0000-0000-0000DD1C0000}"/>
    <cellStyle name="20% - Accent5 11 3 3" xfId="3915" xr:uid="{00000000-0005-0000-0000-0000DE1C0000}"/>
    <cellStyle name="20% - Accent5 11 3 3 2" xfId="7507" xr:uid="{00000000-0005-0000-0000-0000DF1C0000}"/>
    <cellStyle name="20% - Accent5 11 3 3 2 2" xfId="15478" xr:uid="{00000000-0005-0000-0000-0000E01C0000}"/>
    <cellStyle name="20% - Accent5 11 3 3 2 2 2" xfId="39321" xr:uid="{5541F18F-F5C2-4688-BF0F-210850A701AC}"/>
    <cellStyle name="20% - Accent5 11 3 3 2 3" xfId="23424" xr:uid="{00000000-0005-0000-0000-0000E11C0000}"/>
    <cellStyle name="20% - Accent5 11 3 3 2 3 2" xfId="47257" xr:uid="{2B8FCC3B-30F0-4F79-80D5-90DC9A54CDA9}"/>
    <cellStyle name="20% - Accent5 11 3 3 2 4" xfId="31380" xr:uid="{8AE53DA2-51D8-46F4-BFBE-00F3367771AB}"/>
    <cellStyle name="20% - Accent5 11 3 3 3" xfId="11940" xr:uid="{00000000-0005-0000-0000-0000E21C0000}"/>
    <cellStyle name="20% - Accent5 11 3 3 3 2" xfId="35790" xr:uid="{761CC9B0-21C1-4E5F-BCEC-746B6DB9A3F7}"/>
    <cellStyle name="20% - Accent5 11 3 3 4" xfId="19895" xr:uid="{00000000-0005-0000-0000-0000E31C0000}"/>
    <cellStyle name="20% - Accent5 11 3 3 4 2" xfId="43728" xr:uid="{86A08902-A43B-4DC3-892E-C2AAEFFEEB5B}"/>
    <cellStyle name="20% - Accent5 11 3 3 5" xfId="27849" xr:uid="{45AC0CCA-3CF9-4AEF-8D7C-4BB3B182661F}"/>
    <cellStyle name="20% - Accent5 11 3 4" xfId="5735" xr:uid="{00000000-0005-0000-0000-0000E41C0000}"/>
    <cellStyle name="20% - Accent5 11 3 4 2" xfId="13719" xr:uid="{00000000-0005-0000-0000-0000E51C0000}"/>
    <cellStyle name="20% - Accent5 11 3 4 2 2" xfId="37563" xr:uid="{A7E5D3A9-D8C8-43EE-91C6-4D2A7025E1E2}"/>
    <cellStyle name="20% - Accent5 11 3 4 3" xfId="21667" xr:uid="{00000000-0005-0000-0000-0000E61C0000}"/>
    <cellStyle name="20% - Accent5 11 3 4 3 2" xfId="45500" xr:uid="{BB21032C-C529-4634-BECE-74998A9F18F3}"/>
    <cellStyle name="20% - Accent5 11 3 4 4" xfId="29622" xr:uid="{56D12AA7-900E-4880-998F-318706848F08}"/>
    <cellStyle name="20% - Accent5 11 3 5" xfId="9288" xr:uid="{00000000-0005-0000-0000-0000E71C0000}"/>
    <cellStyle name="20% - Accent5 11 3 5 2" xfId="17246" xr:uid="{00000000-0005-0000-0000-0000E81C0000}"/>
    <cellStyle name="20% - Accent5 11 3 5 2 2" xfId="41087" xr:uid="{4EBE3316-6711-44C1-BDBF-9CE55A7D52AB}"/>
    <cellStyle name="20% - Accent5 11 3 5 3" xfId="25190" xr:uid="{00000000-0005-0000-0000-0000E91C0000}"/>
    <cellStyle name="20% - Accent5 11 3 5 3 2" xfId="49023" xr:uid="{873173C4-78FD-4264-9864-FB09B447A300}"/>
    <cellStyle name="20% - Accent5 11 3 5 4" xfId="33146" xr:uid="{62161B34-3569-425A-B2E2-20AF56769327}"/>
    <cellStyle name="20% - Accent5 11 3 6" xfId="10184" xr:uid="{00000000-0005-0000-0000-0000EA1C0000}"/>
    <cellStyle name="20% - Accent5 11 3 6 2" xfId="34034" xr:uid="{49089319-A669-447F-BB39-2DC5CB4DDFAF}"/>
    <cellStyle name="20% - Accent5 11 3 7" xfId="18139" xr:uid="{00000000-0005-0000-0000-0000EB1C0000}"/>
    <cellStyle name="20% - Accent5 11 3 7 2" xfId="41972" xr:uid="{FCE986BE-7B86-4479-9474-5B6C322BD636}"/>
    <cellStyle name="20% - Accent5 11 3 8" xfId="26092" xr:uid="{7745CF36-D9B4-4C63-9990-2862351671DA}"/>
    <cellStyle name="20% - Accent5 11 3_Exh G" xfId="2450" xr:uid="{00000000-0005-0000-0000-0000EC1C0000}"/>
    <cellStyle name="20% - Accent5 11 4" xfId="1261" xr:uid="{00000000-0005-0000-0000-0000ED1C0000}"/>
    <cellStyle name="20% - Accent5 11 4 2" xfId="4791" xr:uid="{00000000-0005-0000-0000-0000EE1C0000}"/>
    <cellStyle name="20% - Accent5 11 4 2 2" xfId="8382" xr:uid="{00000000-0005-0000-0000-0000EF1C0000}"/>
    <cellStyle name="20% - Accent5 11 4 2 2 2" xfId="16353" xr:uid="{00000000-0005-0000-0000-0000F01C0000}"/>
    <cellStyle name="20% - Accent5 11 4 2 2 2 2" xfId="40196" xr:uid="{C17D9006-38A0-47A8-A6EE-FA32CFFB2E88}"/>
    <cellStyle name="20% - Accent5 11 4 2 2 3" xfId="24299" xr:uid="{00000000-0005-0000-0000-0000F11C0000}"/>
    <cellStyle name="20% - Accent5 11 4 2 2 3 2" xfId="48132" xr:uid="{2945BBA7-5B2C-4AA9-BF73-BF55D5353145}"/>
    <cellStyle name="20% - Accent5 11 4 2 2 4" xfId="32255" xr:uid="{6C6CB874-8113-4D0F-96B1-C99F2FD19DE5}"/>
    <cellStyle name="20% - Accent5 11 4 2 3" xfId="12815" xr:uid="{00000000-0005-0000-0000-0000F21C0000}"/>
    <cellStyle name="20% - Accent5 11 4 2 3 2" xfId="36665" xr:uid="{DC75A835-111B-4AA9-967B-02DE7ED12804}"/>
    <cellStyle name="20% - Accent5 11 4 2 4" xfId="20770" xr:uid="{00000000-0005-0000-0000-0000F31C0000}"/>
    <cellStyle name="20% - Accent5 11 4 2 4 2" xfId="44603" xr:uid="{EA3D1BAD-85FD-4FCC-9781-DAF884FD6F1D}"/>
    <cellStyle name="20% - Accent5 11 4 2 5" xfId="28724" xr:uid="{A41666E5-736C-4261-B97C-6D71B878CF61}"/>
    <cellStyle name="20% - Accent5 11 4 3" xfId="6623" xr:uid="{00000000-0005-0000-0000-0000F41C0000}"/>
    <cellStyle name="20% - Accent5 11 4 3 2" xfId="14595" xr:uid="{00000000-0005-0000-0000-0000F51C0000}"/>
    <cellStyle name="20% - Accent5 11 4 3 2 2" xfId="38438" xr:uid="{0B691D23-B18A-4C74-8E0C-C496A1F31906}"/>
    <cellStyle name="20% - Accent5 11 4 3 3" xfId="22542" xr:uid="{00000000-0005-0000-0000-0000F61C0000}"/>
    <cellStyle name="20% - Accent5 11 4 3 3 2" xfId="46375" xr:uid="{6CB30AC6-DA42-4985-867E-76A3172FDB3B}"/>
    <cellStyle name="20% - Accent5 11 4 3 4" xfId="30497" xr:uid="{2D2D7AA6-DC4B-475F-B337-BDCBDBF15D2A}"/>
    <cellStyle name="20% - Accent5 11 4 4" xfId="11059" xr:uid="{00000000-0005-0000-0000-0000F71C0000}"/>
    <cellStyle name="20% - Accent5 11 4 4 2" xfId="34909" xr:uid="{A61413F8-A286-4984-8F10-839B7FF04F01}"/>
    <cellStyle name="20% - Accent5 11 4 5" xfId="19014" xr:uid="{00000000-0005-0000-0000-0000F81C0000}"/>
    <cellStyle name="20% - Accent5 11 4 5 2" xfId="42847" xr:uid="{F294C42A-966D-4579-A3ED-E6298D1E1DCE}"/>
    <cellStyle name="20% - Accent5 11 4 6" xfId="26967" xr:uid="{5528E4C4-CBF2-417F-A46E-8D8A7F2F04A1}"/>
    <cellStyle name="20% - Accent5 11 4_Exh G" xfId="2452" xr:uid="{00000000-0005-0000-0000-0000F91C0000}"/>
    <cellStyle name="20% - Accent5 11 5" xfId="3912" xr:uid="{00000000-0005-0000-0000-0000FA1C0000}"/>
    <cellStyle name="20% - Accent5 11 5 2" xfId="7504" xr:uid="{00000000-0005-0000-0000-0000FB1C0000}"/>
    <cellStyle name="20% - Accent5 11 5 2 2" xfId="15475" xr:uid="{00000000-0005-0000-0000-0000FC1C0000}"/>
    <cellStyle name="20% - Accent5 11 5 2 2 2" xfId="39318" xr:uid="{1486405A-E256-4ED8-A461-D909FC180C24}"/>
    <cellStyle name="20% - Accent5 11 5 2 3" xfId="23421" xr:uid="{00000000-0005-0000-0000-0000FD1C0000}"/>
    <cellStyle name="20% - Accent5 11 5 2 3 2" xfId="47254" xr:uid="{47DF288D-10BF-437B-9E18-59633E09CF8A}"/>
    <cellStyle name="20% - Accent5 11 5 2 4" xfId="31377" xr:uid="{9E4659E6-0E3D-4E39-BF55-77C46F05150F}"/>
    <cellStyle name="20% - Accent5 11 5 3" xfId="11937" xr:uid="{00000000-0005-0000-0000-0000FE1C0000}"/>
    <cellStyle name="20% - Accent5 11 5 3 2" xfId="35787" xr:uid="{3A49F66B-FC8E-45C8-B57A-52FD412BF6EB}"/>
    <cellStyle name="20% - Accent5 11 5 4" xfId="19892" xr:uid="{00000000-0005-0000-0000-0000FF1C0000}"/>
    <cellStyle name="20% - Accent5 11 5 4 2" xfId="43725" xr:uid="{C306A4AA-2D59-40FA-A65B-5892F52BB29E}"/>
    <cellStyle name="20% - Accent5 11 5 5" xfId="27846" xr:uid="{EFDAB9AF-38F8-43CD-85EC-C0512AB26063}"/>
    <cellStyle name="20% - Accent5 11 6" xfId="5732" xr:uid="{00000000-0005-0000-0000-0000001D0000}"/>
    <cellStyle name="20% - Accent5 11 6 2" xfId="13716" xr:uid="{00000000-0005-0000-0000-0000011D0000}"/>
    <cellStyle name="20% - Accent5 11 6 2 2" xfId="37560" xr:uid="{8844F41B-0CBA-4824-AA89-072567F1290A}"/>
    <cellStyle name="20% - Accent5 11 6 3" xfId="21664" xr:uid="{00000000-0005-0000-0000-0000021D0000}"/>
    <cellStyle name="20% - Accent5 11 6 3 2" xfId="45497" xr:uid="{4E708D2A-31BF-42FC-A595-41C17A93A7DD}"/>
    <cellStyle name="20% - Accent5 11 6 4" xfId="29619" xr:uid="{4D19F61E-B617-4563-BDBD-C922620E800A}"/>
    <cellStyle name="20% - Accent5 11 7" xfId="9285" xr:uid="{00000000-0005-0000-0000-0000031D0000}"/>
    <cellStyle name="20% - Accent5 11 7 2" xfId="17243" xr:uid="{00000000-0005-0000-0000-0000041D0000}"/>
    <cellStyle name="20% - Accent5 11 7 2 2" xfId="41084" xr:uid="{39D4E8FE-2C57-4A72-B4B1-D32EB619D9CD}"/>
    <cellStyle name="20% - Accent5 11 7 3" xfId="25187" xr:uid="{00000000-0005-0000-0000-0000051D0000}"/>
    <cellStyle name="20% - Accent5 11 7 3 2" xfId="49020" xr:uid="{6A6DC99A-615A-4EEB-8EC8-7CEC6B2FEE56}"/>
    <cellStyle name="20% - Accent5 11 7 4" xfId="33143" xr:uid="{8EEAE0CE-CE6B-4914-BE75-8659E15F01D2}"/>
    <cellStyle name="20% - Accent5 11 8" xfId="10181" xr:uid="{00000000-0005-0000-0000-0000061D0000}"/>
    <cellStyle name="20% - Accent5 11 8 2" xfId="34031" xr:uid="{EEFEDB78-0FA5-4121-9571-9595DAE1223C}"/>
    <cellStyle name="20% - Accent5 11 9" xfId="18136" xr:uid="{00000000-0005-0000-0000-0000071D0000}"/>
    <cellStyle name="20% - Accent5 11 9 2" xfId="41969" xr:uid="{F43DB838-6361-42B1-9400-1225459C8BB8}"/>
    <cellStyle name="20% - Accent5 11_Exh G" xfId="2445" xr:uid="{00000000-0005-0000-0000-0000081D0000}"/>
    <cellStyle name="20% - Accent5 12" xfId="237" xr:uid="{00000000-0005-0000-0000-0000091D0000}"/>
    <cellStyle name="20% - Accent5 12 10" xfId="26093" xr:uid="{DB056558-7F16-43AA-9D13-A866481F6700}"/>
    <cellStyle name="20% - Accent5 12 2" xfId="238" xr:uid="{00000000-0005-0000-0000-00000A1D0000}"/>
    <cellStyle name="20% - Accent5 12 2 2" xfId="239" xr:uid="{00000000-0005-0000-0000-00000B1D0000}"/>
    <cellStyle name="20% - Accent5 12 2 2 2" xfId="1267" xr:uid="{00000000-0005-0000-0000-00000C1D0000}"/>
    <cellStyle name="20% - Accent5 12 2 2 2 2" xfId="4797" xr:uid="{00000000-0005-0000-0000-00000D1D0000}"/>
    <cellStyle name="20% - Accent5 12 2 2 2 2 2" xfId="8388" xr:uid="{00000000-0005-0000-0000-00000E1D0000}"/>
    <cellStyle name="20% - Accent5 12 2 2 2 2 2 2" xfId="16359" xr:uid="{00000000-0005-0000-0000-00000F1D0000}"/>
    <cellStyle name="20% - Accent5 12 2 2 2 2 2 2 2" xfId="40202" xr:uid="{D1E9E994-7F83-45E3-83E4-57AE6DBEF3F6}"/>
    <cellStyle name="20% - Accent5 12 2 2 2 2 2 3" xfId="24305" xr:uid="{00000000-0005-0000-0000-0000101D0000}"/>
    <cellStyle name="20% - Accent5 12 2 2 2 2 2 3 2" xfId="48138" xr:uid="{8E78B4D3-EEAD-449A-8B0E-E1B6E42C2146}"/>
    <cellStyle name="20% - Accent5 12 2 2 2 2 2 4" xfId="32261" xr:uid="{775CA2AA-11C3-43D1-B078-67FACAB263F8}"/>
    <cellStyle name="20% - Accent5 12 2 2 2 2 3" xfId="12821" xr:uid="{00000000-0005-0000-0000-0000111D0000}"/>
    <cellStyle name="20% - Accent5 12 2 2 2 2 3 2" xfId="36671" xr:uid="{0E7689E9-00D1-4F51-8724-00E2D06F9C5C}"/>
    <cellStyle name="20% - Accent5 12 2 2 2 2 4" xfId="20776" xr:uid="{00000000-0005-0000-0000-0000121D0000}"/>
    <cellStyle name="20% - Accent5 12 2 2 2 2 4 2" xfId="44609" xr:uid="{F0CE54DF-F11D-4B84-89E2-0E229374F72F}"/>
    <cellStyle name="20% - Accent5 12 2 2 2 2 5" xfId="28730" xr:uid="{E08C3053-02B3-443E-8BE9-DB97EDEDFA18}"/>
    <cellStyle name="20% - Accent5 12 2 2 2 3" xfId="6629" xr:uid="{00000000-0005-0000-0000-0000131D0000}"/>
    <cellStyle name="20% - Accent5 12 2 2 2 3 2" xfId="14601" xr:uid="{00000000-0005-0000-0000-0000141D0000}"/>
    <cellStyle name="20% - Accent5 12 2 2 2 3 2 2" xfId="38444" xr:uid="{90DD602A-C1C2-4549-BE26-6758E2295823}"/>
    <cellStyle name="20% - Accent5 12 2 2 2 3 3" xfId="22548" xr:uid="{00000000-0005-0000-0000-0000151D0000}"/>
    <cellStyle name="20% - Accent5 12 2 2 2 3 3 2" xfId="46381" xr:uid="{D50A6DA3-8CF0-4071-865C-EA43638244A2}"/>
    <cellStyle name="20% - Accent5 12 2 2 2 3 4" xfId="30503" xr:uid="{13887849-BABE-4748-8857-B86E20B21E09}"/>
    <cellStyle name="20% - Accent5 12 2 2 2 4" xfId="11065" xr:uid="{00000000-0005-0000-0000-0000161D0000}"/>
    <cellStyle name="20% - Accent5 12 2 2 2 4 2" xfId="34915" xr:uid="{040309AF-3098-4395-B833-F18D0DB898CC}"/>
    <cellStyle name="20% - Accent5 12 2 2 2 5" xfId="19020" xr:uid="{00000000-0005-0000-0000-0000171D0000}"/>
    <cellStyle name="20% - Accent5 12 2 2 2 5 2" xfId="42853" xr:uid="{563B6A25-FCC6-42FE-8762-4D97ADA5E772}"/>
    <cellStyle name="20% - Accent5 12 2 2 2 6" xfId="26973" xr:uid="{977DAE3F-42C4-4681-82E7-94BDD3A8FA9C}"/>
    <cellStyle name="20% - Accent5 12 2 2 2_Exh G" xfId="2456" xr:uid="{00000000-0005-0000-0000-0000181D0000}"/>
    <cellStyle name="20% - Accent5 12 2 2 3" xfId="3918" xr:uid="{00000000-0005-0000-0000-0000191D0000}"/>
    <cellStyle name="20% - Accent5 12 2 2 3 2" xfId="7510" xr:uid="{00000000-0005-0000-0000-00001A1D0000}"/>
    <cellStyle name="20% - Accent5 12 2 2 3 2 2" xfId="15481" xr:uid="{00000000-0005-0000-0000-00001B1D0000}"/>
    <cellStyle name="20% - Accent5 12 2 2 3 2 2 2" xfId="39324" xr:uid="{61905D80-02AC-4320-80D5-946B66BD70C1}"/>
    <cellStyle name="20% - Accent5 12 2 2 3 2 3" xfId="23427" xr:uid="{00000000-0005-0000-0000-00001C1D0000}"/>
    <cellStyle name="20% - Accent5 12 2 2 3 2 3 2" xfId="47260" xr:uid="{D6344D2D-3824-4C96-8560-6339E499A9E0}"/>
    <cellStyle name="20% - Accent5 12 2 2 3 2 4" xfId="31383" xr:uid="{05DBABDE-7E03-4C77-A014-14632037C48D}"/>
    <cellStyle name="20% - Accent5 12 2 2 3 3" xfId="11943" xr:uid="{00000000-0005-0000-0000-00001D1D0000}"/>
    <cellStyle name="20% - Accent5 12 2 2 3 3 2" xfId="35793" xr:uid="{CB1541EE-2887-419F-AFA9-9B0BF8F63ECF}"/>
    <cellStyle name="20% - Accent5 12 2 2 3 4" xfId="19898" xr:uid="{00000000-0005-0000-0000-00001E1D0000}"/>
    <cellStyle name="20% - Accent5 12 2 2 3 4 2" xfId="43731" xr:uid="{B1DC5442-61D4-4F0C-AB04-19CAFA6EC3CD}"/>
    <cellStyle name="20% - Accent5 12 2 2 3 5" xfId="27852" xr:uid="{215318A9-4A73-4E0D-9D5D-01C0EC635AF4}"/>
    <cellStyle name="20% - Accent5 12 2 2 4" xfId="5738" xr:uid="{00000000-0005-0000-0000-00001F1D0000}"/>
    <cellStyle name="20% - Accent5 12 2 2 4 2" xfId="13722" xr:uid="{00000000-0005-0000-0000-0000201D0000}"/>
    <cellStyle name="20% - Accent5 12 2 2 4 2 2" xfId="37566" xr:uid="{DF94403D-40F9-4399-888E-9DA4CEA2CE2D}"/>
    <cellStyle name="20% - Accent5 12 2 2 4 3" xfId="21670" xr:uid="{00000000-0005-0000-0000-0000211D0000}"/>
    <cellStyle name="20% - Accent5 12 2 2 4 3 2" xfId="45503" xr:uid="{A8466FFD-29D0-4835-82F6-49CD9D1BA236}"/>
    <cellStyle name="20% - Accent5 12 2 2 4 4" xfId="29625" xr:uid="{B53D7088-7955-4D99-86B9-9AE37A7D09A9}"/>
    <cellStyle name="20% - Accent5 12 2 2 5" xfId="9291" xr:uid="{00000000-0005-0000-0000-0000221D0000}"/>
    <cellStyle name="20% - Accent5 12 2 2 5 2" xfId="17249" xr:uid="{00000000-0005-0000-0000-0000231D0000}"/>
    <cellStyle name="20% - Accent5 12 2 2 5 2 2" xfId="41090" xr:uid="{6E0D8B09-13EE-4582-A98A-62F811C7D471}"/>
    <cellStyle name="20% - Accent5 12 2 2 5 3" xfId="25193" xr:uid="{00000000-0005-0000-0000-0000241D0000}"/>
    <cellStyle name="20% - Accent5 12 2 2 5 3 2" xfId="49026" xr:uid="{CB2701E9-3515-404B-8044-9BA9DDE36E3B}"/>
    <cellStyle name="20% - Accent5 12 2 2 5 4" xfId="33149" xr:uid="{098F6F7B-A80C-47C8-B722-8D9B394D32F3}"/>
    <cellStyle name="20% - Accent5 12 2 2 6" xfId="10187" xr:uid="{00000000-0005-0000-0000-0000251D0000}"/>
    <cellStyle name="20% - Accent5 12 2 2 6 2" xfId="34037" xr:uid="{FD74571C-AF81-45BF-B9D3-07C96972E33B}"/>
    <cellStyle name="20% - Accent5 12 2 2 7" xfId="18142" xr:uid="{00000000-0005-0000-0000-0000261D0000}"/>
    <cellStyle name="20% - Accent5 12 2 2 7 2" xfId="41975" xr:uid="{ADD7DBEE-C7CE-4C42-B804-018AE27AA8BD}"/>
    <cellStyle name="20% - Accent5 12 2 2 8" xfId="26095" xr:uid="{C1CE3FDB-24E7-4343-AD18-2A48A3600BFC}"/>
    <cellStyle name="20% - Accent5 12 2 2_Exh G" xfId="2455" xr:uid="{00000000-0005-0000-0000-0000271D0000}"/>
    <cellStyle name="20% - Accent5 12 2 3" xfId="1266" xr:uid="{00000000-0005-0000-0000-0000281D0000}"/>
    <cellStyle name="20% - Accent5 12 2 3 2" xfId="4796" xr:uid="{00000000-0005-0000-0000-0000291D0000}"/>
    <cellStyle name="20% - Accent5 12 2 3 2 2" xfId="8387" xr:uid="{00000000-0005-0000-0000-00002A1D0000}"/>
    <cellStyle name="20% - Accent5 12 2 3 2 2 2" xfId="16358" xr:uid="{00000000-0005-0000-0000-00002B1D0000}"/>
    <cellStyle name="20% - Accent5 12 2 3 2 2 2 2" xfId="40201" xr:uid="{BA6E254E-91E7-4356-B52B-E4781966105D}"/>
    <cellStyle name="20% - Accent5 12 2 3 2 2 3" xfId="24304" xr:uid="{00000000-0005-0000-0000-00002C1D0000}"/>
    <cellStyle name="20% - Accent5 12 2 3 2 2 3 2" xfId="48137" xr:uid="{5D70DA85-F7C3-46C2-AD44-29D2271BCF6F}"/>
    <cellStyle name="20% - Accent5 12 2 3 2 2 4" xfId="32260" xr:uid="{E046BE0B-7EEF-4599-8E2A-636C91629233}"/>
    <cellStyle name="20% - Accent5 12 2 3 2 3" xfId="12820" xr:uid="{00000000-0005-0000-0000-00002D1D0000}"/>
    <cellStyle name="20% - Accent5 12 2 3 2 3 2" xfId="36670" xr:uid="{460EE341-E63B-40DC-AEF8-0BBA676D1165}"/>
    <cellStyle name="20% - Accent5 12 2 3 2 4" xfId="20775" xr:uid="{00000000-0005-0000-0000-00002E1D0000}"/>
    <cellStyle name="20% - Accent5 12 2 3 2 4 2" xfId="44608" xr:uid="{CF879428-605D-4C63-B8AD-EEB1F016D6E9}"/>
    <cellStyle name="20% - Accent5 12 2 3 2 5" xfId="28729" xr:uid="{1AF9975E-0D99-4FCC-961E-1784A4B3C442}"/>
    <cellStyle name="20% - Accent5 12 2 3 3" xfId="6628" xr:uid="{00000000-0005-0000-0000-00002F1D0000}"/>
    <cellStyle name="20% - Accent5 12 2 3 3 2" xfId="14600" xr:uid="{00000000-0005-0000-0000-0000301D0000}"/>
    <cellStyle name="20% - Accent5 12 2 3 3 2 2" xfId="38443" xr:uid="{E93DC95F-067C-4140-AF11-0937661F57D8}"/>
    <cellStyle name="20% - Accent5 12 2 3 3 3" xfId="22547" xr:uid="{00000000-0005-0000-0000-0000311D0000}"/>
    <cellStyle name="20% - Accent5 12 2 3 3 3 2" xfId="46380" xr:uid="{651A0091-7187-4230-9A97-0B6040E2BD32}"/>
    <cellStyle name="20% - Accent5 12 2 3 3 4" xfId="30502" xr:uid="{D6D13CE9-89BD-478F-A69C-56A2E51AEF5D}"/>
    <cellStyle name="20% - Accent5 12 2 3 4" xfId="11064" xr:uid="{00000000-0005-0000-0000-0000321D0000}"/>
    <cellStyle name="20% - Accent5 12 2 3 4 2" xfId="34914" xr:uid="{AC1B20FE-4A70-4B95-961B-EE523847317D}"/>
    <cellStyle name="20% - Accent5 12 2 3 5" xfId="19019" xr:uid="{00000000-0005-0000-0000-0000331D0000}"/>
    <cellStyle name="20% - Accent5 12 2 3 5 2" xfId="42852" xr:uid="{60C19E00-E22F-42F1-B136-0DB582ECBBC4}"/>
    <cellStyle name="20% - Accent5 12 2 3 6" xfId="26972" xr:uid="{978EA9DC-F12B-4BA4-A2E1-17186528D31E}"/>
    <cellStyle name="20% - Accent5 12 2 3_Exh G" xfId="2457" xr:uid="{00000000-0005-0000-0000-0000341D0000}"/>
    <cellStyle name="20% - Accent5 12 2 4" xfId="3917" xr:uid="{00000000-0005-0000-0000-0000351D0000}"/>
    <cellStyle name="20% - Accent5 12 2 4 2" xfId="7509" xr:uid="{00000000-0005-0000-0000-0000361D0000}"/>
    <cellStyle name="20% - Accent5 12 2 4 2 2" xfId="15480" xr:uid="{00000000-0005-0000-0000-0000371D0000}"/>
    <cellStyle name="20% - Accent5 12 2 4 2 2 2" xfId="39323" xr:uid="{71E65E74-0952-4D22-AC21-CEA2BA053D96}"/>
    <cellStyle name="20% - Accent5 12 2 4 2 3" xfId="23426" xr:uid="{00000000-0005-0000-0000-0000381D0000}"/>
    <cellStyle name="20% - Accent5 12 2 4 2 3 2" xfId="47259" xr:uid="{DE4CD0BD-F950-4FB2-B77C-5177B6B123BE}"/>
    <cellStyle name="20% - Accent5 12 2 4 2 4" xfId="31382" xr:uid="{671BC46F-182C-4EA9-96E7-0073ED3D389E}"/>
    <cellStyle name="20% - Accent5 12 2 4 3" xfId="11942" xr:uid="{00000000-0005-0000-0000-0000391D0000}"/>
    <cellStyle name="20% - Accent5 12 2 4 3 2" xfId="35792" xr:uid="{048AD690-2BE0-4898-AE91-3967260D51A4}"/>
    <cellStyle name="20% - Accent5 12 2 4 4" xfId="19897" xr:uid="{00000000-0005-0000-0000-00003A1D0000}"/>
    <cellStyle name="20% - Accent5 12 2 4 4 2" xfId="43730" xr:uid="{221B25D5-8CDB-4AF7-8009-757596B1F04F}"/>
    <cellStyle name="20% - Accent5 12 2 4 5" xfId="27851" xr:uid="{28F5ACDD-6274-474F-9AD0-077F47088130}"/>
    <cellStyle name="20% - Accent5 12 2 5" xfId="5737" xr:uid="{00000000-0005-0000-0000-00003B1D0000}"/>
    <cellStyle name="20% - Accent5 12 2 5 2" xfId="13721" xr:uid="{00000000-0005-0000-0000-00003C1D0000}"/>
    <cellStyle name="20% - Accent5 12 2 5 2 2" xfId="37565" xr:uid="{CA18E86B-C841-4DAD-997E-A424B88AB730}"/>
    <cellStyle name="20% - Accent5 12 2 5 3" xfId="21669" xr:uid="{00000000-0005-0000-0000-00003D1D0000}"/>
    <cellStyle name="20% - Accent5 12 2 5 3 2" xfId="45502" xr:uid="{C443C5F4-E88F-424F-BDCE-8C950BB6091F}"/>
    <cellStyle name="20% - Accent5 12 2 5 4" xfId="29624" xr:uid="{C4D0C210-DFC7-4F6B-B191-5812B473CF8E}"/>
    <cellStyle name="20% - Accent5 12 2 6" xfId="9290" xr:uid="{00000000-0005-0000-0000-00003E1D0000}"/>
    <cellStyle name="20% - Accent5 12 2 6 2" xfId="17248" xr:uid="{00000000-0005-0000-0000-00003F1D0000}"/>
    <cellStyle name="20% - Accent5 12 2 6 2 2" xfId="41089" xr:uid="{6D53FB0F-173B-416B-9942-414D39878479}"/>
    <cellStyle name="20% - Accent5 12 2 6 3" xfId="25192" xr:uid="{00000000-0005-0000-0000-0000401D0000}"/>
    <cellStyle name="20% - Accent5 12 2 6 3 2" xfId="49025" xr:uid="{ADE4257D-176E-40FE-BC44-C121FC28831E}"/>
    <cellStyle name="20% - Accent5 12 2 6 4" xfId="33148" xr:uid="{65C86FE3-556A-4C28-B53C-B2B4D6A52C52}"/>
    <cellStyle name="20% - Accent5 12 2 7" xfId="10186" xr:uid="{00000000-0005-0000-0000-0000411D0000}"/>
    <cellStyle name="20% - Accent5 12 2 7 2" xfId="34036" xr:uid="{6E7895BF-01FD-486C-B6EE-908D8583446B}"/>
    <cellStyle name="20% - Accent5 12 2 8" xfId="18141" xr:uid="{00000000-0005-0000-0000-0000421D0000}"/>
    <cellStyle name="20% - Accent5 12 2 8 2" xfId="41974" xr:uid="{73733EB1-2A38-4B67-B702-37B01533D64F}"/>
    <cellStyle name="20% - Accent5 12 2 9" xfId="26094" xr:uid="{D556A75C-586E-4732-BB33-ADF11EF4A4AF}"/>
    <cellStyle name="20% - Accent5 12 2_Exh G" xfId="2454" xr:uid="{00000000-0005-0000-0000-0000431D0000}"/>
    <cellStyle name="20% - Accent5 12 3" xfId="240" xr:uid="{00000000-0005-0000-0000-0000441D0000}"/>
    <cellStyle name="20% - Accent5 12 3 2" xfId="1268" xr:uid="{00000000-0005-0000-0000-0000451D0000}"/>
    <cellStyle name="20% - Accent5 12 3 2 2" xfId="4798" xr:uid="{00000000-0005-0000-0000-0000461D0000}"/>
    <cellStyle name="20% - Accent5 12 3 2 2 2" xfId="8389" xr:uid="{00000000-0005-0000-0000-0000471D0000}"/>
    <cellStyle name="20% - Accent5 12 3 2 2 2 2" xfId="16360" xr:uid="{00000000-0005-0000-0000-0000481D0000}"/>
    <cellStyle name="20% - Accent5 12 3 2 2 2 2 2" xfId="40203" xr:uid="{0C013822-CE12-435B-9AE7-E4A787AA421C}"/>
    <cellStyle name="20% - Accent5 12 3 2 2 2 3" xfId="24306" xr:uid="{00000000-0005-0000-0000-0000491D0000}"/>
    <cellStyle name="20% - Accent5 12 3 2 2 2 3 2" xfId="48139" xr:uid="{09845713-3F43-46AD-AE9C-5729C0BA0854}"/>
    <cellStyle name="20% - Accent5 12 3 2 2 2 4" xfId="32262" xr:uid="{F70C60AC-5BBC-4538-9850-ECA6C8912E6C}"/>
    <cellStyle name="20% - Accent5 12 3 2 2 3" xfId="12822" xr:uid="{00000000-0005-0000-0000-00004A1D0000}"/>
    <cellStyle name="20% - Accent5 12 3 2 2 3 2" xfId="36672" xr:uid="{C42299B7-94D6-4C7B-8FFB-BD02D841734A}"/>
    <cellStyle name="20% - Accent5 12 3 2 2 4" xfId="20777" xr:uid="{00000000-0005-0000-0000-00004B1D0000}"/>
    <cellStyle name="20% - Accent5 12 3 2 2 4 2" xfId="44610" xr:uid="{B4BDECEF-04B2-4DF9-857B-3F1D6F2AB34F}"/>
    <cellStyle name="20% - Accent5 12 3 2 2 5" xfId="28731" xr:uid="{77ABAD2F-3A76-4C2D-ADD0-F06ADC886834}"/>
    <cellStyle name="20% - Accent5 12 3 2 3" xfId="6630" xr:uid="{00000000-0005-0000-0000-00004C1D0000}"/>
    <cellStyle name="20% - Accent5 12 3 2 3 2" xfId="14602" xr:uid="{00000000-0005-0000-0000-00004D1D0000}"/>
    <cellStyle name="20% - Accent5 12 3 2 3 2 2" xfId="38445" xr:uid="{C86D5B2D-D75B-4B6A-8976-6752928D7548}"/>
    <cellStyle name="20% - Accent5 12 3 2 3 3" xfId="22549" xr:uid="{00000000-0005-0000-0000-00004E1D0000}"/>
    <cellStyle name="20% - Accent5 12 3 2 3 3 2" xfId="46382" xr:uid="{267E5736-A18B-4398-A45B-7D735A89AD86}"/>
    <cellStyle name="20% - Accent5 12 3 2 3 4" xfId="30504" xr:uid="{7F7140F5-1054-4DCC-AEC1-052B6E7C54A3}"/>
    <cellStyle name="20% - Accent5 12 3 2 4" xfId="11066" xr:uid="{00000000-0005-0000-0000-00004F1D0000}"/>
    <cellStyle name="20% - Accent5 12 3 2 4 2" xfId="34916" xr:uid="{049FC204-D96D-4D76-A380-4CD9C9E87C5A}"/>
    <cellStyle name="20% - Accent5 12 3 2 5" xfId="19021" xr:uid="{00000000-0005-0000-0000-0000501D0000}"/>
    <cellStyle name="20% - Accent5 12 3 2 5 2" xfId="42854" xr:uid="{DC865FDB-84D9-46A2-978A-1FED6D14D408}"/>
    <cellStyle name="20% - Accent5 12 3 2 6" xfId="26974" xr:uid="{14C8DA82-D532-4246-8AA7-225352F93759}"/>
    <cellStyle name="20% - Accent5 12 3 2_Exh G" xfId="2459" xr:uid="{00000000-0005-0000-0000-0000511D0000}"/>
    <cellStyle name="20% - Accent5 12 3 3" xfId="3919" xr:uid="{00000000-0005-0000-0000-0000521D0000}"/>
    <cellStyle name="20% - Accent5 12 3 3 2" xfId="7511" xr:uid="{00000000-0005-0000-0000-0000531D0000}"/>
    <cellStyle name="20% - Accent5 12 3 3 2 2" xfId="15482" xr:uid="{00000000-0005-0000-0000-0000541D0000}"/>
    <cellStyle name="20% - Accent5 12 3 3 2 2 2" xfId="39325" xr:uid="{61AC687D-B37D-423C-8FCE-A7B42CDC84D1}"/>
    <cellStyle name="20% - Accent5 12 3 3 2 3" xfId="23428" xr:uid="{00000000-0005-0000-0000-0000551D0000}"/>
    <cellStyle name="20% - Accent5 12 3 3 2 3 2" xfId="47261" xr:uid="{9A86D614-702D-4AAF-8560-A0D2D221FD10}"/>
    <cellStyle name="20% - Accent5 12 3 3 2 4" xfId="31384" xr:uid="{A07D0E94-EF76-4054-8500-1924CFADF2EA}"/>
    <cellStyle name="20% - Accent5 12 3 3 3" xfId="11944" xr:uid="{00000000-0005-0000-0000-0000561D0000}"/>
    <cellStyle name="20% - Accent5 12 3 3 3 2" xfId="35794" xr:uid="{62257C61-3D3C-44F9-ABD4-89F0CEC00262}"/>
    <cellStyle name="20% - Accent5 12 3 3 4" xfId="19899" xr:uid="{00000000-0005-0000-0000-0000571D0000}"/>
    <cellStyle name="20% - Accent5 12 3 3 4 2" xfId="43732" xr:uid="{C8AEFE80-19C4-41DF-ABAC-E40E72954F3A}"/>
    <cellStyle name="20% - Accent5 12 3 3 5" xfId="27853" xr:uid="{4A30679F-E612-44A3-948D-3A55F23BC743}"/>
    <cellStyle name="20% - Accent5 12 3 4" xfId="5739" xr:uid="{00000000-0005-0000-0000-0000581D0000}"/>
    <cellStyle name="20% - Accent5 12 3 4 2" xfId="13723" xr:uid="{00000000-0005-0000-0000-0000591D0000}"/>
    <cellStyle name="20% - Accent5 12 3 4 2 2" xfId="37567" xr:uid="{BFC06454-3F44-4007-B852-0224B26C859E}"/>
    <cellStyle name="20% - Accent5 12 3 4 3" xfId="21671" xr:uid="{00000000-0005-0000-0000-00005A1D0000}"/>
    <cellStyle name="20% - Accent5 12 3 4 3 2" xfId="45504" xr:uid="{7690DF84-C438-4949-84C0-1336707399AD}"/>
    <cellStyle name="20% - Accent5 12 3 4 4" xfId="29626" xr:uid="{C27B00A7-F7A9-40DD-B521-397B199057F7}"/>
    <cellStyle name="20% - Accent5 12 3 5" xfId="9292" xr:uid="{00000000-0005-0000-0000-00005B1D0000}"/>
    <cellStyle name="20% - Accent5 12 3 5 2" xfId="17250" xr:uid="{00000000-0005-0000-0000-00005C1D0000}"/>
    <cellStyle name="20% - Accent5 12 3 5 2 2" xfId="41091" xr:uid="{F521B933-8135-402A-9218-169F18E3E069}"/>
    <cellStyle name="20% - Accent5 12 3 5 3" xfId="25194" xr:uid="{00000000-0005-0000-0000-00005D1D0000}"/>
    <cellStyle name="20% - Accent5 12 3 5 3 2" xfId="49027" xr:uid="{1F0DA942-6FCC-4268-A015-05D1DAAC8628}"/>
    <cellStyle name="20% - Accent5 12 3 5 4" xfId="33150" xr:uid="{15821628-31CC-4C9F-88A2-662F8DB62063}"/>
    <cellStyle name="20% - Accent5 12 3 6" xfId="10188" xr:uid="{00000000-0005-0000-0000-00005E1D0000}"/>
    <cellStyle name="20% - Accent5 12 3 6 2" xfId="34038" xr:uid="{F1EF37CA-FE2D-40A3-9849-36E7EEE0111A}"/>
    <cellStyle name="20% - Accent5 12 3 7" xfId="18143" xr:uid="{00000000-0005-0000-0000-00005F1D0000}"/>
    <cellStyle name="20% - Accent5 12 3 7 2" xfId="41976" xr:uid="{44E42E37-DD37-47AF-8EE2-DB939737395B}"/>
    <cellStyle name="20% - Accent5 12 3 8" xfId="26096" xr:uid="{09624003-D1C7-494F-B69D-DDA0F3312C23}"/>
    <cellStyle name="20% - Accent5 12 3_Exh G" xfId="2458" xr:uid="{00000000-0005-0000-0000-0000601D0000}"/>
    <cellStyle name="20% - Accent5 12 4" xfId="1265" xr:uid="{00000000-0005-0000-0000-0000611D0000}"/>
    <cellStyle name="20% - Accent5 12 4 2" xfId="4795" xr:uid="{00000000-0005-0000-0000-0000621D0000}"/>
    <cellStyle name="20% - Accent5 12 4 2 2" xfId="8386" xr:uid="{00000000-0005-0000-0000-0000631D0000}"/>
    <cellStyle name="20% - Accent5 12 4 2 2 2" xfId="16357" xr:uid="{00000000-0005-0000-0000-0000641D0000}"/>
    <cellStyle name="20% - Accent5 12 4 2 2 2 2" xfId="40200" xr:uid="{D52713AD-24F1-4913-9CA5-3D1C74538C68}"/>
    <cellStyle name="20% - Accent5 12 4 2 2 3" xfId="24303" xr:uid="{00000000-0005-0000-0000-0000651D0000}"/>
    <cellStyle name="20% - Accent5 12 4 2 2 3 2" xfId="48136" xr:uid="{12D5A8A7-4A18-4589-B37C-30767BA7CB82}"/>
    <cellStyle name="20% - Accent5 12 4 2 2 4" xfId="32259" xr:uid="{A1AF2430-2890-4710-94DD-892B0F51352A}"/>
    <cellStyle name="20% - Accent5 12 4 2 3" xfId="12819" xr:uid="{00000000-0005-0000-0000-0000661D0000}"/>
    <cellStyle name="20% - Accent5 12 4 2 3 2" xfId="36669" xr:uid="{C7B8EFB0-83D5-4292-8768-35164F0D3E0B}"/>
    <cellStyle name="20% - Accent5 12 4 2 4" xfId="20774" xr:uid="{00000000-0005-0000-0000-0000671D0000}"/>
    <cellStyle name="20% - Accent5 12 4 2 4 2" xfId="44607" xr:uid="{8E09CB8C-9332-48D1-BB08-A3E63EBA3DEB}"/>
    <cellStyle name="20% - Accent5 12 4 2 5" xfId="28728" xr:uid="{A0D5E455-EC36-42E5-AD3A-980DAB73D996}"/>
    <cellStyle name="20% - Accent5 12 4 3" xfId="6627" xr:uid="{00000000-0005-0000-0000-0000681D0000}"/>
    <cellStyle name="20% - Accent5 12 4 3 2" xfId="14599" xr:uid="{00000000-0005-0000-0000-0000691D0000}"/>
    <cellStyle name="20% - Accent5 12 4 3 2 2" xfId="38442" xr:uid="{266C84FD-5E72-4956-80EC-EC8F1DA7A08B}"/>
    <cellStyle name="20% - Accent5 12 4 3 3" xfId="22546" xr:uid="{00000000-0005-0000-0000-00006A1D0000}"/>
    <cellStyle name="20% - Accent5 12 4 3 3 2" xfId="46379" xr:uid="{46EBAD8A-4AB4-4ABB-AB55-BDB0865C4A20}"/>
    <cellStyle name="20% - Accent5 12 4 3 4" xfId="30501" xr:uid="{5A74DA61-475B-4D6B-881D-0CA755E6D220}"/>
    <cellStyle name="20% - Accent5 12 4 4" xfId="11063" xr:uid="{00000000-0005-0000-0000-00006B1D0000}"/>
    <cellStyle name="20% - Accent5 12 4 4 2" xfId="34913" xr:uid="{1306D243-9B02-4D6E-9065-1045AD8BDB96}"/>
    <cellStyle name="20% - Accent5 12 4 5" xfId="19018" xr:uid="{00000000-0005-0000-0000-00006C1D0000}"/>
    <cellStyle name="20% - Accent5 12 4 5 2" xfId="42851" xr:uid="{4F45C83A-9570-4116-A397-D4A966B8C40B}"/>
    <cellStyle name="20% - Accent5 12 4 6" xfId="26971" xr:uid="{EEF35499-9B48-491E-A18E-8B7A470D57D2}"/>
    <cellStyle name="20% - Accent5 12 4_Exh G" xfId="2460" xr:uid="{00000000-0005-0000-0000-00006D1D0000}"/>
    <cellStyle name="20% - Accent5 12 5" xfId="3916" xr:uid="{00000000-0005-0000-0000-00006E1D0000}"/>
    <cellStyle name="20% - Accent5 12 5 2" xfId="7508" xr:uid="{00000000-0005-0000-0000-00006F1D0000}"/>
    <cellStyle name="20% - Accent5 12 5 2 2" xfId="15479" xr:uid="{00000000-0005-0000-0000-0000701D0000}"/>
    <cellStyle name="20% - Accent5 12 5 2 2 2" xfId="39322" xr:uid="{20A656AF-2790-4B04-94DA-4B0217856354}"/>
    <cellStyle name="20% - Accent5 12 5 2 3" xfId="23425" xr:uid="{00000000-0005-0000-0000-0000711D0000}"/>
    <cellStyle name="20% - Accent5 12 5 2 3 2" xfId="47258" xr:uid="{F7806817-40CF-4C51-8541-E8EC97A3135F}"/>
    <cellStyle name="20% - Accent5 12 5 2 4" xfId="31381" xr:uid="{9F72D510-1D6E-479A-8EFF-EA56D5F758AA}"/>
    <cellStyle name="20% - Accent5 12 5 3" xfId="11941" xr:uid="{00000000-0005-0000-0000-0000721D0000}"/>
    <cellStyle name="20% - Accent5 12 5 3 2" xfId="35791" xr:uid="{337A88A3-6D98-4B32-9EB2-73ED7C4A9477}"/>
    <cellStyle name="20% - Accent5 12 5 4" xfId="19896" xr:uid="{00000000-0005-0000-0000-0000731D0000}"/>
    <cellStyle name="20% - Accent5 12 5 4 2" xfId="43729" xr:uid="{846FD91C-9C6E-429A-8CED-F8B4BAB3B7D6}"/>
    <cellStyle name="20% - Accent5 12 5 5" xfId="27850" xr:uid="{2592E060-5C4D-4ED1-B9A3-823883877E8B}"/>
    <cellStyle name="20% - Accent5 12 6" xfId="5736" xr:uid="{00000000-0005-0000-0000-0000741D0000}"/>
    <cellStyle name="20% - Accent5 12 6 2" xfId="13720" xr:uid="{00000000-0005-0000-0000-0000751D0000}"/>
    <cellStyle name="20% - Accent5 12 6 2 2" xfId="37564" xr:uid="{203FA8D7-5AB0-45BA-86DD-94A72FDFE630}"/>
    <cellStyle name="20% - Accent5 12 6 3" xfId="21668" xr:uid="{00000000-0005-0000-0000-0000761D0000}"/>
    <cellStyle name="20% - Accent5 12 6 3 2" xfId="45501" xr:uid="{C0621941-D89C-4106-B87E-017BA37171E4}"/>
    <cellStyle name="20% - Accent5 12 6 4" xfId="29623" xr:uid="{FAECF4C6-4933-4629-9F4B-0684F6275382}"/>
    <cellStyle name="20% - Accent5 12 7" xfId="9289" xr:uid="{00000000-0005-0000-0000-0000771D0000}"/>
    <cellStyle name="20% - Accent5 12 7 2" xfId="17247" xr:uid="{00000000-0005-0000-0000-0000781D0000}"/>
    <cellStyle name="20% - Accent5 12 7 2 2" xfId="41088" xr:uid="{A73EFBF0-AD9C-4703-A20A-7166586E561B}"/>
    <cellStyle name="20% - Accent5 12 7 3" xfId="25191" xr:uid="{00000000-0005-0000-0000-0000791D0000}"/>
    <cellStyle name="20% - Accent5 12 7 3 2" xfId="49024" xr:uid="{64DBFC43-AC84-4789-8FAE-6D66AF0DE14C}"/>
    <cellStyle name="20% - Accent5 12 7 4" xfId="33147" xr:uid="{287F5FFB-24CC-4AE1-9FBC-316E9AF268F9}"/>
    <cellStyle name="20% - Accent5 12 8" xfId="10185" xr:uid="{00000000-0005-0000-0000-00007A1D0000}"/>
    <cellStyle name="20% - Accent5 12 8 2" xfId="34035" xr:uid="{B22E19BE-3F00-4736-9E46-C9FEE3F0E813}"/>
    <cellStyle name="20% - Accent5 12 9" xfId="18140" xr:uid="{00000000-0005-0000-0000-00007B1D0000}"/>
    <cellStyle name="20% - Accent5 12 9 2" xfId="41973" xr:uid="{C7E32357-8B86-4B17-8792-3F6F51595CB1}"/>
    <cellStyle name="20% - Accent5 12_Exh G" xfId="2453" xr:uid="{00000000-0005-0000-0000-00007C1D0000}"/>
    <cellStyle name="20% - Accent5 13" xfId="241" xr:uid="{00000000-0005-0000-0000-00007D1D0000}"/>
    <cellStyle name="20% - Accent5 13 10" xfId="26097" xr:uid="{DE57B2D6-9767-495F-B367-4347F13C334F}"/>
    <cellStyle name="20% - Accent5 13 2" xfId="242" xr:uid="{00000000-0005-0000-0000-00007E1D0000}"/>
    <cellStyle name="20% - Accent5 13 2 2" xfId="243" xr:uid="{00000000-0005-0000-0000-00007F1D0000}"/>
    <cellStyle name="20% - Accent5 13 2 2 2" xfId="1271" xr:uid="{00000000-0005-0000-0000-0000801D0000}"/>
    <cellStyle name="20% - Accent5 13 2 2 2 2" xfId="4801" xr:uid="{00000000-0005-0000-0000-0000811D0000}"/>
    <cellStyle name="20% - Accent5 13 2 2 2 2 2" xfId="8392" xr:uid="{00000000-0005-0000-0000-0000821D0000}"/>
    <cellStyle name="20% - Accent5 13 2 2 2 2 2 2" xfId="16363" xr:uid="{00000000-0005-0000-0000-0000831D0000}"/>
    <cellStyle name="20% - Accent5 13 2 2 2 2 2 2 2" xfId="40206" xr:uid="{E8B7A0AD-F489-4341-8024-4EF652A99ADD}"/>
    <cellStyle name="20% - Accent5 13 2 2 2 2 2 3" xfId="24309" xr:uid="{00000000-0005-0000-0000-0000841D0000}"/>
    <cellStyle name="20% - Accent5 13 2 2 2 2 2 3 2" xfId="48142" xr:uid="{23E2ECB3-AEF7-4F65-AE9A-DFABB505AB39}"/>
    <cellStyle name="20% - Accent5 13 2 2 2 2 2 4" xfId="32265" xr:uid="{252DE69C-A9E5-46BA-A7ED-22526F17BF12}"/>
    <cellStyle name="20% - Accent5 13 2 2 2 2 3" xfId="12825" xr:uid="{00000000-0005-0000-0000-0000851D0000}"/>
    <cellStyle name="20% - Accent5 13 2 2 2 2 3 2" xfId="36675" xr:uid="{6F05DC6D-5B44-465B-B4FF-A2EAC3E2ED7A}"/>
    <cellStyle name="20% - Accent5 13 2 2 2 2 4" xfId="20780" xr:uid="{00000000-0005-0000-0000-0000861D0000}"/>
    <cellStyle name="20% - Accent5 13 2 2 2 2 4 2" xfId="44613" xr:uid="{1605C3BC-7C96-4EF2-BE0B-A7F0604EE047}"/>
    <cellStyle name="20% - Accent5 13 2 2 2 2 5" xfId="28734" xr:uid="{C705D874-EBAF-4309-B3DC-9B3BCE85D2F0}"/>
    <cellStyle name="20% - Accent5 13 2 2 2 3" xfId="6633" xr:uid="{00000000-0005-0000-0000-0000871D0000}"/>
    <cellStyle name="20% - Accent5 13 2 2 2 3 2" xfId="14605" xr:uid="{00000000-0005-0000-0000-0000881D0000}"/>
    <cellStyle name="20% - Accent5 13 2 2 2 3 2 2" xfId="38448" xr:uid="{2476B5F4-5B0A-4957-BC7B-B3FCA5D2F86F}"/>
    <cellStyle name="20% - Accent5 13 2 2 2 3 3" xfId="22552" xr:uid="{00000000-0005-0000-0000-0000891D0000}"/>
    <cellStyle name="20% - Accent5 13 2 2 2 3 3 2" xfId="46385" xr:uid="{E54235C3-97B0-4CAE-983D-0B249381E024}"/>
    <cellStyle name="20% - Accent5 13 2 2 2 3 4" xfId="30507" xr:uid="{2CD94CBE-A933-404D-8A99-A733A5401853}"/>
    <cellStyle name="20% - Accent5 13 2 2 2 4" xfId="11069" xr:uid="{00000000-0005-0000-0000-00008A1D0000}"/>
    <cellStyle name="20% - Accent5 13 2 2 2 4 2" xfId="34919" xr:uid="{6557A7DD-DA32-477E-A931-9B639791AEB9}"/>
    <cellStyle name="20% - Accent5 13 2 2 2 5" xfId="19024" xr:uid="{00000000-0005-0000-0000-00008B1D0000}"/>
    <cellStyle name="20% - Accent5 13 2 2 2 5 2" xfId="42857" xr:uid="{CA3DC8CB-5BD5-49A5-8996-824E2EA628BF}"/>
    <cellStyle name="20% - Accent5 13 2 2 2 6" xfId="26977" xr:uid="{1594F5E5-AA8F-42C6-9250-37853BC32A48}"/>
    <cellStyle name="20% - Accent5 13 2 2 2_Exh G" xfId="2464" xr:uid="{00000000-0005-0000-0000-00008C1D0000}"/>
    <cellStyle name="20% - Accent5 13 2 2 3" xfId="3922" xr:uid="{00000000-0005-0000-0000-00008D1D0000}"/>
    <cellStyle name="20% - Accent5 13 2 2 3 2" xfId="7514" xr:uid="{00000000-0005-0000-0000-00008E1D0000}"/>
    <cellStyle name="20% - Accent5 13 2 2 3 2 2" xfId="15485" xr:uid="{00000000-0005-0000-0000-00008F1D0000}"/>
    <cellStyle name="20% - Accent5 13 2 2 3 2 2 2" xfId="39328" xr:uid="{0C1C0BFD-C282-417A-8A76-8E5115B7B1BD}"/>
    <cellStyle name="20% - Accent5 13 2 2 3 2 3" xfId="23431" xr:uid="{00000000-0005-0000-0000-0000901D0000}"/>
    <cellStyle name="20% - Accent5 13 2 2 3 2 3 2" xfId="47264" xr:uid="{B996B34F-708D-4C66-91CA-D47F6FF8266D}"/>
    <cellStyle name="20% - Accent5 13 2 2 3 2 4" xfId="31387" xr:uid="{173FE4EF-87F8-4208-ABFE-E33F330C5BB5}"/>
    <cellStyle name="20% - Accent5 13 2 2 3 3" xfId="11947" xr:uid="{00000000-0005-0000-0000-0000911D0000}"/>
    <cellStyle name="20% - Accent5 13 2 2 3 3 2" xfId="35797" xr:uid="{494009FA-8A0D-4B83-A674-52E0361B3726}"/>
    <cellStyle name="20% - Accent5 13 2 2 3 4" xfId="19902" xr:uid="{00000000-0005-0000-0000-0000921D0000}"/>
    <cellStyle name="20% - Accent5 13 2 2 3 4 2" xfId="43735" xr:uid="{C63118E4-F83D-44D3-A6DF-2739C41B0F8E}"/>
    <cellStyle name="20% - Accent5 13 2 2 3 5" xfId="27856" xr:uid="{16A931EB-7357-483E-9F7A-C0F42A80412B}"/>
    <cellStyle name="20% - Accent5 13 2 2 4" xfId="5742" xr:uid="{00000000-0005-0000-0000-0000931D0000}"/>
    <cellStyle name="20% - Accent5 13 2 2 4 2" xfId="13726" xr:uid="{00000000-0005-0000-0000-0000941D0000}"/>
    <cellStyle name="20% - Accent5 13 2 2 4 2 2" xfId="37570" xr:uid="{E16F253C-8F13-4DC4-A687-3C4274EA14A7}"/>
    <cellStyle name="20% - Accent5 13 2 2 4 3" xfId="21674" xr:uid="{00000000-0005-0000-0000-0000951D0000}"/>
    <cellStyle name="20% - Accent5 13 2 2 4 3 2" xfId="45507" xr:uid="{E157D91A-3B36-426B-A832-453CE0050D02}"/>
    <cellStyle name="20% - Accent5 13 2 2 4 4" xfId="29629" xr:uid="{6A115177-5F94-48C1-9FFE-19B7D6D927BC}"/>
    <cellStyle name="20% - Accent5 13 2 2 5" xfId="9295" xr:uid="{00000000-0005-0000-0000-0000961D0000}"/>
    <cellStyle name="20% - Accent5 13 2 2 5 2" xfId="17253" xr:uid="{00000000-0005-0000-0000-0000971D0000}"/>
    <cellStyle name="20% - Accent5 13 2 2 5 2 2" xfId="41094" xr:uid="{920341BC-4321-4B61-ADCA-A8DCB64FA240}"/>
    <cellStyle name="20% - Accent5 13 2 2 5 3" xfId="25197" xr:uid="{00000000-0005-0000-0000-0000981D0000}"/>
    <cellStyle name="20% - Accent5 13 2 2 5 3 2" xfId="49030" xr:uid="{724D402E-DFB4-467E-98A3-DEC11237EFE4}"/>
    <cellStyle name="20% - Accent5 13 2 2 5 4" xfId="33153" xr:uid="{AAC47D27-D44C-4082-A42C-6143DFFEC367}"/>
    <cellStyle name="20% - Accent5 13 2 2 6" xfId="10191" xr:uid="{00000000-0005-0000-0000-0000991D0000}"/>
    <cellStyle name="20% - Accent5 13 2 2 6 2" xfId="34041" xr:uid="{8D56604D-291C-4363-B8B6-25A0B28E3387}"/>
    <cellStyle name="20% - Accent5 13 2 2 7" xfId="18146" xr:uid="{00000000-0005-0000-0000-00009A1D0000}"/>
    <cellStyle name="20% - Accent5 13 2 2 7 2" xfId="41979" xr:uid="{CB3CDE38-7B2B-4BB8-A596-9C9B140CF674}"/>
    <cellStyle name="20% - Accent5 13 2 2 8" xfId="26099" xr:uid="{305BBAC9-F84D-4077-ABFD-838ECB7C33FE}"/>
    <cellStyle name="20% - Accent5 13 2 2_Exh G" xfId="2463" xr:uid="{00000000-0005-0000-0000-00009B1D0000}"/>
    <cellStyle name="20% - Accent5 13 2 3" xfId="1270" xr:uid="{00000000-0005-0000-0000-00009C1D0000}"/>
    <cellStyle name="20% - Accent5 13 2 3 2" xfId="4800" xr:uid="{00000000-0005-0000-0000-00009D1D0000}"/>
    <cellStyle name="20% - Accent5 13 2 3 2 2" xfId="8391" xr:uid="{00000000-0005-0000-0000-00009E1D0000}"/>
    <cellStyle name="20% - Accent5 13 2 3 2 2 2" xfId="16362" xr:uid="{00000000-0005-0000-0000-00009F1D0000}"/>
    <cellStyle name="20% - Accent5 13 2 3 2 2 2 2" xfId="40205" xr:uid="{82B2277D-8396-473B-B0A6-54573B545259}"/>
    <cellStyle name="20% - Accent5 13 2 3 2 2 3" xfId="24308" xr:uid="{00000000-0005-0000-0000-0000A01D0000}"/>
    <cellStyle name="20% - Accent5 13 2 3 2 2 3 2" xfId="48141" xr:uid="{1E066375-5ED6-47BD-A409-D1CC12D7E8D6}"/>
    <cellStyle name="20% - Accent5 13 2 3 2 2 4" xfId="32264" xr:uid="{E40633B6-8027-4774-B6A1-A2104E2707F1}"/>
    <cellStyle name="20% - Accent5 13 2 3 2 3" xfId="12824" xr:uid="{00000000-0005-0000-0000-0000A11D0000}"/>
    <cellStyle name="20% - Accent5 13 2 3 2 3 2" xfId="36674" xr:uid="{53B06251-B6FE-4EA0-A5C9-BDC7DB5036E7}"/>
    <cellStyle name="20% - Accent5 13 2 3 2 4" xfId="20779" xr:uid="{00000000-0005-0000-0000-0000A21D0000}"/>
    <cellStyle name="20% - Accent5 13 2 3 2 4 2" xfId="44612" xr:uid="{DD4FBB69-5413-4E37-8A6A-A6C54E9A9AE2}"/>
    <cellStyle name="20% - Accent5 13 2 3 2 5" xfId="28733" xr:uid="{427D6BB3-2B1E-4EDB-840D-2D4C89A36785}"/>
    <cellStyle name="20% - Accent5 13 2 3 3" xfId="6632" xr:uid="{00000000-0005-0000-0000-0000A31D0000}"/>
    <cellStyle name="20% - Accent5 13 2 3 3 2" xfId="14604" xr:uid="{00000000-0005-0000-0000-0000A41D0000}"/>
    <cellStyle name="20% - Accent5 13 2 3 3 2 2" xfId="38447" xr:uid="{87780B6D-9EC2-49BF-B7DE-05586701F6F2}"/>
    <cellStyle name="20% - Accent5 13 2 3 3 3" xfId="22551" xr:uid="{00000000-0005-0000-0000-0000A51D0000}"/>
    <cellStyle name="20% - Accent5 13 2 3 3 3 2" xfId="46384" xr:uid="{2B6CB93E-89A2-47BC-8997-07894A5B6A30}"/>
    <cellStyle name="20% - Accent5 13 2 3 3 4" xfId="30506" xr:uid="{E8276F5B-2D0D-4A5B-B839-F15FB87DEA05}"/>
    <cellStyle name="20% - Accent5 13 2 3 4" xfId="11068" xr:uid="{00000000-0005-0000-0000-0000A61D0000}"/>
    <cellStyle name="20% - Accent5 13 2 3 4 2" xfId="34918" xr:uid="{D619CE1C-715E-49D1-B525-AE36B360E0E2}"/>
    <cellStyle name="20% - Accent5 13 2 3 5" xfId="19023" xr:uid="{00000000-0005-0000-0000-0000A71D0000}"/>
    <cellStyle name="20% - Accent5 13 2 3 5 2" xfId="42856" xr:uid="{B46EC3FE-FE28-4824-8F6B-5603BBAFF2E5}"/>
    <cellStyle name="20% - Accent5 13 2 3 6" xfId="26976" xr:uid="{3D879784-ECBD-4C1F-AEB8-9B90DC87D0DC}"/>
    <cellStyle name="20% - Accent5 13 2 3_Exh G" xfId="2465" xr:uid="{00000000-0005-0000-0000-0000A81D0000}"/>
    <cellStyle name="20% - Accent5 13 2 4" xfId="3921" xr:uid="{00000000-0005-0000-0000-0000A91D0000}"/>
    <cellStyle name="20% - Accent5 13 2 4 2" xfId="7513" xr:uid="{00000000-0005-0000-0000-0000AA1D0000}"/>
    <cellStyle name="20% - Accent5 13 2 4 2 2" xfId="15484" xr:uid="{00000000-0005-0000-0000-0000AB1D0000}"/>
    <cellStyle name="20% - Accent5 13 2 4 2 2 2" xfId="39327" xr:uid="{15C982EE-0674-41F6-B209-429D14A1259D}"/>
    <cellStyle name="20% - Accent5 13 2 4 2 3" xfId="23430" xr:uid="{00000000-0005-0000-0000-0000AC1D0000}"/>
    <cellStyle name="20% - Accent5 13 2 4 2 3 2" xfId="47263" xr:uid="{A486BCA0-C8CC-4987-8D21-553F4BC874FF}"/>
    <cellStyle name="20% - Accent5 13 2 4 2 4" xfId="31386" xr:uid="{FC08F54D-F70A-4ACB-B123-58FAF4FB8499}"/>
    <cellStyle name="20% - Accent5 13 2 4 3" xfId="11946" xr:uid="{00000000-0005-0000-0000-0000AD1D0000}"/>
    <cellStyle name="20% - Accent5 13 2 4 3 2" xfId="35796" xr:uid="{A8EA12C4-AACB-487E-BC9B-C0EC7256AED3}"/>
    <cellStyle name="20% - Accent5 13 2 4 4" xfId="19901" xr:uid="{00000000-0005-0000-0000-0000AE1D0000}"/>
    <cellStyle name="20% - Accent5 13 2 4 4 2" xfId="43734" xr:uid="{1A28BC58-DF75-45A6-96D0-A8112BFC6BCC}"/>
    <cellStyle name="20% - Accent5 13 2 4 5" xfId="27855" xr:uid="{A7FCBB10-395B-4A06-B869-6E91680EAE5F}"/>
    <cellStyle name="20% - Accent5 13 2 5" xfId="5741" xr:uid="{00000000-0005-0000-0000-0000AF1D0000}"/>
    <cellStyle name="20% - Accent5 13 2 5 2" xfId="13725" xr:uid="{00000000-0005-0000-0000-0000B01D0000}"/>
    <cellStyle name="20% - Accent5 13 2 5 2 2" xfId="37569" xr:uid="{70750F5E-93C9-428E-AC62-82EE93D14968}"/>
    <cellStyle name="20% - Accent5 13 2 5 3" xfId="21673" xr:uid="{00000000-0005-0000-0000-0000B11D0000}"/>
    <cellStyle name="20% - Accent5 13 2 5 3 2" xfId="45506" xr:uid="{93C63A47-54B5-4440-8197-FB0636044E23}"/>
    <cellStyle name="20% - Accent5 13 2 5 4" xfId="29628" xr:uid="{FFED742F-DD36-41F5-A97F-206AAC1103D6}"/>
    <cellStyle name="20% - Accent5 13 2 6" xfId="9294" xr:uid="{00000000-0005-0000-0000-0000B21D0000}"/>
    <cellStyle name="20% - Accent5 13 2 6 2" xfId="17252" xr:uid="{00000000-0005-0000-0000-0000B31D0000}"/>
    <cellStyle name="20% - Accent5 13 2 6 2 2" xfId="41093" xr:uid="{BD0E25B8-E448-4D44-AB0D-0C07DCC0E343}"/>
    <cellStyle name="20% - Accent5 13 2 6 3" xfId="25196" xr:uid="{00000000-0005-0000-0000-0000B41D0000}"/>
    <cellStyle name="20% - Accent5 13 2 6 3 2" xfId="49029" xr:uid="{B690B962-BD4E-4FB5-BA37-519A63E50F86}"/>
    <cellStyle name="20% - Accent5 13 2 6 4" xfId="33152" xr:uid="{4B869C52-5A7B-4342-BAC1-6E3D092BDCB2}"/>
    <cellStyle name="20% - Accent5 13 2 7" xfId="10190" xr:uid="{00000000-0005-0000-0000-0000B51D0000}"/>
    <cellStyle name="20% - Accent5 13 2 7 2" xfId="34040" xr:uid="{01EFD3F5-157A-4837-AA9F-8BC1723F45A3}"/>
    <cellStyle name="20% - Accent5 13 2 8" xfId="18145" xr:uid="{00000000-0005-0000-0000-0000B61D0000}"/>
    <cellStyle name="20% - Accent5 13 2 8 2" xfId="41978" xr:uid="{1E64A75D-5295-4200-BD09-18D61387A447}"/>
    <cellStyle name="20% - Accent5 13 2 9" xfId="26098" xr:uid="{332EF8FC-E10F-4859-AD96-56063DCF2FF6}"/>
    <cellStyle name="20% - Accent5 13 2_Exh G" xfId="2462" xr:uid="{00000000-0005-0000-0000-0000B71D0000}"/>
    <cellStyle name="20% - Accent5 13 3" xfId="244" xr:uid="{00000000-0005-0000-0000-0000B81D0000}"/>
    <cellStyle name="20% - Accent5 13 3 2" xfId="1272" xr:uid="{00000000-0005-0000-0000-0000B91D0000}"/>
    <cellStyle name="20% - Accent5 13 3 2 2" xfId="4802" xr:uid="{00000000-0005-0000-0000-0000BA1D0000}"/>
    <cellStyle name="20% - Accent5 13 3 2 2 2" xfId="8393" xr:uid="{00000000-0005-0000-0000-0000BB1D0000}"/>
    <cellStyle name="20% - Accent5 13 3 2 2 2 2" xfId="16364" xr:uid="{00000000-0005-0000-0000-0000BC1D0000}"/>
    <cellStyle name="20% - Accent5 13 3 2 2 2 2 2" xfId="40207" xr:uid="{77BA1294-C619-4108-8432-4E3E265762E4}"/>
    <cellStyle name="20% - Accent5 13 3 2 2 2 3" xfId="24310" xr:uid="{00000000-0005-0000-0000-0000BD1D0000}"/>
    <cellStyle name="20% - Accent5 13 3 2 2 2 3 2" xfId="48143" xr:uid="{DBD24705-D4D8-480E-86C2-827106B9986C}"/>
    <cellStyle name="20% - Accent5 13 3 2 2 2 4" xfId="32266" xr:uid="{2A8BC4B3-A5CD-44F4-9E87-C8BD9236E287}"/>
    <cellStyle name="20% - Accent5 13 3 2 2 3" xfId="12826" xr:uid="{00000000-0005-0000-0000-0000BE1D0000}"/>
    <cellStyle name="20% - Accent5 13 3 2 2 3 2" xfId="36676" xr:uid="{5240C39F-D26C-4649-9B19-F40292537CCE}"/>
    <cellStyle name="20% - Accent5 13 3 2 2 4" xfId="20781" xr:uid="{00000000-0005-0000-0000-0000BF1D0000}"/>
    <cellStyle name="20% - Accent5 13 3 2 2 4 2" xfId="44614" xr:uid="{A1E0B1D6-D218-40B2-86EF-1F6CCC5F4C63}"/>
    <cellStyle name="20% - Accent5 13 3 2 2 5" xfId="28735" xr:uid="{E8E29076-2F8B-4C14-A681-A9B90E26F466}"/>
    <cellStyle name="20% - Accent5 13 3 2 3" xfId="6634" xr:uid="{00000000-0005-0000-0000-0000C01D0000}"/>
    <cellStyle name="20% - Accent5 13 3 2 3 2" xfId="14606" xr:uid="{00000000-0005-0000-0000-0000C11D0000}"/>
    <cellStyle name="20% - Accent5 13 3 2 3 2 2" xfId="38449" xr:uid="{5192F187-A6EC-43F1-857C-9D4F61E7A7A4}"/>
    <cellStyle name="20% - Accent5 13 3 2 3 3" xfId="22553" xr:uid="{00000000-0005-0000-0000-0000C21D0000}"/>
    <cellStyle name="20% - Accent5 13 3 2 3 3 2" xfId="46386" xr:uid="{50E761BA-3652-4334-8BD4-30C33CEBBB4B}"/>
    <cellStyle name="20% - Accent5 13 3 2 3 4" xfId="30508" xr:uid="{B0DA085F-2ADC-4CE4-99FD-3C13F7E13A26}"/>
    <cellStyle name="20% - Accent5 13 3 2 4" xfId="11070" xr:uid="{00000000-0005-0000-0000-0000C31D0000}"/>
    <cellStyle name="20% - Accent5 13 3 2 4 2" xfId="34920" xr:uid="{3A7CFE4B-BB53-446D-A440-8BBEE28FF358}"/>
    <cellStyle name="20% - Accent5 13 3 2 5" xfId="19025" xr:uid="{00000000-0005-0000-0000-0000C41D0000}"/>
    <cellStyle name="20% - Accent5 13 3 2 5 2" xfId="42858" xr:uid="{CD129010-F58E-4318-A6F6-DD34BB4930D2}"/>
    <cellStyle name="20% - Accent5 13 3 2 6" xfId="26978" xr:uid="{66E18408-9B65-4332-B5AC-E78724655B99}"/>
    <cellStyle name="20% - Accent5 13 3 2_Exh G" xfId="2467" xr:uid="{00000000-0005-0000-0000-0000C51D0000}"/>
    <cellStyle name="20% - Accent5 13 3 3" xfId="3923" xr:uid="{00000000-0005-0000-0000-0000C61D0000}"/>
    <cellStyle name="20% - Accent5 13 3 3 2" xfId="7515" xr:uid="{00000000-0005-0000-0000-0000C71D0000}"/>
    <cellStyle name="20% - Accent5 13 3 3 2 2" xfId="15486" xr:uid="{00000000-0005-0000-0000-0000C81D0000}"/>
    <cellStyle name="20% - Accent5 13 3 3 2 2 2" xfId="39329" xr:uid="{8B71E18B-C1F0-4355-88E9-6663331E3970}"/>
    <cellStyle name="20% - Accent5 13 3 3 2 3" xfId="23432" xr:uid="{00000000-0005-0000-0000-0000C91D0000}"/>
    <cellStyle name="20% - Accent5 13 3 3 2 3 2" xfId="47265" xr:uid="{035CFDE5-C24D-4F7E-994F-08D1A72B95AE}"/>
    <cellStyle name="20% - Accent5 13 3 3 2 4" xfId="31388" xr:uid="{584D1B8C-C238-4B5D-BF0A-D0568E37CFC9}"/>
    <cellStyle name="20% - Accent5 13 3 3 3" xfId="11948" xr:uid="{00000000-0005-0000-0000-0000CA1D0000}"/>
    <cellStyle name="20% - Accent5 13 3 3 3 2" xfId="35798" xr:uid="{D0A2EBDB-C1A1-4BA3-8B87-6B62D3F905A0}"/>
    <cellStyle name="20% - Accent5 13 3 3 4" xfId="19903" xr:uid="{00000000-0005-0000-0000-0000CB1D0000}"/>
    <cellStyle name="20% - Accent5 13 3 3 4 2" xfId="43736" xr:uid="{EB41032D-2983-46BC-9A55-6486D974ACB8}"/>
    <cellStyle name="20% - Accent5 13 3 3 5" xfId="27857" xr:uid="{49DC54A1-2866-46F2-A350-46269A876F6E}"/>
    <cellStyle name="20% - Accent5 13 3 4" xfId="5743" xr:uid="{00000000-0005-0000-0000-0000CC1D0000}"/>
    <cellStyle name="20% - Accent5 13 3 4 2" xfId="13727" xr:uid="{00000000-0005-0000-0000-0000CD1D0000}"/>
    <cellStyle name="20% - Accent5 13 3 4 2 2" xfId="37571" xr:uid="{D553E8F3-B44E-409D-8E4F-F71839762AA1}"/>
    <cellStyle name="20% - Accent5 13 3 4 3" xfId="21675" xr:uid="{00000000-0005-0000-0000-0000CE1D0000}"/>
    <cellStyle name="20% - Accent5 13 3 4 3 2" xfId="45508" xr:uid="{5F777953-6EB7-4ED2-8E40-8E34DD3FC61D}"/>
    <cellStyle name="20% - Accent5 13 3 4 4" xfId="29630" xr:uid="{AA2F238D-D6C4-424F-AB26-646C37D6F2FF}"/>
    <cellStyle name="20% - Accent5 13 3 5" xfId="9296" xr:uid="{00000000-0005-0000-0000-0000CF1D0000}"/>
    <cellStyle name="20% - Accent5 13 3 5 2" xfId="17254" xr:uid="{00000000-0005-0000-0000-0000D01D0000}"/>
    <cellStyle name="20% - Accent5 13 3 5 2 2" xfId="41095" xr:uid="{B4AC5215-43D3-4DA8-BBEB-FAAD20FFBC4C}"/>
    <cellStyle name="20% - Accent5 13 3 5 3" xfId="25198" xr:uid="{00000000-0005-0000-0000-0000D11D0000}"/>
    <cellStyle name="20% - Accent5 13 3 5 3 2" xfId="49031" xr:uid="{AAB99947-1FA5-481F-B4C3-A7EA2DA65B4A}"/>
    <cellStyle name="20% - Accent5 13 3 5 4" xfId="33154" xr:uid="{1663D910-C7AE-4602-A3A4-27FFB7294312}"/>
    <cellStyle name="20% - Accent5 13 3 6" xfId="10192" xr:uid="{00000000-0005-0000-0000-0000D21D0000}"/>
    <cellStyle name="20% - Accent5 13 3 6 2" xfId="34042" xr:uid="{7C52981C-8923-4362-80E9-18CB30805177}"/>
    <cellStyle name="20% - Accent5 13 3 7" xfId="18147" xr:uid="{00000000-0005-0000-0000-0000D31D0000}"/>
    <cellStyle name="20% - Accent5 13 3 7 2" xfId="41980" xr:uid="{4DECA3DC-A226-4D38-9641-0AB36CDECB0D}"/>
    <cellStyle name="20% - Accent5 13 3 8" xfId="26100" xr:uid="{6653EF7D-1605-4717-BAE7-8DD1A3B0768D}"/>
    <cellStyle name="20% - Accent5 13 3_Exh G" xfId="2466" xr:uid="{00000000-0005-0000-0000-0000D41D0000}"/>
    <cellStyle name="20% - Accent5 13 4" xfId="1269" xr:uid="{00000000-0005-0000-0000-0000D51D0000}"/>
    <cellStyle name="20% - Accent5 13 4 2" xfId="4799" xr:uid="{00000000-0005-0000-0000-0000D61D0000}"/>
    <cellStyle name="20% - Accent5 13 4 2 2" xfId="8390" xr:uid="{00000000-0005-0000-0000-0000D71D0000}"/>
    <cellStyle name="20% - Accent5 13 4 2 2 2" xfId="16361" xr:uid="{00000000-0005-0000-0000-0000D81D0000}"/>
    <cellStyle name="20% - Accent5 13 4 2 2 2 2" xfId="40204" xr:uid="{88D8226E-6904-4099-B9FB-213597F34C22}"/>
    <cellStyle name="20% - Accent5 13 4 2 2 3" xfId="24307" xr:uid="{00000000-0005-0000-0000-0000D91D0000}"/>
    <cellStyle name="20% - Accent5 13 4 2 2 3 2" xfId="48140" xr:uid="{3E28002B-150D-4B4B-9FD6-A26F6E6044EA}"/>
    <cellStyle name="20% - Accent5 13 4 2 2 4" xfId="32263" xr:uid="{BC39698C-D122-46E1-9423-E5D19595282C}"/>
    <cellStyle name="20% - Accent5 13 4 2 3" xfId="12823" xr:uid="{00000000-0005-0000-0000-0000DA1D0000}"/>
    <cellStyle name="20% - Accent5 13 4 2 3 2" xfId="36673" xr:uid="{9084833A-8738-41CB-8613-F703A1881D50}"/>
    <cellStyle name="20% - Accent5 13 4 2 4" xfId="20778" xr:uid="{00000000-0005-0000-0000-0000DB1D0000}"/>
    <cellStyle name="20% - Accent5 13 4 2 4 2" xfId="44611" xr:uid="{49E16342-7986-41DD-9979-EF6107EB3251}"/>
    <cellStyle name="20% - Accent5 13 4 2 5" xfId="28732" xr:uid="{0D902729-CAAC-445A-9387-ED6E35328C88}"/>
    <cellStyle name="20% - Accent5 13 4 3" xfId="6631" xr:uid="{00000000-0005-0000-0000-0000DC1D0000}"/>
    <cellStyle name="20% - Accent5 13 4 3 2" xfId="14603" xr:uid="{00000000-0005-0000-0000-0000DD1D0000}"/>
    <cellStyle name="20% - Accent5 13 4 3 2 2" xfId="38446" xr:uid="{00D49EB4-057A-4DAE-89BD-38AB90529EC6}"/>
    <cellStyle name="20% - Accent5 13 4 3 3" xfId="22550" xr:uid="{00000000-0005-0000-0000-0000DE1D0000}"/>
    <cellStyle name="20% - Accent5 13 4 3 3 2" xfId="46383" xr:uid="{CE382D4C-2456-4C08-BCA7-828339DD9BCF}"/>
    <cellStyle name="20% - Accent5 13 4 3 4" xfId="30505" xr:uid="{856BB385-D13D-44AE-998B-12F927DA4625}"/>
    <cellStyle name="20% - Accent5 13 4 4" xfId="11067" xr:uid="{00000000-0005-0000-0000-0000DF1D0000}"/>
    <cellStyle name="20% - Accent5 13 4 4 2" xfId="34917" xr:uid="{AA78191D-D490-4FCD-9177-80B226464570}"/>
    <cellStyle name="20% - Accent5 13 4 5" xfId="19022" xr:uid="{00000000-0005-0000-0000-0000E01D0000}"/>
    <cellStyle name="20% - Accent5 13 4 5 2" xfId="42855" xr:uid="{43ECCD9E-3584-48D3-A76A-165FFB718979}"/>
    <cellStyle name="20% - Accent5 13 4 6" xfId="26975" xr:uid="{38F5CD9E-23B9-4854-ADAC-67A30B389E8D}"/>
    <cellStyle name="20% - Accent5 13 4_Exh G" xfId="2468" xr:uid="{00000000-0005-0000-0000-0000E11D0000}"/>
    <cellStyle name="20% - Accent5 13 5" xfId="3920" xr:uid="{00000000-0005-0000-0000-0000E21D0000}"/>
    <cellStyle name="20% - Accent5 13 5 2" xfId="7512" xr:uid="{00000000-0005-0000-0000-0000E31D0000}"/>
    <cellStyle name="20% - Accent5 13 5 2 2" xfId="15483" xr:uid="{00000000-0005-0000-0000-0000E41D0000}"/>
    <cellStyle name="20% - Accent5 13 5 2 2 2" xfId="39326" xr:uid="{1BA413F3-AD65-4532-8BA4-41B044164CA9}"/>
    <cellStyle name="20% - Accent5 13 5 2 3" xfId="23429" xr:uid="{00000000-0005-0000-0000-0000E51D0000}"/>
    <cellStyle name="20% - Accent5 13 5 2 3 2" xfId="47262" xr:uid="{2267AA10-8AA6-4C7A-AE26-E03BA10C5057}"/>
    <cellStyle name="20% - Accent5 13 5 2 4" xfId="31385" xr:uid="{903EEBD0-03B5-448F-93EF-29A688B6C6A9}"/>
    <cellStyle name="20% - Accent5 13 5 3" xfId="11945" xr:uid="{00000000-0005-0000-0000-0000E61D0000}"/>
    <cellStyle name="20% - Accent5 13 5 3 2" xfId="35795" xr:uid="{83D054F9-985E-4BF8-B243-0D48804A969A}"/>
    <cellStyle name="20% - Accent5 13 5 4" xfId="19900" xr:uid="{00000000-0005-0000-0000-0000E71D0000}"/>
    <cellStyle name="20% - Accent5 13 5 4 2" xfId="43733" xr:uid="{EAA67211-FB3C-4E16-997B-C0BBC83A62D9}"/>
    <cellStyle name="20% - Accent5 13 5 5" xfId="27854" xr:uid="{1A114ED1-1FDB-4A95-82DA-A34596D97751}"/>
    <cellStyle name="20% - Accent5 13 6" xfId="5740" xr:uid="{00000000-0005-0000-0000-0000E81D0000}"/>
    <cellStyle name="20% - Accent5 13 6 2" xfId="13724" xr:uid="{00000000-0005-0000-0000-0000E91D0000}"/>
    <cellStyle name="20% - Accent5 13 6 2 2" xfId="37568" xr:uid="{734AA32E-13C5-4BAA-8C4B-2A0D7A56E335}"/>
    <cellStyle name="20% - Accent5 13 6 3" xfId="21672" xr:uid="{00000000-0005-0000-0000-0000EA1D0000}"/>
    <cellStyle name="20% - Accent5 13 6 3 2" xfId="45505" xr:uid="{9F936676-B125-44B2-84EB-9B1D9BD7BF13}"/>
    <cellStyle name="20% - Accent5 13 6 4" xfId="29627" xr:uid="{8E422EF6-9D21-4AAA-A843-04AAC89FC54D}"/>
    <cellStyle name="20% - Accent5 13 7" xfId="9293" xr:uid="{00000000-0005-0000-0000-0000EB1D0000}"/>
    <cellStyle name="20% - Accent5 13 7 2" xfId="17251" xr:uid="{00000000-0005-0000-0000-0000EC1D0000}"/>
    <cellStyle name="20% - Accent5 13 7 2 2" xfId="41092" xr:uid="{B524788F-EEFA-4FE2-BE57-6EB02200CAFB}"/>
    <cellStyle name="20% - Accent5 13 7 3" xfId="25195" xr:uid="{00000000-0005-0000-0000-0000ED1D0000}"/>
    <cellStyle name="20% - Accent5 13 7 3 2" xfId="49028" xr:uid="{9D1AE978-8338-42D3-A88D-773D3687E54C}"/>
    <cellStyle name="20% - Accent5 13 7 4" xfId="33151" xr:uid="{DDC9A46C-883C-42F2-A972-11B4A1493F5C}"/>
    <cellStyle name="20% - Accent5 13 8" xfId="10189" xr:uid="{00000000-0005-0000-0000-0000EE1D0000}"/>
    <cellStyle name="20% - Accent5 13 8 2" xfId="34039" xr:uid="{A6811475-5436-4961-9DAB-004138BBA7BE}"/>
    <cellStyle name="20% - Accent5 13 9" xfId="18144" xr:uid="{00000000-0005-0000-0000-0000EF1D0000}"/>
    <cellStyle name="20% - Accent5 13 9 2" xfId="41977" xr:uid="{5EF3DBC9-B4BD-4F21-AFF5-9CD055B3D876}"/>
    <cellStyle name="20% - Accent5 13_Exh G" xfId="2461" xr:uid="{00000000-0005-0000-0000-0000F01D0000}"/>
    <cellStyle name="20% - Accent5 14" xfId="245" xr:uid="{00000000-0005-0000-0000-0000F11D0000}"/>
    <cellStyle name="20% - Accent5 14 2" xfId="246" xr:uid="{00000000-0005-0000-0000-0000F21D0000}"/>
    <cellStyle name="20% - Accent5 14 2 2" xfId="1274" xr:uid="{00000000-0005-0000-0000-0000F31D0000}"/>
    <cellStyle name="20% - Accent5 14 2 2 2" xfId="4804" xr:uid="{00000000-0005-0000-0000-0000F41D0000}"/>
    <cellStyle name="20% - Accent5 14 2 2 2 2" xfId="8395" xr:uid="{00000000-0005-0000-0000-0000F51D0000}"/>
    <cellStyle name="20% - Accent5 14 2 2 2 2 2" xfId="16366" xr:uid="{00000000-0005-0000-0000-0000F61D0000}"/>
    <cellStyle name="20% - Accent5 14 2 2 2 2 2 2" xfId="40209" xr:uid="{42C18052-123A-4BED-A4CA-E9EE8AC21198}"/>
    <cellStyle name="20% - Accent5 14 2 2 2 2 3" xfId="24312" xr:uid="{00000000-0005-0000-0000-0000F71D0000}"/>
    <cellStyle name="20% - Accent5 14 2 2 2 2 3 2" xfId="48145" xr:uid="{0F60E358-11D5-4D91-997E-4BEE1318B09E}"/>
    <cellStyle name="20% - Accent5 14 2 2 2 2 4" xfId="32268" xr:uid="{C7132CB9-AA53-4B7C-9B86-E61E6BD75C11}"/>
    <cellStyle name="20% - Accent5 14 2 2 2 3" xfId="12828" xr:uid="{00000000-0005-0000-0000-0000F81D0000}"/>
    <cellStyle name="20% - Accent5 14 2 2 2 3 2" xfId="36678" xr:uid="{1A30A8C7-133D-4149-B315-8328BC8069C6}"/>
    <cellStyle name="20% - Accent5 14 2 2 2 4" xfId="20783" xr:uid="{00000000-0005-0000-0000-0000F91D0000}"/>
    <cellStyle name="20% - Accent5 14 2 2 2 4 2" xfId="44616" xr:uid="{807977A8-2E0A-4CBA-9701-59F193E59769}"/>
    <cellStyle name="20% - Accent5 14 2 2 2 5" xfId="28737" xr:uid="{EF3A6E4D-1E36-40AF-ABD6-44B5B69FB33C}"/>
    <cellStyle name="20% - Accent5 14 2 2 3" xfId="6636" xr:uid="{00000000-0005-0000-0000-0000FA1D0000}"/>
    <cellStyle name="20% - Accent5 14 2 2 3 2" xfId="14608" xr:uid="{00000000-0005-0000-0000-0000FB1D0000}"/>
    <cellStyle name="20% - Accent5 14 2 2 3 2 2" xfId="38451" xr:uid="{AC471207-075D-46B2-92E8-6B20DD92018A}"/>
    <cellStyle name="20% - Accent5 14 2 2 3 3" xfId="22555" xr:uid="{00000000-0005-0000-0000-0000FC1D0000}"/>
    <cellStyle name="20% - Accent5 14 2 2 3 3 2" xfId="46388" xr:uid="{08296A8B-1974-4EFC-A181-28D37A97DAA4}"/>
    <cellStyle name="20% - Accent5 14 2 2 3 4" xfId="30510" xr:uid="{FAF90A31-C148-48BE-9856-930885AB8884}"/>
    <cellStyle name="20% - Accent5 14 2 2 4" xfId="11072" xr:uid="{00000000-0005-0000-0000-0000FD1D0000}"/>
    <cellStyle name="20% - Accent5 14 2 2 4 2" xfId="34922" xr:uid="{D9334058-B518-464A-83D3-8631C4CCD45E}"/>
    <cellStyle name="20% - Accent5 14 2 2 5" xfId="19027" xr:uid="{00000000-0005-0000-0000-0000FE1D0000}"/>
    <cellStyle name="20% - Accent5 14 2 2 5 2" xfId="42860" xr:uid="{66B01DD9-E471-42B6-B851-7EB62F79E204}"/>
    <cellStyle name="20% - Accent5 14 2 2 6" xfId="26980" xr:uid="{AB03C91F-C52A-4FA0-A49F-8A487D7586ED}"/>
    <cellStyle name="20% - Accent5 14 2 2_Exh G" xfId="2471" xr:uid="{00000000-0005-0000-0000-0000FF1D0000}"/>
    <cellStyle name="20% - Accent5 14 2 3" xfId="3925" xr:uid="{00000000-0005-0000-0000-0000001E0000}"/>
    <cellStyle name="20% - Accent5 14 2 3 2" xfId="7517" xr:uid="{00000000-0005-0000-0000-0000011E0000}"/>
    <cellStyle name="20% - Accent5 14 2 3 2 2" xfId="15488" xr:uid="{00000000-0005-0000-0000-0000021E0000}"/>
    <cellStyle name="20% - Accent5 14 2 3 2 2 2" xfId="39331" xr:uid="{619DF550-7107-4266-8E02-CE59B569A572}"/>
    <cellStyle name="20% - Accent5 14 2 3 2 3" xfId="23434" xr:uid="{00000000-0005-0000-0000-0000031E0000}"/>
    <cellStyle name="20% - Accent5 14 2 3 2 3 2" xfId="47267" xr:uid="{52463A46-E1D2-4844-A9FD-0075F8115052}"/>
    <cellStyle name="20% - Accent5 14 2 3 2 4" xfId="31390" xr:uid="{05C520A1-AF4D-4556-B725-8884096D6800}"/>
    <cellStyle name="20% - Accent5 14 2 3 3" xfId="11950" xr:uid="{00000000-0005-0000-0000-0000041E0000}"/>
    <cellStyle name="20% - Accent5 14 2 3 3 2" xfId="35800" xr:uid="{BAD76776-46C7-4211-8A9F-FC4612EFBDFA}"/>
    <cellStyle name="20% - Accent5 14 2 3 4" xfId="19905" xr:uid="{00000000-0005-0000-0000-0000051E0000}"/>
    <cellStyle name="20% - Accent5 14 2 3 4 2" xfId="43738" xr:uid="{6D1C2F1D-47A9-454D-A8AE-050F27A88582}"/>
    <cellStyle name="20% - Accent5 14 2 3 5" xfId="27859" xr:uid="{D5B19370-1F6E-458E-89D4-AAF37147D324}"/>
    <cellStyle name="20% - Accent5 14 2 4" xfId="5745" xr:uid="{00000000-0005-0000-0000-0000061E0000}"/>
    <cellStyle name="20% - Accent5 14 2 4 2" xfId="13729" xr:uid="{00000000-0005-0000-0000-0000071E0000}"/>
    <cellStyle name="20% - Accent5 14 2 4 2 2" xfId="37573" xr:uid="{0AC961BF-D11C-49C4-BC84-DF9360192EF3}"/>
    <cellStyle name="20% - Accent5 14 2 4 3" xfId="21677" xr:uid="{00000000-0005-0000-0000-0000081E0000}"/>
    <cellStyle name="20% - Accent5 14 2 4 3 2" xfId="45510" xr:uid="{0EDACCB8-E087-476F-90B1-EEBAFDE5E87A}"/>
    <cellStyle name="20% - Accent5 14 2 4 4" xfId="29632" xr:uid="{961DFCE5-CDF1-4B8B-8D5D-4A89CE999193}"/>
    <cellStyle name="20% - Accent5 14 2 5" xfId="9298" xr:uid="{00000000-0005-0000-0000-0000091E0000}"/>
    <cellStyle name="20% - Accent5 14 2 5 2" xfId="17256" xr:uid="{00000000-0005-0000-0000-00000A1E0000}"/>
    <cellStyle name="20% - Accent5 14 2 5 2 2" xfId="41097" xr:uid="{36169D8D-A887-4C3B-906F-FFE7998F05D9}"/>
    <cellStyle name="20% - Accent5 14 2 5 3" xfId="25200" xr:uid="{00000000-0005-0000-0000-00000B1E0000}"/>
    <cellStyle name="20% - Accent5 14 2 5 3 2" xfId="49033" xr:uid="{A227CAFC-0610-4A5E-8BF6-0230A0A67658}"/>
    <cellStyle name="20% - Accent5 14 2 5 4" xfId="33156" xr:uid="{B012EF26-459B-45A9-A4E1-4CA1D1461BC4}"/>
    <cellStyle name="20% - Accent5 14 2 6" xfId="10194" xr:uid="{00000000-0005-0000-0000-00000C1E0000}"/>
    <cellStyle name="20% - Accent5 14 2 6 2" xfId="34044" xr:uid="{05A4BC1B-A84B-486C-9E37-FE53C30AD969}"/>
    <cellStyle name="20% - Accent5 14 2 7" xfId="18149" xr:uid="{00000000-0005-0000-0000-00000D1E0000}"/>
    <cellStyle name="20% - Accent5 14 2 7 2" xfId="41982" xr:uid="{16FA4BEB-4B20-46E9-9FA4-F742AF18447F}"/>
    <cellStyle name="20% - Accent5 14 2 8" xfId="26102" xr:uid="{1C01AEAC-EF35-4AE4-BB5E-1B6D7BF0DAAE}"/>
    <cellStyle name="20% - Accent5 14 2_Exh G" xfId="2470" xr:uid="{00000000-0005-0000-0000-00000E1E0000}"/>
    <cellStyle name="20% - Accent5 14 3" xfId="1273" xr:uid="{00000000-0005-0000-0000-00000F1E0000}"/>
    <cellStyle name="20% - Accent5 14 3 2" xfId="4803" xr:uid="{00000000-0005-0000-0000-0000101E0000}"/>
    <cellStyle name="20% - Accent5 14 3 2 2" xfId="8394" xr:uid="{00000000-0005-0000-0000-0000111E0000}"/>
    <cellStyle name="20% - Accent5 14 3 2 2 2" xfId="16365" xr:uid="{00000000-0005-0000-0000-0000121E0000}"/>
    <cellStyle name="20% - Accent5 14 3 2 2 2 2" xfId="40208" xr:uid="{3C6D057D-1766-4EB5-BAB2-063493981A0E}"/>
    <cellStyle name="20% - Accent5 14 3 2 2 3" xfId="24311" xr:uid="{00000000-0005-0000-0000-0000131E0000}"/>
    <cellStyle name="20% - Accent5 14 3 2 2 3 2" xfId="48144" xr:uid="{4D6EF735-826F-4E4D-94E3-27712F835FE2}"/>
    <cellStyle name="20% - Accent5 14 3 2 2 4" xfId="32267" xr:uid="{8142E049-94F1-4BC4-987F-02DFFC28D94F}"/>
    <cellStyle name="20% - Accent5 14 3 2 3" xfId="12827" xr:uid="{00000000-0005-0000-0000-0000141E0000}"/>
    <cellStyle name="20% - Accent5 14 3 2 3 2" xfId="36677" xr:uid="{486DAD3F-58CE-4B1E-B007-81C65EC2B534}"/>
    <cellStyle name="20% - Accent5 14 3 2 4" xfId="20782" xr:uid="{00000000-0005-0000-0000-0000151E0000}"/>
    <cellStyle name="20% - Accent5 14 3 2 4 2" xfId="44615" xr:uid="{860D748E-7043-4A3D-86A6-24C7E1C97151}"/>
    <cellStyle name="20% - Accent5 14 3 2 5" xfId="28736" xr:uid="{FD680071-4B5B-47D3-87C7-73D9D81B41CD}"/>
    <cellStyle name="20% - Accent5 14 3 3" xfId="6635" xr:uid="{00000000-0005-0000-0000-0000161E0000}"/>
    <cellStyle name="20% - Accent5 14 3 3 2" xfId="14607" xr:uid="{00000000-0005-0000-0000-0000171E0000}"/>
    <cellStyle name="20% - Accent5 14 3 3 2 2" xfId="38450" xr:uid="{55A7DC70-3572-482F-A745-AFA80C48F0BA}"/>
    <cellStyle name="20% - Accent5 14 3 3 3" xfId="22554" xr:uid="{00000000-0005-0000-0000-0000181E0000}"/>
    <cellStyle name="20% - Accent5 14 3 3 3 2" xfId="46387" xr:uid="{5FADA9F9-F823-484B-8FF4-5E88D92E76B4}"/>
    <cellStyle name="20% - Accent5 14 3 3 4" xfId="30509" xr:uid="{5C83E520-18FB-4CD2-A5DA-1EFA4E54FED4}"/>
    <cellStyle name="20% - Accent5 14 3 4" xfId="11071" xr:uid="{00000000-0005-0000-0000-0000191E0000}"/>
    <cellStyle name="20% - Accent5 14 3 4 2" xfId="34921" xr:uid="{1E103635-9013-4CFB-82F5-911F1FCB190E}"/>
    <cellStyle name="20% - Accent5 14 3 5" xfId="19026" xr:uid="{00000000-0005-0000-0000-00001A1E0000}"/>
    <cellStyle name="20% - Accent5 14 3 5 2" xfId="42859" xr:uid="{D3D38AE0-603D-4D8A-B2E5-78849E2B881B}"/>
    <cellStyle name="20% - Accent5 14 3 6" xfId="26979" xr:uid="{777B1B8E-1FB4-4896-9DF4-6FA043F994EC}"/>
    <cellStyle name="20% - Accent5 14 3_Exh G" xfId="2472" xr:uid="{00000000-0005-0000-0000-00001B1E0000}"/>
    <cellStyle name="20% - Accent5 14 4" xfId="3924" xr:uid="{00000000-0005-0000-0000-00001C1E0000}"/>
    <cellStyle name="20% - Accent5 14 4 2" xfId="7516" xr:uid="{00000000-0005-0000-0000-00001D1E0000}"/>
    <cellStyle name="20% - Accent5 14 4 2 2" xfId="15487" xr:uid="{00000000-0005-0000-0000-00001E1E0000}"/>
    <cellStyle name="20% - Accent5 14 4 2 2 2" xfId="39330" xr:uid="{E9752D5C-A284-4D7E-B16E-9001D8F1D0AA}"/>
    <cellStyle name="20% - Accent5 14 4 2 3" xfId="23433" xr:uid="{00000000-0005-0000-0000-00001F1E0000}"/>
    <cellStyle name="20% - Accent5 14 4 2 3 2" xfId="47266" xr:uid="{0C19C676-C00F-4955-8D6F-F5ECA9E990DE}"/>
    <cellStyle name="20% - Accent5 14 4 2 4" xfId="31389" xr:uid="{7FCF06AF-E940-4D5F-9E9C-C515393EFD8C}"/>
    <cellStyle name="20% - Accent5 14 4 3" xfId="11949" xr:uid="{00000000-0005-0000-0000-0000201E0000}"/>
    <cellStyle name="20% - Accent5 14 4 3 2" xfId="35799" xr:uid="{AE93CADB-CE7D-49F4-B285-7E7365AEF773}"/>
    <cellStyle name="20% - Accent5 14 4 4" xfId="19904" xr:uid="{00000000-0005-0000-0000-0000211E0000}"/>
    <cellStyle name="20% - Accent5 14 4 4 2" xfId="43737" xr:uid="{F3364425-CA08-444C-93D2-33D65F3A356A}"/>
    <cellStyle name="20% - Accent5 14 4 5" xfId="27858" xr:uid="{24A0057F-E791-4F44-B27B-CFF6EFDB33DC}"/>
    <cellStyle name="20% - Accent5 14 5" xfId="5744" xr:uid="{00000000-0005-0000-0000-0000221E0000}"/>
    <cellStyle name="20% - Accent5 14 5 2" xfId="13728" xr:uid="{00000000-0005-0000-0000-0000231E0000}"/>
    <cellStyle name="20% - Accent5 14 5 2 2" xfId="37572" xr:uid="{1D82F001-65AD-42ED-BE02-CB3A274CF44B}"/>
    <cellStyle name="20% - Accent5 14 5 3" xfId="21676" xr:uid="{00000000-0005-0000-0000-0000241E0000}"/>
    <cellStyle name="20% - Accent5 14 5 3 2" xfId="45509" xr:uid="{FC26FE91-E3FC-46D3-9412-1B62B91B61F5}"/>
    <cellStyle name="20% - Accent5 14 5 4" xfId="29631" xr:uid="{3C2F9E31-7849-46B6-9685-5346CD42BCFA}"/>
    <cellStyle name="20% - Accent5 14 6" xfId="9297" xr:uid="{00000000-0005-0000-0000-0000251E0000}"/>
    <cellStyle name="20% - Accent5 14 6 2" xfId="17255" xr:uid="{00000000-0005-0000-0000-0000261E0000}"/>
    <cellStyle name="20% - Accent5 14 6 2 2" xfId="41096" xr:uid="{D2B43074-8EC1-457E-8A9C-608152702C93}"/>
    <cellStyle name="20% - Accent5 14 6 3" xfId="25199" xr:uid="{00000000-0005-0000-0000-0000271E0000}"/>
    <cellStyle name="20% - Accent5 14 6 3 2" xfId="49032" xr:uid="{E6BC11BE-4D84-426B-96F0-8BD9E9AB6339}"/>
    <cellStyle name="20% - Accent5 14 6 4" xfId="33155" xr:uid="{9B4E13F9-5EC3-402A-B2C8-EFFB8E9565BD}"/>
    <cellStyle name="20% - Accent5 14 7" xfId="10193" xr:uid="{00000000-0005-0000-0000-0000281E0000}"/>
    <cellStyle name="20% - Accent5 14 7 2" xfId="34043" xr:uid="{2205B9C1-8A41-4042-9E35-2F966E1359F9}"/>
    <cellStyle name="20% - Accent5 14 8" xfId="18148" xr:uid="{00000000-0005-0000-0000-0000291E0000}"/>
    <cellStyle name="20% - Accent5 14 8 2" xfId="41981" xr:uid="{1633EC70-159D-4F84-B3A8-D76098AFA646}"/>
    <cellStyle name="20% - Accent5 14 9" xfId="26101" xr:uid="{EF3D7D16-3974-4051-A3F4-5D68052FFA9D}"/>
    <cellStyle name="20% - Accent5 14_Exh G" xfId="2469" xr:uid="{00000000-0005-0000-0000-00002A1E0000}"/>
    <cellStyle name="20% - Accent5 15" xfId="247" xr:uid="{00000000-0005-0000-0000-00002B1E0000}"/>
    <cellStyle name="20% - Accent5 15 2" xfId="1275" xr:uid="{00000000-0005-0000-0000-00002C1E0000}"/>
    <cellStyle name="20% - Accent5 15 2 2" xfId="4805" xr:uid="{00000000-0005-0000-0000-00002D1E0000}"/>
    <cellStyle name="20% - Accent5 15 2 2 2" xfId="8396" xr:uid="{00000000-0005-0000-0000-00002E1E0000}"/>
    <cellStyle name="20% - Accent5 15 2 2 2 2" xfId="16367" xr:uid="{00000000-0005-0000-0000-00002F1E0000}"/>
    <cellStyle name="20% - Accent5 15 2 2 2 2 2" xfId="40210" xr:uid="{6C0AC16A-D034-4FC1-A370-7176FBDF3F99}"/>
    <cellStyle name="20% - Accent5 15 2 2 2 3" xfId="24313" xr:uid="{00000000-0005-0000-0000-0000301E0000}"/>
    <cellStyle name="20% - Accent5 15 2 2 2 3 2" xfId="48146" xr:uid="{98A17D12-D57F-4B0F-AB4D-A52037D8A192}"/>
    <cellStyle name="20% - Accent5 15 2 2 2 4" xfId="32269" xr:uid="{96110B40-D7C7-4FBB-A2F8-111D309DB901}"/>
    <cellStyle name="20% - Accent5 15 2 2 3" xfId="12829" xr:uid="{00000000-0005-0000-0000-0000311E0000}"/>
    <cellStyle name="20% - Accent5 15 2 2 3 2" xfId="36679" xr:uid="{24EF6BF6-548B-45B2-B39C-4635D48D96A4}"/>
    <cellStyle name="20% - Accent5 15 2 2 4" xfId="20784" xr:uid="{00000000-0005-0000-0000-0000321E0000}"/>
    <cellStyle name="20% - Accent5 15 2 2 4 2" xfId="44617" xr:uid="{F58F3EFB-80AF-427F-8CE4-9D5E1D07BF76}"/>
    <cellStyle name="20% - Accent5 15 2 2 5" xfId="28738" xr:uid="{6810C77D-0AD5-42D5-8556-14842DE0680C}"/>
    <cellStyle name="20% - Accent5 15 2 3" xfId="6637" xr:uid="{00000000-0005-0000-0000-0000331E0000}"/>
    <cellStyle name="20% - Accent5 15 2 3 2" xfId="14609" xr:uid="{00000000-0005-0000-0000-0000341E0000}"/>
    <cellStyle name="20% - Accent5 15 2 3 2 2" xfId="38452" xr:uid="{0FCA9C11-A3C6-453C-81E7-FD73E4287ED7}"/>
    <cellStyle name="20% - Accent5 15 2 3 3" xfId="22556" xr:uid="{00000000-0005-0000-0000-0000351E0000}"/>
    <cellStyle name="20% - Accent5 15 2 3 3 2" xfId="46389" xr:uid="{0908A25D-111D-4841-BACE-190875446F65}"/>
    <cellStyle name="20% - Accent5 15 2 3 4" xfId="30511" xr:uid="{A07CD9D4-FE02-434A-A761-74E4790AE7A8}"/>
    <cellStyle name="20% - Accent5 15 2 4" xfId="11073" xr:uid="{00000000-0005-0000-0000-0000361E0000}"/>
    <cellStyle name="20% - Accent5 15 2 4 2" xfId="34923" xr:uid="{AA4DF979-22A1-465F-A7E9-BC1428B72222}"/>
    <cellStyle name="20% - Accent5 15 2 5" xfId="19028" xr:uid="{00000000-0005-0000-0000-0000371E0000}"/>
    <cellStyle name="20% - Accent5 15 2 5 2" xfId="42861" xr:uid="{BA0D949C-EF1E-41BD-A7B9-94CDB70CED11}"/>
    <cellStyle name="20% - Accent5 15 2 6" xfId="26981" xr:uid="{CE3C7168-613F-481A-960E-C896155DBDEA}"/>
    <cellStyle name="20% - Accent5 15 2_Exh G" xfId="2474" xr:uid="{00000000-0005-0000-0000-0000381E0000}"/>
    <cellStyle name="20% - Accent5 15 3" xfId="3926" xr:uid="{00000000-0005-0000-0000-0000391E0000}"/>
    <cellStyle name="20% - Accent5 15 3 2" xfId="7518" xr:uid="{00000000-0005-0000-0000-00003A1E0000}"/>
    <cellStyle name="20% - Accent5 15 3 2 2" xfId="15489" xr:uid="{00000000-0005-0000-0000-00003B1E0000}"/>
    <cellStyle name="20% - Accent5 15 3 2 2 2" xfId="39332" xr:uid="{E23B2BF8-776A-4895-9F8B-CEC4A594B61A}"/>
    <cellStyle name="20% - Accent5 15 3 2 3" xfId="23435" xr:uid="{00000000-0005-0000-0000-00003C1E0000}"/>
    <cellStyle name="20% - Accent5 15 3 2 3 2" xfId="47268" xr:uid="{9B770143-A869-4C43-9553-AFF85B1732E7}"/>
    <cellStyle name="20% - Accent5 15 3 2 4" xfId="31391" xr:uid="{F6D0208D-18E3-4004-A3DB-AE92B7098CD7}"/>
    <cellStyle name="20% - Accent5 15 3 3" xfId="11951" xr:uid="{00000000-0005-0000-0000-00003D1E0000}"/>
    <cellStyle name="20% - Accent5 15 3 3 2" xfId="35801" xr:uid="{D6C92AB3-60A1-4E46-8DE8-A280B2253C44}"/>
    <cellStyle name="20% - Accent5 15 3 4" xfId="19906" xr:uid="{00000000-0005-0000-0000-00003E1E0000}"/>
    <cellStyle name="20% - Accent5 15 3 4 2" xfId="43739" xr:uid="{EE6DB6E4-25EC-4A77-B20D-827E9F5C2C68}"/>
    <cellStyle name="20% - Accent5 15 3 5" xfId="27860" xr:uid="{B4983D75-9AEA-46ED-ACD9-5268BF16162F}"/>
    <cellStyle name="20% - Accent5 15 4" xfId="5746" xr:uid="{00000000-0005-0000-0000-00003F1E0000}"/>
    <cellStyle name="20% - Accent5 15 4 2" xfId="13730" xr:uid="{00000000-0005-0000-0000-0000401E0000}"/>
    <cellStyle name="20% - Accent5 15 4 2 2" xfId="37574" xr:uid="{96664E36-4071-481C-9BEB-C37ECE60D3D6}"/>
    <cellStyle name="20% - Accent5 15 4 3" xfId="21678" xr:uid="{00000000-0005-0000-0000-0000411E0000}"/>
    <cellStyle name="20% - Accent5 15 4 3 2" xfId="45511" xr:uid="{D9A67F5C-FE25-4CCE-A855-CD320C159815}"/>
    <cellStyle name="20% - Accent5 15 4 4" xfId="29633" xr:uid="{D8C96A2C-5908-4016-B181-C0158F42234D}"/>
    <cellStyle name="20% - Accent5 15 5" xfId="9299" xr:uid="{00000000-0005-0000-0000-0000421E0000}"/>
    <cellStyle name="20% - Accent5 15 5 2" xfId="17257" xr:uid="{00000000-0005-0000-0000-0000431E0000}"/>
    <cellStyle name="20% - Accent5 15 5 2 2" xfId="41098" xr:uid="{CD770889-3440-4927-9B0E-34969EF1792A}"/>
    <cellStyle name="20% - Accent5 15 5 3" xfId="25201" xr:uid="{00000000-0005-0000-0000-0000441E0000}"/>
    <cellStyle name="20% - Accent5 15 5 3 2" xfId="49034" xr:uid="{4389EBFE-BEDB-47F1-8E96-9BD2EBC4E833}"/>
    <cellStyle name="20% - Accent5 15 5 4" xfId="33157" xr:uid="{08BADA86-FA4D-4601-94BD-91C7BEEC50A7}"/>
    <cellStyle name="20% - Accent5 15 6" xfId="10195" xr:uid="{00000000-0005-0000-0000-0000451E0000}"/>
    <cellStyle name="20% - Accent5 15 6 2" xfId="34045" xr:uid="{A0FF62B9-016C-4966-B217-D5A435A919C7}"/>
    <cellStyle name="20% - Accent5 15 7" xfId="18150" xr:uid="{00000000-0005-0000-0000-0000461E0000}"/>
    <cellStyle name="20% - Accent5 15 7 2" xfId="41983" xr:uid="{A3160F34-71F2-470C-8A98-74731D4D3A4E}"/>
    <cellStyle name="20% - Accent5 15 8" xfId="26103" xr:uid="{2273F41D-3B4A-4D50-9F10-49E9E2F33D6A}"/>
    <cellStyle name="20% - Accent5 15_Exh G" xfId="2473" xr:uid="{00000000-0005-0000-0000-0000471E0000}"/>
    <cellStyle name="20% - Accent5 16" xfId="847" xr:uid="{00000000-0005-0000-0000-0000481E0000}"/>
    <cellStyle name="20% - Accent5 16 2" xfId="1786" xr:uid="{00000000-0005-0000-0000-0000491E0000}"/>
    <cellStyle name="20% - Accent5 16 2 2" xfId="5307" xr:uid="{00000000-0005-0000-0000-00004A1E0000}"/>
    <cellStyle name="20% - Accent5 16 2 2 2" xfId="8898" xr:uid="{00000000-0005-0000-0000-00004B1E0000}"/>
    <cellStyle name="20% - Accent5 16 2 2 2 2" xfId="16869" xr:uid="{00000000-0005-0000-0000-00004C1E0000}"/>
    <cellStyle name="20% - Accent5 16 2 2 2 2 2" xfId="40712" xr:uid="{CD8D54AF-6416-4551-AF03-DC3ABD36FD7D}"/>
    <cellStyle name="20% - Accent5 16 2 2 2 3" xfId="24815" xr:uid="{00000000-0005-0000-0000-00004D1E0000}"/>
    <cellStyle name="20% - Accent5 16 2 2 2 3 2" xfId="48648" xr:uid="{0D58899D-6A51-421A-912E-14C61F7740FB}"/>
    <cellStyle name="20% - Accent5 16 2 2 2 4" xfId="32771" xr:uid="{0D1ECE56-DAC8-4F80-A933-B65554EB9CF6}"/>
    <cellStyle name="20% - Accent5 16 2 2 3" xfId="13331" xr:uid="{00000000-0005-0000-0000-00004E1E0000}"/>
    <cellStyle name="20% - Accent5 16 2 2 3 2" xfId="37181" xr:uid="{BD8BF230-5C80-4A6F-BFFB-A525AE10ECDE}"/>
    <cellStyle name="20% - Accent5 16 2 2 4" xfId="21286" xr:uid="{00000000-0005-0000-0000-00004F1E0000}"/>
    <cellStyle name="20% - Accent5 16 2 2 4 2" xfId="45119" xr:uid="{1C05D4EE-B333-479A-BEEC-B2CD5A0D1B0A}"/>
    <cellStyle name="20% - Accent5 16 2 2 5" xfId="29240" xr:uid="{634A5461-830E-48DF-9A22-345974B9AA97}"/>
    <cellStyle name="20% - Accent5 16 2 3" xfId="7139" xr:uid="{00000000-0005-0000-0000-0000501E0000}"/>
    <cellStyle name="20% - Accent5 16 2 3 2" xfId="15111" xr:uid="{00000000-0005-0000-0000-0000511E0000}"/>
    <cellStyle name="20% - Accent5 16 2 3 2 2" xfId="38954" xr:uid="{278DDC06-357E-4DDD-B6C4-4E2FB87D6C86}"/>
    <cellStyle name="20% - Accent5 16 2 3 3" xfId="23058" xr:uid="{00000000-0005-0000-0000-0000521E0000}"/>
    <cellStyle name="20% - Accent5 16 2 3 3 2" xfId="46891" xr:uid="{721CF5C8-AD96-4419-B1DF-751F5883F070}"/>
    <cellStyle name="20% - Accent5 16 2 3 4" xfId="31013" xr:uid="{22169C79-1629-4434-9230-7180B5D5A72B}"/>
    <cellStyle name="20% - Accent5 16 2 4" xfId="11575" xr:uid="{00000000-0005-0000-0000-0000531E0000}"/>
    <cellStyle name="20% - Accent5 16 2 4 2" xfId="35425" xr:uid="{36DACF6F-C85E-46C8-AD1C-6CB3E01E531F}"/>
    <cellStyle name="20% - Accent5 16 2 5" xfId="19530" xr:uid="{00000000-0005-0000-0000-0000541E0000}"/>
    <cellStyle name="20% - Accent5 16 2 5 2" xfId="43363" xr:uid="{6951F409-168B-4756-941B-982F8B2CFC57}"/>
    <cellStyle name="20% - Accent5 16 2 6" xfId="27483" xr:uid="{E9A83D6D-2ED7-4939-8D2F-4BE561790DCA}"/>
    <cellStyle name="20% - Accent5 16 2_Exh G" xfId="2476" xr:uid="{00000000-0005-0000-0000-0000551E0000}"/>
    <cellStyle name="20% - Accent5 16 3" xfId="4428" xr:uid="{00000000-0005-0000-0000-0000561E0000}"/>
    <cellStyle name="20% - Accent5 16 3 2" xfId="8020" xr:uid="{00000000-0005-0000-0000-0000571E0000}"/>
    <cellStyle name="20% - Accent5 16 3 2 2" xfId="15991" xr:uid="{00000000-0005-0000-0000-0000581E0000}"/>
    <cellStyle name="20% - Accent5 16 3 2 2 2" xfId="39834" xr:uid="{A6E9997C-7230-4208-A49F-5708ECE5C752}"/>
    <cellStyle name="20% - Accent5 16 3 2 3" xfId="23937" xr:uid="{00000000-0005-0000-0000-0000591E0000}"/>
    <cellStyle name="20% - Accent5 16 3 2 3 2" xfId="47770" xr:uid="{0BC449DE-8D06-4BD6-B6D9-7371FCC9CD68}"/>
    <cellStyle name="20% - Accent5 16 3 2 4" xfId="31893" xr:uid="{003661DC-D3F0-4FC0-8A78-21A24E787AEA}"/>
    <cellStyle name="20% - Accent5 16 3 3" xfId="12453" xr:uid="{00000000-0005-0000-0000-00005A1E0000}"/>
    <cellStyle name="20% - Accent5 16 3 3 2" xfId="36303" xr:uid="{9263AD86-CD88-4FE2-BE28-F5D171EE56AC}"/>
    <cellStyle name="20% - Accent5 16 3 4" xfId="20408" xr:uid="{00000000-0005-0000-0000-00005B1E0000}"/>
    <cellStyle name="20% - Accent5 16 3 4 2" xfId="44241" xr:uid="{05E06585-7FAA-46E9-BD66-E3ABE9BAADDF}"/>
    <cellStyle name="20% - Accent5 16 3 5" xfId="28362" xr:uid="{FBF2C0FD-046E-4637-AB8D-524096BB5492}"/>
    <cellStyle name="20% - Accent5 16 4" xfId="6258" xr:uid="{00000000-0005-0000-0000-00005C1E0000}"/>
    <cellStyle name="20% - Accent5 16 4 2" xfId="14233" xr:uid="{00000000-0005-0000-0000-00005D1E0000}"/>
    <cellStyle name="20% - Accent5 16 4 2 2" xfId="38076" xr:uid="{B6FDD149-22B0-4ED4-9F59-F8A9778A2DEC}"/>
    <cellStyle name="20% - Accent5 16 4 3" xfId="22180" xr:uid="{00000000-0005-0000-0000-00005E1E0000}"/>
    <cellStyle name="20% - Accent5 16 4 3 2" xfId="46013" xr:uid="{76419D62-E41B-4524-9E34-45168FDE67A2}"/>
    <cellStyle name="20% - Accent5 16 4 4" xfId="30135" xr:uid="{BD652081-57D2-44F6-9624-0B792A096811}"/>
    <cellStyle name="20% - Accent5 16 5" xfId="9801" xr:uid="{00000000-0005-0000-0000-00005F1E0000}"/>
    <cellStyle name="20% - Accent5 16 5 2" xfId="17759" xr:uid="{00000000-0005-0000-0000-0000601E0000}"/>
    <cellStyle name="20% - Accent5 16 5 2 2" xfId="41600" xr:uid="{361C4ED7-58E3-42F1-B236-D038CA0B2817}"/>
    <cellStyle name="20% - Accent5 16 5 3" xfId="25703" xr:uid="{00000000-0005-0000-0000-0000611E0000}"/>
    <cellStyle name="20% - Accent5 16 5 3 2" xfId="49536" xr:uid="{DD5376CE-1D17-457A-BDED-7E5856F753B9}"/>
    <cellStyle name="20% - Accent5 16 5 4" xfId="33659" xr:uid="{072D6F21-1DB9-4FA3-A76D-1F808B7E7441}"/>
    <cellStyle name="20% - Accent5 16 6" xfId="10697" xr:uid="{00000000-0005-0000-0000-0000621E0000}"/>
    <cellStyle name="20% - Accent5 16 6 2" xfId="34547" xr:uid="{A333D925-6962-4922-A459-7C5C75D3D1F9}"/>
    <cellStyle name="20% - Accent5 16 7" xfId="18652" xr:uid="{00000000-0005-0000-0000-0000631E0000}"/>
    <cellStyle name="20% - Accent5 16 7 2" xfId="42485" xr:uid="{A64BA5FB-1138-4D73-B57E-F4FF83006ECB}"/>
    <cellStyle name="20% - Accent5 16 8" xfId="26605" xr:uid="{B4E749AF-2110-4F5C-AB57-427D3D3417DE}"/>
    <cellStyle name="20% - Accent5 16_Exh G" xfId="2475" xr:uid="{00000000-0005-0000-0000-0000641E0000}"/>
    <cellStyle name="20% - Accent5 17" xfId="49803" xr:uid="{F21BA508-5F2E-4B0C-8F2F-67B8E340F3EE}"/>
    <cellStyle name="20% - Accent5 2" xfId="248" xr:uid="{00000000-0005-0000-0000-0000651E0000}"/>
    <cellStyle name="20% - Accent5 2 10" xfId="18151" xr:uid="{00000000-0005-0000-0000-0000661E0000}"/>
    <cellStyle name="20% - Accent5 2 10 2" xfId="41984" xr:uid="{806D8F63-AEE9-45E6-A679-F8B95DAC5437}"/>
    <cellStyle name="20% - Accent5 2 11" xfId="26104" xr:uid="{3B99B583-C0AA-4FF0-A0AA-4C43A9BEB3E1}"/>
    <cellStyle name="20% - Accent5 2 12" xfId="49788" xr:uid="{39659C3B-173F-45B7-AFE5-9CDB25164FCD}"/>
    <cellStyle name="20% - Accent5 2 13" xfId="49816" xr:uid="{FF1607C8-D95D-42DD-9AF6-5B2CB418C4B8}"/>
    <cellStyle name="20% - Accent5 2 2" xfId="249" xr:uid="{00000000-0005-0000-0000-0000671E0000}"/>
    <cellStyle name="20% - Accent5 2 2 10" xfId="26105" xr:uid="{F7763727-FE4C-4F3C-A41E-9EC107180D29}"/>
    <cellStyle name="20% - Accent5 2 2 2" xfId="250" xr:uid="{00000000-0005-0000-0000-0000681E0000}"/>
    <cellStyle name="20% - Accent5 2 2 2 2" xfId="1278" xr:uid="{00000000-0005-0000-0000-0000691E0000}"/>
    <cellStyle name="20% - Accent5 2 2 2 2 2" xfId="4808" xr:uid="{00000000-0005-0000-0000-00006A1E0000}"/>
    <cellStyle name="20% - Accent5 2 2 2 2 2 2" xfId="8399" xr:uid="{00000000-0005-0000-0000-00006B1E0000}"/>
    <cellStyle name="20% - Accent5 2 2 2 2 2 2 2" xfId="16370" xr:uid="{00000000-0005-0000-0000-00006C1E0000}"/>
    <cellStyle name="20% - Accent5 2 2 2 2 2 2 2 2" xfId="40213" xr:uid="{78052D98-F094-4130-8B50-38DF5A9FBAC5}"/>
    <cellStyle name="20% - Accent5 2 2 2 2 2 2 3" xfId="24316" xr:uid="{00000000-0005-0000-0000-00006D1E0000}"/>
    <cellStyle name="20% - Accent5 2 2 2 2 2 2 3 2" xfId="48149" xr:uid="{D95EC4B0-05C4-43DE-B741-4FF17D35E66A}"/>
    <cellStyle name="20% - Accent5 2 2 2 2 2 2 4" xfId="32272" xr:uid="{075E6267-8629-4CB2-9054-559F822A819E}"/>
    <cellStyle name="20% - Accent5 2 2 2 2 2 3" xfId="12832" xr:uid="{00000000-0005-0000-0000-00006E1E0000}"/>
    <cellStyle name="20% - Accent5 2 2 2 2 2 3 2" xfId="36682" xr:uid="{DA00B602-DFE7-49C6-9907-1A02DBC7F916}"/>
    <cellStyle name="20% - Accent5 2 2 2 2 2 4" xfId="20787" xr:uid="{00000000-0005-0000-0000-00006F1E0000}"/>
    <cellStyle name="20% - Accent5 2 2 2 2 2 4 2" xfId="44620" xr:uid="{DE8BFF95-02E0-4536-87D0-3ACF27A76CE5}"/>
    <cellStyle name="20% - Accent5 2 2 2 2 2 5" xfId="28741" xr:uid="{C8633938-48AC-48AD-8E6B-800079889A81}"/>
    <cellStyle name="20% - Accent5 2 2 2 2 3" xfId="6640" xr:uid="{00000000-0005-0000-0000-0000701E0000}"/>
    <cellStyle name="20% - Accent5 2 2 2 2 3 2" xfId="14612" xr:uid="{00000000-0005-0000-0000-0000711E0000}"/>
    <cellStyle name="20% - Accent5 2 2 2 2 3 2 2" xfId="38455" xr:uid="{9378BDC3-72A5-4305-9EA1-D90FC3EE55E1}"/>
    <cellStyle name="20% - Accent5 2 2 2 2 3 3" xfId="22559" xr:uid="{00000000-0005-0000-0000-0000721E0000}"/>
    <cellStyle name="20% - Accent5 2 2 2 2 3 3 2" xfId="46392" xr:uid="{2EB46A90-19F3-4CB0-97C3-1F95B46E8406}"/>
    <cellStyle name="20% - Accent5 2 2 2 2 3 4" xfId="30514" xr:uid="{EE8E5C1E-9A1C-4972-A150-7CDAC970F8E5}"/>
    <cellStyle name="20% - Accent5 2 2 2 2 4" xfId="11076" xr:uid="{00000000-0005-0000-0000-0000731E0000}"/>
    <cellStyle name="20% - Accent5 2 2 2 2 4 2" xfId="34926" xr:uid="{5D799E7C-4287-49F9-9A77-01A26996E475}"/>
    <cellStyle name="20% - Accent5 2 2 2 2 5" xfId="19031" xr:uid="{00000000-0005-0000-0000-0000741E0000}"/>
    <cellStyle name="20% - Accent5 2 2 2 2 5 2" xfId="42864" xr:uid="{7EF9C27E-2DB6-48D2-8A26-6305E46DE400}"/>
    <cellStyle name="20% - Accent5 2 2 2 2 6" xfId="26984" xr:uid="{77F4C72F-02E3-4B5F-893A-FBA5DFA50F0D}"/>
    <cellStyle name="20% - Accent5 2 2 2 2_Exh G" xfId="2480" xr:uid="{00000000-0005-0000-0000-0000751E0000}"/>
    <cellStyle name="20% - Accent5 2 2 2 3" xfId="3929" xr:uid="{00000000-0005-0000-0000-0000761E0000}"/>
    <cellStyle name="20% - Accent5 2 2 2 3 2" xfId="7521" xr:uid="{00000000-0005-0000-0000-0000771E0000}"/>
    <cellStyle name="20% - Accent5 2 2 2 3 2 2" xfId="15492" xr:uid="{00000000-0005-0000-0000-0000781E0000}"/>
    <cellStyle name="20% - Accent5 2 2 2 3 2 2 2" xfId="39335" xr:uid="{70B6DE0D-C82C-449C-B68D-2BF3AD75EAD9}"/>
    <cellStyle name="20% - Accent5 2 2 2 3 2 3" xfId="23438" xr:uid="{00000000-0005-0000-0000-0000791E0000}"/>
    <cellStyle name="20% - Accent5 2 2 2 3 2 3 2" xfId="47271" xr:uid="{C2E117F9-3156-4DAF-92C7-64DBD4A27999}"/>
    <cellStyle name="20% - Accent5 2 2 2 3 2 4" xfId="31394" xr:uid="{5AF6B1C8-F7E1-4DDD-9B43-D8D3F2657DAE}"/>
    <cellStyle name="20% - Accent5 2 2 2 3 3" xfId="11954" xr:uid="{00000000-0005-0000-0000-00007A1E0000}"/>
    <cellStyle name="20% - Accent5 2 2 2 3 3 2" xfId="35804" xr:uid="{E55EBC24-585F-4CB6-A575-0E56983637F7}"/>
    <cellStyle name="20% - Accent5 2 2 2 3 4" xfId="19909" xr:uid="{00000000-0005-0000-0000-00007B1E0000}"/>
    <cellStyle name="20% - Accent5 2 2 2 3 4 2" xfId="43742" xr:uid="{13442232-721B-4AB3-A561-1CE5EBFA4371}"/>
    <cellStyle name="20% - Accent5 2 2 2 3 5" xfId="27863" xr:uid="{5D817BC5-8493-4A84-B04F-DBB258BC259F}"/>
    <cellStyle name="20% - Accent5 2 2 2 4" xfId="5749" xr:uid="{00000000-0005-0000-0000-00007C1E0000}"/>
    <cellStyle name="20% - Accent5 2 2 2 4 2" xfId="13733" xr:uid="{00000000-0005-0000-0000-00007D1E0000}"/>
    <cellStyle name="20% - Accent5 2 2 2 4 2 2" xfId="37577" xr:uid="{DD301FF2-45C2-422E-A4FA-AE413AF636A3}"/>
    <cellStyle name="20% - Accent5 2 2 2 4 3" xfId="21681" xr:uid="{00000000-0005-0000-0000-00007E1E0000}"/>
    <cellStyle name="20% - Accent5 2 2 2 4 3 2" xfId="45514" xr:uid="{BFFF91C5-5107-4E2A-AA70-E07ED6382136}"/>
    <cellStyle name="20% - Accent5 2 2 2 4 4" xfId="29636" xr:uid="{DD2F8BBE-6CBD-46BF-BD46-4AE8BC8B7891}"/>
    <cellStyle name="20% - Accent5 2 2 2 5" xfId="9302" xr:uid="{00000000-0005-0000-0000-00007F1E0000}"/>
    <cellStyle name="20% - Accent5 2 2 2 5 2" xfId="17260" xr:uid="{00000000-0005-0000-0000-0000801E0000}"/>
    <cellStyle name="20% - Accent5 2 2 2 5 2 2" xfId="41101" xr:uid="{B9D00F12-A780-4E45-B0C9-46B60D7560FA}"/>
    <cellStyle name="20% - Accent5 2 2 2 5 3" xfId="25204" xr:uid="{00000000-0005-0000-0000-0000811E0000}"/>
    <cellStyle name="20% - Accent5 2 2 2 5 3 2" xfId="49037" xr:uid="{A4BD3A1A-07CB-4E40-ADBB-6FA72F8A0CD7}"/>
    <cellStyle name="20% - Accent5 2 2 2 5 4" xfId="33160" xr:uid="{F6BBC88A-39C3-47C9-978F-15675369F9F8}"/>
    <cellStyle name="20% - Accent5 2 2 2 6" xfId="10198" xr:uid="{00000000-0005-0000-0000-0000821E0000}"/>
    <cellStyle name="20% - Accent5 2 2 2 6 2" xfId="34048" xr:uid="{7493DE01-7088-42C8-9C88-F6EFEF373196}"/>
    <cellStyle name="20% - Accent5 2 2 2 7" xfId="18153" xr:uid="{00000000-0005-0000-0000-0000831E0000}"/>
    <cellStyle name="20% - Accent5 2 2 2 7 2" xfId="41986" xr:uid="{F59577CE-1B00-47D5-B26B-3487D0169C93}"/>
    <cellStyle name="20% - Accent5 2 2 2 8" xfId="26106" xr:uid="{1A64F3E4-22E8-4ABF-A7EF-0CE15B963AFF}"/>
    <cellStyle name="20% - Accent5 2 2 2_Exh G" xfId="2479" xr:uid="{00000000-0005-0000-0000-0000841E0000}"/>
    <cellStyle name="20% - Accent5 2 2 3" xfId="912" xr:uid="{00000000-0005-0000-0000-0000851E0000}"/>
    <cellStyle name="20% - Accent5 2 2 3 2" xfId="1840" xr:uid="{00000000-0005-0000-0000-0000861E0000}"/>
    <cellStyle name="20% - Accent5 2 2 3 2 2" xfId="5358" xr:uid="{00000000-0005-0000-0000-0000871E0000}"/>
    <cellStyle name="20% - Accent5 2 2 3 2 2 2" xfId="8949" xr:uid="{00000000-0005-0000-0000-0000881E0000}"/>
    <cellStyle name="20% - Accent5 2 2 3 2 2 2 2" xfId="16920" xr:uid="{00000000-0005-0000-0000-0000891E0000}"/>
    <cellStyle name="20% - Accent5 2 2 3 2 2 2 2 2" xfId="40763" xr:uid="{3F069FA0-E5DA-40B6-8DBB-F9752B02F435}"/>
    <cellStyle name="20% - Accent5 2 2 3 2 2 2 3" xfId="24866" xr:uid="{00000000-0005-0000-0000-00008A1E0000}"/>
    <cellStyle name="20% - Accent5 2 2 3 2 2 2 3 2" xfId="48699" xr:uid="{E26A3F67-F23D-42BF-98A6-CFA4159EF129}"/>
    <cellStyle name="20% - Accent5 2 2 3 2 2 2 4" xfId="32822" xr:uid="{CE34B3B3-DF17-4C05-A238-8D53746400D5}"/>
    <cellStyle name="20% - Accent5 2 2 3 2 2 3" xfId="13382" xr:uid="{00000000-0005-0000-0000-00008B1E0000}"/>
    <cellStyle name="20% - Accent5 2 2 3 2 2 3 2" xfId="37232" xr:uid="{B5B6DD8B-8EDD-484E-9A14-F39A739E931E}"/>
    <cellStyle name="20% - Accent5 2 2 3 2 2 4" xfId="21337" xr:uid="{00000000-0005-0000-0000-00008C1E0000}"/>
    <cellStyle name="20% - Accent5 2 2 3 2 2 4 2" xfId="45170" xr:uid="{F290EF41-06F5-42DB-957B-0E12A519B415}"/>
    <cellStyle name="20% - Accent5 2 2 3 2 2 5" xfId="29291" xr:uid="{3B474A2B-3466-45FE-9FF5-05D8F318D4DA}"/>
    <cellStyle name="20% - Accent5 2 2 3 2 3" xfId="7190" xr:uid="{00000000-0005-0000-0000-00008D1E0000}"/>
    <cellStyle name="20% - Accent5 2 2 3 2 3 2" xfId="15162" xr:uid="{00000000-0005-0000-0000-00008E1E0000}"/>
    <cellStyle name="20% - Accent5 2 2 3 2 3 2 2" xfId="39005" xr:uid="{97F784D8-C208-4F4E-AFD0-AF8DEBC2AEAA}"/>
    <cellStyle name="20% - Accent5 2 2 3 2 3 3" xfId="23109" xr:uid="{00000000-0005-0000-0000-00008F1E0000}"/>
    <cellStyle name="20% - Accent5 2 2 3 2 3 3 2" xfId="46942" xr:uid="{50771DD9-9A6D-4ADF-921F-DC4081AB4BC6}"/>
    <cellStyle name="20% - Accent5 2 2 3 2 3 4" xfId="31064" xr:uid="{2C9A79ED-9473-4737-B6C4-AD15B137FD78}"/>
    <cellStyle name="20% - Accent5 2 2 3 2 4" xfId="11626" xr:uid="{00000000-0005-0000-0000-0000901E0000}"/>
    <cellStyle name="20% - Accent5 2 2 3 2 4 2" xfId="35476" xr:uid="{5BBCEE09-F6EF-46A3-A27C-5CA9C034FED9}"/>
    <cellStyle name="20% - Accent5 2 2 3 2 5" xfId="19581" xr:uid="{00000000-0005-0000-0000-0000911E0000}"/>
    <cellStyle name="20% - Accent5 2 2 3 2 5 2" xfId="43414" xr:uid="{79FBF992-0770-4996-AC76-BD7C9EB35A78}"/>
    <cellStyle name="20% - Accent5 2 2 3 2 6" xfId="27534" xr:uid="{762040E4-E9CC-4360-9D18-DC0AEEE2F915}"/>
    <cellStyle name="20% - Accent5 2 2 3 2_Exh G" xfId="2482" xr:uid="{00000000-0005-0000-0000-0000921E0000}"/>
    <cellStyle name="20% - Accent5 2 2 3 3" xfId="4479" xr:uid="{00000000-0005-0000-0000-0000931E0000}"/>
    <cellStyle name="20% - Accent5 2 2 3 3 2" xfId="8071" xr:uid="{00000000-0005-0000-0000-0000941E0000}"/>
    <cellStyle name="20% - Accent5 2 2 3 3 2 2" xfId="16042" xr:uid="{00000000-0005-0000-0000-0000951E0000}"/>
    <cellStyle name="20% - Accent5 2 2 3 3 2 2 2" xfId="39885" xr:uid="{7648A0D7-6DAA-4401-B44E-D08E9FF61890}"/>
    <cellStyle name="20% - Accent5 2 2 3 3 2 3" xfId="23988" xr:uid="{00000000-0005-0000-0000-0000961E0000}"/>
    <cellStyle name="20% - Accent5 2 2 3 3 2 3 2" xfId="47821" xr:uid="{929B33DE-2BFF-4D45-9220-72C452647219}"/>
    <cellStyle name="20% - Accent5 2 2 3 3 2 4" xfId="31944" xr:uid="{4C664BAF-CACE-4F9A-8852-D3433F6C2A70}"/>
    <cellStyle name="20% - Accent5 2 2 3 3 3" xfId="12504" xr:uid="{00000000-0005-0000-0000-0000971E0000}"/>
    <cellStyle name="20% - Accent5 2 2 3 3 3 2" xfId="36354" xr:uid="{27305B91-9014-4EAA-A315-607D573A69F5}"/>
    <cellStyle name="20% - Accent5 2 2 3 3 4" xfId="20459" xr:uid="{00000000-0005-0000-0000-0000981E0000}"/>
    <cellStyle name="20% - Accent5 2 2 3 3 4 2" xfId="44292" xr:uid="{902AC4DC-FE92-40F4-BC0C-B9176ADB1F3E}"/>
    <cellStyle name="20% - Accent5 2 2 3 3 5" xfId="28413" xr:uid="{FE415AD4-B251-4A56-863A-CEB7B413C294}"/>
    <cellStyle name="20% - Accent5 2 2 3 4" xfId="6309" xr:uid="{00000000-0005-0000-0000-0000991E0000}"/>
    <cellStyle name="20% - Accent5 2 2 3 4 2" xfId="14284" xr:uid="{00000000-0005-0000-0000-00009A1E0000}"/>
    <cellStyle name="20% - Accent5 2 2 3 4 2 2" xfId="38127" xr:uid="{3FBF0614-4827-45F1-BB68-EF44093D0760}"/>
    <cellStyle name="20% - Accent5 2 2 3 4 3" xfId="22231" xr:uid="{00000000-0005-0000-0000-00009B1E0000}"/>
    <cellStyle name="20% - Accent5 2 2 3 4 3 2" xfId="46064" xr:uid="{28E05076-9AAE-4A8D-A67D-08061EBE9FC8}"/>
    <cellStyle name="20% - Accent5 2 2 3 4 4" xfId="30186" xr:uid="{54F79E74-EF5B-4ACB-9410-5F023B60E0E6}"/>
    <cellStyle name="20% - Accent5 2 2 3 5" xfId="9852" xr:uid="{00000000-0005-0000-0000-00009C1E0000}"/>
    <cellStyle name="20% - Accent5 2 2 3 5 2" xfId="17810" xr:uid="{00000000-0005-0000-0000-00009D1E0000}"/>
    <cellStyle name="20% - Accent5 2 2 3 5 2 2" xfId="41651" xr:uid="{A22C850A-5763-4452-AC84-627D8D918843}"/>
    <cellStyle name="20% - Accent5 2 2 3 5 3" xfId="25754" xr:uid="{00000000-0005-0000-0000-00009E1E0000}"/>
    <cellStyle name="20% - Accent5 2 2 3 5 3 2" xfId="49587" xr:uid="{8E0AFE8C-52EE-46D8-B5ED-427F185C1C47}"/>
    <cellStyle name="20% - Accent5 2 2 3 5 4" xfId="33710" xr:uid="{113C6B16-DD0D-4361-B023-3EA36334E033}"/>
    <cellStyle name="20% - Accent5 2 2 3 6" xfId="10748" xr:uid="{00000000-0005-0000-0000-00009F1E0000}"/>
    <cellStyle name="20% - Accent5 2 2 3 6 2" xfId="34598" xr:uid="{212E370C-D0EE-4231-80D3-09A37147A185}"/>
    <cellStyle name="20% - Accent5 2 2 3 7" xfId="18703" xr:uid="{00000000-0005-0000-0000-0000A01E0000}"/>
    <cellStyle name="20% - Accent5 2 2 3 7 2" xfId="42536" xr:uid="{1212129E-F6FD-48F2-8784-A4C54480E1A2}"/>
    <cellStyle name="20% - Accent5 2 2 3 8" xfId="26656" xr:uid="{38971907-DD45-413E-A7C2-960311776F07}"/>
    <cellStyle name="20% - Accent5 2 2 3_Exh G" xfId="2481" xr:uid="{00000000-0005-0000-0000-0000A11E0000}"/>
    <cellStyle name="20% - Accent5 2 2 4" xfId="1277" xr:uid="{00000000-0005-0000-0000-0000A21E0000}"/>
    <cellStyle name="20% - Accent5 2 2 4 2" xfId="4807" xr:uid="{00000000-0005-0000-0000-0000A31E0000}"/>
    <cellStyle name="20% - Accent5 2 2 4 2 2" xfId="8398" xr:uid="{00000000-0005-0000-0000-0000A41E0000}"/>
    <cellStyle name="20% - Accent5 2 2 4 2 2 2" xfId="16369" xr:uid="{00000000-0005-0000-0000-0000A51E0000}"/>
    <cellStyle name="20% - Accent5 2 2 4 2 2 2 2" xfId="40212" xr:uid="{66277825-E91F-45AD-ABE5-849862652D66}"/>
    <cellStyle name="20% - Accent5 2 2 4 2 2 3" xfId="24315" xr:uid="{00000000-0005-0000-0000-0000A61E0000}"/>
    <cellStyle name="20% - Accent5 2 2 4 2 2 3 2" xfId="48148" xr:uid="{6728436C-735F-4A16-A4A2-A77DAB1DE5A1}"/>
    <cellStyle name="20% - Accent5 2 2 4 2 2 4" xfId="32271" xr:uid="{57685C60-5CFE-4043-B62A-FE37F1892E27}"/>
    <cellStyle name="20% - Accent5 2 2 4 2 3" xfId="12831" xr:uid="{00000000-0005-0000-0000-0000A71E0000}"/>
    <cellStyle name="20% - Accent5 2 2 4 2 3 2" xfId="36681" xr:uid="{84EFC5C3-5F8A-48B8-827E-FB4B266DEBB6}"/>
    <cellStyle name="20% - Accent5 2 2 4 2 4" xfId="20786" xr:uid="{00000000-0005-0000-0000-0000A81E0000}"/>
    <cellStyle name="20% - Accent5 2 2 4 2 4 2" xfId="44619" xr:uid="{769024C2-E8EC-42D4-9735-6BA9AA6EA40C}"/>
    <cellStyle name="20% - Accent5 2 2 4 2 5" xfId="28740" xr:uid="{A6FACD55-3B45-49E7-B689-BF4A333E5F12}"/>
    <cellStyle name="20% - Accent5 2 2 4 3" xfId="6639" xr:uid="{00000000-0005-0000-0000-0000A91E0000}"/>
    <cellStyle name="20% - Accent5 2 2 4 3 2" xfId="14611" xr:uid="{00000000-0005-0000-0000-0000AA1E0000}"/>
    <cellStyle name="20% - Accent5 2 2 4 3 2 2" xfId="38454" xr:uid="{6E17944E-F3D9-4BEC-AAAF-6326832B9A7E}"/>
    <cellStyle name="20% - Accent5 2 2 4 3 3" xfId="22558" xr:uid="{00000000-0005-0000-0000-0000AB1E0000}"/>
    <cellStyle name="20% - Accent5 2 2 4 3 3 2" xfId="46391" xr:uid="{7BE5492A-79E8-41D9-9977-1022A564F6FE}"/>
    <cellStyle name="20% - Accent5 2 2 4 3 4" xfId="30513" xr:uid="{DF2943C3-8C73-409E-918A-895E8D06E049}"/>
    <cellStyle name="20% - Accent5 2 2 4 4" xfId="11075" xr:uid="{00000000-0005-0000-0000-0000AC1E0000}"/>
    <cellStyle name="20% - Accent5 2 2 4 4 2" xfId="34925" xr:uid="{C22354B5-B0A0-4FF2-A365-E6CD25E45D9D}"/>
    <cellStyle name="20% - Accent5 2 2 4 5" xfId="19030" xr:uid="{00000000-0005-0000-0000-0000AD1E0000}"/>
    <cellStyle name="20% - Accent5 2 2 4 5 2" xfId="42863" xr:uid="{5708D649-EA79-4E9B-99D2-4D5C867D4737}"/>
    <cellStyle name="20% - Accent5 2 2 4 6" xfId="26983" xr:uid="{140DFFA3-9A97-490A-ABE7-72457E2F5404}"/>
    <cellStyle name="20% - Accent5 2 2 4_Exh G" xfId="2483" xr:uid="{00000000-0005-0000-0000-0000AE1E0000}"/>
    <cellStyle name="20% - Accent5 2 2 5" xfId="3928" xr:uid="{00000000-0005-0000-0000-0000AF1E0000}"/>
    <cellStyle name="20% - Accent5 2 2 5 2" xfId="7520" xr:uid="{00000000-0005-0000-0000-0000B01E0000}"/>
    <cellStyle name="20% - Accent5 2 2 5 2 2" xfId="15491" xr:uid="{00000000-0005-0000-0000-0000B11E0000}"/>
    <cellStyle name="20% - Accent5 2 2 5 2 2 2" xfId="39334" xr:uid="{6AC95B25-5068-4E65-AF1D-1839FB7D24C8}"/>
    <cellStyle name="20% - Accent5 2 2 5 2 3" xfId="23437" xr:uid="{00000000-0005-0000-0000-0000B21E0000}"/>
    <cellStyle name="20% - Accent5 2 2 5 2 3 2" xfId="47270" xr:uid="{74BC22FF-7C94-4BE7-9815-8985347B743B}"/>
    <cellStyle name="20% - Accent5 2 2 5 2 4" xfId="31393" xr:uid="{587F5A36-433F-4256-A4BC-C480C81B1B08}"/>
    <cellStyle name="20% - Accent5 2 2 5 3" xfId="11953" xr:uid="{00000000-0005-0000-0000-0000B31E0000}"/>
    <cellStyle name="20% - Accent5 2 2 5 3 2" xfId="35803" xr:uid="{2B214C07-4B95-46C5-AEEA-1D3B348DCF7C}"/>
    <cellStyle name="20% - Accent5 2 2 5 4" xfId="19908" xr:uid="{00000000-0005-0000-0000-0000B41E0000}"/>
    <cellStyle name="20% - Accent5 2 2 5 4 2" xfId="43741" xr:uid="{50868B5C-67FB-4E0C-A032-5F9EEC563634}"/>
    <cellStyle name="20% - Accent5 2 2 5 5" xfId="27862" xr:uid="{B344FA21-6816-41B8-990A-36E490071380}"/>
    <cellStyle name="20% - Accent5 2 2 6" xfId="5748" xr:uid="{00000000-0005-0000-0000-0000B51E0000}"/>
    <cellStyle name="20% - Accent5 2 2 6 2" xfId="13732" xr:uid="{00000000-0005-0000-0000-0000B61E0000}"/>
    <cellStyle name="20% - Accent5 2 2 6 2 2" xfId="37576" xr:uid="{038E3027-E11D-493F-B509-BE1C03D3C4C3}"/>
    <cellStyle name="20% - Accent5 2 2 6 3" xfId="21680" xr:uid="{00000000-0005-0000-0000-0000B71E0000}"/>
    <cellStyle name="20% - Accent5 2 2 6 3 2" xfId="45513" xr:uid="{DB3A93D6-A690-4A7C-9B80-5FAEAB25E1DF}"/>
    <cellStyle name="20% - Accent5 2 2 6 4" xfId="29635" xr:uid="{B7237864-DE87-4C41-8973-D0030A003AA0}"/>
    <cellStyle name="20% - Accent5 2 2 7" xfId="9301" xr:uid="{00000000-0005-0000-0000-0000B81E0000}"/>
    <cellStyle name="20% - Accent5 2 2 7 2" xfId="17259" xr:uid="{00000000-0005-0000-0000-0000B91E0000}"/>
    <cellStyle name="20% - Accent5 2 2 7 2 2" xfId="41100" xr:uid="{8AD08DA6-6AEC-41D5-BCDD-FBF371CABE11}"/>
    <cellStyle name="20% - Accent5 2 2 7 3" xfId="25203" xr:uid="{00000000-0005-0000-0000-0000BA1E0000}"/>
    <cellStyle name="20% - Accent5 2 2 7 3 2" xfId="49036" xr:uid="{802798D8-0758-4902-8D92-072623C20709}"/>
    <cellStyle name="20% - Accent5 2 2 7 4" xfId="33159" xr:uid="{46DB6753-E8D0-4BB6-ADFF-FBE541B7E9D4}"/>
    <cellStyle name="20% - Accent5 2 2 8" xfId="10197" xr:uid="{00000000-0005-0000-0000-0000BB1E0000}"/>
    <cellStyle name="20% - Accent5 2 2 8 2" xfId="34047" xr:uid="{70519252-42D6-4FAF-8136-AD8D61E38359}"/>
    <cellStyle name="20% - Accent5 2 2 9" xfId="18152" xr:uid="{00000000-0005-0000-0000-0000BC1E0000}"/>
    <cellStyle name="20% - Accent5 2 2 9 2" xfId="41985" xr:uid="{23482311-AE9E-46C9-BC62-B58BFCF64A7D}"/>
    <cellStyle name="20% - Accent5 2 2_Exh G" xfId="2478" xr:uid="{00000000-0005-0000-0000-0000BD1E0000}"/>
    <cellStyle name="20% - Accent5 2 3" xfId="251" xr:uid="{00000000-0005-0000-0000-0000BE1E0000}"/>
    <cellStyle name="20% - Accent5 2 3 2" xfId="1279" xr:uid="{00000000-0005-0000-0000-0000BF1E0000}"/>
    <cellStyle name="20% - Accent5 2 3 2 2" xfId="4809" xr:uid="{00000000-0005-0000-0000-0000C01E0000}"/>
    <cellStyle name="20% - Accent5 2 3 2 2 2" xfId="8400" xr:uid="{00000000-0005-0000-0000-0000C11E0000}"/>
    <cellStyle name="20% - Accent5 2 3 2 2 2 2" xfId="16371" xr:uid="{00000000-0005-0000-0000-0000C21E0000}"/>
    <cellStyle name="20% - Accent5 2 3 2 2 2 2 2" xfId="40214" xr:uid="{52C0790A-37EF-480E-8F36-B0965A27D3CE}"/>
    <cellStyle name="20% - Accent5 2 3 2 2 2 3" xfId="24317" xr:uid="{00000000-0005-0000-0000-0000C31E0000}"/>
    <cellStyle name="20% - Accent5 2 3 2 2 2 3 2" xfId="48150" xr:uid="{A3C9190C-4899-48D8-89F5-FA718ED81D86}"/>
    <cellStyle name="20% - Accent5 2 3 2 2 2 4" xfId="32273" xr:uid="{69727AB3-115E-48FA-B9F5-1D99AE86EBD0}"/>
    <cellStyle name="20% - Accent5 2 3 2 2 3" xfId="12833" xr:uid="{00000000-0005-0000-0000-0000C41E0000}"/>
    <cellStyle name="20% - Accent5 2 3 2 2 3 2" xfId="36683" xr:uid="{2F3C3D8E-5C0B-4958-8BA2-20071E14CC96}"/>
    <cellStyle name="20% - Accent5 2 3 2 2 4" xfId="20788" xr:uid="{00000000-0005-0000-0000-0000C51E0000}"/>
    <cellStyle name="20% - Accent5 2 3 2 2 4 2" xfId="44621" xr:uid="{0E47228F-00DD-4E1C-9BAC-33F6A4A6F34F}"/>
    <cellStyle name="20% - Accent5 2 3 2 2 5" xfId="28742" xr:uid="{70215000-AB83-45BC-A962-C71347417DFE}"/>
    <cellStyle name="20% - Accent5 2 3 2 3" xfId="6641" xr:uid="{00000000-0005-0000-0000-0000C61E0000}"/>
    <cellStyle name="20% - Accent5 2 3 2 3 2" xfId="14613" xr:uid="{00000000-0005-0000-0000-0000C71E0000}"/>
    <cellStyle name="20% - Accent5 2 3 2 3 2 2" xfId="38456" xr:uid="{3B8CCBAD-4097-4C48-B0A7-10DF55B91AE1}"/>
    <cellStyle name="20% - Accent5 2 3 2 3 3" xfId="22560" xr:uid="{00000000-0005-0000-0000-0000C81E0000}"/>
    <cellStyle name="20% - Accent5 2 3 2 3 3 2" xfId="46393" xr:uid="{4647DB61-1C1A-4A23-86B5-1FB3646E8A69}"/>
    <cellStyle name="20% - Accent5 2 3 2 3 4" xfId="30515" xr:uid="{D1E6775C-446B-43E0-92FC-504931FE3AC3}"/>
    <cellStyle name="20% - Accent5 2 3 2 4" xfId="11077" xr:uid="{00000000-0005-0000-0000-0000C91E0000}"/>
    <cellStyle name="20% - Accent5 2 3 2 4 2" xfId="34927" xr:uid="{1F4FE8C9-97CD-4FE2-A7C1-719B0C2B2C0D}"/>
    <cellStyle name="20% - Accent5 2 3 2 5" xfId="19032" xr:uid="{00000000-0005-0000-0000-0000CA1E0000}"/>
    <cellStyle name="20% - Accent5 2 3 2 5 2" xfId="42865" xr:uid="{08F91B9F-5C64-4B88-9E81-C49994C5F52E}"/>
    <cellStyle name="20% - Accent5 2 3 2 6" xfId="26985" xr:uid="{E372C863-49EA-4721-976F-7FB744FD0706}"/>
    <cellStyle name="20% - Accent5 2 3 2_Exh G" xfId="2485" xr:uid="{00000000-0005-0000-0000-0000CB1E0000}"/>
    <cellStyle name="20% - Accent5 2 3 3" xfId="3930" xr:uid="{00000000-0005-0000-0000-0000CC1E0000}"/>
    <cellStyle name="20% - Accent5 2 3 3 2" xfId="7522" xr:uid="{00000000-0005-0000-0000-0000CD1E0000}"/>
    <cellStyle name="20% - Accent5 2 3 3 2 2" xfId="15493" xr:uid="{00000000-0005-0000-0000-0000CE1E0000}"/>
    <cellStyle name="20% - Accent5 2 3 3 2 2 2" xfId="39336" xr:uid="{EAA77046-3B3A-4EA3-9494-851DB8169CAA}"/>
    <cellStyle name="20% - Accent5 2 3 3 2 3" xfId="23439" xr:uid="{00000000-0005-0000-0000-0000CF1E0000}"/>
    <cellStyle name="20% - Accent5 2 3 3 2 3 2" xfId="47272" xr:uid="{788A02EA-7014-4F27-B5A4-AE67DCF71EBF}"/>
    <cellStyle name="20% - Accent5 2 3 3 2 4" xfId="31395" xr:uid="{D75C80A7-517C-4CBB-A691-D4BD78B9FD22}"/>
    <cellStyle name="20% - Accent5 2 3 3 3" xfId="11955" xr:uid="{00000000-0005-0000-0000-0000D01E0000}"/>
    <cellStyle name="20% - Accent5 2 3 3 3 2" xfId="35805" xr:uid="{14C0791A-1C30-4CB0-A7C8-D204CCC9BD01}"/>
    <cellStyle name="20% - Accent5 2 3 3 4" xfId="19910" xr:uid="{00000000-0005-0000-0000-0000D11E0000}"/>
    <cellStyle name="20% - Accent5 2 3 3 4 2" xfId="43743" xr:uid="{2B770DE6-A415-4319-A612-3B6FAD0A9C56}"/>
    <cellStyle name="20% - Accent5 2 3 3 5" xfId="27864" xr:uid="{C6D8F0DD-8FBB-4B72-A36C-3003C6325413}"/>
    <cellStyle name="20% - Accent5 2 3 4" xfId="5750" xr:uid="{00000000-0005-0000-0000-0000D21E0000}"/>
    <cellStyle name="20% - Accent5 2 3 4 2" xfId="13734" xr:uid="{00000000-0005-0000-0000-0000D31E0000}"/>
    <cellStyle name="20% - Accent5 2 3 4 2 2" xfId="37578" xr:uid="{42B43F27-DF89-4F0A-B337-FF32FD559C65}"/>
    <cellStyle name="20% - Accent5 2 3 4 3" xfId="21682" xr:uid="{00000000-0005-0000-0000-0000D41E0000}"/>
    <cellStyle name="20% - Accent5 2 3 4 3 2" xfId="45515" xr:uid="{74547EA9-2001-4706-BA2B-21B5B428D928}"/>
    <cellStyle name="20% - Accent5 2 3 4 4" xfId="29637" xr:uid="{92DB4FA5-067E-4FF5-811F-EFDC636187DB}"/>
    <cellStyle name="20% - Accent5 2 3 5" xfId="9303" xr:uid="{00000000-0005-0000-0000-0000D51E0000}"/>
    <cellStyle name="20% - Accent5 2 3 5 2" xfId="17261" xr:uid="{00000000-0005-0000-0000-0000D61E0000}"/>
    <cellStyle name="20% - Accent5 2 3 5 2 2" xfId="41102" xr:uid="{5E5E45F3-6912-4013-88B7-D3F21B23388B}"/>
    <cellStyle name="20% - Accent5 2 3 5 3" xfId="25205" xr:uid="{00000000-0005-0000-0000-0000D71E0000}"/>
    <cellStyle name="20% - Accent5 2 3 5 3 2" xfId="49038" xr:uid="{9B7F791F-997A-4D13-BBA7-E47C20E8B843}"/>
    <cellStyle name="20% - Accent5 2 3 5 4" xfId="33161" xr:uid="{0CF5A02A-C25A-4714-BADE-140E547533F3}"/>
    <cellStyle name="20% - Accent5 2 3 6" xfId="10199" xr:uid="{00000000-0005-0000-0000-0000D81E0000}"/>
    <cellStyle name="20% - Accent5 2 3 6 2" xfId="34049" xr:uid="{31115DD1-5C50-4730-8F2E-43D7B6C140EE}"/>
    <cellStyle name="20% - Accent5 2 3 7" xfId="18154" xr:uid="{00000000-0005-0000-0000-0000D91E0000}"/>
    <cellStyle name="20% - Accent5 2 3 7 2" xfId="41987" xr:uid="{D2FC82D1-E6FA-4AF3-8B14-97EB0157AA57}"/>
    <cellStyle name="20% - Accent5 2 3 8" xfId="26107" xr:uid="{B4ABD534-3D30-4E6C-88DC-C4DA00A919DC}"/>
    <cellStyle name="20% - Accent5 2 3_Exh G" xfId="2484" xr:uid="{00000000-0005-0000-0000-0000DA1E0000}"/>
    <cellStyle name="20% - Accent5 2 4" xfId="911" xr:uid="{00000000-0005-0000-0000-0000DB1E0000}"/>
    <cellStyle name="20% - Accent5 2 4 2" xfId="1839" xr:uid="{00000000-0005-0000-0000-0000DC1E0000}"/>
    <cellStyle name="20% - Accent5 2 4 2 2" xfId="5357" xr:uid="{00000000-0005-0000-0000-0000DD1E0000}"/>
    <cellStyle name="20% - Accent5 2 4 2 2 2" xfId="8948" xr:uid="{00000000-0005-0000-0000-0000DE1E0000}"/>
    <cellStyle name="20% - Accent5 2 4 2 2 2 2" xfId="16919" xr:uid="{00000000-0005-0000-0000-0000DF1E0000}"/>
    <cellStyle name="20% - Accent5 2 4 2 2 2 2 2" xfId="40762" xr:uid="{95713E84-B24A-4787-8935-66461324EC5F}"/>
    <cellStyle name="20% - Accent5 2 4 2 2 2 3" xfId="24865" xr:uid="{00000000-0005-0000-0000-0000E01E0000}"/>
    <cellStyle name="20% - Accent5 2 4 2 2 2 3 2" xfId="48698" xr:uid="{B682CDB4-DB57-45AB-9164-777610450D39}"/>
    <cellStyle name="20% - Accent5 2 4 2 2 2 4" xfId="32821" xr:uid="{482C5C49-1480-42DB-9B42-38B117FC92D1}"/>
    <cellStyle name="20% - Accent5 2 4 2 2 3" xfId="13381" xr:uid="{00000000-0005-0000-0000-0000E11E0000}"/>
    <cellStyle name="20% - Accent5 2 4 2 2 3 2" xfId="37231" xr:uid="{84F3DB1F-F06B-41B5-99DC-2B837839C702}"/>
    <cellStyle name="20% - Accent5 2 4 2 2 4" xfId="21336" xr:uid="{00000000-0005-0000-0000-0000E21E0000}"/>
    <cellStyle name="20% - Accent5 2 4 2 2 4 2" xfId="45169" xr:uid="{7EC22814-16DC-4290-9929-CB22CBD808D7}"/>
    <cellStyle name="20% - Accent5 2 4 2 2 5" xfId="29290" xr:uid="{E0230F5E-EE9F-4C4A-AD02-8D7EC14FC382}"/>
    <cellStyle name="20% - Accent5 2 4 2 3" xfId="7189" xr:uid="{00000000-0005-0000-0000-0000E31E0000}"/>
    <cellStyle name="20% - Accent5 2 4 2 3 2" xfId="15161" xr:uid="{00000000-0005-0000-0000-0000E41E0000}"/>
    <cellStyle name="20% - Accent5 2 4 2 3 2 2" xfId="39004" xr:uid="{D22E2B96-5139-4454-BA6F-78E04CBA1D28}"/>
    <cellStyle name="20% - Accent5 2 4 2 3 3" xfId="23108" xr:uid="{00000000-0005-0000-0000-0000E51E0000}"/>
    <cellStyle name="20% - Accent5 2 4 2 3 3 2" xfId="46941" xr:uid="{2D621961-DFCA-4092-A384-CB40507E4C52}"/>
    <cellStyle name="20% - Accent5 2 4 2 3 4" xfId="31063" xr:uid="{E922E5A7-4A68-4C50-9174-F7F6B5D12E50}"/>
    <cellStyle name="20% - Accent5 2 4 2 4" xfId="11625" xr:uid="{00000000-0005-0000-0000-0000E61E0000}"/>
    <cellStyle name="20% - Accent5 2 4 2 4 2" xfId="35475" xr:uid="{7FBA52C5-C37C-49E4-B7EB-FF26BB9DA90E}"/>
    <cellStyle name="20% - Accent5 2 4 2 5" xfId="19580" xr:uid="{00000000-0005-0000-0000-0000E71E0000}"/>
    <cellStyle name="20% - Accent5 2 4 2 5 2" xfId="43413" xr:uid="{FC6C69A1-11C1-4C6D-A1AC-725FDED0D120}"/>
    <cellStyle name="20% - Accent5 2 4 2 6" xfId="27533" xr:uid="{A44B3D99-E4E7-4A03-A558-DC6647767208}"/>
    <cellStyle name="20% - Accent5 2 4 2_Exh G" xfId="2487" xr:uid="{00000000-0005-0000-0000-0000E81E0000}"/>
    <cellStyle name="20% - Accent5 2 4 3" xfId="4478" xr:uid="{00000000-0005-0000-0000-0000E91E0000}"/>
    <cellStyle name="20% - Accent5 2 4 3 2" xfId="8070" xr:uid="{00000000-0005-0000-0000-0000EA1E0000}"/>
    <cellStyle name="20% - Accent5 2 4 3 2 2" xfId="16041" xr:uid="{00000000-0005-0000-0000-0000EB1E0000}"/>
    <cellStyle name="20% - Accent5 2 4 3 2 2 2" xfId="39884" xr:uid="{6948E651-687D-4A1A-BC65-36684F0A7E7F}"/>
    <cellStyle name="20% - Accent5 2 4 3 2 3" xfId="23987" xr:uid="{00000000-0005-0000-0000-0000EC1E0000}"/>
    <cellStyle name="20% - Accent5 2 4 3 2 3 2" xfId="47820" xr:uid="{847D03C7-887D-4811-B18A-58CE14183B68}"/>
    <cellStyle name="20% - Accent5 2 4 3 2 4" xfId="31943" xr:uid="{52C0C719-F5EE-4CE5-B616-AE76C85DA144}"/>
    <cellStyle name="20% - Accent5 2 4 3 3" xfId="12503" xr:uid="{00000000-0005-0000-0000-0000ED1E0000}"/>
    <cellStyle name="20% - Accent5 2 4 3 3 2" xfId="36353" xr:uid="{957166A5-5EC0-4F6B-9B1B-9DEFF0064DC9}"/>
    <cellStyle name="20% - Accent5 2 4 3 4" xfId="20458" xr:uid="{00000000-0005-0000-0000-0000EE1E0000}"/>
    <cellStyle name="20% - Accent5 2 4 3 4 2" xfId="44291" xr:uid="{71F740DD-A26D-4D5A-B270-9BB8410039BA}"/>
    <cellStyle name="20% - Accent5 2 4 3 5" xfId="28412" xr:uid="{73000160-7397-44CE-AF4D-7FE35E21F54F}"/>
    <cellStyle name="20% - Accent5 2 4 4" xfId="6308" xr:uid="{00000000-0005-0000-0000-0000EF1E0000}"/>
    <cellStyle name="20% - Accent5 2 4 4 2" xfId="14283" xr:uid="{00000000-0005-0000-0000-0000F01E0000}"/>
    <cellStyle name="20% - Accent5 2 4 4 2 2" xfId="38126" xr:uid="{2C5676C9-8BA8-4859-898C-A1D9A5FEB612}"/>
    <cellStyle name="20% - Accent5 2 4 4 3" xfId="22230" xr:uid="{00000000-0005-0000-0000-0000F11E0000}"/>
    <cellStyle name="20% - Accent5 2 4 4 3 2" xfId="46063" xr:uid="{D442B29E-4695-45A6-B8AA-BCCD65BEA3C7}"/>
    <cellStyle name="20% - Accent5 2 4 4 4" xfId="30185" xr:uid="{06AFE1EE-2163-4C89-9255-C32B3F4D3B4E}"/>
    <cellStyle name="20% - Accent5 2 4 5" xfId="9851" xr:uid="{00000000-0005-0000-0000-0000F21E0000}"/>
    <cellStyle name="20% - Accent5 2 4 5 2" xfId="17809" xr:uid="{00000000-0005-0000-0000-0000F31E0000}"/>
    <cellStyle name="20% - Accent5 2 4 5 2 2" xfId="41650" xr:uid="{D642E8B4-B610-4286-BECD-B9DD78565BC3}"/>
    <cellStyle name="20% - Accent5 2 4 5 3" xfId="25753" xr:uid="{00000000-0005-0000-0000-0000F41E0000}"/>
    <cellStyle name="20% - Accent5 2 4 5 3 2" xfId="49586" xr:uid="{8060629F-2779-4C55-AD76-0393AD19D44B}"/>
    <cellStyle name="20% - Accent5 2 4 5 4" xfId="33709" xr:uid="{4D3378FE-A025-495A-96B3-AE2E6D32BB1C}"/>
    <cellStyle name="20% - Accent5 2 4 6" xfId="10747" xr:uid="{00000000-0005-0000-0000-0000F51E0000}"/>
    <cellStyle name="20% - Accent5 2 4 6 2" xfId="34597" xr:uid="{2B98C86D-C321-434F-B3CE-09EBF531C58F}"/>
    <cellStyle name="20% - Accent5 2 4 7" xfId="18702" xr:uid="{00000000-0005-0000-0000-0000F61E0000}"/>
    <cellStyle name="20% - Accent5 2 4 7 2" xfId="42535" xr:uid="{CEEB0BC4-A458-4C1A-AA81-FEBA211AAD49}"/>
    <cellStyle name="20% - Accent5 2 4 8" xfId="26655" xr:uid="{F0DD4FD4-5806-4FF0-9187-D02245D7EEA8}"/>
    <cellStyle name="20% - Accent5 2 4_Exh G" xfId="2486" xr:uid="{00000000-0005-0000-0000-0000F71E0000}"/>
    <cellStyle name="20% - Accent5 2 5" xfId="1276" xr:uid="{00000000-0005-0000-0000-0000F81E0000}"/>
    <cellStyle name="20% - Accent5 2 5 2" xfId="4806" xr:uid="{00000000-0005-0000-0000-0000F91E0000}"/>
    <cellStyle name="20% - Accent5 2 5 2 2" xfId="8397" xr:uid="{00000000-0005-0000-0000-0000FA1E0000}"/>
    <cellStyle name="20% - Accent5 2 5 2 2 2" xfId="16368" xr:uid="{00000000-0005-0000-0000-0000FB1E0000}"/>
    <cellStyle name="20% - Accent5 2 5 2 2 2 2" xfId="40211" xr:uid="{8F560EAD-CE0F-47A3-A441-9AE72AB9F6D7}"/>
    <cellStyle name="20% - Accent5 2 5 2 2 3" xfId="24314" xr:uid="{00000000-0005-0000-0000-0000FC1E0000}"/>
    <cellStyle name="20% - Accent5 2 5 2 2 3 2" xfId="48147" xr:uid="{6437FEB3-0210-420D-9E51-8FD1779EB080}"/>
    <cellStyle name="20% - Accent5 2 5 2 2 4" xfId="32270" xr:uid="{6B1094FB-49BD-431F-B5C5-0769EBD48812}"/>
    <cellStyle name="20% - Accent5 2 5 2 3" xfId="12830" xr:uid="{00000000-0005-0000-0000-0000FD1E0000}"/>
    <cellStyle name="20% - Accent5 2 5 2 3 2" xfId="36680" xr:uid="{502D1A35-FA37-447F-8919-6AB5EB482061}"/>
    <cellStyle name="20% - Accent5 2 5 2 4" xfId="20785" xr:uid="{00000000-0005-0000-0000-0000FE1E0000}"/>
    <cellStyle name="20% - Accent5 2 5 2 4 2" xfId="44618" xr:uid="{4A9595B9-36DB-41A4-A056-29647EAA53E1}"/>
    <cellStyle name="20% - Accent5 2 5 2 5" xfId="28739" xr:uid="{19164F66-FD72-4FA0-89E8-9E55875EBCE1}"/>
    <cellStyle name="20% - Accent5 2 5 3" xfId="6638" xr:uid="{00000000-0005-0000-0000-0000FF1E0000}"/>
    <cellStyle name="20% - Accent5 2 5 3 2" xfId="14610" xr:uid="{00000000-0005-0000-0000-0000001F0000}"/>
    <cellStyle name="20% - Accent5 2 5 3 2 2" xfId="38453" xr:uid="{C7971F98-F980-441D-AB92-CCFC146DDED5}"/>
    <cellStyle name="20% - Accent5 2 5 3 3" xfId="22557" xr:uid="{00000000-0005-0000-0000-0000011F0000}"/>
    <cellStyle name="20% - Accent5 2 5 3 3 2" xfId="46390" xr:uid="{9403341A-FCE8-4041-8B0F-9E719ACFE80B}"/>
    <cellStyle name="20% - Accent5 2 5 3 4" xfId="30512" xr:uid="{7749FAAA-8F9A-427C-B1D5-85987090D698}"/>
    <cellStyle name="20% - Accent5 2 5 4" xfId="11074" xr:uid="{00000000-0005-0000-0000-0000021F0000}"/>
    <cellStyle name="20% - Accent5 2 5 4 2" xfId="34924" xr:uid="{3CEBD589-07F7-47B5-B519-642F70AB7E4A}"/>
    <cellStyle name="20% - Accent5 2 5 5" xfId="19029" xr:uid="{00000000-0005-0000-0000-0000031F0000}"/>
    <cellStyle name="20% - Accent5 2 5 5 2" xfId="42862" xr:uid="{EAA253B7-9BB2-4B52-A7C5-305D635CE84A}"/>
    <cellStyle name="20% - Accent5 2 5 6" xfId="26982" xr:uid="{2A0BCCD8-D79D-43A4-8B2A-5E754A25AD68}"/>
    <cellStyle name="20% - Accent5 2 5_Exh G" xfId="2488" xr:uid="{00000000-0005-0000-0000-0000041F0000}"/>
    <cellStyle name="20% - Accent5 2 6" xfId="3927" xr:uid="{00000000-0005-0000-0000-0000051F0000}"/>
    <cellStyle name="20% - Accent5 2 6 2" xfId="7519" xr:uid="{00000000-0005-0000-0000-0000061F0000}"/>
    <cellStyle name="20% - Accent5 2 6 2 2" xfId="15490" xr:uid="{00000000-0005-0000-0000-0000071F0000}"/>
    <cellStyle name="20% - Accent5 2 6 2 2 2" xfId="39333" xr:uid="{9992EC6D-FF4D-479E-8FCD-AA2B3C306BBB}"/>
    <cellStyle name="20% - Accent5 2 6 2 3" xfId="23436" xr:uid="{00000000-0005-0000-0000-0000081F0000}"/>
    <cellStyle name="20% - Accent5 2 6 2 3 2" xfId="47269" xr:uid="{D6A4C343-DBE9-4589-9C57-41F309DFA27A}"/>
    <cellStyle name="20% - Accent5 2 6 2 4" xfId="31392" xr:uid="{82F2DE8C-A9F8-493F-99E3-F255C1E8B221}"/>
    <cellStyle name="20% - Accent5 2 6 3" xfId="11952" xr:uid="{00000000-0005-0000-0000-0000091F0000}"/>
    <cellStyle name="20% - Accent5 2 6 3 2" xfId="35802" xr:uid="{5BA5A169-340D-4E03-9AD7-73F3AD5636C2}"/>
    <cellStyle name="20% - Accent5 2 6 4" xfId="19907" xr:uid="{00000000-0005-0000-0000-00000A1F0000}"/>
    <cellStyle name="20% - Accent5 2 6 4 2" xfId="43740" xr:uid="{89A6F20F-E6BC-4F97-8845-B346A9C0FCAB}"/>
    <cellStyle name="20% - Accent5 2 6 5" xfId="27861" xr:uid="{736A5600-757E-46CA-B8A4-7FEA559ECA85}"/>
    <cellStyle name="20% - Accent5 2 7" xfId="5747" xr:uid="{00000000-0005-0000-0000-00000B1F0000}"/>
    <cellStyle name="20% - Accent5 2 7 2" xfId="13731" xr:uid="{00000000-0005-0000-0000-00000C1F0000}"/>
    <cellStyle name="20% - Accent5 2 7 2 2" xfId="37575" xr:uid="{345ADE02-1DBF-46AC-97FA-CD29B7BA28CE}"/>
    <cellStyle name="20% - Accent5 2 7 3" xfId="21679" xr:uid="{00000000-0005-0000-0000-00000D1F0000}"/>
    <cellStyle name="20% - Accent5 2 7 3 2" xfId="45512" xr:uid="{B8346EFD-45B4-41CC-ABC6-20408716C200}"/>
    <cellStyle name="20% - Accent5 2 7 4" xfId="29634" xr:uid="{7425D9E3-AA18-4533-B6BC-6AD78C8A7064}"/>
    <cellStyle name="20% - Accent5 2 8" xfId="9300" xr:uid="{00000000-0005-0000-0000-00000E1F0000}"/>
    <cellStyle name="20% - Accent5 2 8 2" xfId="17258" xr:uid="{00000000-0005-0000-0000-00000F1F0000}"/>
    <cellStyle name="20% - Accent5 2 8 2 2" xfId="41099" xr:uid="{E73ECFB0-5350-4E87-84E5-06F2DB6F3098}"/>
    <cellStyle name="20% - Accent5 2 8 3" xfId="25202" xr:uid="{00000000-0005-0000-0000-0000101F0000}"/>
    <cellStyle name="20% - Accent5 2 8 3 2" xfId="49035" xr:uid="{2855E040-B7DF-4B7C-B684-1954AFC65BD5}"/>
    <cellStyle name="20% - Accent5 2 8 4" xfId="33158" xr:uid="{4A4584E7-2EA1-454E-A6A0-BCF62FDCA472}"/>
    <cellStyle name="20% - Accent5 2 9" xfId="10196" xr:uid="{00000000-0005-0000-0000-0000111F0000}"/>
    <cellStyle name="20% - Accent5 2 9 2" xfId="34046" xr:uid="{7BC756EA-4039-43FA-908F-C1B98DE3F8D7}"/>
    <cellStyle name="20% - Accent5 2_Exh G" xfId="2477" xr:uid="{00000000-0005-0000-0000-0000121F0000}"/>
    <cellStyle name="20% - Accent5 3" xfId="252" xr:uid="{00000000-0005-0000-0000-0000131F0000}"/>
    <cellStyle name="20% - Accent5 3 10" xfId="18155" xr:uid="{00000000-0005-0000-0000-0000141F0000}"/>
    <cellStyle name="20% - Accent5 3 10 2" xfId="41988" xr:uid="{D1A15652-8611-4422-808E-FC92FCA3FF2A}"/>
    <cellStyle name="20% - Accent5 3 11" xfId="26108" xr:uid="{9D55866E-B3CC-4633-9DAD-DD871A9F33E3}"/>
    <cellStyle name="20% - Accent5 3 12" xfId="49774" xr:uid="{B1364B62-E969-4E62-A715-EC57E16D280D}"/>
    <cellStyle name="20% - Accent5 3 13" xfId="49828" xr:uid="{67BC31E0-703A-42E3-BF41-EDE96BDA5966}"/>
    <cellStyle name="20% - Accent5 3 2" xfId="253" xr:uid="{00000000-0005-0000-0000-0000151F0000}"/>
    <cellStyle name="20% - Accent5 3 2 10" xfId="26109" xr:uid="{4E967EBA-3B6F-46A8-9D48-1F5617BDD4F8}"/>
    <cellStyle name="20% - Accent5 3 2 2" xfId="254" xr:uid="{00000000-0005-0000-0000-0000161F0000}"/>
    <cellStyle name="20% - Accent5 3 2 2 2" xfId="1282" xr:uid="{00000000-0005-0000-0000-0000171F0000}"/>
    <cellStyle name="20% - Accent5 3 2 2 2 2" xfId="4812" xr:uid="{00000000-0005-0000-0000-0000181F0000}"/>
    <cellStyle name="20% - Accent5 3 2 2 2 2 2" xfId="8403" xr:uid="{00000000-0005-0000-0000-0000191F0000}"/>
    <cellStyle name="20% - Accent5 3 2 2 2 2 2 2" xfId="16374" xr:uid="{00000000-0005-0000-0000-00001A1F0000}"/>
    <cellStyle name="20% - Accent5 3 2 2 2 2 2 2 2" xfId="40217" xr:uid="{DDF06356-1981-49F6-A847-848A42EB7D04}"/>
    <cellStyle name="20% - Accent5 3 2 2 2 2 2 3" xfId="24320" xr:uid="{00000000-0005-0000-0000-00001B1F0000}"/>
    <cellStyle name="20% - Accent5 3 2 2 2 2 2 3 2" xfId="48153" xr:uid="{C9C7C27F-D793-4BFC-B17A-0732A2DDFAFA}"/>
    <cellStyle name="20% - Accent5 3 2 2 2 2 2 4" xfId="32276" xr:uid="{1B5C7698-A558-437E-94D6-DBB1053F699F}"/>
    <cellStyle name="20% - Accent5 3 2 2 2 2 3" xfId="12836" xr:uid="{00000000-0005-0000-0000-00001C1F0000}"/>
    <cellStyle name="20% - Accent5 3 2 2 2 2 3 2" xfId="36686" xr:uid="{1B201984-8ED8-4F72-8056-F8048901341C}"/>
    <cellStyle name="20% - Accent5 3 2 2 2 2 4" xfId="20791" xr:uid="{00000000-0005-0000-0000-00001D1F0000}"/>
    <cellStyle name="20% - Accent5 3 2 2 2 2 4 2" xfId="44624" xr:uid="{11AD5967-493F-49A0-AF29-BF2C6FD1A574}"/>
    <cellStyle name="20% - Accent5 3 2 2 2 2 5" xfId="28745" xr:uid="{92779F6B-A4F8-4235-A8EA-54EE722F503F}"/>
    <cellStyle name="20% - Accent5 3 2 2 2 3" xfId="6644" xr:uid="{00000000-0005-0000-0000-00001E1F0000}"/>
    <cellStyle name="20% - Accent5 3 2 2 2 3 2" xfId="14616" xr:uid="{00000000-0005-0000-0000-00001F1F0000}"/>
    <cellStyle name="20% - Accent5 3 2 2 2 3 2 2" xfId="38459" xr:uid="{8F12F087-F185-477B-BE2B-1F892B80012F}"/>
    <cellStyle name="20% - Accent5 3 2 2 2 3 3" xfId="22563" xr:uid="{00000000-0005-0000-0000-0000201F0000}"/>
    <cellStyle name="20% - Accent5 3 2 2 2 3 3 2" xfId="46396" xr:uid="{DA39E621-7C3C-4707-BB4A-B741343B85A0}"/>
    <cellStyle name="20% - Accent5 3 2 2 2 3 4" xfId="30518" xr:uid="{299D008F-8A12-440B-9A76-8D54D32BD45B}"/>
    <cellStyle name="20% - Accent5 3 2 2 2 4" xfId="11080" xr:uid="{00000000-0005-0000-0000-0000211F0000}"/>
    <cellStyle name="20% - Accent5 3 2 2 2 4 2" xfId="34930" xr:uid="{AD1D88D7-1731-4D1D-83E5-5CD4813494D6}"/>
    <cellStyle name="20% - Accent5 3 2 2 2 5" xfId="19035" xr:uid="{00000000-0005-0000-0000-0000221F0000}"/>
    <cellStyle name="20% - Accent5 3 2 2 2 5 2" xfId="42868" xr:uid="{7658D699-B029-4724-B7FB-4E478B50C738}"/>
    <cellStyle name="20% - Accent5 3 2 2 2 6" xfId="26988" xr:uid="{F14A16C7-F2EA-4F12-955F-DCB03DAB8BD7}"/>
    <cellStyle name="20% - Accent5 3 2 2 2_Exh G" xfId="2492" xr:uid="{00000000-0005-0000-0000-0000231F0000}"/>
    <cellStyle name="20% - Accent5 3 2 2 3" xfId="3933" xr:uid="{00000000-0005-0000-0000-0000241F0000}"/>
    <cellStyle name="20% - Accent5 3 2 2 3 2" xfId="7525" xr:uid="{00000000-0005-0000-0000-0000251F0000}"/>
    <cellStyle name="20% - Accent5 3 2 2 3 2 2" xfId="15496" xr:uid="{00000000-0005-0000-0000-0000261F0000}"/>
    <cellStyle name="20% - Accent5 3 2 2 3 2 2 2" xfId="39339" xr:uid="{E5455759-48B3-498D-85A2-982FED88897C}"/>
    <cellStyle name="20% - Accent5 3 2 2 3 2 3" xfId="23442" xr:uid="{00000000-0005-0000-0000-0000271F0000}"/>
    <cellStyle name="20% - Accent5 3 2 2 3 2 3 2" xfId="47275" xr:uid="{897397B2-FE25-47F0-BB0B-37F9C792D2F8}"/>
    <cellStyle name="20% - Accent5 3 2 2 3 2 4" xfId="31398" xr:uid="{EAC9360A-3A3B-4BB9-B112-E92C244585A7}"/>
    <cellStyle name="20% - Accent5 3 2 2 3 3" xfId="11958" xr:uid="{00000000-0005-0000-0000-0000281F0000}"/>
    <cellStyle name="20% - Accent5 3 2 2 3 3 2" xfId="35808" xr:uid="{0BE2B348-F156-4A1D-8648-271F2B2FF0FD}"/>
    <cellStyle name="20% - Accent5 3 2 2 3 4" xfId="19913" xr:uid="{00000000-0005-0000-0000-0000291F0000}"/>
    <cellStyle name="20% - Accent5 3 2 2 3 4 2" xfId="43746" xr:uid="{80F59EF7-870A-495B-9A0D-E35986FFB8F6}"/>
    <cellStyle name="20% - Accent5 3 2 2 3 5" xfId="27867" xr:uid="{44C36D88-ECA9-4F2A-8C9F-1F0E5DE40829}"/>
    <cellStyle name="20% - Accent5 3 2 2 4" xfId="5753" xr:uid="{00000000-0005-0000-0000-00002A1F0000}"/>
    <cellStyle name="20% - Accent5 3 2 2 4 2" xfId="13737" xr:uid="{00000000-0005-0000-0000-00002B1F0000}"/>
    <cellStyle name="20% - Accent5 3 2 2 4 2 2" xfId="37581" xr:uid="{419E5172-386A-4ECE-BB73-EFEBB6F53206}"/>
    <cellStyle name="20% - Accent5 3 2 2 4 3" xfId="21685" xr:uid="{00000000-0005-0000-0000-00002C1F0000}"/>
    <cellStyle name="20% - Accent5 3 2 2 4 3 2" xfId="45518" xr:uid="{1DC15D6F-557D-4C47-AEAF-4B1E16A5C303}"/>
    <cellStyle name="20% - Accent5 3 2 2 4 4" xfId="29640" xr:uid="{AF8DCCE2-5E2F-4DAC-9091-F0B169091A3D}"/>
    <cellStyle name="20% - Accent5 3 2 2 5" xfId="9306" xr:uid="{00000000-0005-0000-0000-00002D1F0000}"/>
    <cellStyle name="20% - Accent5 3 2 2 5 2" xfId="17264" xr:uid="{00000000-0005-0000-0000-00002E1F0000}"/>
    <cellStyle name="20% - Accent5 3 2 2 5 2 2" xfId="41105" xr:uid="{708E1DCF-1367-4B79-9E4B-D74685313838}"/>
    <cellStyle name="20% - Accent5 3 2 2 5 3" xfId="25208" xr:uid="{00000000-0005-0000-0000-00002F1F0000}"/>
    <cellStyle name="20% - Accent5 3 2 2 5 3 2" xfId="49041" xr:uid="{D2724CCC-B9A7-402C-BA60-6434A819E007}"/>
    <cellStyle name="20% - Accent5 3 2 2 5 4" xfId="33164" xr:uid="{F2A2B110-183B-478C-AC3F-755D6D32616D}"/>
    <cellStyle name="20% - Accent5 3 2 2 6" xfId="10202" xr:uid="{00000000-0005-0000-0000-0000301F0000}"/>
    <cellStyle name="20% - Accent5 3 2 2 6 2" xfId="34052" xr:uid="{373D417B-CC7A-4530-9986-BC08E0DFAB87}"/>
    <cellStyle name="20% - Accent5 3 2 2 7" xfId="18157" xr:uid="{00000000-0005-0000-0000-0000311F0000}"/>
    <cellStyle name="20% - Accent5 3 2 2 7 2" xfId="41990" xr:uid="{45D5D31F-4495-47A8-A477-8EA112516745}"/>
    <cellStyle name="20% - Accent5 3 2 2 8" xfId="26110" xr:uid="{90A8663B-7FE9-42C4-921A-AB4BB096FA68}"/>
    <cellStyle name="20% - Accent5 3 2 2_Exh G" xfId="2491" xr:uid="{00000000-0005-0000-0000-0000321F0000}"/>
    <cellStyle name="20% - Accent5 3 2 3" xfId="914" xr:uid="{00000000-0005-0000-0000-0000331F0000}"/>
    <cellStyle name="20% - Accent5 3 2 3 2" xfId="1842" xr:uid="{00000000-0005-0000-0000-0000341F0000}"/>
    <cellStyle name="20% - Accent5 3 2 3 2 2" xfId="5360" xr:uid="{00000000-0005-0000-0000-0000351F0000}"/>
    <cellStyle name="20% - Accent5 3 2 3 2 2 2" xfId="8951" xr:uid="{00000000-0005-0000-0000-0000361F0000}"/>
    <cellStyle name="20% - Accent5 3 2 3 2 2 2 2" xfId="16922" xr:uid="{00000000-0005-0000-0000-0000371F0000}"/>
    <cellStyle name="20% - Accent5 3 2 3 2 2 2 2 2" xfId="40765" xr:uid="{3CFFEB1F-67C4-475B-AFA9-DC8794278EE4}"/>
    <cellStyle name="20% - Accent5 3 2 3 2 2 2 3" xfId="24868" xr:uid="{00000000-0005-0000-0000-0000381F0000}"/>
    <cellStyle name="20% - Accent5 3 2 3 2 2 2 3 2" xfId="48701" xr:uid="{76AABF60-B084-4D82-8A16-3FA9ED5FB1F6}"/>
    <cellStyle name="20% - Accent5 3 2 3 2 2 2 4" xfId="32824" xr:uid="{A3145CE2-6AB0-48F2-BCAD-009844363F6C}"/>
    <cellStyle name="20% - Accent5 3 2 3 2 2 3" xfId="13384" xr:uid="{00000000-0005-0000-0000-0000391F0000}"/>
    <cellStyle name="20% - Accent5 3 2 3 2 2 3 2" xfId="37234" xr:uid="{CD9C6B03-F2DC-44A8-9D5E-2A656D3D063F}"/>
    <cellStyle name="20% - Accent5 3 2 3 2 2 4" xfId="21339" xr:uid="{00000000-0005-0000-0000-00003A1F0000}"/>
    <cellStyle name="20% - Accent5 3 2 3 2 2 4 2" xfId="45172" xr:uid="{F68B36D0-7F28-4808-A086-AD7D3C7BD44B}"/>
    <cellStyle name="20% - Accent5 3 2 3 2 2 5" xfId="29293" xr:uid="{564A1EE2-5B6A-4B9D-935F-3A004542B835}"/>
    <cellStyle name="20% - Accent5 3 2 3 2 3" xfId="7192" xr:uid="{00000000-0005-0000-0000-00003B1F0000}"/>
    <cellStyle name="20% - Accent5 3 2 3 2 3 2" xfId="15164" xr:uid="{00000000-0005-0000-0000-00003C1F0000}"/>
    <cellStyle name="20% - Accent5 3 2 3 2 3 2 2" xfId="39007" xr:uid="{41210852-D61A-4682-B123-737F73DACD40}"/>
    <cellStyle name="20% - Accent5 3 2 3 2 3 3" xfId="23111" xr:uid="{00000000-0005-0000-0000-00003D1F0000}"/>
    <cellStyle name="20% - Accent5 3 2 3 2 3 3 2" xfId="46944" xr:uid="{4CE5BC37-436D-429C-8645-BE58A87F4B77}"/>
    <cellStyle name="20% - Accent5 3 2 3 2 3 4" xfId="31066" xr:uid="{8E0575AF-3C12-4992-A0A8-B40473FC1164}"/>
    <cellStyle name="20% - Accent5 3 2 3 2 4" xfId="11628" xr:uid="{00000000-0005-0000-0000-00003E1F0000}"/>
    <cellStyle name="20% - Accent5 3 2 3 2 4 2" xfId="35478" xr:uid="{AF6938D5-1CBF-437A-BECB-FE7A090D7561}"/>
    <cellStyle name="20% - Accent5 3 2 3 2 5" xfId="19583" xr:uid="{00000000-0005-0000-0000-00003F1F0000}"/>
    <cellStyle name="20% - Accent5 3 2 3 2 5 2" xfId="43416" xr:uid="{636832E6-A583-4B6D-9559-70FED2A5BC68}"/>
    <cellStyle name="20% - Accent5 3 2 3 2 6" xfId="27536" xr:uid="{3D0DDEB0-C5EA-4850-9988-754149F9737E}"/>
    <cellStyle name="20% - Accent5 3 2 3 2_Exh G" xfId="2494" xr:uid="{00000000-0005-0000-0000-0000401F0000}"/>
    <cellStyle name="20% - Accent5 3 2 3 3" xfId="4481" xr:uid="{00000000-0005-0000-0000-0000411F0000}"/>
    <cellStyle name="20% - Accent5 3 2 3 3 2" xfId="8073" xr:uid="{00000000-0005-0000-0000-0000421F0000}"/>
    <cellStyle name="20% - Accent5 3 2 3 3 2 2" xfId="16044" xr:uid="{00000000-0005-0000-0000-0000431F0000}"/>
    <cellStyle name="20% - Accent5 3 2 3 3 2 2 2" xfId="39887" xr:uid="{FA817DA5-79AA-4A1B-B69A-5B24DFB6BA8A}"/>
    <cellStyle name="20% - Accent5 3 2 3 3 2 3" xfId="23990" xr:uid="{00000000-0005-0000-0000-0000441F0000}"/>
    <cellStyle name="20% - Accent5 3 2 3 3 2 3 2" xfId="47823" xr:uid="{A8813BA7-A4AB-4C8A-AF9F-F3E58F6FA75D}"/>
    <cellStyle name="20% - Accent5 3 2 3 3 2 4" xfId="31946" xr:uid="{EED0999B-7D2F-4E9E-9FD2-5E4B9CE19193}"/>
    <cellStyle name="20% - Accent5 3 2 3 3 3" xfId="12506" xr:uid="{00000000-0005-0000-0000-0000451F0000}"/>
    <cellStyle name="20% - Accent5 3 2 3 3 3 2" xfId="36356" xr:uid="{1B3DEF65-9AA9-49DB-9B2F-DEC10B011C37}"/>
    <cellStyle name="20% - Accent5 3 2 3 3 4" xfId="20461" xr:uid="{00000000-0005-0000-0000-0000461F0000}"/>
    <cellStyle name="20% - Accent5 3 2 3 3 4 2" xfId="44294" xr:uid="{5A9CDAD9-E67B-42C6-9CBB-E365CF7C1D73}"/>
    <cellStyle name="20% - Accent5 3 2 3 3 5" xfId="28415" xr:uid="{B0510770-50BD-4133-965E-2BC1D7969218}"/>
    <cellStyle name="20% - Accent5 3 2 3 4" xfId="6311" xr:uid="{00000000-0005-0000-0000-0000471F0000}"/>
    <cellStyle name="20% - Accent5 3 2 3 4 2" xfId="14286" xr:uid="{00000000-0005-0000-0000-0000481F0000}"/>
    <cellStyle name="20% - Accent5 3 2 3 4 2 2" xfId="38129" xr:uid="{70DD2ECB-135F-4205-9ABC-AA8A13C5361E}"/>
    <cellStyle name="20% - Accent5 3 2 3 4 3" xfId="22233" xr:uid="{00000000-0005-0000-0000-0000491F0000}"/>
    <cellStyle name="20% - Accent5 3 2 3 4 3 2" xfId="46066" xr:uid="{0FC9CAFF-5AA3-4654-8BF9-2BA3CDF993E3}"/>
    <cellStyle name="20% - Accent5 3 2 3 4 4" xfId="30188" xr:uid="{4D7ED8C3-23F7-4DEB-836E-427531E57CF5}"/>
    <cellStyle name="20% - Accent5 3 2 3 5" xfId="9854" xr:uid="{00000000-0005-0000-0000-00004A1F0000}"/>
    <cellStyle name="20% - Accent5 3 2 3 5 2" xfId="17812" xr:uid="{00000000-0005-0000-0000-00004B1F0000}"/>
    <cellStyle name="20% - Accent5 3 2 3 5 2 2" xfId="41653" xr:uid="{DF645FE0-A680-4E2A-A5FA-3BA12439FA28}"/>
    <cellStyle name="20% - Accent5 3 2 3 5 3" xfId="25756" xr:uid="{00000000-0005-0000-0000-00004C1F0000}"/>
    <cellStyle name="20% - Accent5 3 2 3 5 3 2" xfId="49589" xr:uid="{31BCCD6B-C447-4E6D-81D6-100A02B20348}"/>
    <cellStyle name="20% - Accent5 3 2 3 5 4" xfId="33712" xr:uid="{0FE5A241-48C2-4EAA-AE98-884C3EFB7A91}"/>
    <cellStyle name="20% - Accent5 3 2 3 6" xfId="10750" xr:uid="{00000000-0005-0000-0000-00004D1F0000}"/>
    <cellStyle name="20% - Accent5 3 2 3 6 2" xfId="34600" xr:uid="{BC84EED9-6CE1-4D70-9D95-BD6953C2B79D}"/>
    <cellStyle name="20% - Accent5 3 2 3 7" xfId="18705" xr:uid="{00000000-0005-0000-0000-00004E1F0000}"/>
    <cellStyle name="20% - Accent5 3 2 3 7 2" xfId="42538" xr:uid="{F7093080-B411-4685-87C8-EFA77DC18F03}"/>
    <cellStyle name="20% - Accent5 3 2 3 8" xfId="26658" xr:uid="{DAF429D2-9F89-4876-A76B-EF39C5C3D094}"/>
    <cellStyle name="20% - Accent5 3 2 3_Exh G" xfId="2493" xr:uid="{00000000-0005-0000-0000-00004F1F0000}"/>
    <cellStyle name="20% - Accent5 3 2 4" xfId="1281" xr:uid="{00000000-0005-0000-0000-0000501F0000}"/>
    <cellStyle name="20% - Accent5 3 2 4 2" xfId="4811" xr:uid="{00000000-0005-0000-0000-0000511F0000}"/>
    <cellStyle name="20% - Accent5 3 2 4 2 2" xfId="8402" xr:uid="{00000000-0005-0000-0000-0000521F0000}"/>
    <cellStyle name="20% - Accent5 3 2 4 2 2 2" xfId="16373" xr:uid="{00000000-0005-0000-0000-0000531F0000}"/>
    <cellStyle name="20% - Accent5 3 2 4 2 2 2 2" xfId="40216" xr:uid="{C2F54819-7F17-4288-BE28-F4B98CF95170}"/>
    <cellStyle name="20% - Accent5 3 2 4 2 2 3" xfId="24319" xr:uid="{00000000-0005-0000-0000-0000541F0000}"/>
    <cellStyle name="20% - Accent5 3 2 4 2 2 3 2" xfId="48152" xr:uid="{F1D8D911-811E-403A-978E-1238697D023C}"/>
    <cellStyle name="20% - Accent5 3 2 4 2 2 4" xfId="32275" xr:uid="{28FB328B-B080-4460-834B-A598B67C3382}"/>
    <cellStyle name="20% - Accent5 3 2 4 2 3" xfId="12835" xr:uid="{00000000-0005-0000-0000-0000551F0000}"/>
    <cellStyle name="20% - Accent5 3 2 4 2 3 2" xfId="36685" xr:uid="{D0DEBEB3-E10C-4C60-B453-97CBCBD6BAFF}"/>
    <cellStyle name="20% - Accent5 3 2 4 2 4" xfId="20790" xr:uid="{00000000-0005-0000-0000-0000561F0000}"/>
    <cellStyle name="20% - Accent5 3 2 4 2 4 2" xfId="44623" xr:uid="{6986E510-AF4C-4BE8-8C32-9AC9D80E234D}"/>
    <cellStyle name="20% - Accent5 3 2 4 2 5" xfId="28744" xr:uid="{A900DF04-B3A7-4C23-AB4C-EA0D248C0D60}"/>
    <cellStyle name="20% - Accent5 3 2 4 3" xfId="6643" xr:uid="{00000000-0005-0000-0000-0000571F0000}"/>
    <cellStyle name="20% - Accent5 3 2 4 3 2" xfId="14615" xr:uid="{00000000-0005-0000-0000-0000581F0000}"/>
    <cellStyle name="20% - Accent5 3 2 4 3 2 2" xfId="38458" xr:uid="{48E8C3FD-8255-4F89-9457-3FE9CF872D3C}"/>
    <cellStyle name="20% - Accent5 3 2 4 3 3" xfId="22562" xr:uid="{00000000-0005-0000-0000-0000591F0000}"/>
    <cellStyle name="20% - Accent5 3 2 4 3 3 2" xfId="46395" xr:uid="{94D5AF2E-5E98-4961-87ED-EAC416F987CC}"/>
    <cellStyle name="20% - Accent5 3 2 4 3 4" xfId="30517" xr:uid="{0051BF3C-C6B3-4536-B9D5-86648A7C5367}"/>
    <cellStyle name="20% - Accent5 3 2 4 4" xfId="11079" xr:uid="{00000000-0005-0000-0000-00005A1F0000}"/>
    <cellStyle name="20% - Accent5 3 2 4 4 2" xfId="34929" xr:uid="{8D5D7ACD-2BEC-4E22-909E-09FEEE774616}"/>
    <cellStyle name="20% - Accent5 3 2 4 5" xfId="19034" xr:uid="{00000000-0005-0000-0000-00005B1F0000}"/>
    <cellStyle name="20% - Accent5 3 2 4 5 2" xfId="42867" xr:uid="{95EEA537-400C-4A27-8A6F-A503B49BB1BB}"/>
    <cellStyle name="20% - Accent5 3 2 4 6" xfId="26987" xr:uid="{D7C0880A-9ED4-4F7F-9DFC-631E1CA6B388}"/>
    <cellStyle name="20% - Accent5 3 2 4_Exh G" xfId="2495" xr:uid="{00000000-0005-0000-0000-00005C1F0000}"/>
    <cellStyle name="20% - Accent5 3 2 5" xfId="3932" xr:uid="{00000000-0005-0000-0000-00005D1F0000}"/>
    <cellStyle name="20% - Accent5 3 2 5 2" xfId="7524" xr:uid="{00000000-0005-0000-0000-00005E1F0000}"/>
    <cellStyle name="20% - Accent5 3 2 5 2 2" xfId="15495" xr:uid="{00000000-0005-0000-0000-00005F1F0000}"/>
    <cellStyle name="20% - Accent5 3 2 5 2 2 2" xfId="39338" xr:uid="{674A4FDF-37CA-475A-84F6-150FDB82C447}"/>
    <cellStyle name="20% - Accent5 3 2 5 2 3" xfId="23441" xr:uid="{00000000-0005-0000-0000-0000601F0000}"/>
    <cellStyle name="20% - Accent5 3 2 5 2 3 2" xfId="47274" xr:uid="{60F7403B-94B3-480B-9562-8D6807B74534}"/>
    <cellStyle name="20% - Accent5 3 2 5 2 4" xfId="31397" xr:uid="{3EF81BCD-D319-4C73-8FCC-C67C33CC687D}"/>
    <cellStyle name="20% - Accent5 3 2 5 3" xfId="11957" xr:uid="{00000000-0005-0000-0000-0000611F0000}"/>
    <cellStyle name="20% - Accent5 3 2 5 3 2" xfId="35807" xr:uid="{34374C8B-64A6-4072-A605-194BBF6F1E3D}"/>
    <cellStyle name="20% - Accent5 3 2 5 4" xfId="19912" xr:uid="{00000000-0005-0000-0000-0000621F0000}"/>
    <cellStyle name="20% - Accent5 3 2 5 4 2" xfId="43745" xr:uid="{9F8DD5C8-36ED-445E-96E9-901BC88507EB}"/>
    <cellStyle name="20% - Accent5 3 2 5 5" xfId="27866" xr:uid="{839FD5CE-1682-4A12-B1DA-2429D0933A7A}"/>
    <cellStyle name="20% - Accent5 3 2 6" xfId="5752" xr:uid="{00000000-0005-0000-0000-0000631F0000}"/>
    <cellStyle name="20% - Accent5 3 2 6 2" xfId="13736" xr:uid="{00000000-0005-0000-0000-0000641F0000}"/>
    <cellStyle name="20% - Accent5 3 2 6 2 2" xfId="37580" xr:uid="{4D1838BF-5841-471A-837C-6A65F7E906E8}"/>
    <cellStyle name="20% - Accent5 3 2 6 3" xfId="21684" xr:uid="{00000000-0005-0000-0000-0000651F0000}"/>
    <cellStyle name="20% - Accent5 3 2 6 3 2" xfId="45517" xr:uid="{31329398-C160-4F20-B63D-AA223DC0197D}"/>
    <cellStyle name="20% - Accent5 3 2 6 4" xfId="29639" xr:uid="{6F9F49D3-D7FB-4161-A8A4-F1B34A92A1DC}"/>
    <cellStyle name="20% - Accent5 3 2 7" xfId="9305" xr:uid="{00000000-0005-0000-0000-0000661F0000}"/>
    <cellStyle name="20% - Accent5 3 2 7 2" xfId="17263" xr:uid="{00000000-0005-0000-0000-0000671F0000}"/>
    <cellStyle name="20% - Accent5 3 2 7 2 2" xfId="41104" xr:uid="{70DCAAEA-CA5B-4F55-9253-4F6B8DE59E7C}"/>
    <cellStyle name="20% - Accent5 3 2 7 3" xfId="25207" xr:uid="{00000000-0005-0000-0000-0000681F0000}"/>
    <cellStyle name="20% - Accent5 3 2 7 3 2" xfId="49040" xr:uid="{DF0B3B9E-E03C-4B49-853F-2A629EF07D57}"/>
    <cellStyle name="20% - Accent5 3 2 7 4" xfId="33163" xr:uid="{787EA3B2-2631-4C5D-AABB-C1E88047E560}"/>
    <cellStyle name="20% - Accent5 3 2 8" xfId="10201" xr:uid="{00000000-0005-0000-0000-0000691F0000}"/>
    <cellStyle name="20% - Accent5 3 2 8 2" xfId="34051" xr:uid="{E6FBB3FB-0E78-4B65-B790-52449B001D1A}"/>
    <cellStyle name="20% - Accent5 3 2 9" xfId="18156" xr:uid="{00000000-0005-0000-0000-00006A1F0000}"/>
    <cellStyle name="20% - Accent5 3 2 9 2" xfId="41989" xr:uid="{FCDA576C-F7B0-4032-8B70-393DFA37F34B}"/>
    <cellStyle name="20% - Accent5 3 2_Exh G" xfId="2490" xr:uid="{00000000-0005-0000-0000-00006B1F0000}"/>
    <cellStyle name="20% - Accent5 3 3" xfId="255" xr:uid="{00000000-0005-0000-0000-00006C1F0000}"/>
    <cellStyle name="20% - Accent5 3 3 2" xfId="1283" xr:uid="{00000000-0005-0000-0000-00006D1F0000}"/>
    <cellStyle name="20% - Accent5 3 3 2 2" xfId="4813" xr:uid="{00000000-0005-0000-0000-00006E1F0000}"/>
    <cellStyle name="20% - Accent5 3 3 2 2 2" xfId="8404" xr:uid="{00000000-0005-0000-0000-00006F1F0000}"/>
    <cellStyle name="20% - Accent5 3 3 2 2 2 2" xfId="16375" xr:uid="{00000000-0005-0000-0000-0000701F0000}"/>
    <cellStyle name="20% - Accent5 3 3 2 2 2 2 2" xfId="40218" xr:uid="{50ED666C-658B-42BE-821D-3C6860C654DB}"/>
    <cellStyle name="20% - Accent5 3 3 2 2 2 3" xfId="24321" xr:uid="{00000000-0005-0000-0000-0000711F0000}"/>
    <cellStyle name="20% - Accent5 3 3 2 2 2 3 2" xfId="48154" xr:uid="{29D4F9AA-CC9F-4C62-934E-C27E976EB2A4}"/>
    <cellStyle name="20% - Accent5 3 3 2 2 2 4" xfId="32277" xr:uid="{DB9CCA29-6BD5-4227-9B5A-9644D7362C24}"/>
    <cellStyle name="20% - Accent5 3 3 2 2 3" xfId="12837" xr:uid="{00000000-0005-0000-0000-0000721F0000}"/>
    <cellStyle name="20% - Accent5 3 3 2 2 3 2" xfId="36687" xr:uid="{4608E6F0-9790-4BB7-BF47-01D83DB873CB}"/>
    <cellStyle name="20% - Accent5 3 3 2 2 4" xfId="20792" xr:uid="{00000000-0005-0000-0000-0000731F0000}"/>
    <cellStyle name="20% - Accent5 3 3 2 2 4 2" xfId="44625" xr:uid="{F7C89231-1B02-4AB7-B692-9D4061337164}"/>
    <cellStyle name="20% - Accent5 3 3 2 2 5" xfId="28746" xr:uid="{DF13AD6B-88C5-4B6C-B14A-66C083210A6D}"/>
    <cellStyle name="20% - Accent5 3 3 2 3" xfId="6645" xr:uid="{00000000-0005-0000-0000-0000741F0000}"/>
    <cellStyle name="20% - Accent5 3 3 2 3 2" xfId="14617" xr:uid="{00000000-0005-0000-0000-0000751F0000}"/>
    <cellStyle name="20% - Accent5 3 3 2 3 2 2" xfId="38460" xr:uid="{F6CD071B-D0AE-4ADB-A297-D0361E9BC233}"/>
    <cellStyle name="20% - Accent5 3 3 2 3 3" xfId="22564" xr:uid="{00000000-0005-0000-0000-0000761F0000}"/>
    <cellStyle name="20% - Accent5 3 3 2 3 3 2" xfId="46397" xr:uid="{3A733179-1AD9-4BC7-914B-08A04F482710}"/>
    <cellStyle name="20% - Accent5 3 3 2 3 4" xfId="30519" xr:uid="{07891802-23A7-4888-BCD0-8AC5460DA7B8}"/>
    <cellStyle name="20% - Accent5 3 3 2 4" xfId="11081" xr:uid="{00000000-0005-0000-0000-0000771F0000}"/>
    <cellStyle name="20% - Accent5 3 3 2 4 2" xfId="34931" xr:uid="{5E373054-876E-4F62-8DC3-05B462316A6E}"/>
    <cellStyle name="20% - Accent5 3 3 2 5" xfId="19036" xr:uid="{00000000-0005-0000-0000-0000781F0000}"/>
    <cellStyle name="20% - Accent5 3 3 2 5 2" xfId="42869" xr:uid="{9CEE978E-DA1E-4CD9-A21B-9790BE8D3279}"/>
    <cellStyle name="20% - Accent5 3 3 2 6" xfId="26989" xr:uid="{10F09034-6F6A-4189-8722-7F42C775AC5E}"/>
    <cellStyle name="20% - Accent5 3 3 2_Exh G" xfId="2497" xr:uid="{00000000-0005-0000-0000-0000791F0000}"/>
    <cellStyle name="20% - Accent5 3 3 3" xfId="3934" xr:uid="{00000000-0005-0000-0000-00007A1F0000}"/>
    <cellStyle name="20% - Accent5 3 3 3 2" xfId="7526" xr:uid="{00000000-0005-0000-0000-00007B1F0000}"/>
    <cellStyle name="20% - Accent5 3 3 3 2 2" xfId="15497" xr:uid="{00000000-0005-0000-0000-00007C1F0000}"/>
    <cellStyle name="20% - Accent5 3 3 3 2 2 2" xfId="39340" xr:uid="{C1CCEC65-072C-43E4-A563-3738DC6D0DD6}"/>
    <cellStyle name="20% - Accent5 3 3 3 2 3" xfId="23443" xr:uid="{00000000-0005-0000-0000-00007D1F0000}"/>
    <cellStyle name="20% - Accent5 3 3 3 2 3 2" xfId="47276" xr:uid="{FAA55C0C-2B0E-4F98-8C6C-0C9BF9D2F2F0}"/>
    <cellStyle name="20% - Accent5 3 3 3 2 4" xfId="31399" xr:uid="{7726A279-24E4-4A6B-9F38-275FB0C9B54A}"/>
    <cellStyle name="20% - Accent5 3 3 3 3" xfId="11959" xr:uid="{00000000-0005-0000-0000-00007E1F0000}"/>
    <cellStyle name="20% - Accent5 3 3 3 3 2" xfId="35809" xr:uid="{5DAFEE07-3637-441F-875F-02B19B6E4DD0}"/>
    <cellStyle name="20% - Accent5 3 3 3 4" xfId="19914" xr:uid="{00000000-0005-0000-0000-00007F1F0000}"/>
    <cellStyle name="20% - Accent5 3 3 3 4 2" xfId="43747" xr:uid="{7729F32D-8388-4AAB-9FFA-A6DF4D8741D6}"/>
    <cellStyle name="20% - Accent5 3 3 3 5" xfId="27868" xr:uid="{72216F27-0086-4702-8CAC-65E226FE3816}"/>
    <cellStyle name="20% - Accent5 3 3 4" xfId="5754" xr:uid="{00000000-0005-0000-0000-0000801F0000}"/>
    <cellStyle name="20% - Accent5 3 3 4 2" xfId="13738" xr:uid="{00000000-0005-0000-0000-0000811F0000}"/>
    <cellStyle name="20% - Accent5 3 3 4 2 2" xfId="37582" xr:uid="{5B105818-D14F-48DD-8844-7F8599B6DB9B}"/>
    <cellStyle name="20% - Accent5 3 3 4 3" xfId="21686" xr:uid="{00000000-0005-0000-0000-0000821F0000}"/>
    <cellStyle name="20% - Accent5 3 3 4 3 2" xfId="45519" xr:uid="{7FC084BF-DC95-4C47-9A51-1825C7F9C51F}"/>
    <cellStyle name="20% - Accent5 3 3 4 4" xfId="29641" xr:uid="{E923502B-747F-45D2-B93C-332889F0D9DA}"/>
    <cellStyle name="20% - Accent5 3 3 5" xfId="9307" xr:uid="{00000000-0005-0000-0000-0000831F0000}"/>
    <cellStyle name="20% - Accent5 3 3 5 2" xfId="17265" xr:uid="{00000000-0005-0000-0000-0000841F0000}"/>
    <cellStyle name="20% - Accent5 3 3 5 2 2" xfId="41106" xr:uid="{B9F11228-71B4-48DB-90EC-D145AB8947C1}"/>
    <cellStyle name="20% - Accent5 3 3 5 3" xfId="25209" xr:uid="{00000000-0005-0000-0000-0000851F0000}"/>
    <cellStyle name="20% - Accent5 3 3 5 3 2" xfId="49042" xr:uid="{42A41A53-42E2-44E4-B641-F633E04BA6A6}"/>
    <cellStyle name="20% - Accent5 3 3 5 4" xfId="33165" xr:uid="{9A0F7EA0-37ED-47FA-B0D8-94F886597EE7}"/>
    <cellStyle name="20% - Accent5 3 3 6" xfId="10203" xr:uid="{00000000-0005-0000-0000-0000861F0000}"/>
    <cellStyle name="20% - Accent5 3 3 6 2" xfId="34053" xr:uid="{A7AAF48B-33B7-4F60-92F8-0A25EE43D7B7}"/>
    <cellStyle name="20% - Accent5 3 3 7" xfId="18158" xr:uid="{00000000-0005-0000-0000-0000871F0000}"/>
    <cellStyle name="20% - Accent5 3 3 7 2" xfId="41991" xr:uid="{F19E6BCA-3438-4E72-8C20-A89D81F7FA71}"/>
    <cellStyle name="20% - Accent5 3 3 8" xfId="26111" xr:uid="{226FD49C-0506-452F-80E8-553C5C1F21D4}"/>
    <cellStyle name="20% - Accent5 3 3_Exh G" xfId="2496" xr:uid="{00000000-0005-0000-0000-0000881F0000}"/>
    <cellStyle name="20% - Accent5 3 4" xfId="913" xr:uid="{00000000-0005-0000-0000-0000891F0000}"/>
    <cellStyle name="20% - Accent5 3 4 2" xfId="1841" xr:uid="{00000000-0005-0000-0000-00008A1F0000}"/>
    <cellStyle name="20% - Accent5 3 4 2 2" xfId="5359" xr:uid="{00000000-0005-0000-0000-00008B1F0000}"/>
    <cellStyle name="20% - Accent5 3 4 2 2 2" xfId="8950" xr:uid="{00000000-0005-0000-0000-00008C1F0000}"/>
    <cellStyle name="20% - Accent5 3 4 2 2 2 2" xfId="16921" xr:uid="{00000000-0005-0000-0000-00008D1F0000}"/>
    <cellStyle name="20% - Accent5 3 4 2 2 2 2 2" xfId="40764" xr:uid="{C9AF3B58-46D4-49D9-B9A6-01504F2BA27E}"/>
    <cellStyle name="20% - Accent5 3 4 2 2 2 3" xfId="24867" xr:uid="{00000000-0005-0000-0000-00008E1F0000}"/>
    <cellStyle name="20% - Accent5 3 4 2 2 2 3 2" xfId="48700" xr:uid="{23651A99-48B7-49A1-AE58-DA5263439C6F}"/>
    <cellStyle name="20% - Accent5 3 4 2 2 2 4" xfId="32823" xr:uid="{B40E0723-E7E2-43F8-9C71-17909D368690}"/>
    <cellStyle name="20% - Accent5 3 4 2 2 3" xfId="13383" xr:uid="{00000000-0005-0000-0000-00008F1F0000}"/>
    <cellStyle name="20% - Accent5 3 4 2 2 3 2" xfId="37233" xr:uid="{B40DB2C3-04D1-4B0D-81CF-D33E3280C9A1}"/>
    <cellStyle name="20% - Accent5 3 4 2 2 4" xfId="21338" xr:uid="{00000000-0005-0000-0000-0000901F0000}"/>
    <cellStyle name="20% - Accent5 3 4 2 2 4 2" xfId="45171" xr:uid="{E0A2DE39-8DC8-4753-B432-4C637F29522D}"/>
    <cellStyle name="20% - Accent5 3 4 2 2 5" xfId="29292" xr:uid="{D7E1095E-3B4D-47EB-B804-EAB4B3AEA2D1}"/>
    <cellStyle name="20% - Accent5 3 4 2 3" xfId="7191" xr:uid="{00000000-0005-0000-0000-0000911F0000}"/>
    <cellStyle name="20% - Accent5 3 4 2 3 2" xfId="15163" xr:uid="{00000000-0005-0000-0000-0000921F0000}"/>
    <cellStyle name="20% - Accent5 3 4 2 3 2 2" xfId="39006" xr:uid="{929EC2D6-F850-4985-BEA4-DD53D65CCEFD}"/>
    <cellStyle name="20% - Accent5 3 4 2 3 3" xfId="23110" xr:uid="{00000000-0005-0000-0000-0000931F0000}"/>
    <cellStyle name="20% - Accent5 3 4 2 3 3 2" xfId="46943" xr:uid="{DE3F5D55-E103-4455-9C45-1833C4BBA10B}"/>
    <cellStyle name="20% - Accent5 3 4 2 3 4" xfId="31065" xr:uid="{F87236CA-DCB9-4F90-B422-627FAC41BE3A}"/>
    <cellStyle name="20% - Accent5 3 4 2 4" xfId="11627" xr:uid="{00000000-0005-0000-0000-0000941F0000}"/>
    <cellStyle name="20% - Accent5 3 4 2 4 2" xfId="35477" xr:uid="{FAD7EEB5-851E-4ADC-8939-719157CBB126}"/>
    <cellStyle name="20% - Accent5 3 4 2 5" xfId="19582" xr:uid="{00000000-0005-0000-0000-0000951F0000}"/>
    <cellStyle name="20% - Accent5 3 4 2 5 2" xfId="43415" xr:uid="{4F756F03-7D4B-4BF1-B850-C760E89BAD35}"/>
    <cellStyle name="20% - Accent5 3 4 2 6" xfId="27535" xr:uid="{DB0E164B-6281-4BFD-8972-68827EEB6534}"/>
    <cellStyle name="20% - Accent5 3 4 2_Exh G" xfId="2499" xr:uid="{00000000-0005-0000-0000-0000961F0000}"/>
    <cellStyle name="20% - Accent5 3 4 3" xfId="4480" xr:uid="{00000000-0005-0000-0000-0000971F0000}"/>
    <cellStyle name="20% - Accent5 3 4 3 2" xfId="8072" xr:uid="{00000000-0005-0000-0000-0000981F0000}"/>
    <cellStyle name="20% - Accent5 3 4 3 2 2" xfId="16043" xr:uid="{00000000-0005-0000-0000-0000991F0000}"/>
    <cellStyle name="20% - Accent5 3 4 3 2 2 2" xfId="39886" xr:uid="{AF5570E4-853F-48EF-B91B-3A1A5B1C85F0}"/>
    <cellStyle name="20% - Accent5 3 4 3 2 3" xfId="23989" xr:uid="{00000000-0005-0000-0000-00009A1F0000}"/>
    <cellStyle name="20% - Accent5 3 4 3 2 3 2" xfId="47822" xr:uid="{1BBFD631-FF6D-4C7A-B11C-DC0978A031EC}"/>
    <cellStyle name="20% - Accent5 3 4 3 2 4" xfId="31945" xr:uid="{F02D3A70-A49A-4CF9-B864-EF69FE34D2DA}"/>
    <cellStyle name="20% - Accent5 3 4 3 3" xfId="12505" xr:uid="{00000000-0005-0000-0000-00009B1F0000}"/>
    <cellStyle name="20% - Accent5 3 4 3 3 2" xfId="36355" xr:uid="{346E1B12-33E3-417B-961D-B7F8E679D6B5}"/>
    <cellStyle name="20% - Accent5 3 4 3 4" xfId="20460" xr:uid="{00000000-0005-0000-0000-00009C1F0000}"/>
    <cellStyle name="20% - Accent5 3 4 3 4 2" xfId="44293" xr:uid="{85B46E29-A76A-4E6B-A296-9E781D932A9E}"/>
    <cellStyle name="20% - Accent5 3 4 3 5" xfId="28414" xr:uid="{B9389831-A0FD-4B5F-9BEE-07BC425E45A0}"/>
    <cellStyle name="20% - Accent5 3 4 4" xfId="6310" xr:uid="{00000000-0005-0000-0000-00009D1F0000}"/>
    <cellStyle name="20% - Accent5 3 4 4 2" xfId="14285" xr:uid="{00000000-0005-0000-0000-00009E1F0000}"/>
    <cellStyle name="20% - Accent5 3 4 4 2 2" xfId="38128" xr:uid="{7D336748-26A4-49FE-80C6-96B377B706B1}"/>
    <cellStyle name="20% - Accent5 3 4 4 3" xfId="22232" xr:uid="{00000000-0005-0000-0000-00009F1F0000}"/>
    <cellStyle name="20% - Accent5 3 4 4 3 2" xfId="46065" xr:uid="{215D26F2-E4B3-4CB1-A176-F1810B88D194}"/>
    <cellStyle name="20% - Accent5 3 4 4 4" xfId="30187" xr:uid="{32DFF9F9-D9DA-42BE-B8EC-0F4F7331BF35}"/>
    <cellStyle name="20% - Accent5 3 4 5" xfId="9853" xr:uid="{00000000-0005-0000-0000-0000A01F0000}"/>
    <cellStyle name="20% - Accent5 3 4 5 2" xfId="17811" xr:uid="{00000000-0005-0000-0000-0000A11F0000}"/>
    <cellStyle name="20% - Accent5 3 4 5 2 2" xfId="41652" xr:uid="{600AAA3F-DB4E-466D-A316-6A20E775AB5A}"/>
    <cellStyle name="20% - Accent5 3 4 5 3" xfId="25755" xr:uid="{00000000-0005-0000-0000-0000A21F0000}"/>
    <cellStyle name="20% - Accent5 3 4 5 3 2" xfId="49588" xr:uid="{3E90A0CC-9507-49CA-83F7-74D53A6B794F}"/>
    <cellStyle name="20% - Accent5 3 4 5 4" xfId="33711" xr:uid="{0DA6D1AA-00DC-4A4A-8902-F3F4D7A64DCC}"/>
    <cellStyle name="20% - Accent5 3 4 6" xfId="10749" xr:uid="{00000000-0005-0000-0000-0000A31F0000}"/>
    <cellStyle name="20% - Accent5 3 4 6 2" xfId="34599" xr:uid="{076C8595-793A-431D-815A-7B3E1D21C25F}"/>
    <cellStyle name="20% - Accent5 3 4 7" xfId="18704" xr:uid="{00000000-0005-0000-0000-0000A41F0000}"/>
    <cellStyle name="20% - Accent5 3 4 7 2" xfId="42537" xr:uid="{21F79489-14AD-45D2-867C-21100F7611B7}"/>
    <cellStyle name="20% - Accent5 3 4 8" xfId="26657" xr:uid="{9E55D9A2-32FF-471E-8239-3C2B07A70C34}"/>
    <cellStyle name="20% - Accent5 3 4_Exh G" xfId="2498" xr:uid="{00000000-0005-0000-0000-0000A51F0000}"/>
    <cellStyle name="20% - Accent5 3 5" xfId="1280" xr:uid="{00000000-0005-0000-0000-0000A61F0000}"/>
    <cellStyle name="20% - Accent5 3 5 2" xfId="4810" xr:uid="{00000000-0005-0000-0000-0000A71F0000}"/>
    <cellStyle name="20% - Accent5 3 5 2 2" xfId="8401" xr:uid="{00000000-0005-0000-0000-0000A81F0000}"/>
    <cellStyle name="20% - Accent5 3 5 2 2 2" xfId="16372" xr:uid="{00000000-0005-0000-0000-0000A91F0000}"/>
    <cellStyle name="20% - Accent5 3 5 2 2 2 2" xfId="40215" xr:uid="{B3B1FD42-C079-4CF5-AF00-74E1FA68D916}"/>
    <cellStyle name="20% - Accent5 3 5 2 2 3" xfId="24318" xr:uid="{00000000-0005-0000-0000-0000AA1F0000}"/>
    <cellStyle name="20% - Accent5 3 5 2 2 3 2" xfId="48151" xr:uid="{140C1B59-C561-4D3E-95CE-8CBDBC42E7C4}"/>
    <cellStyle name="20% - Accent5 3 5 2 2 4" xfId="32274" xr:uid="{214ED543-F152-4827-9965-9054DB583E33}"/>
    <cellStyle name="20% - Accent5 3 5 2 3" xfId="12834" xr:uid="{00000000-0005-0000-0000-0000AB1F0000}"/>
    <cellStyle name="20% - Accent5 3 5 2 3 2" xfId="36684" xr:uid="{4B8CA411-D207-4F46-B76F-A9BEF2D178C5}"/>
    <cellStyle name="20% - Accent5 3 5 2 4" xfId="20789" xr:uid="{00000000-0005-0000-0000-0000AC1F0000}"/>
    <cellStyle name="20% - Accent5 3 5 2 4 2" xfId="44622" xr:uid="{7D76F872-EAE8-4EB9-9552-599A1C13B830}"/>
    <cellStyle name="20% - Accent5 3 5 2 5" xfId="28743" xr:uid="{C1E9126F-E054-4FAB-BF7F-906DEA02C449}"/>
    <cellStyle name="20% - Accent5 3 5 3" xfId="6642" xr:uid="{00000000-0005-0000-0000-0000AD1F0000}"/>
    <cellStyle name="20% - Accent5 3 5 3 2" xfId="14614" xr:uid="{00000000-0005-0000-0000-0000AE1F0000}"/>
    <cellStyle name="20% - Accent5 3 5 3 2 2" xfId="38457" xr:uid="{7EA3DF3B-AA2F-435A-9890-C961037732D3}"/>
    <cellStyle name="20% - Accent5 3 5 3 3" xfId="22561" xr:uid="{00000000-0005-0000-0000-0000AF1F0000}"/>
    <cellStyle name="20% - Accent5 3 5 3 3 2" xfId="46394" xr:uid="{12734964-821D-4F99-850D-185CC6C1FCBC}"/>
    <cellStyle name="20% - Accent5 3 5 3 4" xfId="30516" xr:uid="{B6D5F5E6-4E19-4EF5-ACAD-1F227E565A2E}"/>
    <cellStyle name="20% - Accent5 3 5 4" xfId="11078" xr:uid="{00000000-0005-0000-0000-0000B01F0000}"/>
    <cellStyle name="20% - Accent5 3 5 4 2" xfId="34928" xr:uid="{DD3A1CA5-A476-462D-B860-07DE11ABDC9E}"/>
    <cellStyle name="20% - Accent5 3 5 5" xfId="19033" xr:uid="{00000000-0005-0000-0000-0000B11F0000}"/>
    <cellStyle name="20% - Accent5 3 5 5 2" xfId="42866" xr:uid="{F6C2D0F6-E623-49EA-973B-0DF15280CB54}"/>
    <cellStyle name="20% - Accent5 3 5 6" xfId="26986" xr:uid="{416FA9D5-C115-4575-B24D-43FA14BEB285}"/>
    <cellStyle name="20% - Accent5 3 5_Exh G" xfId="2500" xr:uid="{00000000-0005-0000-0000-0000B21F0000}"/>
    <cellStyle name="20% - Accent5 3 6" xfId="3931" xr:uid="{00000000-0005-0000-0000-0000B31F0000}"/>
    <cellStyle name="20% - Accent5 3 6 2" xfId="7523" xr:uid="{00000000-0005-0000-0000-0000B41F0000}"/>
    <cellStyle name="20% - Accent5 3 6 2 2" xfId="15494" xr:uid="{00000000-0005-0000-0000-0000B51F0000}"/>
    <cellStyle name="20% - Accent5 3 6 2 2 2" xfId="39337" xr:uid="{2AC13832-F0B1-478D-974D-796A346D51C7}"/>
    <cellStyle name="20% - Accent5 3 6 2 3" xfId="23440" xr:uid="{00000000-0005-0000-0000-0000B61F0000}"/>
    <cellStyle name="20% - Accent5 3 6 2 3 2" xfId="47273" xr:uid="{9AD9F0DF-42E8-4336-A6C5-2D2AC71EF82B}"/>
    <cellStyle name="20% - Accent5 3 6 2 4" xfId="31396" xr:uid="{F17838F2-4CB2-4098-A2C0-A9B74C6F9C12}"/>
    <cellStyle name="20% - Accent5 3 6 3" xfId="11956" xr:uid="{00000000-0005-0000-0000-0000B71F0000}"/>
    <cellStyle name="20% - Accent5 3 6 3 2" xfId="35806" xr:uid="{848889B0-F5B3-41FB-9FB8-DADB635C6B7E}"/>
    <cellStyle name="20% - Accent5 3 6 4" xfId="19911" xr:uid="{00000000-0005-0000-0000-0000B81F0000}"/>
    <cellStyle name="20% - Accent5 3 6 4 2" xfId="43744" xr:uid="{5D691C83-4863-4764-9A79-111B429EC2B4}"/>
    <cellStyle name="20% - Accent5 3 6 5" xfId="27865" xr:uid="{0ACDC08E-2A0E-4BE0-9221-41B7EAD00545}"/>
    <cellStyle name="20% - Accent5 3 7" xfId="5751" xr:uid="{00000000-0005-0000-0000-0000B91F0000}"/>
    <cellStyle name="20% - Accent5 3 7 2" xfId="13735" xr:uid="{00000000-0005-0000-0000-0000BA1F0000}"/>
    <cellStyle name="20% - Accent5 3 7 2 2" xfId="37579" xr:uid="{754E7ABF-BBBE-4163-AD2B-43985D668AE3}"/>
    <cellStyle name="20% - Accent5 3 7 3" xfId="21683" xr:uid="{00000000-0005-0000-0000-0000BB1F0000}"/>
    <cellStyle name="20% - Accent5 3 7 3 2" xfId="45516" xr:uid="{32F2A4A6-A473-48D9-B3B8-A48A47983F52}"/>
    <cellStyle name="20% - Accent5 3 7 4" xfId="29638" xr:uid="{E324CF62-BBBE-489A-AED0-A1482BAFC978}"/>
    <cellStyle name="20% - Accent5 3 8" xfId="9304" xr:uid="{00000000-0005-0000-0000-0000BC1F0000}"/>
    <cellStyle name="20% - Accent5 3 8 2" xfId="17262" xr:uid="{00000000-0005-0000-0000-0000BD1F0000}"/>
    <cellStyle name="20% - Accent5 3 8 2 2" xfId="41103" xr:uid="{37E7583D-8F72-49BF-8A25-42493EAB3928}"/>
    <cellStyle name="20% - Accent5 3 8 3" xfId="25206" xr:uid="{00000000-0005-0000-0000-0000BE1F0000}"/>
    <cellStyle name="20% - Accent5 3 8 3 2" xfId="49039" xr:uid="{5ACBB648-2901-4333-B7E3-2A3824871B73}"/>
    <cellStyle name="20% - Accent5 3 8 4" xfId="33162" xr:uid="{F7F2A141-8227-4532-8FAE-CDB5B148F959}"/>
    <cellStyle name="20% - Accent5 3 9" xfId="10200" xr:uid="{00000000-0005-0000-0000-0000BF1F0000}"/>
    <cellStyle name="20% - Accent5 3 9 2" xfId="34050" xr:uid="{8EEE242C-9AC4-4068-88E7-174CAC889C9E}"/>
    <cellStyle name="20% - Accent5 3_Exh G" xfId="2489" xr:uid="{00000000-0005-0000-0000-0000C01F0000}"/>
    <cellStyle name="20% - Accent5 4" xfId="256" xr:uid="{00000000-0005-0000-0000-0000C11F0000}"/>
    <cellStyle name="20% - Accent5 4 10" xfId="18159" xr:uid="{00000000-0005-0000-0000-0000C21F0000}"/>
    <cellStyle name="20% - Accent5 4 10 2" xfId="41992" xr:uid="{5CAB093D-F5AC-4338-84D8-FBD7B352ED06}"/>
    <cellStyle name="20% - Accent5 4 11" xfId="26112" xr:uid="{7FE13B60-CF95-4A62-8ED0-2D84B2497EFA}"/>
    <cellStyle name="20% - Accent5 4 2" xfId="257" xr:uid="{00000000-0005-0000-0000-0000C31F0000}"/>
    <cellStyle name="20% - Accent5 4 2 10" xfId="26113" xr:uid="{298011B7-A9EA-4B0B-88B5-4957F6D6B75D}"/>
    <cellStyle name="20% - Accent5 4 2 2" xfId="258" xr:uid="{00000000-0005-0000-0000-0000C41F0000}"/>
    <cellStyle name="20% - Accent5 4 2 2 2" xfId="1286" xr:uid="{00000000-0005-0000-0000-0000C51F0000}"/>
    <cellStyle name="20% - Accent5 4 2 2 2 2" xfId="4816" xr:uid="{00000000-0005-0000-0000-0000C61F0000}"/>
    <cellStyle name="20% - Accent5 4 2 2 2 2 2" xfId="8407" xr:uid="{00000000-0005-0000-0000-0000C71F0000}"/>
    <cellStyle name="20% - Accent5 4 2 2 2 2 2 2" xfId="16378" xr:uid="{00000000-0005-0000-0000-0000C81F0000}"/>
    <cellStyle name="20% - Accent5 4 2 2 2 2 2 2 2" xfId="40221" xr:uid="{0F20549F-3BBC-4986-855F-B8D790A36F2E}"/>
    <cellStyle name="20% - Accent5 4 2 2 2 2 2 3" xfId="24324" xr:uid="{00000000-0005-0000-0000-0000C91F0000}"/>
    <cellStyle name="20% - Accent5 4 2 2 2 2 2 3 2" xfId="48157" xr:uid="{FC63BE34-45BB-4D44-A752-78F6391462AD}"/>
    <cellStyle name="20% - Accent5 4 2 2 2 2 2 4" xfId="32280" xr:uid="{AA5A2D8F-E452-4CA6-AAB4-51C577F4929C}"/>
    <cellStyle name="20% - Accent5 4 2 2 2 2 3" xfId="12840" xr:uid="{00000000-0005-0000-0000-0000CA1F0000}"/>
    <cellStyle name="20% - Accent5 4 2 2 2 2 3 2" xfId="36690" xr:uid="{2563BFE6-EB2B-4A87-9679-AE7F328C015E}"/>
    <cellStyle name="20% - Accent5 4 2 2 2 2 4" xfId="20795" xr:uid="{00000000-0005-0000-0000-0000CB1F0000}"/>
    <cellStyle name="20% - Accent5 4 2 2 2 2 4 2" xfId="44628" xr:uid="{754BDB7A-6DF0-4F62-B4D3-CA093F5221FF}"/>
    <cellStyle name="20% - Accent5 4 2 2 2 2 5" xfId="28749" xr:uid="{1D28A4D0-F5BA-4F7B-A774-042C09FD1BB1}"/>
    <cellStyle name="20% - Accent5 4 2 2 2 3" xfId="6648" xr:uid="{00000000-0005-0000-0000-0000CC1F0000}"/>
    <cellStyle name="20% - Accent5 4 2 2 2 3 2" xfId="14620" xr:uid="{00000000-0005-0000-0000-0000CD1F0000}"/>
    <cellStyle name="20% - Accent5 4 2 2 2 3 2 2" xfId="38463" xr:uid="{7DDEF07F-D351-4267-863D-AC418700E55F}"/>
    <cellStyle name="20% - Accent5 4 2 2 2 3 3" xfId="22567" xr:uid="{00000000-0005-0000-0000-0000CE1F0000}"/>
    <cellStyle name="20% - Accent5 4 2 2 2 3 3 2" xfId="46400" xr:uid="{E26C4EEC-CDAC-46B6-9828-8072B0F38B69}"/>
    <cellStyle name="20% - Accent5 4 2 2 2 3 4" xfId="30522" xr:uid="{9D7F3B99-C984-4BFE-B970-A850B246C700}"/>
    <cellStyle name="20% - Accent5 4 2 2 2 4" xfId="11084" xr:uid="{00000000-0005-0000-0000-0000CF1F0000}"/>
    <cellStyle name="20% - Accent5 4 2 2 2 4 2" xfId="34934" xr:uid="{339417B0-044E-4187-899E-DA701CC8427B}"/>
    <cellStyle name="20% - Accent5 4 2 2 2 5" xfId="19039" xr:uid="{00000000-0005-0000-0000-0000D01F0000}"/>
    <cellStyle name="20% - Accent5 4 2 2 2 5 2" xfId="42872" xr:uid="{39967844-B5BE-4EDD-B50F-2A642A477484}"/>
    <cellStyle name="20% - Accent5 4 2 2 2 6" xfId="26992" xr:uid="{EF6E8CD6-C3EB-430B-A64B-28EE59F546FE}"/>
    <cellStyle name="20% - Accent5 4 2 2 2_Exh G" xfId="2504" xr:uid="{00000000-0005-0000-0000-0000D11F0000}"/>
    <cellStyle name="20% - Accent5 4 2 2 3" xfId="3937" xr:uid="{00000000-0005-0000-0000-0000D21F0000}"/>
    <cellStyle name="20% - Accent5 4 2 2 3 2" xfId="7529" xr:uid="{00000000-0005-0000-0000-0000D31F0000}"/>
    <cellStyle name="20% - Accent5 4 2 2 3 2 2" xfId="15500" xr:uid="{00000000-0005-0000-0000-0000D41F0000}"/>
    <cellStyle name="20% - Accent5 4 2 2 3 2 2 2" xfId="39343" xr:uid="{9EC18E63-64D3-4590-8B42-75F6BBC61811}"/>
    <cellStyle name="20% - Accent5 4 2 2 3 2 3" xfId="23446" xr:uid="{00000000-0005-0000-0000-0000D51F0000}"/>
    <cellStyle name="20% - Accent5 4 2 2 3 2 3 2" xfId="47279" xr:uid="{284BF122-45BF-4684-827A-AA154FEFB4C9}"/>
    <cellStyle name="20% - Accent5 4 2 2 3 2 4" xfId="31402" xr:uid="{D78B28D8-3D16-4415-AA84-C535909A8469}"/>
    <cellStyle name="20% - Accent5 4 2 2 3 3" xfId="11962" xr:uid="{00000000-0005-0000-0000-0000D61F0000}"/>
    <cellStyle name="20% - Accent5 4 2 2 3 3 2" xfId="35812" xr:uid="{F1EF4C97-9180-48CD-B988-1E669D0D6A7E}"/>
    <cellStyle name="20% - Accent5 4 2 2 3 4" xfId="19917" xr:uid="{00000000-0005-0000-0000-0000D71F0000}"/>
    <cellStyle name="20% - Accent5 4 2 2 3 4 2" xfId="43750" xr:uid="{6FA8C3EF-659D-4B4B-AD2D-1DF09DC92D3F}"/>
    <cellStyle name="20% - Accent5 4 2 2 3 5" xfId="27871" xr:uid="{4F094628-748D-4276-85E2-32F6CAD32462}"/>
    <cellStyle name="20% - Accent5 4 2 2 4" xfId="5757" xr:uid="{00000000-0005-0000-0000-0000D81F0000}"/>
    <cellStyle name="20% - Accent5 4 2 2 4 2" xfId="13741" xr:uid="{00000000-0005-0000-0000-0000D91F0000}"/>
    <cellStyle name="20% - Accent5 4 2 2 4 2 2" xfId="37585" xr:uid="{BC366603-BE27-405C-9B9E-6610FD60BAF9}"/>
    <cellStyle name="20% - Accent5 4 2 2 4 3" xfId="21689" xr:uid="{00000000-0005-0000-0000-0000DA1F0000}"/>
    <cellStyle name="20% - Accent5 4 2 2 4 3 2" xfId="45522" xr:uid="{66A8C5F1-A2D0-49B4-A5BE-38C850C7E6F4}"/>
    <cellStyle name="20% - Accent5 4 2 2 4 4" xfId="29644" xr:uid="{54AD9266-938B-49E8-8E3F-4B4573B5B0C1}"/>
    <cellStyle name="20% - Accent5 4 2 2 5" xfId="9310" xr:uid="{00000000-0005-0000-0000-0000DB1F0000}"/>
    <cellStyle name="20% - Accent5 4 2 2 5 2" xfId="17268" xr:uid="{00000000-0005-0000-0000-0000DC1F0000}"/>
    <cellStyle name="20% - Accent5 4 2 2 5 2 2" xfId="41109" xr:uid="{5A141B45-19B1-4CF7-A224-0D548B1DB9FB}"/>
    <cellStyle name="20% - Accent5 4 2 2 5 3" xfId="25212" xr:uid="{00000000-0005-0000-0000-0000DD1F0000}"/>
    <cellStyle name="20% - Accent5 4 2 2 5 3 2" xfId="49045" xr:uid="{CB5C3B7D-F97B-48BD-87E1-F527EBAE701F}"/>
    <cellStyle name="20% - Accent5 4 2 2 5 4" xfId="33168" xr:uid="{C1CC0414-8798-4CDB-AD2C-EBBF9EB45C0B}"/>
    <cellStyle name="20% - Accent5 4 2 2 6" xfId="10206" xr:uid="{00000000-0005-0000-0000-0000DE1F0000}"/>
    <cellStyle name="20% - Accent5 4 2 2 6 2" xfId="34056" xr:uid="{AFAE1F7E-DE92-4BAB-9B23-0FE730B67FFB}"/>
    <cellStyle name="20% - Accent5 4 2 2 7" xfId="18161" xr:uid="{00000000-0005-0000-0000-0000DF1F0000}"/>
    <cellStyle name="20% - Accent5 4 2 2 7 2" xfId="41994" xr:uid="{6D5B30F2-3CA5-4837-A2F4-8534649395A8}"/>
    <cellStyle name="20% - Accent5 4 2 2 8" xfId="26114" xr:uid="{885A7404-1111-4B12-AD44-AEB9602E8A4B}"/>
    <cellStyle name="20% - Accent5 4 2 2_Exh G" xfId="2503" xr:uid="{00000000-0005-0000-0000-0000E01F0000}"/>
    <cellStyle name="20% - Accent5 4 2 3" xfId="916" xr:uid="{00000000-0005-0000-0000-0000E11F0000}"/>
    <cellStyle name="20% - Accent5 4 2 3 2" xfId="1844" xr:uid="{00000000-0005-0000-0000-0000E21F0000}"/>
    <cellStyle name="20% - Accent5 4 2 3 2 2" xfId="5362" xr:uid="{00000000-0005-0000-0000-0000E31F0000}"/>
    <cellStyle name="20% - Accent5 4 2 3 2 2 2" xfId="8953" xr:uid="{00000000-0005-0000-0000-0000E41F0000}"/>
    <cellStyle name="20% - Accent5 4 2 3 2 2 2 2" xfId="16924" xr:uid="{00000000-0005-0000-0000-0000E51F0000}"/>
    <cellStyle name="20% - Accent5 4 2 3 2 2 2 2 2" xfId="40767" xr:uid="{473E64CE-C4AD-4680-AF64-A0253AC72A5E}"/>
    <cellStyle name="20% - Accent5 4 2 3 2 2 2 3" xfId="24870" xr:uid="{00000000-0005-0000-0000-0000E61F0000}"/>
    <cellStyle name="20% - Accent5 4 2 3 2 2 2 3 2" xfId="48703" xr:uid="{10C2C475-5D3A-4608-B2EC-ED72965BE2F5}"/>
    <cellStyle name="20% - Accent5 4 2 3 2 2 2 4" xfId="32826" xr:uid="{634BA2EE-4BE3-4259-9305-C2768E16A7C4}"/>
    <cellStyle name="20% - Accent5 4 2 3 2 2 3" xfId="13386" xr:uid="{00000000-0005-0000-0000-0000E71F0000}"/>
    <cellStyle name="20% - Accent5 4 2 3 2 2 3 2" xfId="37236" xr:uid="{7DF73472-4BF9-441E-B126-79EB9A0B54FB}"/>
    <cellStyle name="20% - Accent5 4 2 3 2 2 4" xfId="21341" xr:uid="{00000000-0005-0000-0000-0000E81F0000}"/>
    <cellStyle name="20% - Accent5 4 2 3 2 2 4 2" xfId="45174" xr:uid="{2EDD5879-E501-4507-B2BF-F0A622AC822D}"/>
    <cellStyle name="20% - Accent5 4 2 3 2 2 5" xfId="29295" xr:uid="{ED4D02E1-9154-4F48-BC77-747957B79A43}"/>
    <cellStyle name="20% - Accent5 4 2 3 2 3" xfId="7194" xr:uid="{00000000-0005-0000-0000-0000E91F0000}"/>
    <cellStyle name="20% - Accent5 4 2 3 2 3 2" xfId="15166" xr:uid="{00000000-0005-0000-0000-0000EA1F0000}"/>
    <cellStyle name="20% - Accent5 4 2 3 2 3 2 2" xfId="39009" xr:uid="{CA060927-BA8F-4EA4-850F-F00094444B23}"/>
    <cellStyle name="20% - Accent5 4 2 3 2 3 3" xfId="23113" xr:uid="{00000000-0005-0000-0000-0000EB1F0000}"/>
    <cellStyle name="20% - Accent5 4 2 3 2 3 3 2" xfId="46946" xr:uid="{D6496D08-F8E9-472F-9F7F-22A880B82FE3}"/>
    <cellStyle name="20% - Accent5 4 2 3 2 3 4" xfId="31068" xr:uid="{08914420-ECEA-4596-AD8D-065655A09F6B}"/>
    <cellStyle name="20% - Accent5 4 2 3 2 4" xfId="11630" xr:uid="{00000000-0005-0000-0000-0000EC1F0000}"/>
    <cellStyle name="20% - Accent5 4 2 3 2 4 2" xfId="35480" xr:uid="{2C0F6C66-FAD0-458E-BA0C-CA07BB36430A}"/>
    <cellStyle name="20% - Accent5 4 2 3 2 5" xfId="19585" xr:uid="{00000000-0005-0000-0000-0000ED1F0000}"/>
    <cellStyle name="20% - Accent5 4 2 3 2 5 2" xfId="43418" xr:uid="{7658E809-2742-4D3B-A041-2A278BCB1F58}"/>
    <cellStyle name="20% - Accent5 4 2 3 2 6" xfId="27538" xr:uid="{BDCFE229-EA65-4F4A-885F-EA90831CD811}"/>
    <cellStyle name="20% - Accent5 4 2 3 2_Exh G" xfId="2506" xr:uid="{00000000-0005-0000-0000-0000EE1F0000}"/>
    <cellStyle name="20% - Accent5 4 2 3 3" xfId="4483" xr:uid="{00000000-0005-0000-0000-0000EF1F0000}"/>
    <cellStyle name="20% - Accent5 4 2 3 3 2" xfId="8075" xr:uid="{00000000-0005-0000-0000-0000F01F0000}"/>
    <cellStyle name="20% - Accent5 4 2 3 3 2 2" xfId="16046" xr:uid="{00000000-0005-0000-0000-0000F11F0000}"/>
    <cellStyle name="20% - Accent5 4 2 3 3 2 2 2" xfId="39889" xr:uid="{4EE3A1DA-7789-4516-BEFF-9CDEAA5921E9}"/>
    <cellStyle name="20% - Accent5 4 2 3 3 2 3" xfId="23992" xr:uid="{00000000-0005-0000-0000-0000F21F0000}"/>
    <cellStyle name="20% - Accent5 4 2 3 3 2 3 2" xfId="47825" xr:uid="{87B9D81D-C611-411F-8F2A-3670D977161C}"/>
    <cellStyle name="20% - Accent5 4 2 3 3 2 4" xfId="31948" xr:uid="{C7ED851C-32A6-4FE1-BDC9-B2AF992A6251}"/>
    <cellStyle name="20% - Accent5 4 2 3 3 3" xfId="12508" xr:uid="{00000000-0005-0000-0000-0000F31F0000}"/>
    <cellStyle name="20% - Accent5 4 2 3 3 3 2" xfId="36358" xr:uid="{4B130D05-AD97-4A43-9B0F-411E525F483D}"/>
    <cellStyle name="20% - Accent5 4 2 3 3 4" xfId="20463" xr:uid="{00000000-0005-0000-0000-0000F41F0000}"/>
    <cellStyle name="20% - Accent5 4 2 3 3 4 2" xfId="44296" xr:uid="{3F1C5E35-E3C5-414D-BEA6-70A87DEEAB4C}"/>
    <cellStyle name="20% - Accent5 4 2 3 3 5" xfId="28417" xr:uid="{3C58B741-1DBA-4B05-957C-C6370AE719ED}"/>
    <cellStyle name="20% - Accent5 4 2 3 4" xfId="6313" xr:uid="{00000000-0005-0000-0000-0000F51F0000}"/>
    <cellStyle name="20% - Accent5 4 2 3 4 2" xfId="14288" xr:uid="{00000000-0005-0000-0000-0000F61F0000}"/>
    <cellStyle name="20% - Accent5 4 2 3 4 2 2" xfId="38131" xr:uid="{930656EE-277D-498C-A6FD-E34C26A675D8}"/>
    <cellStyle name="20% - Accent5 4 2 3 4 3" xfId="22235" xr:uid="{00000000-0005-0000-0000-0000F71F0000}"/>
    <cellStyle name="20% - Accent5 4 2 3 4 3 2" xfId="46068" xr:uid="{BF7B007C-C1DA-4DA0-AC34-9F10B4CBF324}"/>
    <cellStyle name="20% - Accent5 4 2 3 4 4" xfId="30190" xr:uid="{ED0E41ED-EC4B-4E1D-A194-89ABB61CCF71}"/>
    <cellStyle name="20% - Accent5 4 2 3 5" xfId="9856" xr:uid="{00000000-0005-0000-0000-0000F81F0000}"/>
    <cellStyle name="20% - Accent5 4 2 3 5 2" xfId="17814" xr:uid="{00000000-0005-0000-0000-0000F91F0000}"/>
    <cellStyle name="20% - Accent5 4 2 3 5 2 2" xfId="41655" xr:uid="{62A4CDF4-1C0E-4ABB-8047-825D4584CF95}"/>
    <cellStyle name="20% - Accent5 4 2 3 5 3" xfId="25758" xr:uid="{00000000-0005-0000-0000-0000FA1F0000}"/>
    <cellStyle name="20% - Accent5 4 2 3 5 3 2" xfId="49591" xr:uid="{123D9C89-E715-4188-ABF4-C65086BF0DB0}"/>
    <cellStyle name="20% - Accent5 4 2 3 5 4" xfId="33714" xr:uid="{BF7E0AF6-DEE5-4B71-8B9D-59940FD3B2A8}"/>
    <cellStyle name="20% - Accent5 4 2 3 6" xfId="10752" xr:uid="{00000000-0005-0000-0000-0000FB1F0000}"/>
    <cellStyle name="20% - Accent5 4 2 3 6 2" xfId="34602" xr:uid="{888813B9-C4A2-489D-96B4-2A25B690A483}"/>
    <cellStyle name="20% - Accent5 4 2 3 7" xfId="18707" xr:uid="{00000000-0005-0000-0000-0000FC1F0000}"/>
    <cellStyle name="20% - Accent5 4 2 3 7 2" xfId="42540" xr:uid="{A3EAA467-EBA2-4732-871B-CC7C24AE0AB8}"/>
    <cellStyle name="20% - Accent5 4 2 3 8" xfId="26660" xr:uid="{DB406A03-FED9-4D9A-B200-C7B796D5784D}"/>
    <cellStyle name="20% - Accent5 4 2 3_Exh G" xfId="2505" xr:uid="{00000000-0005-0000-0000-0000FD1F0000}"/>
    <cellStyle name="20% - Accent5 4 2 4" xfId="1285" xr:uid="{00000000-0005-0000-0000-0000FE1F0000}"/>
    <cellStyle name="20% - Accent5 4 2 4 2" xfId="4815" xr:uid="{00000000-0005-0000-0000-0000FF1F0000}"/>
    <cellStyle name="20% - Accent5 4 2 4 2 2" xfId="8406" xr:uid="{00000000-0005-0000-0000-000000200000}"/>
    <cellStyle name="20% - Accent5 4 2 4 2 2 2" xfId="16377" xr:uid="{00000000-0005-0000-0000-000001200000}"/>
    <cellStyle name="20% - Accent5 4 2 4 2 2 2 2" xfId="40220" xr:uid="{7FCA29BB-8869-40A9-B06F-CB04D4354723}"/>
    <cellStyle name="20% - Accent5 4 2 4 2 2 3" xfId="24323" xr:uid="{00000000-0005-0000-0000-000002200000}"/>
    <cellStyle name="20% - Accent5 4 2 4 2 2 3 2" xfId="48156" xr:uid="{66E2448C-9C13-4B0D-9366-68AD3178B01C}"/>
    <cellStyle name="20% - Accent5 4 2 4 2 2 4" xfId="32279" xr:uid="{8AC89A57-97F8-4780-951E-6531C16A6F94}"/>
    <cellStyle name="20% - Accent5 4 2 4 2 3" xfId="12839" xr:uid="{00000000-0005-0000-0000-000003200000}"/>
    <cellStyle name="20% - Accent5 4 2 4 2 3 2" xfId="36689" xr:uid="{A32C3692-C146-4DD5-BC06-EDCFDC33BA24}"/>
    <cellStyle name="20% - Accent5 4 2 4 2 4" xfId="20794" xr:uid="{00000000-0005-0000-0000-000004200000}"/>
    <cellStyle name="20% - Accent5 4 2 4 2 4 2" xfId="44627" xr:uid="{40AF3DBA-C407-4FE6-9E17-45F679E99432}"/>
    <cellStyle name="20% - Accent5 4 2 4 2 5" xfId="28748" xr:uid="{B8547C0B-5DBA-49E4-B94C-BF4AC3516D8A}"/>
    <cellStyle name="20% - Accent5 4 2 4 3" xfId="6647" xr:uid="{00000000-0005-0000-0000-000005200000}"/>
    <cellStyle name="20% - Accent5 4 2 4 3 2" xfId="14619" xr:uid="{00000000-0005-0000-0000-000006200000}"/>
    <cellStyle name="20% - Accent5 4 2 4 3 2 2" xfId="38462" xr:uid="{ECB529B7-4E86-4244-9C6E-B72F90C3409A}"/>
    <cellStyle name="20% - Accent5 4 2 4 3 3" xfId="22566" xr:uid="{00000000-0005-0000-0000-000007200000}"/>
    <cellStyle name="20% - Accent5 4 2 4 3 3 2" xfId="46399" xr:uid="{FBE4CF47-FC85-4C3B-87F3-A767217DE7E5}"/>
    <cellStyle name="20% - Accent5 4 2 4 3 4" xfId="30521" xr:uid="{3448B849-48F7-4E44-A949-D6076034DCF8}"/>
    <cellStyle name="20% - Accent5 4 2 4 4" xfId="11083" xr:uid="{00000000-0005-0000-0000-000008200000}"/>
    <cellStyle name="20% - Accent5 4 2 4 4 2" xfId="34933" xr:uid="{515A9648-018B-4AA3-87BB-FC295A8BB2C2}"/>
    <cellStyle name="20% - Accent5 4 2 4 5" xfId="19038" xr:uid="{00000000-0005-0000-0000-000009200000}"/>
    <cellStyle name="20% - Accent5 4 2 4 5 2" xfId="42871" xr:uid="{4E1330BF-A7D9-4259-B86A-5AB49D75A37F}"/>
    <cellStyle name="20% - Accent5 4 2 4 6" xfId="26991" xr:uid="{08CEED28-254D-47BD-B3D3-CC1BEB0F1C1F}"/>
    <cellStyle name="20% - Accent5 4 2 4_Exh G" xfId="2507" xr:uid="{00000000-0005-0000-0000-00000A200000}"/>
    <cellStyle name="20% - Accent5 4 2 5" xfId="3936" xr:uid="{00000000-0005-0000-0000-00000B200000}"/>
    <cellStyle name="20% - Accent5 4 2 5 2" xfId="7528" xr:uid="{00000000-0005-0000-0000-00000C200000}"/>
    <cellStyle name="20% - Accent5 4 2 5 2 2" xfId="15499" xr:uid="{00000000-0005-0000-0000-00000D200000}"/>
    <cellStyle name="20% - Accent5 4 2 5 2 2 2" xfId="39342" xr:uid="{0A679857-6AAE-4205-8E0E-098CC38748B4}"/>
    <cellStyle name="20% - Accent5 4 2 5 2 3" xfId="23445" xr:uid="{00000000-0005-0000-0000-00000E200000}"/>
    <cellStyle name="20% - Accent5 4 2 5 2 3 2" xfId="47278" xr:uid="{E129ADC4-78F3-492D-8D54-6EA63BF59978}"/>
    <cellStyle name="20% - Accent5 4 2 5 2 4" xfId="31401" xr:uid="{44D65158-8991-49BB-BB5A-A491EE3AE5DC}"/>
    <cellStyle name="20% - Accent5 4 2 5 3" xfId="11961" xr:uid="{00000000-0005-0000-0000-00000F200000}"/>
    <cellStyle name="20% - Accent5 4 2 5 3 2" xfId="35811" xr:uid="{25511A9B-315C-491E-AB71-4224323714F7}"/>
    <cellStyle name="20% - Accent5 4 2 5 4" xfId="19916" xr:uid="{00000000-0005-0000-0000-000010200000}"/>
    <cellStyle name="20% - Accent5 4 2 5 4 2" xfId="43749" xr:uid="{7A2BC43A-7DC5-41B0-A911-36E30131C7E0}"/>
    <cellStyle name="20% - Accent5 4 2 5 5" xfId="27870" xr:uid="{00BFD455-47A4-4B02-869D-F58FF6DBFE03}"/>
    <cellStyle name="20% - Accent5 4 2 6" xfId="5756" xr:uid="{00000000-0005-0000-0000-000011200000}"/>
    <cellStyle name="20% - Accent5 4 2 6 2" xfId="13740" xr:uid="{00000000-0005-0000-0000-000012200000}"/>
    <cellStyle name="20% - Accent5 4 2 6 2 2" xfId="37584" xr:uid="{72BF0741-A8B3-4CE9-81BC-83A3A50A332B}"/>
    <cellStyle name="20% - Accent5 4 2 6 3" xfId="21688" xr:uid="{00000000-0005-0000-0000-000013200000}"/>
    <cellStyle name="20% - Accent5 4 2 6 3 2" xfId="45521" xr:uid="{BB8DADA6-17EA-441E-9C91-63CD4C2F13BD}"/>
    <cellStyle name="20% - Accent5 4 2 6 4" xfId="29643" xr:uid="{B36F0BBC-5CDC-4F38-8E99-7415413432F6}"/>
    <cellStyle name="20% - Accent5 4 2 7" xfId="9309" xr:uid="{00000000-0005-0000-0000-000014200000}"/>
    <cellStyle name="20% - Accent5 4 2 7 2" xfId="17267" xr:uid="{00000000-0005-0000-0000-000015200000}"/>
    <cellStyle name="20% - Accent5 4 2 7 2 2" xfId="41108" xr:uid="{CB43DD91-68F9-40A1-8F4F-BE2E83EAF1FE}"/>
    <cellStyle name="20% - Accent5 4 2 7 3" xfId="25211" xr:uid="{00000000-0005-0000-0000-000016200000}"/>
    <cellStyle name="20% - Accent5 4 2 7 3 2" xfId="49044" xr:uid="{C870FBFD-D183-4BA8-B589-5A6573DA3460}"/>
    <cellStyle name="20% - Accent5 4 2 7 4" xfId="33167" xr:uid="{8AE77227-510F-480D-B04E-C49048A09D0B}"/>
    <cellStyle name="20% - Accent5 4 2 8" xfId="10205" xr:uid="{00000000-0005-0000-0000-000017200000}"/>
    <cellStyle name="20% - Accent5 4 2 8 2" xfId="34055" xr:uid="{F2091597-CD3D-40F0-B30F-E779DECC6D3B}"/>
    <cellStyle name="20% - Accent5 4 2 9" xfId="18160" xr:uid="{00000000-0005-0000-0000-000018200000}"/>
    <cellStyle name="20% - Accent5 4 2 9 2" xfId="41993" xr:uid="{6A11C2C6-E822-4300-9A99-5CE4FC637F6C}"/>
    <cellStyle name="20% - Accent5 4 2_Exh G" xfId="2502" xr:uid="{00000000-0005-0000-0000-000019200000}"/>
    <cellStyle name="20% - Accent5 4 3" xfId="259" xr:uid="{00000000-0005-0000-0000-00001A200000}"/>
    <cellStyle name="20% - Accent5 4 3 2" xfId="1287" xr:uid="{00000000-0005-0000-0000-00001B200000}"/>
    <cellStyle name="20% - Accent5 4 3 2 2" xfId="4817" xr:uid="{00000000-0005-0000-0000-00001C200000}"/>
    <cellStyle name="20% - Accent5 4 3 2 2 2" xfId="8408" xr:uid="{00000000-0005-0000-0000-00001D200000}"/>
    <cellStyle name="20% - Accent5 4 3 2 2 2 2" xfId="16379" xr:uid="{00000000-0005-0000-0000-00001E200000}"/>
    <cellStyle name="20% - Accent5 4 3 2 2 2 2 2" xfId="40222" xr:uid="{895368F1-C04C-4B38-9152-17151F67C131}"/>
    <cellStyle name="20% - Accent5 4 3 2 2 2 3" xfId="24325" xr:uid="{00000000-0005-0000-0000-00001F200000}"/>
    <cellStyle name="20% - Accent5 4 3 2 2 2 3 2" xfId="48158" xr:uid="{7A6A77F6-A6D5-4EE0-B302-EE2249BC229C}"/>
    <cellStyle name="20% - Accent5 4 3 2 2 2 4" xfId="32281" xr:uid="{211D9EDC-1921-4ACB-BABB-605B1950E068}"/>
    <cellStyle name="20% - Accent5 4 3 2 2 3" xfId="12841" xr:uid="{00000000-0005-0000-0000-000020200000}"/>
    <cellStyle name="20% - Accent5 4 3 2 2 3 2" xfId="36691" xr:uid="{721A5669-B9F6-4067-8DE5-E554B651F72F}"/>
    <cellStyle name="20% - Accent5 4 3 2 2 4" xfId="20796" xr:uid="{00000000-0005-0000-0000-000021200000}"/>
    <cellStyle name="20% - Accent5 4 3 2 2 4 2" xfId="44629" xr:uid="{0BF9B6E3-1971-4A6C-BF98-ED4B0B613758}"/>
    <cellStyle name="20% - Accent5 4 3 2 2 5" xfId="28750" xr:uid="{1022D8D3-FC52-41E1-B0DE-24AD9A6DBD57}"/>
    <cellStyle name="20% - Accent5 4 3 2 3" xfId="6649" xr:uid="{00000000-0005-0000-0000-000022200000}"/>
    <cellStyle name="20% - Accent5 4 3 2 3 2" xfId="14621" xr:uid="{00000000-0005-0000-0000-000023200000}"/>
    <cellStyle name="20% - Accent5 4 3 2 3 2 2" xfId="38464" xr:uid="{8210E4F6-F458-405F-AAFA-AD1AEBBF8F25}"/>
    <cellStyle name="20% - Accent5 4 3 2 3 3" xfId="22568" xr:uid="{00000000-0005-0000-0000-000024200000}"/>
    <cellStyle name="20% - Accent5 4 3 2 3 3 2" xfId="46401" xr:uid="{F7977537-A00F-4877-A7B6-A37EED0290D5}"/>
    <cellStyle name="20% - Accent5 4 3 2 3 4" xfId="30523" xr:uid="{C6CDA589-AAF8-453C-9A8E-3A7998E9A645}"/>
    <cellStyle name="20% - Accent5 4 3 2 4" xfId="11085" xr:uid="{00000000-0005-0000-0000-000025200000}"/>
    <cellStyle name="20% - Accent5 4 3 2 4 2" xfId="34935" xr:uid="{D7B2664F-C57F-4409-B185-FF260412D543}"/>
    <cellStyle name="20% - Accent5 4 3 2 5" xfId="19040" xr:uid="{00000000-0005-0000-0000-000026200000}"/>
    <cellStyle name="20% - Accent5 4 3 2 5 2" xfId="42873" xr:uid="{4D11728B-77AD-40BB-B31B-03C40A73DE08}"/>
    <cellStyle name="20% - Accent5 4 3 2 6" xfId="26993" xr:uid="{234A4D2B-C009-488F-A33C-4BDE5341A04F}"/>
    <cellStyle name="20% - Accent5 4 3 2_Exh G" xfId="2509" xr:uid="{00000000-0005-0000-0000-000027200000}"/>
    <cellStyle name="20% - Accent5 4 3 3" xfId="3938" xr:uid="{00000000-0005-0000-0000-000028200000}"/>
    <cellStyle name="20% - Accent5 4 3 3 2" xfId="7530" xr:uid="{00000000-0005-0000-0000-000029200000}"/>
    <cellStyle name="20% - Accent5 4 3 3 2 2" xfId="15501" xr:uid="{00000000-0005-0000-0000-00002A200000}"/>
    <cellStyle name="20% - Accent5 4 3 3 2 2 2" xfId="39344" xr:uid="{7B165257-A789-4575-A069-201B83FB5667}"/>
    <cellStyle name="20% - Accent5 4 3 3 2 3" xfId="23447" xr:uid="{00000000-0005-0000-0000-00002B200000}"/>
    <cellStyle name="20% - Accent5 4 3 3 2 3 2" xfId="47280" xr:uid="{FACE7364-E7BF-4F17-BE27-C1792D0F9EAD}"/>
    <cellStyle name="20% - Accent5 4 3 3 2 4" xfId="31403" xr:uid="{4D51AC3E-927C-4422-AF21-534AD664BBB1}"/>
    <cellStyle name="20% - Accent5 4 3 3 3" xfId="11963" xr:uid="{00000000-0005-0000-0000-00002C200000}"/>
    <cellStyle name="20% - Accent5 4 3 3 3 2" xfId="35813" xr:uid="{3F3418BF-DA9B-4D7A-84CA-79E26363CD31}"/>
    <cellStyle name="20% - Accent5 4 3 3 4" xfId="19918" xr:uid="{00000000-0005-0000-0000-00002D200000}"/>
    <cellStyle name="20% - Accent5 4 3 3 4 2" xfId="43751" xr:uid="{F20C1532-42EC-40A2-8C89-531638C1B207}"/>
    <cellStyle name="20% - Accent5 4 3 3 5" xfId="27872" xr:uid="{C2CDA451-F07F-49B9-9C0D-E485F8E52259}"/>
    <cellStyle name="20% - Accent5 4 3 4" xfId="5758" xr:uid="{00000000-0005-0000-0000-00002E200000}"/>
    <cellStyle name="20% - Accent5 4 3 4 2" xfId="13742" xr:uid="{00000000-0005-0000-0000-00002F200000}"/>
    <cellStyle name="20% - Accent5 4 3 4 2 2" xfId="37586" xr:uid="{43A6E380-B2A7-44E8-AE88-F7FD47E55F8F}"/>
    <cellStyle name="20% - Accent5 4 3 4 3" xfId="21690" xr:uid="{00000000-0005-0000-0000-000030200000}"/>
    <cellStyle name="20% - Accent5 4 3 4 3 2" xfId="45523" xr:uid="{1D0F4A25-5927-4B4C-B685-F93196926E04}"/>
    <cellStyle name="20% - Accent5 4 3 4 4" xfId="29645" xr:uid="{EC7B0646-2B63-4C8A-8272-540ACF214B70}"/>
    <cellStyle name="20% - Accent5 4 3 5" xfId="9311" xr:uid="{00000000-0005-0000-0000-000031200000}"/>
    <cellStyle name="20% - Accent5 4 3 5 2" xfId="17269" xr:uid="{00000000-0005-0000-0000-000032200000}"/>
    <cellStyle name="20% - Accent5 4 3 5 2 2" xfId="41110" xr:uid="{6665801E-D33C-4D5C-9EB1-7842AB3B91BE}"/>
    <cellStyle name="20% - Accent5 4 3 5 3" xfId="25213" xr:uid="{00000000-0005-0000-0000-000033200000}"/>
    <cellStyle name="20% - Accent5 4 3 5 3 2" xfId="49046" xr:uid="{1CA73AD8-FD29-4BC4-A1A8-4EEC5011BD84}"/>
    <cellStyle name="20% - Accent5 4 3 5 4" xfId="33169" xr:uid="{D93521FD-89DF-4BDE-8970-1685E1D30792}"/>
    <cellStyle name="20% - Accent5 4 3 6" xfId="10207" xr:uid="{00000000-0005-0000-0000-000034200000}"/>
    <cellStyle name="20% - Accent5 4 3 6 2" xfId="34057" xr:uid="{ED2A4FEE-8BF0-41DF-9323-3643D6943851}"/>
    <cellStyle name="20% - Accent5 4 3 7" xfId="18162" xr:uid="{00000000-0005-0000-0000-000035200000}"/>
    <cellStyle name="20% - Accent5 4 3 7 2" xfId="41995" xr:uid="{5BA23772-DAFB-438D-92A4-9649919545EB}"/>
    <cellStyle name="20% - Accent5 4 3 8" xfId="26115" xr:uid="{963C9BF5-84FF-4FAC-B97F-E7405A1049DC}"/>
    <cellStyle name="20% - Accent5 4 3_Exh G" xfId="2508" xr:uid="{00000000-0005-0000-0000-000036200000}"/>
    <cellStyle name="20% - Accent5 4 4" xfId="915" xr:uid="{00000000-0005-0000-0000-000037200000}"/>
    <cellStyle name="20% - Accent5 4 4 2" xfId="1843" xr:uid="{00000000-0005-0000-0000-000038200000}"/>
    <cellStyle name="20% - Accent5 4 4 2 2" xfId="5361" xr:uid="{00000000-0005-0000-0000-000039200000}"/>
    <cellStyle name="20% - Accent5 4 4 2 2 2" xfId="8952" xr:uid="{00000000-0005-0000-0000-00003A200000}"/>
    <cellStyle name="20% - Accent5 4 4 2 2 2 2" xfId="16923" xr:uid="{00000000-0005-0000-0000-00003B200000}"/>
    <cellStyle name="20% - Accent5 4 4 2 2 2 2 2" xfId="40766" xr:uid="{5E0E2430-25B9-4284-8C44-87FBCA3DCAB6}"/>
    <cellStyle name="20% - Accent5 4 4 2 2 2 3" xfId="24869" xr:uid="{00000000-0005-0000-0000-00003C200000}"/>
    <cellStyle name="20% - Accent5 4 4 2 2 2 3 2" xfId="48702" xr:uid="{9DB1E36F-A4CF-41AF-8408-F484C0647EE7}"/>
    <cellStyle name="20% - Accent5 4 4 2 2 2 4" xfId="32825" xr:uid="{1A2BEA5B-6FDD-45DC-AE63-2AEC67447156}"/>
    <cellStyle name="20% - Accent5 4 4 2 2 3" xfId="13385" xr:uid="{00000000-0005-0000-0000-00003D200000}"/>
    <cellStyle name="20% - Accent5 4 4 2 2 3 2" xfId="37235" xr:uid="{7ECF48AC-8EFD-4782-B47C-C53803F5BB09}"/>
    <cellStyle name="20% - Accent5 4 4 2 2 4" xfId="21340" xr:uid="{00000000-0005-0000-0000-00003E200000}"/>
    <cellStyle name="20% - Accent5 4 4 2 2 4 2" xfId="45173" xr:uid="{E9BE0CB0-B8F5-4EAB-ABF0-772D16D4898C}"/>
    <cellStyle name="20% - Accent5 4 4 2 2 5" xfId="29294" xr:uid="{E1649436-3841-4FC0-BF4A-C4EF2DB81854}"/>
    <cellStyle name="20% - Accent5 4 4 2 3" xfId="7193" xr:uid="{00000000-0005-0000-0000-00003F200000}"/>
    <cellStyle name="20% - Accent5 4 4 2 3 2" xfId="15165" xr:uid="{00000000-0005-0000-0000-000040200000}"/>
    <cellStyle name="20% - Accent5 4 4 2 3 2 2" xfId="39008" xr:uid="{15A6EAAF-68E0-4DFD-922B-F842D368206E}"/>
    <cellStyle name="20% - Accent5 4 4 2 3 3" xfId="23112" xr:uid="{00000000-0005-0000-0000-000041200000}"/>
    <cellStyle name="20% - Accent5 4 4 2 3 3 2" xfId="46945" xr:uid="{47F6A169-400D-4B40-8888-ACDB142E5911}"/>
    <cellStyle name="20% - Accent5 4 4 2 3 4" xfId="31067" xr:uid="{EE223E7E-99A3-445B-8451-0E8CCA578266}"/>
    <cellStyle name="20% - Accent5 4 4 2 4" xfId="11629" xr:uid="{00000000-0005-0000-0000-000042200000}"/>
    <cellStyle name="20% - Accent5 4 4 2 4 2" xfId="35479" xr:uid="{0239F87A-CB15-40AD-9A69-B6EFD07BE2AA}"/>
    <cellStyle name="20% - Accent5 4 4 2 5" xfId="19584" xr:uid="{00000000-0005-0000-0000-000043200000}"/>
    <cellStyle name="20% - Accent5 4 4 2 5 2" xfId="43417" xr:uid="{3740D823-9E92-4F91-AB7B-95232C19AC1F}"/>
    <cellStyle name="20% - Accent5 4 4 2 6" xfId="27537" xr:uid="{6EDDC7A3-FA58-4038-A2C6-194655B08C9A}"/>
    <cellStyle name="20% - Accent5 4 4 2_Exh G" xfId="2511" xr:uid="{00000000-0005-0000-0000-000044200000}"/>
    <cellStyle name="20% - Accent5 4 4 3" xfId="4482" xr:uid="{00000000-0005-0000-0000-000045200000}"/>
    <cellStyle name="20% - Accent5 4 4 3 2" xfId="8074" xr:uid="{00000000-0005-0000-0000-000046200000}"/>
    <cellStyle name="20% - Accent5 4 4 3 2 2" xfId="16045" xr:uid="{00000000-0005-0000-0000-000047200000}"/>
    <cellStyle name="20% - Accent5 4 4 3 2 2 2" xfId="39888" xr:uid="{1286F0B7-2029-4D7F-B94C-E1BBA50D9797}"/>
    <cellStyle name="20% - Accent5 4 4 3 2 3" xfId="23991" xr:uid="{00000000-0005-0000-0000-000048200000}"/>
    <cellStyle name="20% - Accent5 4 4 3 2 3 2" xfId="47824" xr:uid="{262EE927-FF2A-448A-B2B2-9A72384D71D7}"/>
    <cellStyle name="20% - Accent5 4 4 3 2 4" xfId="31947" xr:uid="{A186D45D-82E5-44C3-86AE-539961B1E926}"/>
    <cellStyle name="20% - Accent5 4 4 3 3" xfId="12507" xr:uid="{00000000-0005-0000-0000-000049200000}"/>
    <cellStyle name="20% - Accent5 4 4 3 3 2" xfId="36357" xr:uid="{36E145D4-3F90-4A1E-BFB5-4E24C55658EF}"/>
    <cellStyle name="20% - Accent5 4 4 3 4" xfId="20462" xr:uid="{00000000-0005-0000-0000-00004A200000}"/>
    <cellStyle name="20% - Accent5 4 4 3 4 2" xfId="44295" xr:uid="{B4229C38-68DF-439F-BEB3-F1AB94607F0F}"/>
    <cellStyle name="20% - Accent5 4 4 3 5" xfId="28416" xr:uid="{017909F5-49D5-43F4-BC57-633FE43DBE96}"/>
    <cellStyle name="20% - Accent5 4 4 4" xfId="6312" xr:uid="{00000000-0005-0000-0000-00004B200000}"/>
    <cellStyle name="20% - Accent5 4 4 4 2" xfId="14287" xr:uid="{00000000-0005-0000-0000-00004C200000}"/>
    <cellStyle name="20% - Accent5 4 4 4 2 2" xfId="38130" xr:uid="{B672C0BE-E219-4ED3-9445-8D0C2A09962F}"/>
    <cellStyle name="20% - Accent5 4 4 4 3" xfId="22234" xr:uid="{00000000-0005-0000-0000-00004D200000}"/>
    <cellStyle name="20% - Accent5 4 4 4 3 2" xfId="46067" xr:uid="{6547C0B9-3EAF-4E88-8B7C-A384B4EF7F54}"/>
    <cellStyle name="20% - Accent5 4 4 4 4" xfId="30189" xr:uid="{757B0675-8F6D-4E2E-8F8E-440DA1E4F114}"/>
    <cellStyle name="20% - Accent5 4 4 5" xfId="9855" xr:uid="{00000000-0005-0000-0000-00004E200000}"/>
    <cellStyle name="20% - Accent5 4 4 5 2" xfId="17813" xr:uid="{00000000-0005-0000-0000-00004F200000}"/>
    <cellStyle name="20% - Accent5 4 4 5 2 2" xfId="41654" xr:uid="{5BF720C8-2522-4286-B289-A3B034A74B70}"/>
    <cellStyle name="20% - Accent5 4 4 5 3" xfId="25757" xr:uid="{00000000-0005-0000-0000-000050200000}"/>
    <cellStyle name="20% - Accent5 4 4 5 3 2" xfId="49590" xr:uid="{EEFBF3AD-AB42-49AF-831D-097B250C0CD7}"/>
    <cellStyle name="20% - Accent5 4 4 5 4" xfId="33713" xr:uid="{5DF62074-BF46-488B-899E-332814CADCAC}"/>
    <cellStyle name="20% - Accent5 4 4 6" xfId="10751" xr:uid="{00000000-0005-0000-0000-000051200000}"/>
    <cellStyle name="20% - Accent5 4 4 6 2" xfId="34601" xr:uid="{C35B1D51-FE3B-4C78-BEA4-28EB2CB4F57E}"/>
    <cellStyle name="20% - Accent5 4 4 7" xfId="18706" xr:uid="{00000000-0005-0000-0000-000052200000}"/>
    <cellStyle name="20% - Accent5 4 4 7 2" xfId="42539" xr:uid="{5251C2E8-7C2E-4602-94EA-5346C346FD39}"/>
    <cellStyle name="20% - Accent5 4 4 8" xfId="26659" xr:uid="{ABF06B26-E1B1-4711-9F9D-74D3FF0DA0E2}"/>
    <cellStyle name="20% - Accent5 4 4_Exh G" xfId="2510" xr:uid="{00000000-0005-0000-0000-000053200000}"/>
    <cellStyle name="20% - Accent5 4 5" xfId="1284" xr:uid="{00000000-0005-0000-0000-000054200000}"/>
    <cellStyle name="20% - Accent5 4 5 2" xfId="4814" xr:uid="{00000000-0005-0000-0000-000055200000}"/>
    <cellStyle name="20% - Accent5 4 5 2 2" xfId="8405" xr:uid="{00000000-0005-0000-0000-000056200000}"/>
    <cellStyle name="20% - Accent5 4 5 2 2 2" xfId="16376" xr:uid="{00000000-0005-0000-0000-000057200000}"/>
    <cellStyle name="20% - Accent5 4 5 2 2 2 2" xfId="40219" xr:uid="{43A8BA15-8B69-4E59-A246-6B7D185B4CB3}"/>
    <cellStyle name="20% - Accent5 4 5 2 2 3" xfId="24322" xr:uid="{00000000-0005-0000-0000-000058200000}"/>
    <cellStyle name="20% - Accent5 4 5 2 2 3 2" xfId="48155" xr:uid="{723AF4C5-6515-42D9-9853-17BE40D9C16B}"/>
    <cellStyle name="20% - Accent5 4 5 2 2 4" xfId="32278" xr:uid="{31915D40-BA38-4603-A989-2B8C0037061B}"/>
    <cellStyle name="20% - Accent5 4 5 2 3" xfId="12838" xr:uid="{00000000-0005-0000-0000-000059200000}"/>
    <cellStyle name="20% - Accent5 4 5 2 3 2" xfId="36688" xr:uid="{264E7B32-B1EC-4C28-B867-96CB5F1F6125}"/>
    <cellStyle name="20% - Accent5 4 5 2 4" xfId="20793" xr:uid="{00000000-0005-0000-0000-00005A200000}"/>
    <cellStyle name="20% - Accent5 4 5 2 4 2" xfId="44626" xr:uid="{E2C04153-425B-42D2-A098-757223E4D7C7}"/>
    <cellStyle name="20% - Accent5 4 5 2 5" xfId="28747" xr:uid="{0D6D8CB1-42D7-4842-81B4-510E2459E5C3}"/>
    <cellStyle name="20% - Accent5 4 5 3" xfId="6646" xr:uid="{00000000-0005-0000-0000-00005B200000}"/>
    <cellStyle name="20% - Accent5 4 5 3 2" xfId="14618" xr:uid="{00000000-0005-0000-0000-00005C200000}"/>
    <cellStyle name="20% - Accent5 4 5 3 2 2" xfId="38461" xr:uid="{B8291D91-FEB8-486D-A089-6EE7C3BEC590}"/>
    <cellStyle name="20% - Accent5 4 5 3 3" xfId="22565" xr:uid="{00000000-0005-0000-0000-00005D200000}"/>
    <cellStyle name="20% - Accent5 4 5 3 3 2" xfId="46398" xr:uid="{ECCC9C95-022B-456A-B1C7-FCC63D764B18}"/>
    <cellStyle name="20% - Accent5 4 5 3 4" xfId="30520" xr:uid="{9041C327-6A2B-4592-8F0F-D2652CEA01CB}"/>
    <cellStyle name="20% - Accent5 4 5 4" xfId="11082" xr:uid="{00000000-0005-0000-0000-00005E200000}"/>
    <cellStyle name="20% - Accent5 4 5 4 2" xfId="34932" xr:uid="{49029897-5C1B-431F-9204-5BC7DC68D643}"/>
    <cellStyle name="20% - Accent5 4 5 5" xfId="19037" xr:uid="{00000000-0005-0000-0000-00005F200000}"/>
    <cellStyle name="20% - Accent5 4 5 5 2" xfId="42870" xr:uid="{AAB43B8F-10E5-4F4E-A628-3BC2AF5E9EA9}"/>
    <cellStyle name="20% - Accent5 4 5 6" xfId="26990" xr:uid="{C685572F-E74F-444D-973E-3239EE6A4DF3}"/>
    <cellStyle name="20% - Accent5 4 5_Exh G" xfId="2512" xr:uid="{00000000-0005-0000-0000-000060200000}"/>
    <cellStyle name="20% - Accent5 4 6" xfId="3935" xr:uid="{00000000-0005-0000-0000-000061200000}"/>
    <cellStyle name="20% - Accent5 4 6 2" xfId="7527" xr:uid="{00000000-0005-0000-0000-000062200000}"/>
    <cellStyle name="20% - Accent5 4 6 2 2" xfId="15498" xr:uid="{00000000-0005-0000-0000-000063200000}"/>
    <cellStyle name="20% - Accent5 4 6 2 2 2" xfId="39341" xr:uid="{B854EB7A-281F-4A4D-AE1A-B645CC22AD52}"/>
    <cellStyle name="20% - Accent5 4 6 2 3" xfId="23444" xr:uid="{00000000-0005-0000-0000-000064200000}"/>
    <cellStyle name="20% - Accent5 4 6 2 3 2" xfId="47277" xr:uid="{AAF46EBD-DB3D-4592-BC15-A582E70A0CEC}"/>
    <cellStyle name="20% - Accent5 4 6 2 4" xfId="31400" xr:uid="{BE682D37-BCB6-42D9-8062-C44C14BE1C10}"/>
    <cellStyle name="20% - Accent5 4 6 3" xfId="11960" xr:uid="{00000000-0005-0000-0000-000065200000}"/>
    <cellStyle name="20% - Accent5 4 6 3 2" xfId="35810" xr:uid="{16BC4DAC-62EA-4328-9782-DDCADFEF876C}"/>
    <cellStyle name="20% - Accent5 4 6 4" xfId="19915" xr:uid="{00000000-0005-0000-0000-000066200000}"/>
    <cellStyle name="20% - Accent5 4 6 4 2" xfId="43748" xr:uid="{74EBD2F4-9ABE-4D65-A9C2-87A510344C38}"/>
    <cellStyle name="20% - Accent5 4 6 5" xfId="27869" xr:uid="{6437BED7-5302-4613-9479-8751BD83578C}"/>
    <cellStyle name="20% - Accent5 4 7" xfId="5755" xr:uid="{00000000-0005-0000-0000-000067200000}"/>
    <cellStyle name="20% - Accent5 4 7 2" xfId="13739" xr:uid="{00000000-0005-0000-0000-000068200000}"/>
    <cellStyle name="20% - Accent5 4 7 2 2" xfId="37583" xr:uid="{B81691DB-273B-42D3-81A1-B17B4F6F3B2C}"/>
    <cellStyle name="20% - Accent5 4 7 3" xfId="21687" xr:uid="{00000000-0005-0000-0000-000069200000}"/>
    <cellStyle name="20% - Accent5 4 7 3 2" xfId="45520" xr:uid="{3D68496E-B1FE-4E8F-B5AE-4E2E6C859190}"/>
    <cellStyle name="20% - Accent5 4 7 4" xfId="29642" xr:uid="{CD35AD24-5353-47C1-86A4-6C1F5D6824A1}"/>
    <cellStyle name="20% - Accent5 4 8" xfId="9308" xr:uid="{00000000-0005-0000-0000-00006A200000}"/>
    <cellStyle name="20% - Accent5 4 8 2" xfId="17266" xr:uid="{00000000-0005-0000-0000-00006B200000}"/>
    <cellStyle name="20% - Accent5 4 8 2 2" xfId="41107" xr:uid="{BE541FD3-A131-49E1-B1FC-E0FF94691430}"/>
    <cellStyle name="20% - Accent5 4 8 3" xfId="25210" xr:uid="{00000000-0005-0000-0000-00006C200000}"/>
    <cellStyle name="20% - Accent5 4 8 3 2" xfId="49043" xr:uid="{B828C99B-F258-46EC-9599-FE6953E81B84}"/>
    <cellStyle name="20% - Accent5 4 8 4" xfId="33166" xr:uid="{415DBF4A-A8A6-4363-A790-EBE83723B034}"/>
    <cellStyle name="20% - Accent5 4 9" xfId="10204" xr:uid="{00000000-0005-0000-0000-00006D200000}"/>
    <cellStyle name="20% - Accent5 4 9 2" xfId="34054" xr:uid="{0A988DBC-BAA7-4564-9B62-E6A639A600F9}"/>
    <cellStyle name="20% - Accent5 4_Exh G" xfId="2501" xr:uid="{00000000-0005-0000-0000-00006E200000}"/>
    <cellStyle name="20% - Accent5 5" xfId="260" xr:uid="{00000000-0005-0000-0000-00006F200000}"/>
    <cellStyle name="20% - Accent5 5 10" xfId="18163" xr:uid="{00000000-0005-0000-0000-000070200000}"/>
    <cellStyle name="20% - Accent5 5 10 2" xfId="41996" xr:uid="{B139BC75-4F09-4E6D-8601-F0BE7FB9283E}"/>
    <cellStyle name="20% - Accent5 5 11" xfId="26116" xr:uid="{F647F6EE-9B61-46CC-A002-470B22CBDABD}"/>
    <cellStyle name="20% - Accent5 5 2" xfId="261" xr:uid="{00000000-0005-0000-0000-000071200000}"/>
    <cellStyle name="20% - Accent5 5 2 2" xfId="262" xr:uid="{00000000-0005-0000-0000-000072200000}"/>
    <cellStyle name="20% - Accent5 5 2 2 2" xfId="1290" xr:uid="{00000000-0005-0000-0000-000073200000}"/>
    <cellStyle name="20% - Accent5 5 2 2 2 2" xfId="4820" xr:uid="{00000000-0005-0000-0000-000074200000}"/>
    <cellStyle name="20% - Accent5 5 2 2 2 2 2" xfId="8411" xr:uid="{00000000-0005-0000-0000-000075200000}"/>
    <cellStyle name="20% - Accent5 5 2 2 2 2 2 2" xfId="16382" xr:uid="{00000000-0005-0000-0000-000076200000}"/>
    <cellStyle name="20% - Accent5 5 2 2 2 2 2 2 2" xfId="40225" xr:uid="{ACCBB967-3611-4557-A108-CDCC7D05D2EF}"/>
    <cellStyle name="20% - Accent5 5 2 2 2 2 2 3" xfId="24328" xr:uid="{00000000-0005-0000-0000-000077200000}"/>
    <cellStyle name="20% - Accent5 5 2 2 2 2 2 3 2" xfId="48161" xr:uid="{9B83A733-B533-474B-B443-35D6E18624E9}"/>
    <cellStyle name="20% - Accent5 5 2 2 2 2 2 4" xfId="32284" xr:uid="{8CB332F9-421E-41E4-BE76-95D9557C9F9F}"/>
    <cellStyle name="20% - Accent5 5 2 2 2 2 3" xfId="12844" xr:uid="{00000000-0005-0000-0000-000078200000}"/>
    <cellStyle name="20% - Accent5 5 2 2 2 2 3 2" xfId="36694" xr:uid="{C2303B8F-E88D-4BD9-9DC3-12C994A5A2DD}"/>
    <cellStyle name="20% - Accent5 5 2 2 2 2 4" xfId="20799" xr:uid="{00000000-0005-0000-0000-000079200000}"/>
    <cellStyle name="20% - Accent5 5 2 2 2 2 4 2" xfId="44632" xr:uid="{1F8468FA-6823-4178-913E-3E5EC0DD3371}"/>
    <cellStyle name="20% - Accent5 5 2 2 2 2 5" xfId="28753" xr:uid="{8E59A3C0-407E-4FD4-B06C-704E7D0E01F5}"/>
    <cellStyle name="20% - Accent5 5 2 2 2 3" xfId="6652" xr:uid="{00000000-0005-0000-0000-00007A200000}"/>
    <cellStyle name="20% - Accent5 5 2 2 2 3 2" xfId="14624" xr:uid="{00000000-0005-0000-0000-00007B200000}"/>
    <cellStyle name="20% - Accent5 5 2 2 2 3 2 2" xfId="38467" xr:uid="{327A7974-4A62-4D9E-8893-031D26583420}"/>
    <cellStyle name="20% - Accent5 5 2 2 2 3 3" xfId="22571" xr:uid="{00000000-0005-0000-0000-00007C200000}"/>
    <cellStyle name="20% - Accent5 5 2 2 2 3 3 2" xfId="46404" xr:uid="{79716659-5A20-4BEA-A137-6C3F4A8EF1F3}"/>
    <cellStyle name="20% - Accent5 5 2 2 2 3 4" xfId="30526" xr:uid="{122BF087-C5F8-4884-B079-32AEA0BDE75D}"/>
    <cellStyle name="20% - Accent5 5 2 2 2 4" xfId="11088" xr:uid="{00000000-0005-0000-0000-00007D200000}"/>
    <cellStyle name="20% - Accent5 5 2 2 2 4 2" xfId="34938" xr:uid="{4D40CBD5-8739-4DEA-862A-CDD1A65CEB56}"/>
    <cellStyle name="20% - Accent5 5 2 2 2 5" xfId="19043" xr:uid="{00000000-0005-0000-0000-00007E200000}"/>
    <cellStyle name="20% - Accent5 5 2 2 2 5 2" xfId="42876" xr:uid="{A298EC45-8562-4E39-AB5E-33A8B0BB57F3}"/>
    <cellStyle name="20% - Accent5 5 2 2 2 6" xfId="26996" xr:uid="{6A420048-53B4-44A6-A25E-ECB777C33CA0}"/>
    <cellStyle name="20% - Accent5 5 2 2 2_Exh G" xfId="2516" xr:uid="{00000000-0005-0000-0000-00007F200000}"/>
    <cellStyle name="20% - Accent5 5 2 2 3" xfId="3941" xr:uid="{00000000-0005-0000-0000-000080200000}"/>
    <cellStyle name="20% - Accent5 5 2 2 3 2" xfId="7533" xr:uid="{00000000-0005-0000-0000-000081200000}"/>
    <cellStyle name="20% - Accent5 5 2 2 3 2 2" xfId="15504" xr:uid="{00000000-0005-0000-0000-000082200000}"/>
    <cellStyle name="20% - Accent5 5 2 2 3 2 2 2" xfId="39347" xr:uid="{E5BA176C-0397-471F-8555-D016AA40E3BB}"/>
    <cellStyle name="20% - Accent5 5 2 2 3 2 3" xfId="23450" xr:uid="{00000000-0005-0000-0000-000083200000}"/>
    <cellStyle name="20% - Accent5 5 2 2 3 2 3 2" xfId="47283" xr:uid="{6B78A036-2F63-497A-95B6-B592F1CEC0BD}"/>
    <cellStyle name="20% - Accent5 5 2 2 3 2 4" xfId="31406" xr:uid="{91A38C3F-C71C-4457-B23D-0155C46750E1}"/>
    <cellStyle name="20% - Accent5 5 2 2 3 3" xfId="11966" xr:uid="{00000000-0005-0000-0000-000084200000}"/>
    <cellStyle name="20% - Accent5 5 2 2 3 3 2" xfId="35816" xr:uid="{B3967786-599F-432C-9547-0412E8552507}"/>
    <cellStyle name="20% - Accent5 5 2 2 3 4" xfId="19921" xr:uid="{00000000-0005-0000-0000-000085200000}"/>
    <cellStyle name="20% - Accent5 5 2 2 3 4 2" xfId="43754" xr:uid="{4AB1F24F-7982-4000-B7AF-6250A1A98F47}"/>
    <cellStyle name="20% - Accent5 5 2 2 3 5" xfId="27875" xr:uid="{FEC45B54-F6C9-4BA9-9360-7C9AA8DAE41E}"/>
    <cellStyle name="20% - Accent5 5 2 2 4" xfId="5761" xr:uid="{00000000-0005-0000-0000-000086200000}"/>
    <cellStyle name="20% - Accent5 5 2 2 4 2" xfId="13745" xr:uid="{00000000-0005-0000-0000-000087200000}"/>
    <cellStyle name="20% - Accent5 5 2 2 4 2 2" xfId="37589" xr:uid="{4E870773-6EEE-426A-B85D-7226A44AD637}"/>
    <cellStyle name="20% - Accent5 5 2 2 4 3" xfId="21693" xr:uid="{00000000-0005-0000-0000-000088200000}"/>
    <cellStyle name="20% - Accent5 5 2 2 4 3 2" xfId="45526" xr:uid="{04B6F5FC-3B6A-4984-A046-04F7C41A7D0D}"/>
    <cellStyle name="20% - Accent5 5 2 2 4 4" xfId="29648" xr:uid="{3D0003C1-ED92-44AB-8B96-B8BA2C7EC5DB}"/>
    <cellStyle name="20% - Accent5 5 2 2 5" xfId="9314" xr:uid="{00000000-0005-0000-0000-000089200000}"/>
    <cellStyle name="20% - Accent5 5 2 2 5 2" xfId="17272" xr:uid="{00000000-0005-0000-0000-00008A200000}"/>
    <cellStyle name="20% - Accent5 5 2 2 5 2 2" xfId="41113" xr:uid="{6EE81A89-FC7B-416F-A494-6789CA514670}"/>
    <cellStyle name="20% - Accent5 5 2 2 5 3" xfId="25216" xr:uid="{00000000-0005-0000-0000-00008B200000}"/>
    <cellStyle name="20% - Accent5 5 2 2 5 3 2" xfId="49049" xr:uid="{EF522BAB-B994-4DE3-9EF0-8DF6ABA1D94A}"/>
    <cellStyle name="20% - Accent5 5 2 2 5 4" xfId="33172" xr:uid="{9C931507-7785-4B89-B5C9-A60E57B10098}"/>
    <cellStyle name="20% - Accent5 5 2 2 6" xfId="10210" xr:uid="{00000000-0005-0000-0000-00008C200000}"/>
    <cellStyle name="20% - Accent5 5 2 2 6 2" xfId="34060" xr:uid="{C77458F1-EAD9-4918-9CFF-3F8AC6188ECF}"/>
    <cellStyle name="20% - Accent5 5 2 2 7" xfId="18165" xr:uid="{00000000-0005-0000-0000-00008D200000}"/>
    <cellStyle name="20% - Accent5 5 2 2 7 2" xfId="41998" xr:uid="{95D17CE5-4961-4EFF-AC7C-A27652BC4595}"/>
    <cellStyle name="20% - Accent5 5 2 2 8" xfId="26118" xr:uid="{E5EDB607-2F45-40DD-87FA-8CE7D237FE44}"/>
    <cellStyle name="20% - Accent5 5 2 2_Exh G" xfId="2515" xr:uid="{00000000-0005-0000-0000-00008E200000}"/>
    <cellStyle name="20% - Accent5 5 2 3" xfId="1289" xr:uid="{00000000-0005-0000-0000-00008F200000}"/>
    <cellStyle name="20% - Accent5 5 2 3 2" xfId="4819" xr:uid="{00000000-0005-0000-0000-000090200000}"/>
    <cellStyle name="20% - Accent5 5 2 3 2 2" xfId="8410" xr:uid="{00000000-0005-0000-0000-000091200000}"/>
    <cellStyle name="20% - Accent5 5 2 3 2 2 2" xfId="16381" xr:uid="{00000000-0005-0000-0000-000092200000}"/>
    <cellStyle name="20% - Accent5 5 2 3 2 2 2 2" xfId="40224" xr:uid="{734F4E97-99A6-4AEA-A7B2-F9E77F7AE4E4}"/>
    <cellStyle name="20% - Accent5 5 2 3 2 2 3" xfId="24327" xr:uid="{00000000-0005-0000-0000-000093200000}"/>
    <cellStyle name="20% - Accent5 5 2 3 2 2 3 2" xfId="48160" xr:uid="{0BF4DE5A-4DEA-46C0-929A-75FFA95E531F}"/>
    <cellStyle name="20% - Accent5 5 2 3 2 2 4" xfId="32283" xr:uid="{3202C69C-FA7A-481B-BAAA-CE2022CB47A3}"/>
    <cellStyle name="20% - Accent5 5 2 3 2 3" xfId="12843" xr:uid="{00000000-0005-0000-0000-000094200000}"/>
    <cellStyle name="20% - Accent5 5 2 3 2 3 2" xfId="36693" xr:uid="{6302B64E-2D49-4DD6-ADF9-78827D2F798D}"/>
    <cellStyle name="20% - Accent5 5 2 3 2 4" xfId="20798" xr:uid="{00000000-0005-0000-0000-000095200000}"/>
    <cellStyle name="20% - Accent5 5 2 3 2 4 2" xfId="44631" xr:uid="{229AF3A1-11F9-4FDE-B4E1-875E47CE9F7E}"/>
    <cellStyle name="20% - Accent5 5 2 3 2 5" xfId="28752" xr:uid="{1D126D56-E05E-4526-9697-A03DA25926E9}"/>
    <cellStyle name="20% - Accent5 5 2 3 3" xfId="6651" xr:uid="{00000000-0005-0000-0000-000096200000}"/>
    <cellStyle name="20% - Accent5 5 2 3 3 2" xfId="14623" xr:uid="{00000000-0005-0000-0000-000097200000}"/>
    <cellStyle name="20% - Accent5 5 2 3 3 2 2" xfId="38466" xr:uid="{E48CC96D-8511-468E-8DD8-B58D6B337BCA}"/>
    <cellStyle name="20% - Accent5 5 2 3 3 3" xfId="22570" xr:uid="{00000000-0005-0000-0000-000098200000}"/>
    <cellStyle name="20% - Accent5 5 2 3 3 3 2" xfId="46403" xr:uid="{C4A13650-ADF5-43FC-A9B6-AEA7981E7222}"/>
    <cellStyle name="20% - Accent5 5 2 3 3 4" xfId="30525" xr:uid="{033D17A8-BB6D-476D-A82C-B4CF8DACC405}"/>
    <cellStyle name="20% - Accent5 5 2 3 4" xfId="11087" xr:uid="{00000000-0005-0000-0000-000099200000}"/>
    <cellStyle name="20% - Accent5 5 2 3 4 2" xfId="34937" xr:uid="{34A7AA82-47D4-43B6-ABAA-7F44F0E6BF4A}"/>
    <cellStyle name="20% - Accent5 5 2 3 5" xfId="19042" xr:uid="{00000000-0005-0000-0000-00009A200000}"/>
    <cellStyle name="20% - Accent5 5 2 3 5 2" xfId="42875" xr:uid="{CF39D2CB-F076-4067-9A57-AF13910A8488}"/>
    <cellStyle name="20% - Accent5 5 2 3 6" xfId="26995" xr:uid="{9878AB13-00E3-4501-837D-87208103B224}"/>
    <cellStyle name="20% - Accent5 5 2 3_Exh G" xfId="2517" xr:uid="{00000000-0005-0000-0000-00009B200000}"/>
    <cellStyle name="20% - Accent5 5 2 4" xfId="3940" xr:uid="{00000000-0005-0000-0000-00009C200000}"/>
    <cellStyle name="20% - Accent5 5 2 4 2" xfId="7532" xr:uid="{00000000-0005-0000-0000-00009D200000}"/>
    <cellStyle name="20% - Accent5 5 2 4 2 2" xfId="15503" xr:uid="{00000000-0005-0000-0000-00009E200000}"/>
    <cellStyle name="20% - Accent5 5 2 4 2 2 2" xfId="39346" xr:uid="{14564047-9644-4ED5-ABCC-CD5C569390A5}"/>
    <cellStyle name="20% - Accent5 5 2 4 2 3" xfId="23449" xr:uid="{00000000-0005-0000-0000-00009F200000}"/>
    <cellStyle name="20% - Accent5 5 2 4 2 3 2" xfId="47282" xr:uid="{BA1810C5-F3E8-4EAA-8092-008DD4F90BCC}"/>
    <cellStyle name="20% - Accent5 5 2 4 2 4" xfId="31405" xr:uid="{89F3B7C6-5E4B-4D2C-A218-CF71A0BD7FF5}"/>
    <cellStyle name="20% - Accent5 5 2 4 3" xfId="11965" xr:uid="{00000000-0005-0000-0000-0000A0200000}"/>
    <cellStyle name="20% - Accent5 5 2 4 3 2" xfId="35815" xr:uid="{8C083370-2698-4798-8A40-73B8598398D8}"/>
    <cellStyle name="20% - Accent5 5 2 4 4" xfId="19920" xr:uid="{00000000-0005-0000-0000-0000A1200000}"/>
    <cellStyle name="20% - Accent5 5 2 4 4 2" xfId="43753" xr:uid="{58C3A66B-4BE7-4BA1-B5AE-0B06AA7174B0}"/>
    <cellStyle name="20% - Accent5 5 2 4 5" xfId="27874" xr:uid="{E9C2A95E-26FA-4E2C-9AAF-F8FCF678C44C}"/>
    <cellStyle name="20% - Accent5 5 2 5" xfId="5760" xr:uid="{00000000-0005-0000-0000-0000A2200000}"/>
    <cellStyle name="20% - Accent5 5 2 5 2" xfId="13744" xr:uid="{00000000-0005-0000-0000-0000A3200000}"/>
    <cellStyle name="20% - Accent5 5 2 5 2 2" xfId="37588" xr:uid="{3BC45725-BD2D-46CA-B14F-C22DE4FF4DD3}"/>
    <cellStyle name="20% - Accent5 5 2 5 3" xfId="21692" xr:uid="{00000000-0005-0000-0000-0000A4200000}"/>
    <cellStyle name="20% - Accent5 5 2 5 3 2" xfId="45525" xr:uid="{83AF8F55-9F85-488C-B124-68C111B969D1}"/>
    <cellStyle name="20% - Accent5 5 2 5 4" xfId="29647" xr:uid="{B0C24940-5190-4CCF-B887-00617D6DD7C8}"/>
    <cellStyle name="20% - Accent5 5 2 6" xfId="9313" xr:uid="{00000000-0005-0000-0000-0000A5200000}"/>
    <cellStyle name="20% - Accent5 5 2 6 2" xfId="17271" xr:uid="{00000000-0005-0000-0000-0000A6200000}"/>
    <cellStyle name="20% - Accent5 5 2 6 2 2" xfId="41112" xr:uid="{FFEF2511-59F6-4165-9C7C-235CDC9F5770}"/>
    <cellStyle name="20% - Accent5 5 2 6 3" xfId="25215" xr:uid="{00000000-0005-0000-0000-0000A7200000}"/>
    <cellStyle name="20% - Accent5 5 2 6 3 2" xfId="49048" xr:uid="{C5A404E4-FC68-49EA-8D77-E86985146915}"/>
    <cellStyle name="20% - Accent5 5 2 6 4" xfId="33171" xr:uid="{45C093F2-0AEE-4CD7-BECE-4BCA66E7BD1F}"/>
    <cellStyle name="20% - Accent5 5 2 7" xfId="10209" xr:uid="{00000000-0005-0000-0000-0000A8200000}"/>
    <cellStyle name="20% - Accent5 5 2 7 2" xfId="34059" xr:uid="{19F1B287-6ADA-49FB-9692-8CA280DCF41A}"/>
    <cellStyle name="20% - Accent5 5 2 8" xfId="18164" xr:uid="{00000000-0005-0000-0000-0000A9200000}"/>
    <cellStyle name="20% - Accent5 5 2 8 2" xfId="41997" xr:uid="{B95AD40F-35F5-417A-B10A-5E3E78284C00}"/>
    <cellStyle name="20% - Accent5 5 2 9" xfId="26117" xr:uid="{6F534E49-5503-4A78-8274-2C17473B5B22}"/>
    <cellStyle name="20% - Accent5 5 2_Exh G" xfId="2514" xr:uid="{00000000-0005-0000-0000-0000AA200000}"/>
    <cellStyle name="20% - Accent5 5 3" xfId="263" xr:uid="{00000000-0005-0000-0000-0000AB200000}"/>
    <cellStyle name="20% - Accent5 5 3 2" xfId="1291" xr:uid="{00000000-0005-0000-0000-0000AC200000}"/>
    <cellStyle name="20% - Accent5 5 3 2 2" xfId="4821" xr:uid="{00000000-0005-0000-0000-0000AD200000}"/>
    <cellStyle name="20% - Accent5 5 3 2 2 2" xfId="8412" xr:uid="{00000000-0005-0000-0000-0000AE200000}"/>
    <cellStyle name="20% - Accent5 5 3 2 2 2 2" xfId="16383" xr:uid="{00000000-0005-0000-0000-0000AF200000}"/>
    <cellStyle name="20% - Accent5 5 3 2 2 2 2 2" xfId="40226" xr:uid="{D34847BC-6947-4F95-B4B9-86C6A3F04C92}"/>
    <cellStyle name="20% - Accent5 5 3 2 2 2 3" xfId="24329" xr:uid="{00000000-0005-0000-0000-0000B0200000}"/>
    <cellStyle name="20% - Accent5 5 3 2 2 2 3 2" xfId="48162" xr:uid="{F9B1FE69-DDEF-4A3F-BB83-31726ADE0A1A}"/>
    <cellStyle name="20% - Accent5 5 3 2 2 2 4" xfId="32285" xr:uid="{32DDDC68-6382-4B78-9222-A394B767C2ED}"/>
    <cellStyle name="20% - Accent5 5 3 2 2 3" xfId="12845" xr:uid="{00000000-0005-0000-0000-0000B1200000}"/>
    <cellStyle name="20% - Accent5 5 3 2 2 3 2" xfId="36695" xr:uid="{4BCB8ABE-0F23-4E34-9443-D4E64323073C}"/>
    <cellStyle name="20% - Accent5 5 3 2 2 4" xfId="20800" xr:uid="{00000000-0005-0000-0000-0000B2200000}"/>
    <cellStyle name="20% - Accent5 5 3 2 2 4 2" xfId="44633" xr:uid="{9DB8836E-23E3-4624-8CA9-2A216864C05D}"/>
    <cellStyle name="20% - Accent5 5 3 2 2 5" xfId="28754" xr:uid="{324636E3-9086-47BA-A4FF-D045B7E05BE9}"/>
    <cellStyle name="20% - Accent5 5 3 2 3" xfId="6653" xr:uid="{00000000-0005-0000-0000-0000B3200000}"/>
    <cellStyle name="20% - Accent5 5 3 2 3 2" xfId="14625" xr:uid="{00000000-0005-0000-0000-0000B4200000}"/>
    <cellStyle name="20% - Accent5 5 3 2 3 2 2" xfId="38468" xr:uid="{A2063037-EB08-4347-BB9E-713385247E3C}"/>
    <cellStyle name="20% - Accent5 5 3 2 3 3" xfId="22572" xr:uid="{00000000-0005-0000-0000-0000B5200000}"/>
    <cellStyle name="20% - Accent5 5 3 2 3 3 2" xfId="46405" xr:uid="{7CCD8AD1-B5EB-490E-A4D4-DE829D717F4C}"/>
    <cellStyle name="20% - Accent5 5 3 2 3 4" xfId="30527" xr:uid="{88E16930-C548-49DA-8D55-F903C67DC8C9}"/>
    <cellStyle name="20% - Accent5 5 3 2 4" xfId="11089" xr:uid="{00000000-0005-0000-0000-0000B6200000}"/>
    <cellStyle name="20% - Accent5 5 3 2 4 2" xfId="34939" xr:uid="{17E71795-7A39-4FDF-B0FF-2ED9000D466B}"/>
    <cellStyle name="20% - Accent5 5 3 2 5" xfId="19044" xr:uid="{00000000-0005-0000-0000-0000B7200000}"/>
    <cellStyle name="20% - Accent5 5 3 2 5 2" xfId="42877" xr:uid="{4D361D4E-4BD7-460F-A74B-AA7B019C834D}"/>
    <cellStyle name="20% - Accent5 5 3 2 6" xfId="26997" xr:uid="{204E6021-6A6B-4195-814F-509306E794DC}"/>
    <cellStyle name="20% - Accent5 5 3 2_Exh G" xfId="2519" xr:uid="{00000000-0005-0000-0000-0000B8200000}"/>
    <cellStyle name="20% - Accent5 5 3 3" xfId="3942" xr:uid="{00000000-0005-0000-0000-0000B9200000}"/>
    <cellStyle name="20% - Accent5 5 3 3 2" xfId="7534" xr:uid="{00000000-0005-0000-0000-0000BA200000}"/>
    <cellStyle name="20% - Accent5 5 3 3 2 2" xfId="15505" xr:uid="{00000000-0005-0000-0000-0000BB200000}"/>
    <cellStyle name="20% - Accent5 5 3 3 2 2 2" xfId="39348" xr:uid="{334C6369-98D2-4DB4-B7A7-96119714F7C9}"/>
    <cellStyle name="20% - Accent5 5 3 3 2 3" xfId="23451" xr:uid="{00000000-0005-0000-0000-0000BC200000}"/>
    <cellStyle name="20% - Accent5 5 3 3 2 3 2" xfId="47284" xr:uid="{27255BE6-BAFB-4584-AAEC-8A2A0EB7977A}"/>
    <cellStyle name="20% - Accent5 5 3 3 2 4" xfId="31407" xr:uid="{6F633941-2CDC-470F-88C9-C26366F986B5}"/>
    <cellStyle name="20% - Accent5 5 3 3 3" xfId="11967" xr:uid="{00000000-0005-0000-0000-0000BD200000}"/>
    <cellStyle name="20% - Accent5 5 3 3 3 2" xfId="35817" xr:uid="{9E8FA58C-D3A6-4D7D-AD4D-355AA182EBE5}"/>
    <cellStyle name="20% - Accent5 5 3 3 4" xfId="19922" xr:uid="{00000000-0005-0000-0000-0000BE200000}"/>
    <cellStyle name="20% - Accent5 5 3 3 4 2" xfId="43755" xr:uid="{B375606D-2C59-48C3-BBC4-67DDD032FAF0}"/>
    <cellStyle name="20% - Accent5 5 3 3 5" xfId="27876" xr:uid="{DDF2D075-47F9-4FB7-8883-4F4B5569E56F}"/>
    <cellStyle name="20% - Accent5 5 3 4" xfId="5762" xr:uid="{00000000-0005-0000-0000-0000BF200000}"/>
    <cellStyle name="20% - Accent5 5 3 4 2" xfId="13746" xr:uid="{00000000-0005-0000-0000-0000C0200000}"/>
    <cellStyle name="20% - Accent5 5 3 4 2 2" xfId="37590" xr:uid="{998E74CB-11AA-4830-BD21-4F315A00B643}"/>
    <cellStyle name="20% - Accent5 5 3 4 3" xfId="21694" xr:uid="{00000000-0005-0000-0000-0000C1200000}"/>
    <cellStyle name="20% - Accent5 5 3 4 3 2" xfId="45527" xr:uid="{68DEE266-46B2-491A-9314-18D87BF99E8D}"/>
    <cellStyle name="20% - Accent5 5 3 4 4" xfId="29649" xr:uid="{CF571918-48A9-4212-974B-26F4E367ED7C}"/>
    <cellStyle name="20% - Accent5 5 3 5" xfId="9315" xr:uid="{00000000-0005-0000-0000-0000C2200000}"/>
    <cellStyle name="20% - Accent5 5 3 5 2" xfId="17273" xr:uid="{00000000-0005-0000-0000-0000C3200000}"/>
    <cellStyle name="20% - Accent5 5 3 5 2 2" xfId="41114" xr:uid="{8F75FB7D-EDCC-460A-B904-335866710440}"/>
    <cellStyle name="20% - Accent5 5 3 5 3" xfId="25217" xr:uid="{00000000-0005-0000-0000-0000C4200000}"/>
    <cellStyle name="20% - Accent5 5 3 5 3 2" xfId="49050" xr:uid="{732331E7-F98C-4C18-B6CA-EFC56665250C}"/>
    <cellStyle name="20% - Accent5 5 3 5 4" xfId="33173" xr:uid="{8C1E00B0-9C29-44A7-926C-FEC0D392F9F4}"/>
    <cellStyle name="20% - Accent5 5 3 6" xfId="10211" xr:uid="{00000000-0005-0000-0000-0000C5200000}"/>
    <cellStyle name="20% - Accent5 5 3 6 2" xfId="34061" xr:uid="{09258E78-DA13-4A97-B4B5-2E8CB363694D}"/>
    <cellStyle name="20% - Accent5 5 3 7" xfId="18166" xr:uid="{00000000-0005-0000-0000-0000C6200000}"/>
    <cellStyle name="20% - Accent5 5 3 7 2" xfId="41999" xr:uid="{7AE78F75-4C0E-4A18-9069-CE36FF604A7B}"/>
    <cellStyle name="20% - Accent5 5 3 8" xfId="26119" xr:uid="{42C96C6D-47AF-43F4-8D31-A17C7D40FA34}"/>
    <cellStyle name="20% - Accent5 5 3_Exh G" xfId="2518" xr:uid="{00000000-0005-0000-0000-0000C7200000}"/>
    <cellStyle name="20% - Accent5 5 4" xfId="917" xr:uid="{00000000-0005-0000-0000-0000C8200000}"/>
    <cellStyle name="20% - Accent5 5 5" xfId="1288" xr:uid="{00000000-0005-0000-0000-0000C9200000}"/>
    <cellStyle name="20% - Accent5 5 5 2" xfId="4818" xr:uid="{00000000-0005-0000-0000-0000CA200000}"/>
    <cellStyle name="20% - Accent5 5 5 2 2" xfId="8409" xr:uid="{00000000-0005-0000-0000-0000CB200000}"/>
    <cellStyle name="20% - Accent5 5 5 2 2 2" xfId="16380" xr:uid="{00000000-0005-0000-0000-0000CC200000}"/>
    <cellStyle name="20% - Accent5 5 5 2 2 2 2" xfId="40223" xr:uid="{9F6F1EB7-A6EB-48BF-A545-CF4F83D85101}"/>
    <cellStyle name="20% - Accent5 5 5 2 2 3" xfId="24326" xr:uid="{00000000-0005-0000-0000-0000CD200000}"/>
    <cellStyle name="20% - Accent5 5 5 2 2 3 2" xfId="48159" xr:uid="{F7A8C2B8-2FE1-4E95-81CA-1F1712D56837}"/>
    <cellStyle name="20% - Accent5 5 5 2 2 4" xfId="32282" xr:uid="{C2258E8C-208F-4315-B767-715E91A714C0}"/>
    <cellStyle name="20% - Accent5 5 5 2 3" xfId="12842" xr:uid="{00000000-0005-0000-0000-0000CE200000}"/>
    <cellStyle name="20% - Accent5 5 5 2 3 2" xfId="36692" xr:uid="{DB000C44-7C1A-4290-8020-2FA03AA001D0}"/>
    <cellStyle name="20% - Accent5 5 5 2 4" xfId="20797" xr:uid="{00000000-0005-0000-0000-0000CF200000}"/>
    <cellStyle name="20% - Accent5 5 5 2 4 2" xfId="44630" xr:uid="{1585373D-10B4-4918-AD1B-B5D4B31D110C}"/>
    <cellStyle name="20% - Accent5 5 5 2 5" xfId="28751" xr:uid="{C3BAD3B9-4A39-4D2B-BE7D-401D88D20A32}"/>
    <cellStyle name="20% - Accent5 5 5 3" xfId="6650" xr:uid="{00000000-0005-0000-0000-0000D0200000}"/>
    <cellStyle name="20% - Accent5 5 5 3 2" xfId="14622" xr:uid="{00000000-0005-0000-0000-0000D1200000}"/>
    <cellStyle name="20% - Accent5 5 5 3 2 2" xfId="38465" xr:uid="{F0C1CEB5-02A4-4BDC-81AF-492FF36CF71D}"/>
    <cellStyle name="20% - Accent5 5 5 3 3" xfId="22569" xr:uid="{00000000-0005-0000-0000-0000D2200000}"/>
    <cellStyle name="20% - Accent5 5 5 3 3 2" xfId="46402" xr:uid="{70F58A1C-A273-4150-8143-C5F32AFF3966}"/>
    <cellStyle name="20% - Accent5 5 5 3 4" xfId="30524" xr:uid="{6CA0CBDE-D600-45C4-A5E7-A4E06693CF8F}"/>
    <cellStyle name="20% - Accent5 5 5 4" xfId="11086" xr:uid="{00000000-0005-0000-0000-0000D3200000}"/>
    <cellStyle name="20% - Accent5 5 5 4 2" xfId="34936" xr:uid="{FC5109D1-ED86-4305-9CEC-FC53A91366B0}"/>
    <cellStyle name="20% - Accent5 5 5 5" xfId="19041" xr:uid="{00000000-0005-0000-0000-0000D4200000}"/>
    <cellStyle name="20% - Accent5 5 5 5 2" xfId="42874" xr:uid="{E0DF1038-0E7F-4794-8CF8-DA1E1723291E}"/>
    <cellStyle name="20% - Accent5 5 5 6" xfId="26994" xr:uid="{6340CAD5-BC5B-4550-83BF-891FC9A74D57}"/>
    <cellStyle name="20% - Accent5 5 5_Exh G" xfId="2520" xr:uid="{00000000-0005-0000-0000-0000D5200000}"/>
    <cellStyle name="20% - Accent5 5 6" xfId="3939" xr:uid="{00000000-0005-0000-0000-0000D6200000}"/>
    <cellStyle name="20% - Accent5 5 6 2" xfId="7531" xr:uid="{00000000-0005-0000-0000-0000D7200000}"/>
    <cellStyle name="20% - Accent5 5 6 2 2" xfId="15502" xr:uid="{00000000-0005-0000-0000-0000D8200000}"/>
    <cellStyle name="20% - Accent5 5 6 2 2 2" xfId="39345" xr:uid="{A2D9574E-4B8E-4E3D-9E56-A48B56101BE8}"/>
    <cellStyle name="20% - Accent5 5 6 2 3" xfId="23448" xr:uid="{00000000-0005-0000-0000-0000D9200000}"/>
    <cellStyle name="20% - Accent5 5 6 2 3 2" xfId="47281" xr:uid="{DCC3E615-25E3-4C9C-B20D-D856FA8E6E03}"/>
    <cellStyle name="20% - Accent5 5 6 2 4" xfId="31404" xr:uid="{5FAA740C-5353-428D-86F0-9BB68C9CF586}"/>
    <cellStyle name="20% - Accent5 5 6 3" xfId="11964" xr:uid="{00000000-0005-0000-0000-0000DA200000}"/>
    <cellStyle name="20% - Accent5 5 6 3 2" xfId="35814" xr:uid="{C2691A3F-1D89-4A4B-B7AD-AB2F38DBF56D}"/>
    <cellStyle name="20% - Accent5 5 6 4" xfId="19919" xr:uid="{00000000-0005-0000-0000-0000DB200000}"/>
    <cellStyle name="20% - Accent5 5 6 4 2" xfId="43752" xr:uid="{CA80DBEB-48D3-490E-9D81-15280D768488}"/>
    <cellStyle name="20% - Accent5 5 6 5" xfId="27873" xr:uid="{3FE83CC9-C1B1-4DFE-B319-A7B4A589FC36}"/>
    <cellStyle name="20% - Accent5 5 7" xfId="5759" xr:uid="{00000000-0005-0000-0000-0000DC200000}"/>
    <cellStyle name="20% - Accent5 5 7 2" xfId="13743" xr:uid="{00000000-0005-0000-0000-0000DD200000}"/>
    <cellStyle name="20% - Accent5 5 7 2 2" xfId="37587" xr:uid="{AF23B8A3-8A59-4158-A4B4-3F7CB639355C}"/>
    <cellStyle name="20% - Accent5 5 7 3" xfId="21691" xr:uid="{00000000-0005-0000-0000-0000DE200000}"/>
    <cellStyle name="20% - Accent5 5 7 3 2" xfId="45524" xr:uid="{798C2FCF-A205-47A0-83ED-66FF5F9BD9C6}"/>
    <cellStyle name="20% - Accent5 5 7 4" xfId="29646" xr:uid="{D19ECD34-5642-4355-9EC2-F712B99EFCF4}"/>
    <cellStyle name="20% - Accent5 5 8" xfId="9312" xr:uid="{00000000-0005-0000-0000-0000DF200000}"/>
    <cellStyle name="20% - Accent5 5 8 2" xfId="17270" xr:uid="{00000000-0005-0000-0000-0000E0200000}"/>
    <cellStyle name="20% - Accent5 5 8 2 2" xfId="41111" xr:uid="{F32993A6-D9BB-4698-986F-3AF8C94BFA9E}"/>
    <cellStyle name="20% - Accent5 5 8 3" xfId="25214" xr:uid="{00000000-0005-0000-0000-0000E1200000}"/>
    <cellStyle name="20% - Accent5 5 8 3 2" xfId="49047" xr:uid="{6E60E385-FC0B-4569-99A6-42E6ABA9C91A}"/>
    <cellStyle name="20% - Accent5 5 8 4" xfId="33170" xr:uid="{2712594D-68F7-4066-B3BB-96CAC5BFEBA9}"/>
    <cellStyle name="20% - Accent5 5 9" xfId="10208" xr:uid="{00000000-0005-0000-0000-0000E2200000}"/>
    <cellStyle name="20% - Accent5 5 9 2" xfId="34058" xr:uid="{5468E28D-9A83-4AD3-BA34-83D2C62518A5}"/>
    <cellStyle name="20% - Accent5 5_Exh G" xfId="2513" xr:uid="{00000000-0005-0000-0000-0000E3200000}"/>
    <cellStyle name="20% - Accent5 6" xfId="264" xr:uid="{00000000-0005-0000-0000-0000E4200000}"/>
    <cellStyle name="20% - Accent5 6 10" xfId="18167" xr:uid="{00000000-0005-0000-0000-0000E5200000}"/>
    <cellStyle name="20% - Accent5 6 10 2" xfId="42000" xr:uid="{E1F67FDB-4680-42FA-AD56-DA88722F2C76}"/>
    <cellStyle name="20% - Accent5 6 11" xfId="26120" xr:uid="{234D8714-A779-4462-AAE1-74D6FFE28358}"/>
    <cellStyle name="20% - Accent5 6 2" xfId="265" xr:uid="{00000000-0005-0000-0000-0000E6200000}"/>
    <cellStyle name="20% - Accent5 6 2 2" xfId="266" xr:uid="{00000000-0005-0000-0000-0000E7200000}"/>
    <cellStyle name="20% - Accent5 6 2 2 2" xfId="1294" xr:uid="{00000000-0005-0000-0000-0000E8200000}"/>
    <cellStyle name="20% - Accent5 6 2 2 2 2" xfId="4824" xr:uid="{00000000-0005-0000-0000-0000E9200000}"/>
    <cellStyle name="20% - Accent5 6 2 2 2 2 2" xfId="8415" xr:uid="{00000000-0005-0000-0000-0000EA200000}"/>
    <cellStyle name="20% - Accent5 6 2 2 2 2 2 2" xfId="16386" xr:uid="{00000000-0005-0000-0000-0000EB200000}"/>
    <cellStyle name="20% - Accent5 6 2 2 2 2 2 2 2" xfId="40229" xr:uid="{C50531EB-2F2F-4C46-9FEF-DB75CF4055A7}"/>
    <cellStyle name="20% - Accent5 6 2 2 2 2 2 3" xfId="24332" xr:uid="{00000000-0005-0000-0000-0000EC200000}"/>
    <cellStyle name="20% - Accent5 6 2 2 2 2 2 3 2" xfId="48165" xr:uid="{8CD91905-3E0E-488A-B7A3-79099B57459D}"/>
    <cellStyle name="20% - Accent5 6 2 2 2 2 2 4" xfId="32288" xr:uid="{2844DC13-6DDE-4FEC-B385-E82693B0DAA0}"/>
    <cellStyle name="20% - Accent5 6 2 2 2 2 3" xfId="12848" xr:uid="{00000000-0005-0000-0000-0000ED200000}"/>
    <cellStyle name="20% - Accent5 6 2 2 2 2 3 2" xfId="36698" xr:uid="{F7153050-597B-40A7-91A6-4BDDD3185706}"/>
    <cellStyle name="20% - Accent5 6 2 2 2 2 4" xfId="20803" xr:uid="{00000000-0005-0000-0000-0000EE200000}"/>
    <cellStyle name="20% - Accent5 6 2 2 2 2 4 2" xfId="44636" xr:uid="{807321D4-7E52-4964-8F34-7035975AC672}"/>
    <cellStyle name="20% - Accent5 6 2 2 2 2 5" xfId="28757" xr:uid="{D2C150C8-7E19-4870-A1F3-2A698D57599A}"/>
    <cellStyle name="20% - Accent5 6 2 2 2 3" xfId="6656" xr:uid="{00000000-0005-0000-0000-0000EF200000}"/>
    <cellStyle name="20% - Accent5 6 2 2 2 3 2" xfId="14628" xr:uid="{00000000-0005-0000-0000-0000F0200000}"/>
    <cellStyle name="20% - Accent5 6 2 2 2 3 2 2" xfId="38471" xr:uid="{57C6C7F8-A674-4F34-98AB-2CDB1062404B}"/>
    <cellStyle name="20% - Accent5 6 2 2 2 3 3" xfId="22575" xr:uid="{00000000-0005-0000-0000-0000F1200000}"/>
    <cellStyle name="20% - Accent5 6 2 2 2 3 3 2" xfId="46408" xr:uid="{D7C3ED92-CE56-4532-86AE-073BF8BF8DDB}"/>
    <cellStyle name="20% - Accent5 6 2 2 2 3 4" xfId="30530" xr:uid="{76136EEC-AE29-47BF-8104-BA4753866D11}"/>
    <cellStyle name="20% - Accent5 6 2 2 2 4" xfId="11092" xr:uid="{00000000-0005-0000-0000-0000F2200000}"/>
    <cellStyle name="20% - Accent5 6 2 2 2 4 2" xfId="34942" xr:uid="{F2839372-245A-4203-B14E-844AE799CD5C}"/>
    <cellStyle name="20% - Accent5 6 2 2 2 5" xfId="19047" xr:uid="{00000000-0005-0000-0000-0000F3200000}"/>
    <cellStyle name="20% - Accent5 6 2 2 2 5 2" xfId="42880" xr:uid="{0081BA15-143A-43EC-997D-7CE99CB9CDE8}"/>
    <cellStyle name="20% - Accent5 6 2 2 2 6" xfId="27000" xr:uid="{578012B7-6A5E-40BC-B44C-84C6FCCE6D48}"/>
    <cellStyle name="20% - Accent5 6 2 2 2_Exh G" xfId="2524" xr:uid="{00000000-0005-0000-0000-0000F4200000}"/>
    <cellStyle name="20% - Accent5 6 2 2 3" xfId="3945" xr:uid="{00000000-0005-0000-0000-0000F5200000}"/>
    <cellStyle name="20% - Accent5 6 2 2 3 2" xfId="7537" xr:uid="{00000000-0005-0000-0000-0000F6200000}"/>
    <cellStyle name="20% - Accent5 6 2 2 3 2 2" xfId="15508" xr:uid="{00000000-0005-0000-0000-0000F7200000}"/>
    <cellStyle name="20% - Accent5 6 2 2 3 2 2 2" xfId="39351" xr:uid="{C8766B7D-B03B-4158-BB59-BAEC8D8D1967}"/>
    <cellStyle name="20% - Accent5 6 2 2 3 2 3" xfId="23454" xr:uid="{00000000-0005-0000-0000-0000F8200000}"/>
    <cellStyle name="20% - Accent5 6 2 2 3 2 3 2" xfId="47287" xr:uid="{C78D89D0-5C39-4E8F-AD1D-C950E077C4EE}"/>
    <cellStyle name="20% - Accent5 6 2 2 3 2 4" xfId="31410" xr:uid="{FD23F13E-1720-45B6-98CD-4926A7A3DED5}"/>
    <cellStyle name="20% - Accent5 6 2 2 3 3" xfId="11970" xr:uid="{00000000-0005-0000-0000-0000F9200000}"/>
    <cellStyle name="20% - Accent5 6 2 2 3 3 2" xfId="35820" xr:uid="{806FDB63-3E5D-48C4-9C40-71D7C1B82411}"/>
    <cellStyle name="20% - Accent5 6 2 2 3 4" xfId="19925" xr:uid="{00000000-0005-0000-0000-0000FA200000}"/>
    <cellStyle name="20% - Accent5 6 2 2 3 4 2" xfId="43758" xr:uid="{8866A14C-ED48-457A-B0E0-4DDCF5B0330C}"/>
    <cellStyle name="20% - Accent5 6 2 2 3 5" xfId="27879" xr:uid="{669EA78B-67ED-46EF-A571-58E05D58F0A5}"/>
    <cellStyle name="20% - Accent5 6 2 2 4" xfId="5765" xr:uid="{00000000-0005-0000-0000-0000FB200000}"/>
    <cellStyle name="20% - Accent5 6 2 2 4 2" xfId="13749" xr:uid="{00000000-0005-0000-0000-0000FC200000}"/>
    <cellStyle name="20% - Accent5 6 2 2 4 2 2" xfId="37593" xr:uid="{DC0E7798-0A9D-42D2-BBDC-5165C3D77FAC}"/>
    <cellStyle name="20% - Accent5 6 2 2 4 3" xfId="21697" xr:uid="{00000000-0005-0000-0000-0000FD200000}"/>
    <cellStyle name="20% - Accent5 6 2 2 4 3 2" xfId="45530" xr:uid="{8351AEED-129B-406D-A45C-DCA5DF498FB3}"/>
    <cellStyle name="20% - Accent5 6 2 2 4 4" xfId="29652" xr:uid="{707E14C6-F631-4418-8650-250C92666460}"/>
    <cellStyle name="20% - Accent5 6 2 2 5" xfId="9318" xr:uid="{00000000-0005-0000-0000-0000FE200000}"/>
    <cellStyle name="20% - Accent5 6 2 2 5 2" xfId="17276" xr:uid="{00000000-0005-0000-0000-0000FF200000}"/>
    <cellStyle name="20% - Accent5 6 2 2 5 2 2" xfId="41117" xr:uid="{28301008-BEB6-4979-9F4D-DDC8D3F72915}"/>
    <cellStyle name="20% - Accent5 6 2 2 5 3" xfId="25220" xr:uid="{00000000-0005-0000-0000-000000210000}"/>
    <cellStyle name="20% - Accent5 6 2 2 5 3 2" xfId="49053" xr:uid="{B0BCD381-7ACF-40C6-97A7-CB6EF3891C37}"/>
    <cellStyle name="20% - Accent5 6 2 2 5 4" xfId="33176" xr:uid="{E49D2CDF-1E45-49B4-9C6C-6299F1C0D210}"/>
    <cellStyle name="20% - Accent5 6 2 2 6" xfId="10214" xr:uid="{00000000-0005-0000-0000-000001210000}"/>
    <cellStyle name="20% - Accent5 6 2 2 6 2" xfId="34064" xr:uid="{0506E64A-A3A8-461E-AABD-C1AC155C063A}"/>
    <cellStyle name="20% - Accent5 6 2 2 7" xfId="18169" xr:uid="{00000000-0005-0000-0000-000002210000}"/>
    <cellStyle name="20% - Accent5 6 2 2 7 2" xfId="42002" xr:uid="{6E823E11-C678-41FF-AA55-4B9570BD83D0}"/>
    <cellStyle name="20% - Accent5 6 2 2 8" xfId="26122" xr:uid="{61BBE158-1BBC-4C90-A2F4-37DEA2578AAD}"/>
    <cellStyle name="20% - Accent5 6 2 2_Exh G" xfId="2523" xr:uid="{00000000-0005-0000-0000-000003210000}"/>
    <cellStyle name="20% - Accent5 6 2 3" xfId="1293" xr:uid="{00000000-0005-0000-0000-000004210000}"/>
    <cellStyle name="20% - Accent5 6 2 3 2" xfId="4823" xr:uid="{00000000-0005-0000-0000-000005210000}"/>
    <cellStyle name="20% - Accent5 6 2 3 2 2" xfId="8414" xr:uid="{00000000-0005-0000-0000-000006210000}"/>
    <cellStyle name="20% - Accent5 6 2 3 2 2 2" xfId="16385" xr:uid="{00000000-0005-0000-0000-000007210000}"/>
    <cellStyle name="20% - Accent5 6 2 3 2 2 2 2" xfId="40228" xr:uid="{30F76D4F-55CD-43DE-B016-CB218DB1C7D7}"/>
    <cellStyle name="20% - Accent5 6 2 3 2 2 3" xfId="24331" xr:uid="{00000000-0005-0000-0000-000008210000}"/>
    <cellStyle name="20% - Accent5 6 2 3 2 2 3 2" xfId="48164" xr:uid="{FAA34B8A-FA48-470C-A2CC-D81662D435D4}"/>
    <cellStyle name="20% - Accent5 6 2 3 2 2 4" xfId="32287" xr:uid="{C9B750D2-FB30-482F-B131-1220BF6E4362}"/>
    <cellStyle name="20% - Accent5 6 2 3 2 3" xfId="12847" xr:uid="{00000000-0005-0000-0000-000009210000}"/>
    <cellStyle name="20% - Accent5 6 2 3 2 3 2" xfId="36697" xr:uid="{0FD6A5F1-9E01-4E57-9D03-62A24CA854EB}"/>
    <cellStyle name="20% - Accent5 6 2 3 2 4" xfId="20802" xr:uid="{00000000-0005-0000-0000-00000A210000}"/>
    <cellStyle name="20% - Accent5 6 2 3 2 4 2" xfId="44635" xr:uid="{8D39AA63-7347-4771-92C5-33615DA4D1D2}"/>
    <cellStyle name="20% - Accent5 6 2 3 2 5" xfId="28756" xr:uid="{868E8960-F192-4316-AA02-F82BA8F9DFEA}"/>
    <cellStyle name="20% - Accent5 6 2 3 3" xfId="6655" xr:uid="{00000000-0005-0000-0000-00000B210000}"/>
    <cellStyle name="20% - Accent5 6 2 3 3 2" xfId="14627" xr:uid="{00000000-0005-0000-0000-00000C210000}"/>
    <cellStyle name="20% - Accent5 6 2 3 3 2 2" xfId="38470" xr:uid="{5C80647A-8282-4429-B07D-3D3AF6A7029C}"/>
    <cellStyle name="20% - Accent5 6 2 3 3 3" xfId="22574" xr:uid="{00000000-0005-0000-0000-00000D210000}"/>
    <cellStyle name="20% - Accent5 6 2 3 3 3 2" xfId="46407" xr:uid="{90BCCB37-9F35-46F7-A681-BA3A59E4D666}"/>
    <cellStyle name="20% - Accent5 6 2 3 3 4" xfId="30529" xr:uid="{E17021F5-4DF9-4F51-8EEE-FB0F46D449A8}"/>
    <cellStyle name="20% - Accent5 6 2 3 4" xfId="11091" xr:uid="{00000000-0005-0000-0000-00000E210000}"/>
    <cellStyle name="20% - Accent5 6 2 3 4 2" xfId="34941" xr:uid="{5B7AB6F1-B28E-41DB-A0D8-245A3C3ABEC4}"/>
    <cellStyle name="20% - Accent5 6 2 3 5" xfId="19046" xr:uid="{00000000-0005-0000-0000-00000F210000}"/>
    <cellStyle name="20% - Accent5 6 2 3 5 2" xfId="42879" xr:uid="{D171D137-89B2-42CD-B4D0-5719B45CDFE7}"/>
    <cellStyle name="20% - Accent5 6 2 3 6" xfId="26999" xr:uid="{6EC48712-857C-4606-9837-B14055A23715}"/>
    <cellStyle name="20% - Accent5 6 2 3_Exh G" xfId="2525" xr:uid="{00000000-0005-0000-0000-000010210000}"/>
    <cellStyle name="20% - Accent5 6 2 4" xfId="3944" xr:uid="{00000000-0005-0000-0000-000011210000}"/>
    <cellStyle name="20% - Accent5 6 2 4 2" xfId="7536" xr:uid="{00000000-0005-0000-0000-000012210000}"/>
    <cellStyle name="20% - Accent5 6 2 4 2 2" xfId="15507" xr:uid="{00000000-0005-0000-0000-000013210000}"/>
    <cellStyle name="20% - Accent5 6 2 4 2 2 2" xfId="39350" xr:uid="{B59F0BE6-017F-40EB-BE89-1535B4205881}"/>
    <cellStyle name="20% - Accent5 6 2 4 2 3" xfId="23453" xr:uid="{00000000-0005-0000-0000-000014210000}"/>
    <cellStyle name="20% - Accent5 6 2 4 2 3 2" xfId="47286" xr:uid="{DA412E8F-FA57-434D-BC46-DAF40439327F}"/>
    <cellStyle name="20% - Accent5 6 2 4 2 4" xfId="31409" xr:uid="{C29919BF-3E5B-420D-ABA2-2F73BA7599ED}"/>
    <cellStyle name="20% - Accent5 6 2 4 3" xfId="11969" xr:uid="{00000000-0005-0000-0000-000015210000}"/>
    <cellStyle name="20% - Accent5 6 2 4 3 2" xfId="35819" xr:uid="{6C6BD6A2-3106-4891-BF2D-6819D670A1E8}"/>
    <cellStyle name="20% - Accent5 6 2 4 4" xfId="19924" xr:uid="{00000000-0005-0000-0000-000016210000}"/>
    <cellStyle name="20% - Accent5 6 2 4 4 2" xfId="43757" xr:uid="{48518C83-15F0-481E-8481-F3ED646C32C3}"/>
    <cellStyle name="20% - Accent5 6 2 4 5" xfId="27878" xr:uid="{6C070C71-447F-4569-9051-D9D1CEE44794}"/>
    <cellStyle name="20% - Accent5 6 2 5" xfId="5764" xr:uid="{00000000-0005-0000-0000-000017210000}"/>
    <cellStyle name="20% - Accent5 6 2 5 2" xfId="13748" xr:uid="{00000000-0005-0000-0000-000018210000}"/>
    <cellStyle name="20% - Accent5 6 2 5 2 2" xfId="37592" xr:uid="{D2AB670E-64AE-4994-A728-95C46E801376}"/>
    <cellStyle name="20% - Accent5 6 2 5 3" xfId="21696" xr:uid="{00000000-0005-0000-0000-000019210000}"/>
    <cellStyle name="20% - Accent5 6 2 5 3 2" xfId="45529" xr:uid="{11281CE5-FE90-4AC9-B2ED-F31B8F1ECD07}"/>
    <cellStyle name="20% - Accent5 6 2 5 4" xfId="29651" xr:uid="{3E5096C8-EB59-436B-8BC1-E7A83A123F4E}"/>
    <cellStyle name="20% - Accent5 6 2 6" xfId="9317" xr:uid="{00000000-0005-0000-0000-00001A210000}"/>
    <cellStyle name="20% - Accent5 6 2 6 2" xfId="17275" xr:uid="{00000000-0005-0000-0000-00001B210000}"/>
    <cellStyle name="20% - Accent5 6 2 6 2 2" xfId="41116" xr:uid="{EFBD5ECB-DA74-4664-9BCA-38C612FD91AB}"/>
    <cellStyle name="20% - Accent5 6 2 6 3" xfId="25219" xr:uid="{00000000-0005-0000-0000-00001C210000}"/>
    <cellStyle name="20% - Accent5 6 2 6 3 2" xfId="49052" xr:uid="{11464979-666D-4632-A591-F0901BE968E3}"/>
    <cellStyle name="20% - Accent5 6 2 6 4" xfId="33175" xr:uid="{DB171F40-2BAF-4949-A429-8204D0723460}"/>
    <cellStyle name="20% - Accent5 6 2 7" xfId="10213" xr:uid="{00000000-0005-0000-0000-00001D210000}"/>
    <cellStyle name="20% - Accent5 6 2 7 2" xfId="34063" xr:uid="{0730C491-D3B0-4DB1-A82D-DF4C4094E670}"/>
    <cellStyle name="20% - Accent5 6 2 8" xfId="18168" xr:uid="{00000000-0005-0000-0000-00001E210000}"/>
    <cellStyle name="20% - Accent5 6 2 8 2" xfId="42001" xr:uid="{F6424C8D-FF8D-453F-ACD8-7CBF96B6A51F}"/>
    <cellStyle name="20% - Accent5 6 2 9" xfId="26121" xr:uid="{C3564A83-726E-4807-A039-3CE83107EEE6}"/>
    <cellStyle name="20% - Accent5 6 2_Exh G" xfId="2522" xr:uid="{00000000-0005-0000-0000-00001F210000}"/>
    <cellStyle name="20% - Accent5 6 3" xfId="267" xr:uid="{00000000-0005-0000-0000-000020210000}"/>
    <cellStyle name="20% - Accent5 6 3 2" xfId="1295" xr:uid="{00000000-0005-0000-0000-000021210000}"/>
    <cellStyle name="20% - Accent5 6 3 2 2" xfId="4825" xr:uid="{00000000-0005-0000-0000-000022210000}"/>
    <cellStyle name="20% - Accent5 6 3 2 2 2" xfId="8416" xr:uid="{00000000-0005-0000-0000-000023210000}"/>
    <cellStyle name="20% - Accent5 6 3 2 2 2 2" xfId="16387" xr:uid="{00000000-0005-0000-0000-000024210000}"/>
    <cellStyle name="20% - Accent5 6 3 2 2 2 2 2" xfId="40230" xr:uid="{563BC9BF-3B55-4A17-A8FA-2F09630B821D}"/>
    <cellStyle name="20% - Accent5 6 3 2 2 2 3" xfId="24333" xr:uid="{00000000-0005-0000-0000-000025210000}"/>
    <cellStyle name="20% - Accent5 6 3 2 2 2 3 2" xfId="48166" xr:uid="{F141EAB6-C569-4F2F-969B-858B33D55205}"/>
    <cellStyle name="20% - Accent5 6 3 2 2 2 4" xfId="32289" xr:uid="{BF9FC4A5-E32B-42D3-B6FB-83AFD6BCD2A2}"/>
    <cellStyle name="20% - Accent5 6 3 2 2 3" xfId="12849" xr:uid="{00000000-0005-0000-0000-000026210000}"/>
    <cellStyle name="20% - Accent5 6 3 2 2 3 2" xfId="36699" xr:uid="{097B0477-E303-4350-ACCD-CE4698C919F2}"/>
    <cellStyle name="20% - Accent5 6 3 2 2 4" xfId="20804" xr:uid="{00000000-0005-0000-0000-000027210000}"/>
    <cellStyle name="20% - Accent5 6 3 2 2 4 2" xfId="44637" xr:uid="{EE64E1BB-8828-47D1-B706-EB0AEDC321C0}"/>
    <cellStyle name="20% - Accent5 6 3 2 2 5" xfId="28758" xr:uid="{362CB722-4E0D-4621-9DF2-AE970AF64B6F}"/>
    <cellStyle name="20% - Accent5 6 3 2 3" xfId="6657" xr:uid="{00000000-0005-0000-0000-000028210000}"/>
    <cellStyle name="20% - Accent5 6 3 2 3 2" xfId="14629" xr:uid="{00000000-0005-0000-0000-000029210000}"/>
    <cellStyle name="20% - Accent5 6 3 2 3 2 2" xfId="38472" xr:uid="{95C88FE1-FBFC-4097-A736-98BF0060C8EC}"/>
    <cellStyle name="20% - Accent5 6 3 2 3 3" xfId="22576" xr:uid="{00000000-0005-0000-0000-00002A210000}"/>
    <cellStyle name="20% - Accent5 6 3 2 3 3 2" xfId="46409" xr:uid="{19624230-4130-4FDE-8025-FA7E9E0EE51C}"/>
    <cellStyle name="20% - Accent5 6 3 2 3 4" xfId="30531" xr:uid="{A7DA2BC5-878A-4030-8FDF-5289C9F39A3D}"/>
    <cellStyle name="20% - Accent5 6 3 2 4" xfId="11093" xr:uid="{00000000-0005-0000-0000-00002B210000}"/>
    <cellStyle name="20% - Accent5 6 3 2 4 2" xfId="34943" xr:uid="{935A8777-4A62-4D8C-87E8-4ADBE6AB259F}"/>
    <cellStyle name="20% - Accent5 6 3 2 5" xfId="19048" xr:uid="{00000000-0005-0000-0000-00002C210000}"/>
    <cellStyle name="20% - Accent5 6 3 2 5 2" xfId="42881" xr:uid="{4FABE15D-5FDE-4338-9E60-D1B8147AFC9F}"/>
    <cellStyle name="20% - Accent5 6 3 2 6" xfId="27001" xr:uid="{C4EE07C5-CEED-42DA-BF2D-18E3A75070B8}"/>
    <cellStyle name="20% - Accent5 6 3 2_Exh G" xfId="2527" xr:uid="{00000000-0005-0000-0000-00002D210000}"/>
    <cellStyle name="20% - Accent5 6 3 3" xfId="3946" xr:uid="{00000000-0005-0000-0000-00002E210000}"/>
    <cellStyle name="20% - Accent5 6 3 3 2" xfId="7538" xr:uid="{00000000-0005-0000-0000-00002F210000}"/>
    <cellStyle name="20% - Accent5 6 3 3 2 2" xfId="15509" xr:uid="{00000000-0005-0000-0000-000030210000}"/>
    <cellStyle name="20% - Accent5 6 3 3 2 2 2" xfId="39352" xr:uid="{E0D12349-C682-464E-A490-393720FB8B0E}"/>
    <cellStyle name="20% - Accent5 6 3 3 2 3" xfId="23455" xr:uid="{00000000-0005-0000-0000-000031210000}"/>
    <cellStyle name="20% - Accent5 6 3 3 2 3 2" xfId="47288" xr:uid="{A9A021E8-7E93-4C07-B8EB-5C8902ECCA2A}"/>
    <cellStyle name="20% - Accent5 6 3 3 2 4" xfId="31411" xr:uid="{50BF3462-89D1-4846-A2A9-25B74A6FF5D7}"/>
    <cellStyle name="20% - Accent5 6 3 3 3" xfId="11971" xr:uid="{00000000-0005-0000-0000-000032210000}"/>
    <cellStyle name="20% - Accent5 6 3 3 3 2" xfId="35821" xr:uid="{93C602A4-FB4D-42E7-A3A2-9FE65941A825}"/>
    <cellStyle name="20% - Accent5 6 3 3 4" xfId="19926" xr:uid="{00000000-0005-0000-0000-000033210000}"/>
    <cellStyle name="20% - Accent5 6 3 3 4 2" xfId="43759" xr:uid="{93F73FD1-8BC8-438C-996F-66DD5C8DC09D}"/>
    <cellStyle name="20% - Accent5 6 3 3 5" xfId="27880" xr:uid="{1FDD264C-590C-498A-8F53-0F083CF4550D}"/>
    <cellStyle name="20% - Accent5 6 3 4" xfId="5766" xr:uid="{00000000-0005-0000-0000-000034210000}"/>
    <cellStyle name="20% - Accent5 6 3 4 2" xfId="13750" xr:uid="{00000000-0005-0000-0000-000035210000}"/>
    <cellStyle name="20% - Accent5 6 3 4 2 2" xfId="37594" xr:uid="{0DC5C54D-D7FD-4A6A-B259-5414D5399961}"/>
    <cellStyle name="20% - Accent5 6 3 4 3" xfId="21698" xr:uid="{00000000-0005-0000-0000-000036210000}"/>
    <cellStyle name="20% - Accent5 6 3 4 3 2" xfId="45531" xr:uid="{4013B3A7-3618-4D6D-987F-66F07AE8136E}"/>
    <cellStyle name="20% - Accent5 6 3 4 4" xfId="29653" xr:uid="{B056EC6C-1A6B-46EB-B6FB-E3CB9E67C998}"/>
    <cellStyle name="20% - Accent5 6 3 5" xfId="9319" xr:uid="{00000000-0005-0000-0000-000037210000}"/>
    <cellStyle name="20% - Accent5 6 3 5 2" xfId="17277" xr:uid="{00000000-0005-0000-0000-000038210000}"/>
    <cellStyle name="20% - Accent5 6 3 5 2 2" xfId="41118" xr:uid="{B53CEB91-8F32-4599-8CCA-56B41672F524}"/>
    <cellStyle name="20% - Accent5 6 3 5 3" xfId="25221" xr:uid="{00000000-0005-0000-0000-000039210000}"/>
    <cellStyle name="20% - Accent5 6 3 5 3 2" xfId="49054" xr:uid="{B7FD14A7-C4B2-4B6B-A3EC-EF4AFA827E6D}"/>
    <cellStyle name="20% - Accent5 6 3 5 4" xfId="33177" xr:uid="{65E29026-3649-4F39-A519-3D48B461B42A}"/>
    <cellStyle name="20% - Accent5 6 3 6" xfId="10215" xr:uid="{00000000-0005-0000-0000-00003A210000}"/>
    <cellStyle name="20% - Accent5 6 3 6 2" xfId="34065" xr:uid="{C1743AE3-B010-463A-A156-2A23D4E194B3}"/>
    <cellStyle name="20% - Accent5 6 3 7" xfId="18170" xr:uid="{00000000-0005-0000-0000-00003B210000}"/>
    <cellStyle name="20% - Accent5 6 3 7 2" xfId="42003" xr:uid="{9AF8E2A6-AB59-4E19-BB26-DC610DF77AAC}"/>
    <cellStyle name="20% - Accent5 6 3 8" xfId="26123" xr:uid="{4004002A-E69C-430A-BD37-6EDD4F26A86E}"/>
    <cellStyle name="20% - Accent5 6 3_Exh G" xfId="2526" xr:uid="{00000000-0005-0000-0000-00003C210000}"/>
    <cellStyle name="20% - Accent5 6 4" xfId="918" xr:uid="{00000000-0005-0000-0000-00003D210000}"/>
    <cellStyle name="20% - Accent5 6 4 2" xfId="1845" xr:uid="{00000000-0005-0000-0000-00003E210000}"/>
    <cellStyle name="20% - Accent5 6 4 2 2" xfId="5363" xr:uid="{00000000-0005-0000-0000-00003F210000}"/>
    <cellStyle name="20% - Accent5 6 4 2 2 2" xfId="8954" xr:uid="{00000000-0005-0000-0000-000040210000}"/>
    <cellStyle name="20% - Accent5 6 4 2 2 2 2" xfId="16925" xr:uid="{00000000-0005-0000-0000-000041210000}"/>
    <cellStyle name="20% - Accent5 6 4 2 2 2 2 2" xfId="40768" xr:uid="{D9C6DA18-050A-4364-A2E6-69940CDC8FA6}"/>
    <cellStyle name="20% - Accent5 6 4 2 2 2 3" xfId="24871" xr:uid="{00000000-0005-0000-0000-000042210000}"/>
    <cellStyle name="20% - Accent5 6 4 2 2 2 3 2" xfId="48704" xr:uid="{9A8F0C1C-45C0-426A-849D-68C0578428C8}"/>
    <cellStyle name="20% - Accent5 6 4 2 2 2 4" xfId="32827" xr:uid="{39B1B4E6-2E7D-464A-ADB5-83AE4D584C58}"/>
    <cellStyle name="20% - Accent5 6 4 2 2 3" xfId="13387" xr:uid="{00000000-0005-0000-0000-000043210000}"/>
    <cellStyle name="20% - Accent5 6 4 2 2 3 2" xfId="37237" xr:uid="{AA0EE12E-A292-42C9-B8DA-0333C6AA487F}"/>
    <cellStyle name="20% - Accent5 6 4 2 2 4" xfId="21342" xr:uid="{00000000-0005-0000-0000-000044210000}"/>
    <cellStyle name="20% - Accent5 6 4 2 2 4 2" xfId="45175" xr:uid="{34EFB3C2-1A91-426F-8F02-42E1EAA2960F}"/>
    <cellStyle name="20% - Accent5 6 4 2 2 5" xfId="29296" xr:uid="{9B0B9C58-362D-409E-A24E-356C429A70EC}"/>
    <cellStyle name="20% - Accent5 6 4 2 3" xfId="7195" xr:uid="{00000000-0005-0000-0000-000045210000}"/>
    <cellStyle name="20% - Accent5 6 4 2 3 2" xfId="15167" xr:uid="{00000000-0005-0000-0000-000046210000}"/>
    <cellStyle name="20% - Accent5 6 4 2 3 2 2" xfId="39010" xr:uid="{5F12E5BD-77BC-49D4-9CAD-82D9E5629729}"/>
    <cellStyle name="20% - Accent5 6 4 2 3 3" xfId="23114" xr:uid="{00000000-0005-0000-0000-000047210000}"/>
    <cellStyle name="20% - Accent5 6 4 2 3 3 2" xfId="46947" xr:uid="{C95159BA-F42B-42CE-8AD4-711485384FB3}"/>
    <cellStyle name="20% - Accent5 6 4 2 3 4" xfId="31069" xr:uid="{71E88E62-BAEE-46B7-87B8-92C2885D6C85}"/>
    <cellStyle name="20% - Accent5 6 4 2 4" xfId="11631" xr:uid="{00000000-0005-0000-0000-000048210000}"/>
    <cellStyle name="20% - Accent5 6 4 2 4 2" xfId="35481" xr:uid="{54ED8290-93B5-476C-A7AA-F9AF0D9502D8}"/>
    <cellStyle name="20% - Accent5 6 4 2 5" xfId="19586" xr:uid="{00000000-0005-0000-0000-000049210000}"/>
    <cellStyle name="20% - Accent5 6 4 2 5 2" xfId="43419" xr:uid="{95E3A3ED-D003-4F34-A9DA-310D7CED6C20}"/>
    <cellStyle name="20% - Accent5 6 4 2 6" xfId="27539" xr:uid="{81CAB153-AD75-4FF7-B769-2B0A24BC0E14}"/>
    <cellStyle name="20% - Accent5 6 4 2_Exh G" xfId="2529" xr:uid="{00000000-0005-0000-0000-00004A210000}"/>
    <cellStyle name="20% - Accent5 6 4 3" xfId="4484" xr:uid="{00000000-0005-0000-0000-00004B210000}"/>
    <cellStyle name="20% - Accent5 6 4 3 2" xfId="8076" xr:uid="{00000000-0005-0000-0000-00004C210000}"/>
    <cellStyle name="20% - Accent5 6 4 3 2 2" xfId="16047" xr:uid="{00000000-0005-0000-0000-00004D210000}"/>
    <cellStyle name="20% - Accent5 6 4 3 2 2 2" xfId="39890" xr:uid="{9163BF24-9C05-497E-BA5A-FFBB0C116C2F}"/>
    <cellStyle name="20% - Accent5 6 4 3 2 3" xfId="23993" xr:uid="{00000000-0005-0000-0000-00004E210000}"/>
    <cellStyle name="20% - Accent5 6 4 3 2 3 2" xfId="47826" xr:uid="{28320AF7-172B-4605-8740-46362F57644A}"/>
    <cellStyle name="20% - Accent5 6 4 3 2 4" xfId="31949" xr:uid="{51CB531E-CB1B-4C40-AB4C-2AA4DA7C4F36}"/>
    <cellStyle name="20% - Accent5 6 4 3 3" xfId="12509" xr:uid="{00000000-0005-0000-0000-00004F210000}"/>
    <cellStyle name="20% - Accent5 6 4 3 3 2" xfId="36359" xr:uid="{4F358885-5C78-4F39-8FA6-D247506E6E15}"/>
    <cellStyle name="20% - Accent5 6 4 3 4" xfId="20464" xr:uid="{00000000-0005-0000-0000-000050210000}"/>
    <cellStyle name="20% - Accent5 6 4 3 4 2" xfId="44297" xr:uid="{E2F5C24A-502C-41FF-A61B-08449FE1D305}"/>
    <cellStyle name="20% - Accent5 6 4 3 5" xfId="28418" xr:uid="{2F75A5A5-CA15-4C39-B450-768C2874D730}"/>
    <cellStyle name="20% - Accent5 6 4 4" xfId="6314" xr:uid="{00000000-0005-0000-0000-000051210000}"/>
    <cellStyle name="20% - Accent5 6 4 4 2" xfId="14289" xr:uid="{00000000-0005-0000-0000-000052210000}"/>
    <cellStyle name="20% - Accent5 6 4 4 2 2" xfId="38132" xr:uid="{D1E22575-A6A4-47B7-80A1-FAAF72F8C7E8}"/>
    <cellStyle name="20% - Accent5 6 4 4 3" xfId="22236" xr:uid="{00000000-0005-0000-0000-000053210000}"/>
    <cellStyle name="20% - Accent5 6 4 4 3 2" xfId="46069" xr:uid="{DBE71960-AE47-47D3-97F8-E70D0AE51907}"/>
    <cellStyle name="20% - Accent5 6 4 4 4" xfId="30191" xr:uid="{E673979B-038E-4D06-B1FE-FA6E51136D64}"/>
    <cellStyle name="20% - Accent5 6 4 5" xfId="9857" xr:uid="{00000000-0005-0000-0000-000054210000}"/>
    <cellStyle name="20% - Accent5 6 4 5 2" xfId="17815" xr:uid="{00000000-0005-0000-0000-000055210000}"/>
    <cellStyle name="20% - Accent5 6 4 5 2 2" xfId="41656" xr:uid="{94BC32AD-5517-4EEE-99DF-ED2C804A9B93}"/>
    <cellStyle name="20% - Accent5 6 4 5 3" xfId="25759" xr:uid="{00000000-0005-0000-0000-000056210000}"/>
    <cellStyle name="20% - Accent5 6 4 5 3 2" xfId="49592" xr:uid="{BC6E5780-D893-4D00-B1E9-E42B8CA33321}"/>
    <cellStyle name="20% - Accent5 6 4 5 4" xfId="33715" xr:uid="{8C62B5A5-BA31-442B-AAEB-0ACC361EE129}"/>
    <cellStyle name="20% - Accent5 6 4 6" xfId="10753" xr:uid="{00000000-0005-0000-0000-000057210000}"/>
    <cellStyle name="20% - Accent5 6 4 6 2" xfId="34603" xr:uid="{38FDB78A-1032-41E8-871B-778225DB9566}"/>
    <cellStyle name="20% - Accent5 6 4 7" xfId="18708" xr:uid="{00000000-0005-0000-0000-000058210000}"/>
    <cellStyle name="20% - Accent5 6 4 7 2" xfId="42541" xr:uid="{BD33AF91-6F6B-4A12-ABDB-E06D1ECA713D}"/>
    <cellStyle name="20% - Accent5 6 4 8" xfId="26661" xr:uid="{79600A10-22C3-44C9-AEB6-12BE8D9FA85B}"/>
    <cellStyle name="20% - Accent5 6 4_Exh G" xfId="2528" xr:uid="{00000000-0005-0000-0000-000059210000}"/>
    <cellStyle name="20% - Accent5 6 5" xfId="1292" xr:uid="{00000000-0005-0000-0000-00005A210000}"/>
    <cellStyle name="20% - Accent5 6 5 2" xfId="4822" xr:uid="{00000000-0005-0000-0000-00005B210000}"/>
    <cellStyle name="20% - Accent5 6 5 2 2" xfId="8413" xr:uid="{00000000-0005-0000-0000-00005C210000}"/>
    <cellStyle name="20% - Accent5 6 5 2 2 2" xfId="16384" xr:uid="{00000000-0005-0000-0000-00005D210000}"/>
    <cellStyle name="20% - Accent5 6 5 2 2 2 2" xfId="40227" xr:uid="{15C5F8F7-F960-4E64-98CE-AB07033E84C9}"/>
    <cellStyle name="20% - Accent5 6 5 2 2 3" xfId="24330" xr:uid="{00000000-0005-0000-0000-00005E210000}"/>
    <cellStyle name="20% - Accent5 6 5 2 2 3 2" xfId="48163" xr:uid="{3AA925FE-21CE-43CF-8750-FDE5B85A8B3B}"/>
    <cellStyle name="20% - Accent5 6 5 2 2 4" xfId="32286" xr:uid="{567A3DB3-F519-4FE3-A258-6EC6E7A5CC1D}"/>
    <cellStyle name="20% - Accent5 6 5 2 3" xfId="12846" xr:uid="{00000000-0005-0000-0000-00005F210000}"/>
    <cellStyle name="20% - Accent5 6 5 2 3 2" xfId="36696" xr:uid="{F6EF9C2C-303C-41A9-AE80-A235ADA3EEB5}"/>
    <cellStyle name="20% - Accent5 6 5 2 4" xfId="20801" xr:uid="{00000000-0005-0000-0000-000060210000}"/>
    <cellStyle name="20% - Accent5 6 5 2 4 2" xfId="44634" xr:uid="{1F64C233-8556-4C03-A0A4-D549CF85F564}"/>
    <cellStyle name="20% - Accent5 6 5 2 5" xfId="28755" xr:uid="{171A2231-15E6-404C-A07D-964459C3D3B4}"/>
    <cellStyle name="20% - Accent5 6 5 3" xfId="6654" xr:uid="{00000000-0005-0000-0000-000061210000}"/>
    <cellStyle name="20% - Accent5 6 5 3 2" xfId="14626" xr:uid="{00000000-0005-0000-0000-000062210000}"/>
    <cellStyle name="20% - Accent5 6 5 3 2 2" xfId="38469" xr:uid="{486BD08C-013D-44AA-BF20-6124BCAF683D}"/>
    <cellStyle name="20% - Accent5 6 5 3 3" xfId="22573" xr:uid="{00000000-0005-0000-0000-000063210000}"/>
    <cellStyle name="20% - Accent5 6 5 3 3 2" xfId="46406" xr:uid="{0DA436B4-ECAA-4305-952E-8B0E3B125E08}"/>
    <cellStyle name="20% - Accent5 6 5 3 4" xfId="30528" xr:uid="{9CCE49AF-A22F-4E13-B54D-1B4E069CEDFF}"/>
    <cellStyle name="20% - Accent5 6 5 4" xfId="11090" xr:uid="{00000000-0005-0000-0000-000064210000}"/>
    <cellStyle name="20% - Accent5 6 5 4 2" xfId="34940" xr:uid="{CC755830-6319-4AF6-815F-714E0B737ACF}"/>
    <cellStyle name="20% - Accent5 6 5 5" xfId="19045" xr:uid="{00000000-0005-0000-0000-000065210000}"/>
    <cellStyle name="20% - Accent5 6 5 5 2" xfId="42878" xr:uid="{9505FC64-C224-449F-B4C4-51236E5C026C}"/>
    <cellStyle name="20% - Accent5 6 5 6" xfId="26998" xr:uid="{27406B6F-A3E1-4B12-B737-CB1B49CE1174}"/>
    <cellStyle name="20% - Accent5 6 5_Exh G" xfId="2530" xr:uid="{00000000-0005-0000-0000-000066210000}"/>
    <cellStyle name="20% - Accent5 6 6" xfId="3943" xr:uid="{00000000-0005-0000-0000-000067210000}"/>
    <cellStyle name="20% - Accent5 6 6 2" xfId="7535" xr:uid="{00000000-0005-0000-0000-000068210000}"/>
    <cellStyle name="20% - Accent5 6 6 2 2" xfId="15506" xr:uid="{00000000-0005-0000-0000-000069210000}"/>
    <cellStyle name="20% - Accent5 6 6 2 2 2" xfId="39349" xr:uid="{A8EBB828-5195-4A3F-8F32-08CC06D08B52}"/>
    <cellStyle name="20% - Accent5 6 6 2 3" xfId="23452" xr:uid="{00000000-0005-0000-0000-00006A210000}"/>
    <cellStyle name="20% - Accent5 6 6 2 3 2" xfId="47285" xr:uid="{665B5859-5E2D-4DA6-88C4-13599AC081A2}"/>
    <cellStyle name="20% - Accent5 6 6 2 4" xfId="31408" xr:uid="{F6EE0D69-A53F-48DB-B51B-3EB566E1C422}"/>
    <cellStyle name="20% - Accent5 6 6 3" xfId="11968" xr:uid="{00000000-0005-0000-0000-00006B210000}"/>
    <cellStyle name="20% - Accent5 6 6 3 2" xfId="35818" xr:uid="{E61BB20D-5128-4D24-953E-615F60494F5F}"/>
    <cellStyle name="20% - Accent5 6 6 4" xfId="19923" xr:uid="{00000000-0005-0000-0000-00006C210000}"/>
    <cellStyle name="20% - Accent5 6 6 4 2" xfId="43756" xr:uid="{F4EDADF6-E9F2-4654-BE16-6DE81EBD6654}"/>
    <cellStyle name="20% - Accent5 6 6 5" xfId="27877" xr:uid="{2D8AE66D-0FAE-4663-93B4-776E988AD131}"/>
    <cellStyle name="20% - Accent5 6 7" xfId="5763" xr:uid="{00000000-0005-0000-0000-00006D210000}"/>
    <cellStyle name="20% - Accent5 6 7 2" xfId="13747" xr:uid="{00000000-0005-0000-0000-00006E210000}"/>
    <cellStyle name="20% - Accent5 6 7 2 2" xfId="37591" xr:uid="{B77A53B4-6080-4B10-9BE5-F4C6938713E6}"/>
    <cellStyle name="20% - Accent5 6 7 3" xfId="21695" xr:uid="{00000000-0005-0000-0000-00006F210000}"/>
    <cellStyle name="20% - Accent5 6 7 3 2" xfId="45528" xr:uid="{5A77C169-B444-4518-BC5E-1F133503F0F1}"/>
    <cellStyle name="20% - Accent5 6 7 4" xfId="29650" xr:uid="{0F3EBC81-A8E7-4ABD-B4EC-90F5524F7446}"/>
    <cellStyle name="20% - Accent5 6 8" xfId="9316" xr:uid="{00000000-0005-0000-0000-000070210000}"/>
    <cellStyle name="20% - Accent5 6 8 2" xfId="17274" xr:uid="{00000000-0005-0000-0000-000071210000}"/>
    <cellStyle name="20% - Accent5 6 8 2 2" xfId="41115" xr:uid="{C6F81F35-EFB2-4B26-9213-A6D1B0E0BEFD}"/>
    <cellStyle name="20% - Accent5 6 8 3" xfId="25218" xr:uid="{00000000-0005-0000-0000-000072210000}"/>
    <cellStyle name="20% - Accent5 6 8 3 2" xfId="49051" xr:uid="{68D43A82-4B1B-4BD4-9613-3F64DBB9D95F}"/>
    <cellStyle name="20% - Accent5 6 8 4" xfId="33174" xr:uid="{EA5EE787-A216-4E11-867C-7C2D4F663529}"/>
    <cellStyle name="20% - Accent5 6 9" xfId="10212" xr:uid="{00000000-0005-0000-0000-000073210000}"/>
    <cellStyle name="20% - Accent5 6 9 2" xfId="34062" xr:uid="{99514F0D-2E82-450F-879E-D97F7A5918A0}"/>
    <cellStyle name="20% - Accent5 6_Exh G" xfId="2521" xr:uid="{00000000-0005-0000-0000-000074210000}"/>
    <cellStyle name="20% - Accent5 7" xfId="268" xr:uid="{00000000-0005-0000-0000-000075210000}"/>
    <cellStyle name="20% - Accent5 7 10" xfId="18171" xr:uid="{00000000-0005-0000-0000-000076210000}"/>
    <cellStyle name="20% - Accent5 7 10 2" xfId="42004" xr:uid="{3D831311-8BA7-4DA8-B719-902ADE6B7CD4}"/>
    <cellStyle name="20% - Accent5 7 11" xfId="26124" xr:uid="{54433DA2-6599-4A7C-AFC5-EF27C0CE521F}"/>
    <cellStyle name="20% - Accent5 7 2" xfId="269" xr:uid="{00000000-0005-0000-0000-000077210000}"/>
    <cellStyle name="20% - Accent5 7 2 2" xfId="270" xr:uid="{00000000-0005-0000-0000-000078210000}"/>
    <cellStyle name="20% - Accent5 7 2 2 2" xfId="1298" xr:uid="{00000000-0005-0000-0000-000079210000}"/>
    <cellStyle name="20% - Accent5 7 2 2 2 2" xfId="4828" xr:uid="{00000000-0005-0000-0000-00007A210000}"/>
    <cellStyle name="20% - Accent5 7 2 2 2 2 2" xfId="8419" xr:uid="{00000000-0005-0000-0000-00007B210000}"/>
    <cellStyle name="20% - Accent5 7 2 2 2 2 2 2" xfId="16390" xr:uid="{00000000-0005-0000-0000-00007C210000}"/>
    <cellStyle name="20% - Accent5 7 2 2 2 2 2 2 2" xfId="40233" xr:uid="{81A60DB1-00D5-4614-BE34-6646965E03D7}"/>
    <cellStyle name="20% - Accent5 7 2 2 2 2 2 3" xfId="24336" xr:uid="{00000000-0005-0000-0000-00007D210000}"/>
    <cellStyle name="20% - Accent5 7 2 2 2 2 2 3 2" xfId="48169" xr:uid="{50F4EB30-AA0A-4783-83CA-96C6B3EF6982}"/>
    <cellStyle name="20% - Accent5 7 2 2 2 2 2 4" xfId="32292" xr:uid="{BEE170D4-3A23-405F-8EF2-3A1D5E9BD96B}"/>
    <cellStyle name="20% - Accent5 7 2 2 2 2 3" xfId="12852" xr:uid="{00000000-0005-0000-0000-00007E210000}"/>
    <cellStyle name="20% - Accent5 7 2 2 2 2 3 2" xfId="36702" xr:uid="{CCD96D6B-0268-4DF1-BD21-CCFAE98A9D7D}"/>
    <cellStyle name="20% - Accent5 7 2 2 2 2 4" xfId="20807" xr:uid="{00000000-0005-0000-0000-00007F210000}"/>
    <cellStyle name="20% - Accent5 7 2 2 2 2 4 2" xfId="44640" xr:uid="{087E1CFE-C258-45DA-A079-904FEDD034BA}"/>
    <cellStyle name="20% - Accent5 7 2 2 2 2 5" xfId="28761" xr:uid="{231567D9-C0C1-4E83-86C8-27F1F474C0B7}"/>
    <cellStyle name="20% - Accent5 7 2 2 2 3" xfId="6660" xr:uid="{00000000-0005-0000-0000-000080210000}"/>
    <cellStyle name="20% - Accent5 7 2 2 2 3 2" xfId="14632" xr:uid="{00000000-0005-0000-0000-000081210000}"/>
    <cellStyle name="20% - Accent5 7 2 2 2 3 2 2" xfId="38475" xr:uid="{FB700B06-A92A-40EF-8544-3F8B3A196B69}"/>
    <cellStyle name="20% - Accent5 7 2 2 2 3 3" xfId="22579" xr:uid="{00000000-0005-0000-0000-000082210000}"/>
    <cellStyle name="20% - Accent5 7 2 2 2 3 3 2" xfId="46412" xr:uid="{A1D5573D-18F3-46A0-BCB4-9FD8DDB3402F}"/>
    <cellStyle name="20% - Accent5 7 2 2 2 3 4" xfId="30534" xr:uid="{E347D21E-BAD5-4C1B-A0FF-B8726630A362}"/>
    <cellStyle name="20% - Accent5 7 2 2 2 4" xfId="11096" xr:uid="{00000000-0005-0000-0000-000083210000}"/>
    <cellStyle name="20% - Accent5 7 2 2 2 4 2" xfId="34946" xr:uid="{4CC5B6CD-A6F3-4C4C-AF09-DA96BD378765}"/>
    <cellStyle name="20% - Accent5 7 2 2 2 5" xfId="19051" xr:uid="{00000000-0005-0000-0000-000084210000}"/>
    <cellStyle name="20% - Accent5 7 2 2 2 5 2" xfId="42884" xr:uid="{A62F3ED5-9073-4126-8ABB-477B91C26361}"/>
    <cellStyle name="20% - Accent5 7 2 2 2 6" xfId="27004" xr:uid="{9810B203-3324-46FA-969C-B6E8E4CE8606}"/>
    <cellStyle name="20% - Accent5 7 2 2 2_Exh G" xfId="2534" xr:uid="{00000000-0005-0000-0000-000085210000}"/>
    <cellStyle name="20% - Accent5 7 2 2 3" xfId="3949" xr:uid="{00000000-0005-0000-0000-000086210000}"/>
    <cellStyle name="20% - Accent5 7 2 2 3 2" xfId="7541" xr:uid="{00000000-0005-0000-0000-000087210000}"/>
    <cellStyle name="20% - Accent5 7 2 2 3 2 2" xfId="15512" xr:uid="{00000000-0005-0000-0000-000088210000}"/>
    <cellStyle name="20% - Accent5 7 2 2 3 2 2 2" xfId="39355" xr:uid="{0BC76E65-CC52-4BB6-ADCC-20AB966D3584}"/>
    <cellStyle name="20% - Accent5 7 2 2 3 2 3" xfId="23458" xr:uid="{00000000-0005-0000-0000-000089210000}"/>
    <cellStyle name="20% - Accent5 7 2 2 3 2 3 2" xfId="47291" xr:uid="{304756F0-3E0B-4D48-9207-0623E6D2C878}"/>
    <cellStyle name="20% - Accent5 7 2 2 3 2 4" xfId="31414" xr:uid="{FD99252F-5C17-456E-BC84-4044C38637EE}"/>
    <cellStyle name="20% - Accent5 7 2 2 3 3" xfId="11974" xr:uid="{00000000-0005-0000-0000-00008A210000}"/>
    <cellStyle name="20% - Accent5 7 2 2 3 3 2" xfId="35824" xr:uid="{C0A5E614-AFE8-466F-8634-CCAD97B6E9A3}"/>
    <cellStyle name="20% - Accent5 7 2 2 3 4" xfId="19929" xr:uid="{00000000-0005-0000-0000-00008B210000}"/>
    <cellStyle name="20% - Accent5 7 2 2 3 4 2" xfId="43762" xr:uid="{E155297E-D580-4396-A021-AE24F1C35B04}"/>
    <cellStyle name="20% - Accent5 7 2 2 3 5" xfId="27883" xr:uid="{14BC9731-F179-4DCB-9F30-D9E7C52C75DB}"/>
    <cellStyle name="20% - Accent5 7 2 2 4" xfId="5769" xr:uid="{00000000-0005-0000-0000-00008C210000}"/>
    <cellStyle name="20% - Accent5 7 2 2 4 2" xfId="13753" xr:uid="{00000000-0005-0000-0000-00008D210000}"/>
    <cellStyle name="20% - Accent5 7 2 2 4 2 2" xfId="37597" xr:uid="{DCCDE2E4-3D1E-4685-A9FE-6F2BA8EA6B56}"/>
    <cellStyle name="20% - Accent5 7 2 2 4 3" xfId="21701" xr:uid="{00000000-0005-0000-0000-00008E210000}"/>
    <cellStyle name="20% - Accent5 7 2 2 4 3 2" xfId="45534" xr:uid="{19A9F290-6CFB-4A3C-84EE-E4AC03513089}"/>
    <cellStyle name="20% - Accent5 7 2 2 4 4" xfId="29656" xr:uid="{4AFF4531-57B2-4486-B640-9FD3EEC9FDF7}"/>
    <cellStyle name="20% - Accent5 7 2 2 5" xfId="9322" xr:uid="{00000000-0005-0000-0000-00008F210000}"/>
    <cellStyle name="20% - Accent5 7 2 2 5 2" xfId="17280" xr:uid="{00000000-0005-0000-0000-000090210000}"/>
    <cellStyle name="20% - Accent5 7 2 2 5 2 2" xfId="41121" xr:uid="{93CAC180-FF4D-41CF-B83C-2884C4FA01B1}"/>
    <cellStyle name="20% - Accent5 7 2 2 5 3" xfId="25224" xr:uid="{00000000-0005-0000-0000-000091210000}"/>
    <cellStyle name="20% - Accent5 7 2 2 5 3 2" xfId="49057" xr:uid="{0E20931D-38BE-423D-A0F2-46E201C4E7BF}"/>
    <cellStyle name="20% - Accent5 7 2 2 5 4" xfId="33180" xr:uid="{38E84821-B06F-4674-822E-4497803B0193}"/>
    <cellStyle name="20% - Accent5 7 2 2 6" xfId="10218" xr:uid="{00000000-0005-0000-0000-000092210000}"/>
    <cellStyle name="20% - Accent5 7 2 2 6 2" xfId="34068" xr:uid="{F537F183-52C1-487F-B591-3038CC77E2F5}"/>
    <cellStyle name="20% - Accent5 7 2 2 7" xfId="18173" xr:uid="{00000000-0005-0000-0000-000093210000}"/>
    <cellStyle name="20% - Accent5 7 2 2 7 2" xfId="42006" xr:uid="{8612CD7D-92A1-447F-9CEB-F56CD214775B}"/>
    <cellStyle name="20% - Accent5 7 2 2 8" xfId="26126" xr:uid="{326E1099-656C-4D2A-A8E5-70EEB3469FEB}"/>
    <cellStyle name="20% - Accent5 7 2 2_Exh G" xfId="2533" xr:uid="{00000000-0005-0000-0000-000094210000}"/>
    <cellStyle name="20% - Accent5 7 2 3" xfId="1297" xr:uid="{00000000-0005-0000-0000-000095210000}"/>
    <cellStyle name="20% - Accent5 7 2 3 2" xfId="4827" xr:uid="{00000000-0005-0000-0000-000096210000}"/>
    <cellStyle name="20% - Accent5 7 2 3 2 2" xfId="8418" xr:uid="{00000000-0005-0000-0000-000097210000}"/>
    <cellStyle name="20% - Accent5 7 2 3 2 2 2" xfId="16389" xr:uid="{00000000-0005-0000-0000-000098210000}"/>
    <cellStyle name="20% - Accent5 7 2 3 2 2 2 2" xfId="40232" xr:uid="{FA7E1944-C14C-42F7-84D1-6FC9DAD0006A}"/>
    <cellStyle name="20% - Accent5 7 2 3 2 2 3" xfId="24335" xr:uid="{00000000-0005-0000-0000-000099210000}"/>
    <cellStyle name="20% - Accent5 7 2 3 2 2 3 2" xfId="48168" xr:uid="{69E47BE7-7244-478A-970E-6951C2920594}"/>
    <cellStyle name="20% - Accent5 7 2 3 2 2 4" xfId="32291" xr:uid="{FBBEB3B0-9E13-4594-BA65-242AF423CA6E}"/>
    <cellStyle name="20% - Accent5 7 2 3 2 3" xfId="12851" xr:uid="{00000000-0005-0000-0000-00009A210000}"/>
    <cellStyle name="20% - Accent5 7 2 3 2 3 2" xfId="36701" xr:uid="{05E95D2E-A94F-4F45-8D97-D32E602BA26B}"/>
    <cellStyle name="20% - Accent5 7 2 3 2 4" xfId="20806" xr:uid="{00000000-0005-0000-0000-00009B210000}"/>
    <cellStyle name="20% - Accent5 7 2 3 2 4 2" xfId="44639" xr:uid="{90E33BAE-D62D-4FCD-A81D-D1C52EDA3EA4}"/>
    <cellStyle name="20% - Accent5 7 2 3 2 5" xfId="28760" xr:uid="{3397974B-29A3-489C-B42C-A65096AE766C}"/>
    <cellStyle name="20% - Accent5 7 2 3 3" xfId="6659" xr:uid="{00000000-0005-0000-0000-00009C210000}"/>
    <cellStyle name="20% - Accent5 7 2 3 3 2" xfId="14631" xr:uid="{00000000-0005-0000-0000-00009D210000}"/>
    <cellStyle name="20% - Accent5 7 2 3 3 2 2" xfId="38474" xr:uid="{45F015D1-E583-4BF5-A887-FBC96F4B94A8}"/>
    <cellStyle name="20% - Accent5 7 2 3 3 3" xfId="22578" xr:uid="{00000000-0005-0000-0000-00009E210000}"/>
    <cellStyle name="20% - Accent5 7 2 3 3 3 2" xfId="46411" xr:uid="{CB7F9F32-383F-4F57-976A-D5AA79BBC069}"/>
    <cellStyle name="20% - Accent5 7 2 3 3 4" xfId="30533" xr:uid="{B900865C-2C89-4FF9-8AAF-0F8F51AE0749}"/>
    <cellStyle name="20% - Accent5 7 2 3 4" xfId="11095" xr:uid="{00000000-0005-0000-0000-00009F210000}"/>
    <cellStyle name="20% - Accent5 7 2 3 4 2" xfId="34945" xr:uid="{D23420C1-1A11-423C-B0D3-2EF1AB25ADAB}"/>
    <cellStyle name="20% - Accent5 7 2 3 5" xfId="19050" xr:uid="{00000000-0005-0000-0000-0000A0210000}"/>
    <cellStyle name="20% - Accent5 7 2 3 5 2" xfId="42883" xr:uid="{5475771E-B7AA-4EFA-98A2-50E533428800}"/>
    <cellStyle name="20% - Accent5 7 2 3 6" xfId="27003" xr:uid="{A46CE553-5207-4111-A605-1C99C3320027}"/>
    <cellStyle name="20% - Accent5 7 2 3_Exh G" xfId="2535" xr:uid="{00000000-0005-0000-0000-0000A1210000}"/>
    <cellStyle name="20% - Accent5 7 2 4" xfId="3948" xr:uid="{00000000-0005-0000-0000-0000A2210000}"/>
    <cellStyle name="20% - Accent5 7 2 4 2" xfId="7540" xr:uid="{00000000-0005-0000-0000-0000A3210000}"/>
    <cellStyle name="20% - Accent5 7 2 4 2 2" xfId="15511" xr:uid="{00000000-0005-0000-0000-0000A4210000}"/>
    <cellStyle name="20% - Accent5 7 2 4 2 2 2" xfId="39354" xr:uid="{9448B5EA-3386-4118-AD8F-18981524155D}"/>
    <cellStyle name="20% - Accent5 7 2 4 2 3" xfId="23457" xr:uid="{00000000-0005-0000-0000-0000A5210000}"/>
    <cellStyle name="20% - Accent5 7 2 4 2 3 2" xfId="47290" xr:uid="{A8193D11-8DFF-4676-AE2E-D052A666B909}"/>
    <cellStyle name="20% - Accent5 7 2 4 2 4" xfId="31413" xr:uid="{CFEBEA20-DF7D-4926-817F-DBCDE7989E63}"/>
    <cellStyle name="20% - Accent5 7 2 4 3" xfId="11973" xr:uid="{00000000-0005-0000-0000-0000A6210000}"/>
    <cellStyle name="20% - Accent5 7 2 4 3 2" xfId="35823" xr:uid="{922F5352-E465-494C-837D-C748782F50A1}"/>
    <cellStyle name="20% - Accent5 7 2 4 4" xfId="19928" xr:uid="{00000000-0005-0000-0000-0000A7210000}"/>
    <cellStyle name="20% - Accent5 7 2 4 4 2" xfId="43761" xr:uid="{7D8B106C-B844-4995-B67E-85ADF81BCC85}"/>
    <cellStyle name="20% - Accent5 7 2 4 5" xfId="27882" xr:uid="{8C7E3606-B700-4EC9-981E-0C7F36A6F1A3}"/>
    <cellStyle name="20% - Accent5 7 2 5" xfId="5768" xr:uid="{00000000-0005-0000-0000-0000A8210000}"/>
    <cellStyle name="20% - Accent5 7 2 5 2" xfId="13752" xr:uid="{00000000-0005-0000-0000-0000A9210000}"/>
    <cellStyle name="20% - Accent5 7 2 5 2 2" xfId="37596" xr:uid="{6D37D221-7772-47DB-B360-78F89A01BA7B}"/>
    <cellStyle name="20% - Accent5 7 2 5 3" xfId="21700" xr:uid="{00000000-0005-0000-0000-0000AA210000}"/>
    <cellStyle name="20% - Accent5 7 2 5 3 2" xfId="45533" xr:uid="{AD474158-369A-4F38-8D73-ED819DD69681}"/>
    <cellStyle name="20% - Accent5 7 2 5 4" xfId="29655" xr:uid="{537D024D-C39F-492C-B22A-7EB0E67F1A7A}"/>
    <cellStyle name="20% - Accent5 7 2 6" xfId="9321" xr:uid="{00000000-0005-0000-0000-0000AB210000}"/>
    <cellStyle name="20% - Accent5 7 2 6 2" xfId="17279" xr:uid="{00000000-0005-0000-0000-0000AC210000}"/>
    <cellStyle name="20% - Accent5 7 2 6 2 2" xfId="41120" xr:uid="{EF50F8BB-DBD2-4B68-B04F-183B31FBE717}"/>
    <cellStyle name="20% - Accent5 7 2 6 3" xfId="25223" xr:uid="{00000000-0005-0000-0000-0000AD210000}"/>
    <cellStyle name="20% - Accent5 7 2 6 3 2" xfId="49056" xr:uid="{E7D0AED5-06BC-45FF-BCD2-67EAD0C3FE11}"/>
    <cellStyle name="20% - Accent5 7 2 6 4" xfId="33179" xr:uid="{E0999E3C-98DC-4BF1-85C3-A895F2E018C9}"/>
    <cellStyle name="20% - Accent5 7 2 7" xfId="10217" xr:uid="{00000000-0005-0000-0000-0000AE210000}"/>
    <cellStyle name="20% - Accent5 7 2 7 2" xfId="34067" xr:uid="{E2F90FB5-A902-4CFD-94FC-64EE6A3164D6}"/>
    <cellStyle name="20% - Accent5 7 2 8" xfId="18172" xr:uid="{00000000-0005-0000-0000-0000AF210000}"/>
    <cellStyle name="20% - Accent5 7 2 8 2" xfId="42005" xr:uid="{25DC9076-DE41-475D-B123-E81B223871B9}"/>
    <cellStyle name="20% - Accent5 7 2 9" xfId="26125" xr:uid="{5D094402-4B4E-4912-9580-1914570B942C}"/>
    <cellStyle name="20% - Accent5 7 2_Exh G" xfId="2532" xr:uid="{00000000-0005-0000-0000-0000B0210000}"/>
    <cellStyle name="20% - Accent5 7 3" xfId="271" xr:uid="{00000000-0005-0000-0000-0000B1210000}"/>
    <cellStyle name="20% - Accent5 7 3 2" xfId="1299" xr:uid="{00000000-0005-0000-0000-0000B2210000}"/>
    <cellStyle name="20% - Accent5 7 3 2 2" xfId="4829" xr:uid="{00000000-0005-0000-0000-0000B3210000}"/>
    <cellStyle name="20% - Accent5 7 3 2 2 2" xfId="8420" xr:uid="{00000000-0005-0000-0000-0000B4210000}"/>
    <cellStyle name="20% - Accent5 7 3 2 2 2 2" xfId="16391" xr:uid="{00000000-0005-0000-0000-0000B5210000}"/>
    <cellStyle name="20% - Accent5 7 3 2 2 2 2 2" xfId="40234" xr:uid="{2A31D934-2E52-4462-8A40-C87327566F67}"/>
    <cellStyle name="20% - Accent5 7 3 2 2 2 3" xfId="24337" xr:uid="{00000000-0005-0000-0000-0000B6210000}"/>
    <cellStyle name="20% - Accent5 7 3 2 2 2 3 2" xfId="48170" xr:uid="{3106D403-F265-42B3-93B4-5C47B04C0F7C}"/>
    <cellStyle name="20% - Accent5 7 3 2 2 2 4" xfId="32293" xr:uid="{6306324A-AC29-4141-A1B9-C4FCD34A7790}"/>
    <cellStyle name="20% - Accent5 7 3 2 2 3" xfId="12853" xr:uid="{00000000-0005-0000-0000-0000B7210000}"/>
    <cellStyle name="20% - Accent5 7 3 2 2 3 2" xfId="36703" xr:uid="{001DE1F9-4AAD-49DD-9BCF-6E11342344A5}"/>
    <cellStyle name="20% - Accent5 7 3 2 2 4" xfId="20808" xr:uid="{00000000-0005-0000-0000-0000B8210000}"/>
    <cellStyle name="20% - Accent5 7 3 2 2 4 2" xfId="44641" xr:uid="{B6587D28-B643-4821-A8D7-540F3F7D081C}"/>
    <cellStyle name="20% - Accent5 7 3 2 2 5" xfId="28762" xr:uid="{750F979F-54E6-4CB0-BD62-192278F438C8}"/>
    <cellStyle name="20% - Accent5 7 3 2 3" xfId="6661" xr:uid="{00000000-0005-0000-0000-0000B9210000}"/>
    <cellStyle name="20% - Accent5 7 3 2 3 2" xfId="14633" xr:uid="{00000000-0005-0000-0000-0000BA210000}"/>
    <cellStyle name="20% - Accent5 7 3 2 3 2 2" xfId="38476" xr:uid="{9D03761F-4D7C-4060-A8C7-EE53A2B54B8E}"/>
    <cellStyle name="20% - Accent5 7 3 2 3 3" xfId="22580" xr:uid="{00000000-0005-0000-0000-0000BB210000}"/>
    <cellStyle name="20% - Accent5 7 3 2 3 3 2" xfId="46413" xr:uid="{2E3DD49C-C22B-4924-BF31-F0D3B1029626}"/>
    <cellStyle name="20% - Accent5 7 3 2 3 4" xfId="30535" xr:uid="{5D23A0FA-652F-4D70-B367-BA5D0D2BAECC}"/>
    <cellStyle name="20% - Accent5 7 3 2 4" xfId="11097" xr:uid="{00000000-0005-0000-0000-0000BC210000}"/>
    <cellStyle name="20% - Accent5 7 3 2 4 2" xfId="34947" xr:uid="{9994062B-133C-4200-8269-FDFA30751376}"/>
    <cellStyle name="20% - Accent5 7 3 2 5" xfId="19052" xr:uid="{00000000-0005-0000-0000-0000BD210000}"/>
    <cellStyle name="20% - Accent5 7 3 2 5 2" xfId="42885" xr:uid="{8B26474D-6D15-4055-B535-77699EC205DC}"/>
    <cellStyle name="20% - Accent5 7 3 2 6" xfId="27005" xr:uid="{05CFC4D0-4ACF-4549-AC16-DEF12A4C4BA6}"/>
    <cellStyle name="20% - Accent5 7 3 2_Exh G" xfId="2537" xr:uid="{00000000-0005-0000-0000-0000BE210000}"/>
    <cellStyle name="20% - Accent5 7 3 3" xfId="3950" xr:uid="{00000000-0005-0000-0000-0000BF210000}"/>
    <cellStyle name="20% - Accent5 7 3 3 2" xfId="7542" xr:uid="{00000000-0005-0000-0000-0000C0210000}"/>
    <cellStyle name="20% - Accent5 7 3 3 2 2" xfId="15513" xr:uid="{00000000-0005-0000-0000-0000C1210000}"/>
    <cellStyle name="20% - Accent5 7 3 3 2 2 2" xfId="39356" xr:uid="{220CADF6-9072-446D-9560-31BA3653D7BA}"/>
    <cellStyle name="20% - Accent5 7 3 3 2 3" xfId="23459" xr:uid="{00000000-0005-0000-0000-0000C2210000}"/>
    <cellStyle name="20% - Accent5 7 3 3 2 3 2" xfId="47292" xr:uid="{3BD6CB44-8B48-4CBC-9132-4839E0A0D882}"/>
    <cellStyle name="20% - Accent5 7 3 3 2 4" xfId="31415" xr:uid="{16CCE4CD-CC12-43A2-B5E9-468CE65F8F51}"/>
    <cellStyle name="20% - Accent5 7 3 3 3" xfId="11975" xr:uid="{00000000-0005-0000-0000-0000C3210000}"/>
    <cellStyle name="20% - Accent5 7 3 3 3 2" xfId="35825" xr:uid="{5A6C2957-9C8F-4B0B-B877-6339B65977E5}"/>
    <cellStyle name="20% - Accent5 7 3 3 4" xfId="19930" xr:uid="{00000000-0005-0000-0000-0000C4210000}"/>
    <cellStyle name="20% - Accent5 7 3 3 4 2" xfId="43763" xr:uid="{897BD714-4227-4267-B7A2-382B9C676252}"/>
    <cellStyle name="20% - Accent5 7 3 3 5" xfId="27884" xr:uid="{54D7A381-F9A3-4943-92D5-A04D948A2275}"/>
    <cellStyle name="20% - Accent5 7 3 4" xfId="5770" xr:uid="{00000000-0005-0000-0000-0000C5210000}"/>
    <cellStyle name="20% - Accent5 7 3 4 2" xfId="13754" xr:uid="{00000000-0005-0000-0000-0000C6210000}"/>
    <cellStyle name="20% - Accent5 7 3 4 2 2" xfId="37598" xr:uid="{71502BC9-E3C3-45F7-B517-A4694396A877}"/>
    <cellStyle name="20% - Accent5 7 3 4 3" xfId="21702" xr:uid="{00000000-0005-0000-0000-0000C7210000}"/>
    <cellStyle name="20% - Accent5 7 3 4 3 2" xfId="45535" xr:uid="{EA19BEE1-D2C2-45F3-B0BD-0678A85E39A3}"/>
    <cellStyle name="20% - Accent5 7 3 4 4" xfId="29657" xr:uid="{06AF7229-5685-4EAE-946F-F252692CBB67}"/>
    <cellStyle name="20% - Accent5 7 3 5" xfId="9323" xr:uid="{00000000-0005-0000-0000-0000C8210000}"/>
    <cellStyle name="20% - Accent5 7 3 5 2" xfId="17281" xr:uid="{00000000-0005-0000-0000-0000C9210000}"/>
    <cellStyle name="20% - Accent5 7 3 5 2 2" xfId="41122" xr:uid="{159B8B44-552D-4E83-8133-511ADC997724}"/>
    <cellStyle name="20% - Accent5 7 3 5 3" xfId="25225" xr:uid="{00000000-0005-0000-0000-0000CA210000}"/>
    <cellStyle name="20% - Accent5 7 3 5 3 2" xfId="49058" xr:uid="{62B66780-FCF5-4221-A68E-6EA97C894FB5}"/>
    <cellStyle name="20% - Accent5 7 3 5 4" xfId="33181" xr:uid="{CF2B118B-B2F9-46B3-BB42-C9188E186B72}"/>
    <cellStyle name="20% - Accent5 7 3 6" xfId="10219" xr:uid="{00000000-0005-0000-0000-0000CB210000}"/>
    <cellStyle name="20% - Accent5 7 3 6 2" xfId="34069" xr:uid="{0CCD2BCB-2828-4FA6-88B8-F9459F16B630}"/>
    <cellStyle name="20% - Accent5 7 3 7" xfId="18174" xr:uid="{00000000-0005-0000-0000-0000CC210000}"/>
    <cellStyle name="20% - Accent5 7 3 7 2" xfId="42007" xr:uid="{11E78093-D540-4EF7-805E-21EF792559D1}"/>
    <cellStyle name="20% - Accent5 7 3 8" xfId="26127" xr:uid="{50DD67ED-30C6-489C-9DEC-926737B5C4F5}"/>
    <cellStyle name="20% - Accent5 7 3_Exh G" xfId="2536" xr:uid="{00000000-0005-0000-0000-0000CD210000}"/>
    <cellStyle name="20% - Accent5 7 4" xfId="919" xr:uid="{00000000-0005-0000-0000-0000CE210000}"/>
    <cellStyle name="20% - Accent5 7 4 2" xfId="1846" xr:uid="{00000000-0005-0000-0000-0000CF210000}"/>
    <cellStyle name="20% - Accent5 7 4 2 2" xfId="5364" xr:uid="{00000000-0005-0000-0000-0000D0210000}"/>
    <cellStyle name="20% - Accent5 7 4 2 2 2" xfId="8955" xr:uid="{00000000-0005-0000-0000-0000D1210000}"/>
    <cellStyle name="20% - Accent5 7 4 2 2 2 2" xfId="16926" xr:uid="{00000000-0005-0000-0000-0000D2210000}"/>
    <cellStyle name="20% - Accent5 7 4 2 2 2 2 2" xfId="40769" xr:uid="{30D3CA0E-6949-4DE1-A155-004ED04E18E0}"/>
    <cellStyle name="20% - Accent5 7 4 2 2 2 3" xfId="24872" xr:uid="{00000000-0005-0000-0000-0000D3210000}"/>
    <cellStyle name="20% - Accent5 7 4 2 2 2 3 2" xfId="48705" xr:uid="{3896291B-628E-44DF-82D1-756E8B7F0E1E}"/>
    <cellStyle name="20% - Accent5 7 4 2 2 2 4" xfId="32828" xr:uid="{C8D7B984-BD92-479F-AC3E-22ACBA95CCB5}"/>
    <cellStyle name="20% - Accent5 7 4 2 2 3" xfId="13388" xr:uid="{00000000-0005-0000-0000-0000D4210000}"/>
    <cellStyle name="20% - Accent5 7 4 2 2 3 2" xfId="37238" xr:uid="{469585AF-DA60-41F6-8514-833DA5B2F1EB}"/>
    <cellStyle name="20% - Accent5 7 4 2 2 4" xfId="21343" xr:uid="{00000000-0005-0000-0000-0000D5210000}"/>
    <cellStyle name="20% - Accent5 7 4 2 2 4 2" xfId="45176" xr:uid="{A0323CDA-BEE3-4156-B2DC-F85B6F113943}"/>
    <cellStyle name="20% - Accent5 7 4 2 2 5" xfId="29297" xr:uid="{158BC628-7023-4144-87DE-211E39BA0844}"/>
    <cellStyle name="20% - Accent5 7 4 2 3" xfId="7196" xr:uid="{00000000-0005-0000-0000-0000D6210000}"/>
    <cellStyle name="20% - Accent5 7 4 2 3 2" xfId="15168" xr:uid="{00000000-0005-0000-0000-0000D7210000}"/>
    <cellStyle name="20% - Accent5 7 4 2 3 2 2" xfId="39011" xr:uid="{C5E579BF-FA28-4652-9CE4-03AEECF61E98}"/>
    <cellStyle name="20% - Accent5 7 4 2 3 3" xfId="23115" xr:uid="{00000000-0005-0000-0000-0000D8210000}"/>
    <cellStyle name="20% - Accent5 7 4 2 3 3 2" xfId="46948" xr:uid="{5A4EC2C4-3FA8-4302-B97A-E7E134516921}"/>
    <cellStyle name="20% - Accent5 7 4 2 3 4" xfId="31070" xr:uid="{91155B51-10F7-44C9-BA94-61190947F411}"/>
    <cellStyle name="20% - Accent5 7 4 2 4" xfId="11632" xr:uid="{00000000-0005-0000-0000-0000D9210000}"/>
    <cellStyle name="20% - Accent5 7 4 2 4 2" xfId="35482" xr:uid="{A4C8DEE2-405C-4779-97D9-A1A710F371C7}"/>
    <cellStyle name="20% - Accent5 7 4 2 5" xfId="19587" xr:uid="{00000000-0005-0000-0000-0000DA210000}"/>
    <cellStyle name="20% - Accent5 7 4 2 5 2" xfId="43420" xr:uid="{6BFDF06B-7ED4-4747-8835-EBB36BFBB365}"/>
    <cellStyle name="20% - Accent5 7 4 2 6" xfId="27540" xr:uid="{121574A3-60D0-42CE-8CA3-C7DA5654A749}"/>
    <cellStyle name="20% - Accent5 7 4 2_Exh G" xfId="2539" xr:uid="{00000000-0005-0000-0000-0000DB210000}"/>
    <cellStyle name="20% - Accent5 7 4 3" xfId="4485" xr:uid="{00000000-0005-0000-0000-0000DC210000}"/>
    <cellStyle name="20% - Accent5 7 4 3 2" xfId="8077" xr:uid="{00000000-0005-0000-0000-0000DD210000}"/>
    <cellStyle name="20% - Accent5 7 4 3 2 2" xfId="16048" xr:uid="{00000000-0005-0000-0000-0000DE210000}"/>
    <cellStyle name="20% - Accent5 7 4 3 2 2 2" xfId="39891" xr:uid="{1F7CB607-91A1-4334-BF91-275AE1725258}"/>
    <cellStyle name="20% - Accent5 7 4 3 2 3" xfId="23994" xr:uid="{00000000-0005-0000-0000-0000DF210000}"/>
    <cellStyle name="20% - Accent5 7 4 3 2 3 2" xfId="47827" xr:uid="{01EAA549-F69F-4678-AD0C-7BDDD833AE96}"/>
    <cellStyle name="20% - Accent5 7 4 3 2 4" xfId="31950" xr:uid="{8E5CA590-214E-4BF0-AF1C-D08137E17FCF}"/>
    <cellStyle name="20% - Accent5 7 4 3 3" xfId="12510" xr:uid="{00000000-0005-0000-0000-0000E0210000}"/>
    <cellStyle name="20% - Accent5 7 4 3 3 2" xfId="36360" xr:uid="{769F5E44-0D74-4014-9C8C-65BA5BB92080}"/>
    <cellStyle name="20% - Accent5 7 4 3 4" xfId="20465" xr:uid="{00000000-0005-0000-0000-0000E1210000}"/>
    <cellStyle name="20% - Accent5 7 4 3 4 2" xfId="44298" xr:uid="{86D82E1A-3369-4359-8B07-0CD9843AF406}"/>
    <cellStyle name="20% - Accent5 7 4 3 5" xfId="28419" xr:uid="{B80817D2-6728-4268-8151-EE6B62D0BF55}"/>
    <cellStyle name="20% - Accent5 7 4 4" xfId="6315" xr:uid="{00000000-0005-0000-0000-0000E2210000}"/>
    <cellStyle name="20% - Accent5 7 4 4 2" xfId="14290" xr:uid="{00000000-0005-0000-0000-0000E3210000}"/>
    <cellStyle name="20% - Accent5 7 4 4 2 2" xfId="38133" xr:uid="{5AC4D4E2-2A5F-4C1E-85BC-96258585EA2D}"/>
    <cellStyle name="20% - Accent5 7 4 4 3" xfId="22237" xr:uid="{00000000-0005-0000-0000-0000E4210000}"/>
    <cellStyle name="20% - Accent5 7 4 4 3 2" xfId="46070" xr:uid="{5CCFA934-B670-443E-8568-82CA1E8C04E2}"/>
    <cellStyle name="20% - Accent5 7 4 4 4" xfId="30192" xr:uid="{B39F2AEB-2ACF-42E2-B61E-15A9291F8A3E}"/>
    <cellStyle name="20% - Accent5 7 4 5" xfId="9858" xr:uid="{00000000-0005-0000-0000-0000E5210000}"/>
    <cellStyle name="20% - Accent5 7 4 5 2" xfId="17816" xr:uid="{00000000-0005-0000-0000-0000E6210000}"/>
    <cellStyle name="20% - Accent5 7 4 5 2 2" xfId="41657" xr:uid="{14129B8E-5989-4D2B-A5E1-8DFA9A6572CA}"/>
    <cellStyle name="20% - Accent5 7 4 5 3" xfId="25760" xr:uid="{00000000-0005-0000-0000-0000E7210000}"/>
    <cellStyle name="20% - Accent5 7 4 5 3 2" xfId="49593" xr:uid="{F8BE88AB-AAE0-4E14-8230-5AE5FD5065AA}"/>
    <cellStyle name="20% - Accent5 7 4 5 4" xfId="33716" xr:uid="{DFA6DDBC-73B4-4DB7-8484-A70375CE4829}"/>
    <cellStyle name="20% - Accent5 7 4 6" xfId="10754" xr:uid="{00000000-0005-0000-0000-0000E8210000}"/>
    <cellStyle name="20% - Accent5 7 4 6 2" xfId="34604" xr:uid="{90D093E9-6731-4DE5-B1FD-B7D1815D38C1}"/>
    <cellStyle name="20% - Accent5 7 4 7" xfId="18709" xr:uid="{00000000-0005-0000-0000-0000E9210000}"/>
    <cellStyle name="20% - Accent5 7 4 7 2" xfId="42542" xr:uid="{825ADD41-4578-4C25-A861-44F823C2FA02}"/>
    <cellStyle name="20% - Accent5 7 4 8" xfId="26662" xr:uid="{495B9B0B-395B-4E8D-9F7C-08832164381E}"/>
    <cellStyle name="20% - Accent5 7 4_Exh G" xfId="2538" xr:uid="{00000000-0005-0000-0000-0000EA210000}"/>
    <cellStyle name="20% - Accent5 7 5" xfId="1296" xr:uid="{00000000-0005-0000-0000-0000EB210000}"/>
    <cellStyle name="20% - Accent5 7 5 2" xfId="4826" xr:uid="{00000000-0005-0000-0000-0000EC210000}"/>
    <cellStyle name="20% - Accent5 7 5 2 2" xfId="8417" xr:uid="{00000000-0005-0000-0000-0000ED210000}"/>
    <cellStyle name="20% - Accent5 7 5 2 2 2" xfId="16388" xr:uid="{00000000-0005-0000-0000-0000EE210000}"/>
    <cellStyle name="20% - Accent5 7 5 2 2 2 2" xfId="40231" xr:uid="{62FD9236-FADF-4E68-9502-2309B2BC8A6B}"/>
    <cellStyle name="20% - Accent5 7 5 2 2 3" xfId="24334" xr:uid="{00000000-0005-0000-0000-0000EF210000}"/>
    <cellStyle name="20% - Accent5 7 5 2 2 3 2" xfId="48167" xr:uid="{390A98DC-CE20-4002-A1E9-EF5D3D6D83A4}"/>
    <cellStyle name="20% - Accent5 7 5 2 2 4" xfId="32290" xr:uid="{94178483-2AD8-406B-BA00-6EF37C9B3AAC}"/>
    <cellStyle name="20% - Accent5 7 5 2 3" xfId="12850" xr:uid="{00000000-0005-0000-0000-0000F0210000}"/>
    <cellStyle name="20% - Accent5 7 5 2 3 2" xfId="36700" xr:uid="{80FD2FE8-E071-4757-BE57-BCFB52CB7238}"/>
    <cellStyle name="20% - Accent5 7 5 2 4" xfId="20805" xr:uid="{00000000-0005-0000-0000-0000F1210000}"/>
    <cellStyle name="20% - Accent5 7 5 2 4 2" xfId="44638" xr:uid="{2DB7AC0F-1001-4EE3-B56E-976EA9281C29}"/>
    <cellStyle name="20% - Accent5 7 5 2 5" xfId="28759" xr:uid="{358E0C20-D010-4B47-AD56-32427853FEA4}"/>
    <cellStyle name="20% - Accent5 7 5 3" xfId="6658" xr:uid="{00000000-0005-0000-0000-0000F2210000}"/>
    <cellStyle name="20% - Accent5 7 5 3 2" xfId="14630" xr:uid="{00000000-0005-0000-0000-0000F3210000}"/>
    <cellStyle name="20% - Accent5 7 5 3 2 2" xfId="38473" xr:uid="{FCA1DF59-FFAF-4BD5-AAEC-DB3111FE6F47}"/>
    <cellStyle name="20% - Accent5 7 5 3 3" xfId="22577" xr:uid="{00000000-0005-0000-0000-0000F4210000}"/>
    <cellStyle name="20% - Accent5 7 5 3 3 2" xfId="46410" xr:uid="{203AEEAB-B2B7-4884-83DC-37DA4B5624FB}"/>
    <cellStyle name="20% - Accent5 7 5 3 4" xfId="30532" xr:uid="{6A0299C7-4106-4EF0-A155-AA8313DFC191}"/>
    <cellStyle name="20% - Accent5 7 5 4" xfId="11094" xr:uid="{00000000-0005-0000-0000-0000F5210000}"/>
    <cellStyle name="20% - Accent5 7 5 4 2" xfId="34944" xr:uid="{E6FA2D95-5E8A-490F-AB0D-8FC55798688B}"/>
    <cellStyle name="20% - Accent5 7 5 5" xfId="19049" xr:uid="{00000000-0005-0000-0000-0000F6210000}"/>
    <cellStyle name="20% - Accent5 7 5 5 2" xfId="42882" xr:uid="{95BAA16C-E300-4839-8C2E-0552B4EAF322}"/>
    <cellStyle name="20% - Accent5 7 5 6" xfId="27002" xr:uid="{94BA9003-24BF-4A5A-9EB4-FC497082B3D1}"/>
    <cellStyle name="20% - Accent5 7 5_Exh G" xfId="2540" xr:uid="{00000000-0005-0000-0000-0000F7210000}"/>
    <cellStyle name="20% - Accent5 7 6" xfId="3947" xr:uid="{00000000-0005-0000-0000-0000F8210000}"/>
    <cellStyle name="20% - Accent5 7 6 2" xfId="7539" xr:uid="{00000000-0005-0000-0000-0000F9210000}"/>
    <cellStyle name="20% - Accent5 7 6 2 2" xfId="15510" xr:uid="{00000000-0005-0000-0000-0000FA210000}"/>
    <cellStyle name="20% - Accent5 7 6 2 2 2" xfId="39353" xr:uid="{4D8D70A8-4CCB-4B39-B6D3-1DBCA3AD9C7F}"/>
    <cellStyle name="20% - Accent5 7 6 2 3" xfId="23456" xr:uid="{00000000-0005-0000-0000-0000FB210000}"/>
    <cellStyle name="20% - Accent5 7 6 2 3 2" xfId="47289" xr:uid="{363A1822-2FB2-421A-B8B1-ACB4B811439D}"/>
    <cellStyle name="20% - Accent5 7 6 2 4" xfId="31412" xr:uid="{E67382F1-A6D3-4496-B0AA-4A180885FC98}"/>
    <cellStyle name="20% - Accent5 7 6 3" xfId="11972" xr:uid="{00000000-0005-0000-0000-0000FC210000}"/>
    <cellStyle name="20% - Accent5 7 6 3 2" xfId="35822" xr:uid="{9A5B494C-5A2D-4D94-8395-C40B8D51C168}"/>
    <cellStyle name="20% - Accent5 7 6 4" xfId="19927" xr:uid="{00000000-0005-0000-0000-0000FD210000}"/>
    <cellStyle name="20% - Accent5 7 6 4 2" xfId="43760" xr:uid="{9E513B30-21DC-4B6A-B91F-516B123EE73D}"/>
    <cellStyle name="20% - Accent5 7 6 5" xfId="27881" xr:uid="{3116F5F3-A19A-466D-A84D-6A07D7F8A2BF}"/>
    <cellStyle name="20% - Accent5 7 7" xfId="5767" xr:uid="{00000000-0005-0000-0000-0000FE210000}"/>
    <cellStyle name="20% - Accent5 7 7 2" xfId="13751" xr:uid="{00000000-0005-0000-0000-0000FF210000}"/>
    <cellStyle name="20% - Accent5 7 7 2 2" xfId="37595" xr:uid="{40428144-4914-401B-BFA6-EEBE56DD9334}"/>
    <cellStyle name="20% - Accent5 7 7 3" xfId="21699" xr:uid="{00000000-0005-0000-0000-000000220000}"/>
    <cellStyle name="20% - Accent5 7 7 3 2" xfId="45532" xr:uid="{D52410AC-E7BC-4F38-936E-C672D21E2A07}"/>
    <cellStyle name="20% - Accent5 7 7 4" xfId="29654" xr:uid="{8176D73E-D569-4D89-B291-C382F31D2EBD}"/>
    <cellStyle name="20% - Accent5 7 8" xfId="9320" xr:uid="{00000000-0005-0000-0000-000001220000}"/>
    <cellStyle name="20% - Accent5 7 8 2" xfId="17278" xr:uid="{00000000-0005-0000-0000-000002220000}"/>
    <cellStyle name="20% - Accent5 7 8 2 2" xfId="41119" xr:uid="{AFEA9C7B-E6BD-4D1D-8B88-DC3DAD8F7B63}"/>
    <cellStyle name="20% - Accent5 7 8 3" xfId="25222" xr:uid="{00000000-0005-0000-0000-000003220000}"/>
    <cellStyle name="20% - Accent5 7 8 3 2" xfId="49055" xr:uid="{982D73E6-58C2-4CDB-AE59-152715973399}"/>
    <cellStyle name="20% - Accent5 7 8 4" xfId="33178" xr:uid="{907A34D8-3EF2-41C0-B649-E9A95632D141}"/>
    <cellStyle name="20% - Accent5 7 9" xfId="10216" xr:uid="{00000000-0005-0000-0000-000004220000}"/>
    <cellStyle name="20% - Accent5 7 9 2" xfId="34066" xr:uid="{61A3330C-E8C8-42D4-A02D-D2A5F7A04412}"/>
    <cellStyle name="20% - Accent5 7_Exh G" xfId="2531" xr:uid="{00000000-0005-0000-0000-000005220000}"/>
    <cellStyle name="20% - Accent5 8" xfId="272" xr:uid="{00000000-0005-0000-0000-000006220000}"/>
    <cellStyle name="20% - Accent5 8 10" xfId="18175" xr:uid="{00000000-0005-0000-0000-000007220000}"/>
    <cellStyle name="20% - Accent5 8 10 2" xfId="42008" xr:uid="{253C5708-88EA-431B-8E7F-132A1BEFF592}"/>
    <cellStyle name="20% - Accent5 8 11" xfId="26128" xr:uid="{55997DD7-C049-4C76-98EF-6D4263C69047}"/>
    <cellStyle name="20% - Accent5 8 2" xfId="273" xr:uid="{00000000-0005-0000-0000-000008220000}"/>
    <cellStyle name="20% - Accent5 8 2 2" xfId="274" xr:uid="{00000000-0005-0000-0000-000009220000}"/>
    <cellStyle name="20% - Accent5 8 2 2 2" xfId="1302" xr:uid="{00000000-0005-0000-0000-00000A220000}"/>
    <cellStyle name="20% - Accent5 8 2 2 2 2" xfId="4832" xr:uid="{00000000-0005-0000-0000-00000B220000}"/>
    <cellStyle name="20% - Accent5 8 2 2 2 2 2" xfId="8423" xr:uid="{00000000-0005-0000-0000-00000C220000}"/>
    <cellStyle name="20% - Accent5 8 2 2 2 2 2 2" xfId="16394" xr:uid="{00000000-0005-0000-0000-00000D220000}"/>
    <cellStyle name="20% - Accent5 8 2 2 2 2 2 2 2" xfId="40237" xr:uid="{895F3518-782C-4285-A61D-00DD7633DA72}"/>
    <cellStyle name="20% - Accent5 8 2 2 2 2 2 3" xfId="24340" xr:uid="{00000000-0005-0000-0000-00000E220000}"/>
    <cellStyle name="20% - Accent5 8 2 2 2 2 2 3 2" xfId="48173" xr:uid="{A0438942-8A1A-49FD-BDA2-9330FD35AD52}"/>
    <cellStyle name="20% - Accent5 8 2 2 2 2 2 4" xfId="32296" xr:uid="{0E4EB623-F6AB-4E4D-AE86-BA85C6DB873C}"/>
    <cellStyle name="20% - Accent5 8 2 2 2 2 3" xfId="12856" xr:uid="{00000000-0005-0000-0000-00000F220000}"/>
    <cellStyle name="20% - Accent5 8 2 2 2 2 3 2" xfId="36706" xr:uid="{63C32027-CEB2-4EA7-8B18-5E7A8E61DDBA}"/>
    <cellStyle name="20% - Accent5 8 2 2 2 2 4" xfId="20811" xr:uid="{00000000-0005-0000-0000-000010220000}"/>
    <cellStyle name="20% - Accent5 8 2 2 2 2 4 2" xfId="44644" xr:uid="{71A8B3D1-3F71-4D3A-ABB1-13DAE12C2B22}"/>
    <cellStyle name="20% - Accent5 8 2 2 2 2 5" xfId="28765" xr:uid="{32131B81-3269-4BD0-BE1D-1E842262C6E3}"/>
    <cellStyle name="20% - Accent5 8 2 2 2 3" xfId="6664" xr:uid="{00000000-0005-0000-0000-000011220000}"/>
    <cellStyle name="20% - Accent5 8 2 2 2 3 2" xfId="14636" xr:uid="{00000000-0005-0000-0000-000012220000}"/>
    <cellStyle name="20% - Accent5 8 2 2 2 3 2 2" xfId="38479" xr:uid="{DE4AA83E-653B-4F75-80E0-B9821293DAE8}"/>
    <cellStyle name="20% - Accent5 8 2 2 2 3 3" xfId="22583" xr:uid="{00000000-0005-0000-0000-000013220000}"/>
    <cellStyle name="20% - Accent5 8 2 2 2 3 3 2" xfId="46416" xr:uid="{5446014D-EE56-40E9-A807-1D5D6705F3DA}"/>
    <cellStyle name="20% - Accent5 8 2 2 2 3 4" xfId="30538" xr:uid="{7F817295-5EDE-4A8B-B35B-2CDF81713EBE}"/>
    <cellStyle name="20% - Accent5 8 2 2 2 4" xfId="11100" xr:uid="{00000000-0005-0000-0000-000014220000}"/>
    <cellStyle name="20% - Accent5 8 2 2 2 4 2" xfId="34950" xr:uid="{8005A3FB-81C0-4DE8-B711-3A4CB88A7FF7}"/>
    <cellStyle name="20% - Accent5 8 2 2 2 5" xfId="19055" xr:uid="{00000000-0005-0000-0000-000015220000}"/>
    <cellStyle name="20% - Accent5 8 2 2 2 5 2" xfId="42888" xr:uid="{ED194A76-B359-421F-B1E1-13BAA3652FFE}"/>
    <cellStyle name="20% - Accent5 8 2 2 2 6" xfId="27008" xr:uid="{D48EBC11-9C2E-4D77-94D8-CA1ECAC46783}"/>
    <cellStyle name="20% - Accent5 8 2 2 2_Exh G" xfId="2544" xr:uid="{00000000-0005-0000-0000-000016220000}"/>
    <cellStyle name="20% - Accent5 8 2 2 3" xfId="3953" xr:uid="{00000000-0005-0000-0000-000017220000}"/>
    <cellStyle name="20% - Accent5 8 2 2 3 2" xfId="7545" xr:uid="{00000000-0005-0000-0000-000018220000}"/>
    <cellStyle name="20% - Accent5 8 2 2 3 2 2" xfId="15516" xr:uid="{00000000-0005-0000-0000-000019220000}"/>
    <cellStyle name="20% - Accent5 8 2 2 3 2 2 2" xfId="39359" xr:uid="{9FC90ECC-B8EE-4F8C-8034-E6A0E77D75E3}"/>
    <cellStyle name="20% - Accent5 8 2 2 3 2 3" xfId="23462" xr:uid="{00000000-0005-0000-0000-00001A220000}"/>
    <cellStyle name="20% - Accent5 8 2 2 3 2 3 2" xfId="47295" xr:uid="{0548BDC0-A5C6-44A8-88DC-8E7021AB6010}"/>
    <cellStyle name="20% - Accent5 8 2 2 3 2 4" xfId="31418" xr:uid="{1457E95D-D5C3-4399-9E12-7CF27C5C2613}"/>
    <cellStyle name="20% - Accent5 8 2 2 3 3" xfId="11978" xr:uid="{00000000-0005-0000-0000-00001B220000}"/>
    <cellStyle name="20% - Accent5 8 2 2 3 3 2" xfId="35828" xr:uid="{7476AA8E-8D45-498E-A96C-97F75AEE84CF}"/>
    <cellStyle name="20% - Accent5 8 2 2 3 4" xfId="19933" xr:uid="{00000000-0005-0000-0000-00001C220000}"/>
    <cellStyle name="20% - Accent5 8 2 2 3 4 2" xfId="43766" xr:uid="{291CAB15-A0BC-432D-B309-631AF6F7B6EF}"/>
    <cellStyle name="20% - Accent5 8 2 2 3 5" xfId="27887" xr:uid="{8C23C07E-9011-4500-AB4B-1A8EC8290525}"/>
    <cellStyle name="20% - Accent5 8 2 2 4" xfId="5773" xr:uid="{00000000-0005-0000-0000-00001D220000}"/>
    <cellStyle name="20% - Accent5 8 2 2 4 2" xfId="13757" xr:uid="{00000000-0005-0000-0000-00001E220000}"/>
    <cellStyle name="20% - Accent5 8 2 2 4 2 2" xfId="37601" xr:uid="{9E0CB392-8A56-4919-B014-033C72335F4D}"/>
    <cellStyle name="20% - Accent5 8 2 2 4 3" xfId="21705" xr:uid="{00000000-0005-0000-0000-00001F220000}"/>
    <cellStyle name="20% - Accent5 8 2 2 4 3 2" xfId="45538" xr:uid="{D467A1BD-A02C-4A59-A996-8BD064AFD76B}"/>
    <cellStyle name="20% - Accent5 8 2 2 4 4" xfId="29660" xr:uid="{26E8AB19-9BE0-454D-A56D-14775999ECC3}"/>
    <cellStyle name="20% - Accent5 8 2 2 5" xfId="9326" xr:uid="{00000000-0005-0000-0000-000020220000}"/>
    <cellStyle name="20% - Accent5 8 2 2 5 2" xfId="17284" xr:uid="{00000000-0005-0000-0000-000021220000}"/>
    <cellStyle name="20% - Accent5 8 2 2 5 2 2" xfId="41125" xr:uid="{4113B236-134C-4CA5-8B63-2598D3598199}"/>
    <cellStyle name="20% - Accent5 8 2 2 5 3" xfId="25228" xr:uid="{00000000-0005-0000-0000-000022220000}"/>
    <cellStyle name="20% - Accent5 8 2 2 5 3 2" xfId="49061" xr:uid="{89D64FA7-DA87-414D-A3C4-86DF6E13ECDC}"/>
    <cellStyle name="20% - Accent5 8 2 2 5 4" xfId="33184" xr:uid="{A2D7256F-7857-466D-81F2-2E2B1629BAC7}"/>
    <cellStyle name="20% - Accent5 8 2 2 6" xfId="10222" xr:uid="{00000000-0005-0000-0000-000023220000}"/>
    <cellStyle name="20% - Accent5 8 2 2 6 2" xfId="34072" xr:uid="{8F9CDA06-4138-476D-95D9-F0E89A57A4BF}"/>
    <cellStyle name="20% - Accent5 8 2 2 7" xfId="18177" xr:uid="{00000000-0005-0000-0000-000024220000}"/>
    <cellStyle name="20% - Accent5 8 2 2 7 2" xfId="42010" xr:uid="{A16C2EC4-941C-41F9-88E4-99DE4C8491E3}"/>
    <cellStyle name="20% - Accent5 8 2 2 8" xfId="26130" xr:uid="{4A54825D-B573-49B3-AA8A-85C7AF8DA9BE}"/>
    <cellStyle name="20% - Accent5 8 2 2_Exh G" xfId="2543" xr:uid="{00000000-0005-0000-0000-000025220000}"/>
    <cellStyle name="20% - Accent5 8 2 3" xfId="1301" xr:uid="{00000000-0005-0000-0000-000026220000}"/>
    <cellStyle name="20% - Accent5 8 2 3 2" xfId="4831" xr:uid="{00000000-0005-0000-0000-000027220000}"/>
    <cellStyle name="20% - Accent5 8 2 3 2 2" xfId="8422" xr:uid="{00000000-0005-0000-0000-000028220000}"/>
    <cellStyle name="20% - Accent5 8 2 3 2 2 2" xfId="16393" xr:uid="{00000000-0005-0000-0000-000029220000}"/>
    <cellStyle name="20% - Accent5 8 2 3 2 2 2 2" xfId="40236" xr:uid="{BB7489B5-DBCE-4DF8-8E3C-E7464E91047E}"/>
    <cellStyle name="20% - Accent5 8 2 3 2 2 3" xfId="24339" xr:uid="{00000000-0005-0000-0000-00002A220000}"/>
    <cellStyle name="20% - Accent5 8 2 3 2 2 3 2" xfId="48172" xr:uid="{997DB208-54FC-47CC-B891-7E288B7BADA6}"/>
    <cellStyle name="20% - Accent5 8 2 3 2 2 4" xfId="32295" xr:uid="{CA78C8F4-709B-4792-84D8-50FA2CC09364}"/>
    <cellStyle name="20% - Accent5 8 2 3 2 3" xfId="12855" xr:uid="{00000000-0005-0000-0000-00002B220000}"/>
    <cellStyle name="20% - Accent5 8 2 3 2 3 2" xfId="36705" xr:uid="{286C45E4-9B9A-48FD-B17C-4C6D4400DDD0}"/>
    <cellStyle name="20% - Accent5 8 2 3 2 4" xfId="20810" xr:uid="{00000000-0005-0000-0000-00002C220000}"/>
    <cellStyle name="20% - Accent5 8 2 3 2 4 2" xfId="44643" xr:uid="{6B143EB3-F996-4C0E-BC49-AF190C441AB4}"/>
    <cellStyle name="20% - Accent5 8 2 3 2 5" xfId="28764" xr:uid="{65630AE6-6BCB-44AF-822D-6F3A6E66BC90}"/>
    <cellStyle name="20% - Accent5 8 2 3 3" xfId="6663" xr:uid="{00000000-0005-0000-0000-00002D220000}"/>
    <cellStyle name="20% - Accent5 8 2 3 3 2" xfId="14635" xr:uid="{00000000-0005-0000-0000-00002E220000}"/>
    <cellStyle name="20% - Accent5 8 2 3 3 2 2" xfId="38478" xr:uid="{C130B7E6-50F3-4C1C-91B8-DCEF19AB3BF9}"/>
    <cellStyle name="20% - Accent5 8 2 3 3 3" xfId="22582" xr:uid="{00000000-0005-0000-0000-00002F220000}"/>
    <cellStyle name="20% - Accent5 8 2 3 3 3 2" xfId="46415" xr:uid="{D01E373F-F436-4250-9B0C-AE9AF3D40C0B}"/>
    <cellStyle name="20% - Accent5 8 2 3 3 4" xfId="30537" xr:uid="{68D67DB6-72CC-43ED-A09C-838786BE7BF2}"/>
    <cellStyle name="20% - Accent5 8 2 3 4" xfId="11099" xr:uid="{00000000-0005-0000-0000-000030220000}"/>
    <cellStyle name="20% - Accent5 8 2 3 4 2" xfId="34949" xr:uid="{CC92DB1C-C4BB-47A5-BE42-F39DCD2CBFE7}"/>
    <cellStyle name="20% - Accent5 8 2 3 5" xfId="19054" xr:uid="{00000000-0005-0000-0000-000031220000}"/>
    <cellStyle name="20% - Accent5 8 2 3 5 2" xfId="42887" xr:uid="{9FAC2BE2-CE80-46B4-AE07-8A17EA020212}"/>
    <cellStyle name="20% - Accent5 8 2 3 6" xfId="27007" xr:uid="{72CE80DC-28AC-443E-B4AB-DA893CEA2B11}"/>
    <cellStyle name="20% - Accent5 8 2 3_Exh G" xfId="2545" xr:uid="{00000000-0005-0000-0000-000032220000}"/>
    <cellStyle name="20% - Accent5 8 2 4" xfId="3952" xr:uid="{00000000-0005-0000-0000-000033220000}"/>
    <cellStyle name="20% - Accent5 8 2 4 2" xfId="7544" xr:uid="{00000000-0005-0000-0000-000034220000}"/>
    <cellStyle name="20% - Accent5 8 2 4 2 2" xfId="15515" xr:uid="{00000000-0005-0000-0000-000035220000}"/>
    <cellStyle name="20% - Accent5 8 2 4 2 2 2" xfId="39358" xr:uid="{0D84040D-82F8-452F-B53C-EE8DD04C4F0A}"/>
    <cellStyle name="20% - Accent5 8 2 4 2 3" xfId="23461" xr:uid="{00000000-0005-0000-0000-000036220000}"/>
    <cellStyle name="20% - Accent5 8 2 4 2 3 2" xfId="47294" xr:uid="{92244ACF-9747-45F4-B5F0-709080516362}"/>
    <cellStyle name="20% - Accent5 8 2 4 2 4" xfId="31417" xr:uid="{3C0CA1B0-3038-4334-B65C-6EF5F4F42140}"/>
    <cellStyle name="20% - Accent5 8 2 4 3" xfId="11977" xr:uid="{00000000-0005-0000-0000-000037220000}"/>
    <cellStyle name="20% - Accent5 8 2 4 3 2" xfId="35827" xr:uid="{01C4EB73-41D4-450F-91E7-8D932E880DF5}"/>
    <cellStyle name="20% - Accent5 8 2 4 4" xfId="19932" xr:uid="{00000000-0005-0000-0000-000038220000}"/>
    <cellStyle name="20% - Accent5 8 2 4 4 2" xfId="43765" xr:uid="{FD511594-04A7-476C-986E-27784B5C8140}"/>
    <cellStyle name="20% - Accent5 8 2 4 5" xfId="27886" xr:uid="{5DE665FA-E0D7-441B-9AE8-EAA6B95F0B40}"/>
    <cellStyle name="20% - Accent5 8 2 5" xfId="5772" xr:uid="{00000000-0005-0000-0000-000039220000}"/>
    <cellStyle name="20% - Accent5 8 2 5 2" xfId="13756" xr:uid="{00000000-0005-0000-0000-00003A220000}"/>
    <cellStyle name="20% - Accent5 8 2 5 2 2" xfId="37600" xr:uid="{FCE7F6D3-B487-4DDB-B3FA-B60177903D3F}"/>
    <cellStyle name="20% - Accent5 8 2 5 3" xfId="21704" xr:uid="{00000000-0005-0000-0000-00003B220000}"/>
    <cellStyle name="20% - Accent5 8 2 5 3 2" xfId="45537" xr:uid="{550FD1F3-F759-4EE4-A0C6-4BDE3897DA55}"/>
    <cellStyle name="20% - Accent5 8 2 5 4" xfId="29659" xr:uid="{9C3B1D5C-692C-4E43-B345-7699C6516333}"/>
    <cellStyle name="20% - Accent5 8 2 6" xfId="9325" xr:uid="{00000000-0005-0000-0000-00003C220000}"/>
    <cellStyle name="20% - Accent5 8 2 6 2" xfId="17283" xr:uid="{00000000-0005-0000-0000-00003D220000}"/>
    <cellStyle name="20% - Accent5 8 2 6 2 2" xfId="41124" xr:uid="{3601721A-A836-4589-9357-CBC1975D24C4}"/>
    <cellStyle name="20% - Accent5 8 2 6 3" xfId="25227" xr:uid="{00000000-0005-0000-0000-00003E220000}"/>
    <cellStyle name="20% - Accent5 8 2 6 3 2" xfId="49060" xr:uid="{C54DD34A-5D82-4B3B-858C-6D8F4ADDE54B}"/>
    <cellStyle name="20% - Accent5 8 2 6 4" xfId="33183" xr:uid="{667633C3-8659-4F84-B73C-271AA7FEFB3A}"/>
    <cellStyle name="20% - Accent5 8 2 7" xfId="10221" xr:uid="{00000000-0005-0000-0000-00003F220000}"/>
    <cellStyle name="20% - Accent5 8 2 7 2" xfId="34071" xr:uid="{F427A605-0957-42DD-BC65-D3A3CBB278B1}"/>
    <cellStyle name="20% - Accent5 8 2 8" xfId="18176" xr:uid="{00000000-0005-0000-0000-000040220000}"/>
    <cellStyle name="20% - Accent5 8 2 8 2" xfId="42009" xr:uid="{E8DDDA23-F40F-4565-A7E6-8C83017D578D}"/>
    <cellStyle name="20% - Accent5 8 2 9" xfId="26129" xr:uid="{ACEC0E3F-E771-4E58-9E7E-1BACCA2E78FB}"/>
    <cellStyle name="20% - Accent5 8 2_Exh G" xfId="2542" xr:uid="{00000000-0005-0000-0000-000041220000}"/>
    <cellStyle name="20% - Accent5 8 3" xfId="275" xr:uid="{00000000-0005-0000-0000-000042220000}"/>
    <cellStyle name="20% - Accent5 8 3 2" xfId="1303" xr:uid="{00000000-0005-0000-0000-000043220000}"/>
    <cellStyle name="20% - Accent5 8 3 2 2" xfId="4833" xr:uid="{00000000-0005-0000-0000-000044220000}"/>
    <cellStyle name="20% - Accent5 8 3 2 2 2" xfId="8424" xr:uid="{00000000-0005-0000-0000-000045220000}"/>
    <cellStyle name="20% - Accent5 8 3 2 2 2 2" xfId="16395" xr:uid="{00000000-0005-0000-0000-000046220000}"/>
    <cellStyle name="20% - Accent5 8 3 2 2 2 2 2" xfId="40238" xr:uid="{5D5DCD1E-2AF8-4641-8465-5EBCE4C19941}"/>
    <cellStyle name="20% - Accent5 8 3 2 2 2 3" xfId="24341" xr:uid="{00000000-0005-0000-0000-000047220000}"/>
    <cellStyle name="20% - Accent5 8 3 2 2 2 3 2" xfId="48174" xr:uid="{5FF10DA2-D151-4BC2-B182-51B2BDCE9B1B}"/>
    <cellStyle name="20% - Accent5 8 3 2 2 2 4" xfId="32297" xr:uid="{02AD6E79-D5A0-4ED1-B206-0F5BCB2315A2}"/>
    <cellStyle name="20% - Accent5 8 3 2 2 3" xfId="12857" xr:uid="{00000000-0005-0000-0000-000048220000}"/>
    <cellStyle name="20% - Accent5 8 3 2 2 3 2" xfId="36707" xr:uid="{E4F9409F-43E4-43A4-B8D4-6187D8C7F070}"/>
    <cellStyle name="20% - Accent5 8 3 2 2 4" xfId="20812" xr:uid="{00000000-0005-0000-0000-000049220000}"/>
    <cellStyle name="20% - Accent5 8 3 2 2 4 2" xfId="44645" xr:uid="{4A1289E8-7B8C-45E9-900F-6EBD1DD31E1B}"/>
    <cellStyle name="20% - Accent5 8 3 2 2 5" xfId="28766" xr:uid="{35C471C5-2CB5-402B-BEE7-C7436675A1F5}"/>
    <cellStyle name="20% - Accent5 8 3 2 3" xfId="6665" xr:uid="{00000000-0005-0000-0000-00004A220000}"/>
    <cellStyle name="20% - Accent5 8 3 2 3 2" xfId="14637" xr:uid="{00000000-0005-0000-0000-00004B220000}"/>
    <cellStyle name="20% - Accent5 8 3 2 3 2 2" xfId="38480" xr:uid="{4AAEB860-8BAD-4617-A3F4-0B3267B82081}"/>
    <cellStyle name="20% - Accent5 8 3 2 3 3" xfId="22584" xr:uid="{00000000-0005-0000-0000-00004C220000}"/>
    <cellStyle name="20% - Accent5 8 3 2 3 3 2" xfId="46417" xr:uid="{D35DEF8D-818F-442F-92A3-D2F4DD05538F}"/>
    <cellStyle name="20% - Accent5 8 3 2 3 4" xfId="30539" xr:uid="{F4094A99-6D41-4CF2-A42E-34A3F077B4E9}"/>
    <cellStyle name="20% - Accent5 8 3 2 4" xfId="11101" xr:uid="{00000000-0005-0000-0000-00004D220000}"/>
    <cellStyle name="20% - Accent5 8 3 2 4 2" xfId="34951" xr:uid="{7930120F-F69C-4C41-B0E3-EB6770D398D3}"/>
    <cellStyle name="20% - Accent5 8 3 2 5" xfId="19056" xr:uid="{00000000-0005-0000-0000-00004E220000}"/>
    <cellStyle name="20% - Accent5 8 3 2 5 2" xfId="42889" xr:uid="{D236091D-9737-4F6A-9F7F-057CB5CCA5DC}"/>
    <cellStyle name="20% - Accent5 8 3 2 6" xfId="27009" xr:uid="{98A436AD-6056-41EA-AC8F-F53F09B1483D}"/>
    <cellStyle name="20% - Accent5 8 3 2_Exh G" xfId="2547" xr:uid="{00000000-0005-0000-0000-00004F220000}"/>
    <cellStyle name="20% - Accent5 8 3 3" xfId="3954" xr:uid="{00000000-0005-0000-0000-000050220000}"/>
    <cellStyle name="20% - Accent5 8 3 3 2" xfId="7546" xr:uid="{00000000-0005-0000-0000-000051220000}"/>
    <cellStyle name="20% - Accent5 8 3 3 2 2" xfId="15517" xr:uid="{00000000-0005-0000-0000-000052220000}"/>
    <cellStyle name="20% - Accent5 8 3 3 2 2 2" xfId="39360" xr:uid="{2DD55995-1AA8-422C-A784-452F66B4F972}"/>
    <cellStyle name="20% - Accent5 8 3 3 2 3" xfId="23463" xr:uid="{00000000-0005-0000-0000-000053220000}"/>
    <cellStyle name="20% - Accent5 8 3 3 2 3 2" xfId="47296" xr:uid="{14A10D24-FC2F-48A6-88E1-BDC9B691FDF5}"/>
    <cellStyle name="20% - Accent5 8 3 3 2 4" xfId="31419" xr:uid="{C855FB0B-0E0C-46C9-9D08-D3CC23499F92}"/>
    <cellStyle name="20% - Accent5 8 3 3 3" xfId="11979" xr:uid="{00000000-0005-0000-0000-000054220000}"/>
    <cellStyle name="20% - Accent5 8 3 3 3 2" xfId="35829" xr:uid="{D300D2F2-5DEC-47E4-9754-77DD23CDC544}"/>
    <cellStyle name="20% - Accent5 8 3 3 4" xfId="19934" xr:uid="{00000000-0005-0000-0000-000055220000}"/>
    <cellStyle name="20% - Accent5 8 3 3 4 2" xfId="43767" xr:uid="{7899EDFD-44B0-40F1-95CF-92106CD2041C}"/>
    <cellStyle name="20% - Accent5 8 3 3 5" xfId="27888" xr:uid="{E8E434E7-9745-4619-9E2C-826BA3D14726}"/>
    <cellStyle name="20% - Accent5 8 3 4" xfId="5774" xr:uid="{00000000-0005-0000-0000-000056220000}"/>
    <cellStyle name="20% - Accent5 8 3 4 2" xfId="13758" xr:uid="{00000000-0005-0000-0000-000057220000}"/>
    <cellStyle name="20% - Accent5 8 3 4 2 2" xfId="37602" xr:uid="{FDF7547E-D54D-4C97-AFFA-C16F401C680E}"/>
    <cellStyle name="20% - Accent5 8 3 4 3" xfId="21706" xr:uid="{00000000-0005-0000-0000-000058220000}"/>
    <cellStyle name="20% - Accent5 8 3 4 3 2" xfId="45539" xr:uid="{F154EEA7-51F9-421E-A585-C9A699B10F8D}"/>
    <cellStyle name="20% - Accent5 8 3 4 4" xfId="29661" xr:uid="{7D7B1F12-C3F8-40DE-A374-5AEBE23BF299}"/>
    <cellStyle name="20% - Accent5 8 3 5" xfId="9327" xr:uid="{00000000-0005-0000-0000-000059220000}"/>
    <cellStyle name="20% - Accent5 8 3 5 2" xfId="17285" xr:uid="{00000000-0005-0000-0000-00005A220000}"/>
    <cellStyle name="20% - Accent5 8 3 5 2 2" xfId="41126" xr:uid="{35492D37-1882-4BCD-9741-815A0D78D18D}"/>
    <cellStyle name="20% - Accent5 8 3 5 3" xfId="25229" xr:uid="{00000000-0005-0000-0000-00005B220000}"/>
    <cellStyle name="20% - Accent5 8 3 5 3 2" xfId="49062" xr:uid="{15286BA8-F674-422E-B276-F3A2620C7481}"/>
    <cellStyle name="20% - Accent5 8 3 5 4" xfId="33185" xr:uid="{3D7F4566-7816-4943-904C-9DDC70AE6862}"/>
    <cellStyle name="20% - Accent5 8 3 6" xfId="10223" xr:uid="{00000000-0005-0000-0000-00005C220000}"/>
    <cellStyle name="20% - Accent5 8 3 6 2" xfId="34073" xr:uid="{A27CDFF5-68DB-4879-BA6E-556AE899ACA8}"/>
    <cellStyle name="20% - Accent5 8 3 7" xfId="18178" xr:uid="{00000000-0005-0000-0000-00005D220000}"/>
    <cellStyle name="20% - Accent5 8 3 7 2" xfId="42011" xr:uid="{A1EA433A-4C9A-42E4-B35F-E945CB70AA58}"/>
    <cellStyle name="20% - Accent5 8 3 8" xfId="26131" xr:uid="{376D9A50-5B18-452E-8F48-1890675926D4}"/>
    <cellStyle name="20% - Accent5 8 3_Exh G" xfId="2546" xr:uid="{00000000-0005-0000-0000-00005E220000}"/>
    <cellStyle name="20% - Accent5 8 4" xfId="920" xr:uid="{00000000-0005-0000-0000-00005F220000}"/>
    <cellStyle name="20% - Accent5 8 4 2" xfId="1847" xr:uid="{00000000-0005-0000-0000-000060220000}"/>
    <cellStyle name="20% - Accent5 8 4 2 2" xfId="5365" xr:uid="{00000000-0005-0000-0000-000061220000}"/>
    <cellStyle name="20% - Accent5 8 4 2 2 2" xfId="8956" xr:uid="{00000000-0005-0000-0000-000062220000}"/>
    <cellStyle name="20% - Accent5 8 4 2 2 2 2" xfId="16927" xr:uid="{00000000-0005-0000-0000-000063220000}"/>
    <cellStyle name="20% - Accent5 8 4 2 2 2 2 2" xfId="40770" xr:uid="{9F65D5E5-D18C-4AC4-A6FF-F3CE8A329A02}"/>
    <cellStyle name="20% - Accent5 8 4 2 2 2 3" xfId="24873" xr:uid="{00000000-0005-0000-0000-000064220000}"/>
    <cellStyle name="20% - Accent5 8 4 2 2 2 3 2" xfId="48706" xr:uid="{38AEE89D-3DC6-4CF1-8BFD-297373992D9A}"/>
    <cellStyle name="20% - Accent5 8 4 2 2 2 4" xfId="32829" xr:uid="{DFD4221E-0027-4134-9581-6664E88B9BCE}"/>
    <cellStyle name="20% - Accent5 8 4 2 2 3" xfId="13389" xr:uid="{00000000-0005-0000-0000-000065220000}"/>
    <cellStyle name="20% - Accent5 8 4 2 2 3 2" xfId="37239" xr:uid="{9EA936DC-2F70-44F2-80A7-1EE49EADA64D}"/>
    <cellStyle name="20% - Accent5 8 4 2 2 4" xfId="21344" xr:uid="{00000000-0005-0000-0000-000066220000}"/>
    <cellStyle name="20% - Accent5 8 4 2 2 4 2" xfId="45177" xr:uid="{E8614CA9-3F32-40C4-9BBD-31B7A4C4CA56}"/>
    <cellStyle name="20% - Accent5 8 4 2 2 5" xfId="29298" xr:uid="{59ED7A7C-6398-401C-A133-01B36F2A8EF8}"/>
    <cellStyle name="20% - Accent5 8 4 2 3" xfId="7197" xr:uid="{00000000-0005-0000-0000-000067220000}"/>
    <cellStyle name="20% - Accent5 8 4 2 3 2" xfId="15169" xr:uid="{00000000-0005-0000-0000-000068220000}"/>
    <cellStyle name="20% - Accent5 8 4 2 3 2 2" xfId="39012" xr:uid="{0B835287-CD27-454C-B27F-1C06D5EE795A}"/>
    <cellStyle name="20% - Accent5 8 4 2 3 3" xfId="23116" xr:uid="{00000000-0005-0000-0000-000069220000}"/>
    <cellStyle name="20% - Accent5 8 4 2 3 3 2" xfId="46949" xr:uid="{369DB548-5F7C-48D4-A268-9A450E40DC02}"/>
    <cellStyle name="20% - Accent5 8 4 2 3 4" xfId="31071" xr:uid="{980F2AFA-0195-4B0C-AA7E-70F1ECCF6B6A}"/>
    <cellStyle name="20% - Accent5 8 4 2 4" xfId="11633" xr:uid="{00000000-0005-0000-0000-00006A220000}"/>
    <cellStyle name="20% - Accent5 8 4 2 4 2" xfId="35483" xr:uid="{7D831F5B-3ED2-48F5-A0AE-3C938A70C01B}"/>
    <cellStyle name="20% - Accent5 8 4 2 5" xfId="19588" xr:uid="{00000000-0005-0000-0000-00006B220000}"/>
    <cellStyle name="20% - Accent5 8 4 2 5 2" xfId="43421" xr:uid="{894CB68E-1416-4A04-B13F-F04C856EAB30}"/>
    <cellStyle name="20% - Accent5 8 4 2 6" xfId="27541" xr:uid="{884199B6-DFF1-4B7E-BD16-3A02351CC67F}"/>
    <cellStyle name="20% - Accent5 8 4 2_Exh G" xfId="2549" xr:uid="{00000000-0005-0000-0000-00006C220000}"/>
    <cellStyle name="20% - Accent5 8 4 3" xfId="4486" xr:uid="{00000000-0005-0000-0000-00006D220000}"/>
    <cellStyle name="20% - Accent5 8 4 3 2" xfId="8078" xr:uid="{00000000-0005-0000-0000-00006E220000}"/>
    <cellStyle name="20% - Accent5 8 4 3 2 2" xfId="16049" xr:uid="{00000000-0005-0000-0000-00006F220000}"/>
    <cellStyle name="20% - Accent5 8 4 3 2 2 2" xfId="39892" xr:uid="{D5EA8939-CB40-4593-B66B-0F688C06D851}"/>
    <cellStyle name="20% - Accent5 8 4 3 2 3" xfId="23995" xr:uid="{00000000-0005-0000-0000-000070220000}"/>
    <cellStyle name="20% - Accent5 8 4 3 2 3 2" xfId="47828" xr:uid="{5C0018DC-0509-4CAE-B2D7-8B594020D257}"/>
    <cellStyle name="20% - Accent5 8 4 3 2 4" xfId="31951" xr:uid="{D6E3ACE9-F5FE-43C0-B3AA-147F6803C6BD}"/>
    <cellStyle name="20% - Accent5 8 4 3 3" xfId="12511" xr:uid="{00000000-0005-0000-0000-000071220000}"/>
    <cellStyle name="20% - Accent5 8 4 3 3 2" xfId="36361" xr:uid="{5DCE5E57-F9D1-453F-867F-F8041CBA67A7}"/>
    <cellStyle name="20% - Accent5 8 4 3 4" xfId="20466" xr:uid="{00000000-0005-0000-0000-000072220000}"/>
    <cellStyle name="20% - Accent5 8 4 3 4 2" xfId="44299" xr:uid="{BE128D19-21FE-43DC-B935-1BE959AC9F10}"/>
    <cellStyle name="20% - Accent5 8 4 3 5" xfId="28420" xr:uid="{4E232CD9-09D5-4854-8534-2A5B78A39F4D}"/>
    <cellStyle name="20% - Accent5 8 4 4" xfId="6316" xr:uid="{00000000-0005-0000-0000-000073220000}"/>
    <cellStyle name="20% - Accent5 8 4 4 2" xfId="14291" xr:uid="{00000000-0005-0000-0000-000074220000}"/>
    <cellStyle name="20% - Accent5 8 4 4 2 2" xfId="38134" xr:uid="{D3925FA9-4F35-4A7F-96A8-EF5BC75BAF7B}"/>
    <cellStyle name="20% - Accent5 8 4 4 3" xfId="22238" xr:uid="{00000000-0005-0000-0000-000075220000}"/>
    <cellStyle name="20% - Accent5 8 4 4 3 2" xfId="46071" xr:uid="{A8EEEB21-BD97-41B5-9E35-4091E0BF3DBB}"/>
    <cellStyle name="20% - Accent5 8 4 4 4" xfId="30193" xr:uid="{809B1A88-D331-403A-A414-9C4026AA6DBB}"/>
    <cellStyle name="20% - Accent5 8 4 5" xfId="9859" xr:uid="{00000000-0005-0000-0000-000076220000}"/>
    <cellStyle name="20% - Accent5 8 4 5 2" xfId="17817" xr:uid="{00000000-0005-0000-0000-000077220000}"/>
    <cellStyle name="20% - Accent5 8 4 5 2 2" xfId="41658" xr:uid="{8B754BCA-7B3A-4323-9600-B33C6EE5F447}"/>
    <cellStyle name="20% - Accent5 8 4 5 3" xfId="25761" xr:uid="{00000000-0005-0000-0000-000078220000}"/>
    <cellStyle name="20% - Accent5 8 4 5 3 2" xfId="49594" xr:uid="{69AB5C4B-020C-467F-B843-898A7F557D62}"/>
    <cellStyle name="20% - Accent5 8 4 5 4" xfId="33717" xr:uid="{AD47A51C-6174-4DB6-B482-11B06BEE99B1}"/>
    <cellStyle name="20% - Accent5 8 4 6" xfId="10755" xr:uid="{00000000-0005-0000-0000-000079220000}"/>
    <cellStyle name="20% - Accent5 8 4 6 2" xfId="34605" xr:uid="{097ACADD-ECC6-4644-843F-1E86C6EAF4E3}"/>
    <cellStyle name="20% - Accent5 8 4 7" xfId="18710" xr:uid="{00000000-0005-0000-0000-00007A220000}"/>
    <cellStyle name="20% - Accent5 8 4 7 2" xfId="42543" xr:uid="{EA720097-5159-4429-A67D-A85CCE23F089}"/>
    <cellStyle name="20% - Accent5 8 4 8" xfId="26663" xr:uid="{CC6DC358-5775-48B4-8A49-3D83BC4834D2}"/>
    <cellStyle name="20% - Accent5 8 4_Exh G" xfId="2548" xr:uid="{00000000-0005-0000-0000-00007B220000}"/>
    <cellStyle name="20% - Accent5 8 5" xfId="1300" xr:uid="{00000000-0005-0000-0000-00007C220000}"/>
    <cellStyle name="20% - Accent5 8 5 2" xfId="4830" xr:uid="{00000000-0005-0000-0000-00007D220000}"/>
    <cellStyle name="20% - Accent5 8 5 2 2" xfId="8421" xr:uid="{00000000-0005-0000-0000-00007E220000}"/>
    <cellStyle name="20% - Accent5 8 5 2 2 2" xfId="16392" xr:uid="{00000000-0005-0000-0000-00007F220000}"/>
    <cellStyle name="20% - Accent5 8 5 2 2 2 2" xfId="40235" xr:uid="{3A0ACE9F-CA5A-4793-9E43-B3EC7928CA01}"/>
    <cellStyle name="20% - Accent5 8 5 2 2 3" xfId="24338" xr:uid="{00000000-0005-0000-0000-000080220000}"/>
    <cellStyle name="20% - Accent5 8 5 2 2 3 2" xfId="48171" xr:uid="{1D914BA4-A6C8-4481-BB54-6FD6D05A7F9E}"/>
    <cellStyle name="20% - Accent5 8 5 2 2 4" xfId="32294" xr:uid="{AD4A05BA-6AE2-40D1-B11E-F7FD5CCAA3CF}"/>
    <cellStyle name="20% - Accent5 8 5 2 3" xfId="12854" xr:uid="{00000000-0005-0000-0000-000081220000}"/>
    <cellStyle name="20% - Accent5 8 5 2 3 2" xfId="36704" xr:uid="{3908EAC3-07A2-4E94-9B5C-CFCFB8523DB6}"/>
    <cellStyle name="20% - Accent5 8 5 2 4" xfId="20809" xr:uid="{00000000-0005-0000-0000-000082220000}"/>
    <cellStyle name="20% - Accent5 8 5 2 4 2" xfId="44642" xr:uid="{511F3EC0-C12A-42E3-A6F6-F1424BA38348}"/>
    <cellStyle name="20% - Accent5 8 5 2 5" xfId="28763" xr:uid="{1A17CA89-6109-488E-BF20-6EBCC157813A}"/>
    <cellStyle name="20% - Accent5 8 5 3" xfId="6662" xr:uid="{00000000-0005-0000-0000-000083220000}"/>
    <cellStyle name="20% - Accent5 8 5 3 2" xfId="14634" xr:uid="{00000000-0005-0000-0000-000084220000}"/>
    <cellStyle name="20% - Accent5 8 5 3 2 2" xfId="38477" xr:uid="{A99A7B5C-48D5-4454-A842-E856DEFE2455}"/>
    <cellStyle name="20% - Accent5 8 5 3 3" xfId="22581" xr:uid="{00000000-0005-0000-0000-000085220000}"/>
    <cellStyle name="20% - Accent5 8 5 3 3 2" xfId="46414" xr:uid="{D506478A-9F75-4FA0-92E6-2EF81153728F}"/>
    <cellStyle name="20% - Accent5 8 5 3 4" xfId="30536" xr:uid="{43A92EA4-1697-4DA3-99DD-F677E2EB16BB}"/>
    <cellStyle name="20% - Accent5 8 5 4" xfId="11098" xr:uid="{00000000-0005-0000-0000-000086220000}"/>
    <cellStyle name="20% - Accent5 8 5 4 2" xfId="34948" xr:uid="{6A356AAA-8725-41CD-9E22-A8E680CA4C0B}"/>
    <cellStyle name="20% - Accent5 8 5 5" xfId="19053" xr:uid="{00000000-0005-0000-0000-000087220000}"/>
    <cellStyle name="20% - Accent5 8 5 5 2" xfId="42886" xr:uid="{37EED30A-C6EB-4D5F-9B76-4C79714B5D7A}"/>
    <cellStyle name="20% - Accent5 8 5 6" xfId="27006" xr:uid="{5850F554-95CC-4FDA-93CB-7A79F150AE70}"/>
    <cellStyle name="20% - Accent5 8 5_Exh G" xfId="2550" xr:uid="{00000000-0005-0000-0000-000088220000}"/>
    <cellStyle name="20% - Accent5 8 6" xfId="3951" xr:uid="{00000000-0005-0000-0000-000089220000}"/>
    <cellStyle name="20% - Accent5 8 6 2" xfId="7543" xr:uid="{00000000-0005-0000-0000-00008A220000}"/>
    <cellStyle name="20% - Accent5 8 6 2 2" xfId="15514" xr:uid="{00000000-0005-0000-0000-00008B220000}"/>
    <cellStyle name="20% - Accent5 8 6 2 2 2" xfId="39357" xr:uid="{23316631-FE71-42F7-9E7F-F7B580304442}"/>
    <cellStyle name="20% - Accent5 8 6 2 3" xfId="23460" xr:uid="{00000000-0005-0000-0000-00008C220000}"/>
    <cellStyle name="20% - Accent5 8 6 2 3 2" xfId="47293" xr:uid="{3CA10832-B27E-40A7-BE6B-E71F216F7B21}"/>
    <cellStyle name="20% - Accent5 8 6 2 4" xfId="31416" xr:uid="{CC361ED6-A53B-404C-BA45-1B0ACE7B9920}"/>
    <cellStyle name="20% - Accent5 8 6 3" xfId="11976" xr:uid="{00000000-0005-0000-0000-00008D220000}"/>
    <cellStyle name="20% - Accent5 8 6 3 2" xfId="35826" xr:uid="{10B212CB-8456-47C7-9682-3A8BACC607C2}"/>
    <cellStyle name="20% - Accent5 8 6 4" xfId="19931" xr:uid="{00000000-0005-0000-0000-00008E220000}"/>
    <cellStyle name="20% - Accent5 8 6 4 2" xfId="43764" xr:uid="{A8F9AEC2-DB34-48FD-B708-8D9960C7A3FC}"/>
    <cellStyle name="20% - Accent5 8 6 5" xfId="27885" xr:uid="{960EA93A-150E-4DFE-9D0D-8DDC9952BFDE}"/>
    <cellStyle name="20% - Accent5 8 7" xfId="5771" xr:uid="{00000000-0005-0000-0000-00008F220000}"/>
    <cellStyle name="20% - Accent5 8 7 2" xfId="13755" xr:uid="{00000000-0005-0000-0000-000090220000}"/>
    <cellStyle name="20% - Accent5 8 7 2 2" xfId="37599" xr:uid="{30738EAD-99C7-4DBB-9298-879F73594F69}"/>
    <cellStyle name="20% - Accent5 8 7 3" xfId="21703" xr:uid="{00000000-0005-0000-0000-000091220000}"/>
    <cellStyle name="20% - Accent5 8 7 3 2" xfId="45536" xr:uid="{FE0947BE-11CC-4A1C-9424-31745C08B914}"/>
    <cellStyle name="20% - Accent5 8 7 4" xfId="29658" xr:uid="{AADA467A-241D-41E7-8395-7659B15473D1}"/>
    <cellStyle name="20% - Accent5 8 8" xfId="9324" xr:uid="{00000000-0005-0000-0000-000092220000}"/>
    <cellStyle name="20% - Accent5 8 8 2" xfId="17282" xr:uid="{00000000-0005-0000-0000-000093220000}"/>
    <cellStyle name="20% - Accent5 8 8 2 2" xfId="41123" xr:uid="{40C9C35C-5E6D-41F1-B71B-B02B9C608886}"/>
    <cellStyle name="20% - Accent5 8 8 3" xfId="25226" xr:uid="{00000000-0005-0000-0000-000094220000}"/>
    <cellStyle name="20% - Accent5 8 8 3 2" xfId="49059" xr:uid="{83AB1AAF-94DB-4C73-AA1C-2A3A842ECBD0}"/>
    <cellStyle name="20% - Accent5 8 8 4" xfId="33182" xr:uid="{4C275948-2577-4281-9B00-FE17879DDD70}"/>
    <cellStyle name="20% - Accent5 8 9" xfId="10220" xr:uid="{00000000-0005-0000-0000-000095220000}"/>
    <cellStyle name="20% - Accent5 8 9 2" xfId="34070" xr:uid="{DB417B7F-4783-49A9-B0E1-0E81F402BC24}"/>
    <cellStyle name="20% - Accent5 8_Exh G" xfId="2541" xr:uid="{00000000-0005-0000-0000-000096220000}"/>
    <cellStyle name="20% - Accent5 9" xfId="276" xr:uid="{00000000-0005-0000-0000-000097220000}"/>
    <cellStyle name="20% - Accent5 9 10" xfId="18179" xr:uid="{00000000-0005-0000-0000-000098220000}"/>
    <cellStyle name="20% - Accent5 9 10 2" xfId="42012" xr:uid="{98FBA05F-B290-4A3B-A798-491955AFDAE3}"/>
    <cellStyle name="20% - Accent5 9 11" xfId="26132" xr:uid="{9AC2321D-1879-4258-B3A5-65BBAAFE7DE8}"/>
    <cellStyle name="20% - Accent5 9 2" xfId="277" xr:uid="{00000000-0005-0000-0000-000099220000}"/>
    <cellStyle name="20% - Accent5 9 2 2" xfId="278" xr:uid="{00000000-0005-0000-0000-00009A220000}"/>
    <cellStyle name="20% - Accent5 9 2 2 2" xfId="1306" xr:uid="{00000000-0005-0000-0000-00009B220000}"/>
    <cellStyle name="20% - Accent5 9 2 2 2 2" xfId="4836" xr:uid="{00000000-0005-0000-0000-00009C220000}"/>
    <cellStyle name="20% - Accent5 9 2 2 2 2 2" xfId="8427" xr:uid="{00000000-0005-0000-0000-00009D220000}"/>
    <cellStyle name="20% - Accent5 9 2 2 2 2 2 2" xfId="16398" xr:uid="{00000000-0005-0000-0000-00009E220000}"/>
    <cellStyle name="20% - Accent5 9 2 2 2 2 2 2 2" xfId="40241" xr:uid="{2307BFFD-D258-4A87-82C5-7E1D293627E9}"/>
    <cellStyle name="20% - Accent5 9 2 2 2 2 2 3" xfId="24344" xr:uid="{00000000-0005-0000-0000-00009F220000}"/>
    <cellStyle name="20% - Accent5 9 2 2 2 2 2 3 2" xfId="48177" xr:uid="{17B0FDDE-6377-4938-9A1E-702111EE094D}"/>
    <cellStyle name="20% - Accent5 9 2 2 2 2 2 4" xfId="32300" xr:uid="{8DB9EB2F-8A89-418F-99C1-A66555B99468}"/>
    <cellStyle name="20% - Accent5 9 2 2 2 2 3" xfId="12860" xr:uid="{00000000-0005-0000-0000-0000A0220000}"/>
    <cellStyle name="20% - Accent5 9 2 2 2 2 3 2" xfId="36710" xr:uid="{2A2C4E47-1D1E-472C-88E0-D21036D565E9}"/>
    <cellStyle name="20% - Accent5 9 2 2 2 2 4" xfId="20815" xr:uid="{00000000-0005-0000-0000-0000A1220000}"/>
    <cellStyle name="20% - Accent5 9 2 2 2 2 4 2" xfId="44648" xr:uid="{7C8BA33E-0C6A-4A6A-8E59-2A713C2B82A8}"/>
    <cellStyle name="20% - Accent5 9 2 2 2 2 5" xfId="28769" xr:uid="{BD858F86-C536-4234-8841-FA3DD0A5994E}"/>
    <cellStyle name="20% - Accent5 9 2 2 2 3" xfId="6668" xr:uid="{00000000-0005-0000-0000-0000A2220000}"/>
    <cellStyle name="20% - Accent5 9 2 2 2 3 2" xfId="14640" xr:uid="{00000000-0005-0000-0000-0000A3220000}"/>
    <cellStyle name="20% - Accent5 9 2 2 2 3 2 2" xfId="38483" xr:uid="{D74CEBBD-423C-4C29-8020-FE7EB55849C1}"/>
    <cellStyle name="20% - Accent5 9 2 2 2 3 3" xfId="22587" xr:uid="{00000000-0005-0000-0000-0000A4220000}"/>
    <cellStyle name="20% - Accent5 9 2 2 2 3 3 2" xfId="46420" xr:uid="{F10A96BB-256C-4903-A85D-F6678C7EA04D}"/>
    <cellStyle name="20% - Accent5 9 2 2 2 3 4" xfId="30542" xr:uid="{2E264A4D-4D90-463B-AAA1-CC428DC962B8}"/>
    <cellStyle name="20% - Accent5 9 2 2 2 4" xfId="11104" xr:uid="{00000000-0005-0000-0000-0000A5220000}"/>
    <cellStyle name="20% - Accent5 9 2 2 2 4 2" xfId="34954" xr:uid="{CB485CCE-6B2F-4AEC-9EDA-CA0B3BD4CDA6}"/>
    <cellStyle name="20% - Accent5 9 2 2 2 5" xfId="19059" xr:uid="{00000000-0005-0000-0000-0000A6220000}"/>
    <cellStyle name="20% - Accent5 9 2 2 2 5 2" xfId="42892" xr:uid="{45967D9A-1045-4F2A-99EB-1C89D704912A}"/>
    <cellStyle name="20% - Accent5 9 2 2 2 6" xfId="27012" xr:uid="{D4429CB0-5CEF-4FA2-BC16-FB1E6ED14673}"/>
    <cellStyle name="20% - Accent5 9 2 2 2_Exh G" xfId="2554" xr:uid="{00000000-0005-0000-0000-0000A7220000}"/>
    <cellStyle name="20% - Accent5 9 2 2 3" xfId="3957" xr:uid="{00000000-0005-0000-0000-0000A8220000}"/>
    <cellStyle name="20% - Accent5 9 2 2 3 2" xfId="7549" xr:uid="{00000000-0005-0000-0000-0000A9220000}"/>
    <cellStyle name="20% - Accent5 9 2 2 3 2 2" xfId="15520" xr:uid="{00000000-0005-0000-0000-0000AA220000}"/>
    <cellStyle name="20% - Accent5 9 2 2 3 2 2 2" xfId="39363" xr:uid="{010A7E68-0684-4875-8107-A32150A0F693}"/>
    <cellStyle name="20% - Accent5 9 2 2 3 2 3" xfId="23466" xr:uid="{00000000-0005-0000-0000-0000AB220000}"/>
    <cellStyle name="20% - Accent5 9 2 2 3 2 3 2" xfId="47299" xr:uid="{30906A37-73CF-495C-8134-07AF56815584}"/>
    <cellStyle name="20% - Accent5 9 2 2 3 2 4" xfId="31422" xr:uid="{53355D2B-86F3-4896-AF3A-686752B8570F}"/>
    <cellStyle name="20% - Accent5 9 2 2 3 3" xfId="11982" xr:uid="{00000000-0005-0000-0000-0000AC220000}"/>
    <cellStyle name="20% - Accent5 9 2 2 3 3 2" xfId="35832" xr:uid="{705C193B-478B-4DB4-82B0-D1C4FA369E25}"/>
    <cellStyle name="20% - Accent5 9 2 2 3 4" xfId="19937" xr:uid="{00000000-0005-0000-0000-0000AD220000}"/>
    <cellStyle name="20% - Accent5 9 2 2 3 4 2" xfId="43770" xr:uid="{08EAED64-70BD-4E95-8A51-2AED633C0705}"/>
    <cellStyle name="20% - Accent5 9 2 2 3 5" xfId="27891" xr:uid="{D392E094-3EBD-49B5-A9B5-A1B46357C290}"/>
    <cellStyle name="20% - Accent5 9 2 2 4" xfId="5777" xr:uid="{00000000-0005-0000-0000-0000AE220000}"/>
    <cellStyle name="20% - Accent5 9 2 2 4 2" xfId="13761" xr:uid="{00000000-0005-0000-0000-0000AF220000}"/>
    <cellStyle name="20% - Accent5 9 2 2 4 2 2" xfId="37605" xr:uid="{7E268909-2333-4A90-955A-E7F73D23775D}"/>
    <cellStyle name="20% - Accent5 9 2 2 4 3" xfId="21709" xr:uid="{00000000-0005-0000-0000-0000B0220000}"/>
    <cellStyle name="20% - Accent5 9 2 2 4 3 2" xfId="45542" xr:uid="{F337D1C5-541E-4198-A14E-5E7A4A1E5D18}"/>
    <cellStyle name="20% - Accent5 9 2 2 4 4" xfId="29664" xr:uid="{DD5AB24A-B0AA-45AC-9218-0370B73C1711}"/>
    <cellStyle name="20% - Accent5 9 2 2 5" xfId="9330" xr:uid="{00000000-0005-0000-0000-0000B1220000}"/>
    <cellStyle name="20% - Accent5 9 2 2 5 2" xfId="17288" xr:uid="{00000000-0005-0000-0000-0000B2220000}"/>
    <cellStyle name="20% - Accent5 9 2 2 5 2 2" xfId="41129" xr:uid="{1B379ADC-E77D-4E0A-884C-705EF75E1202}"/>
    <cellStyle name="20% - Accent5 9 2 2 5 3" xfId="25232" xr:uid="{00000000-0005-0000-0000-0000B3220000}"/>
    <cellStyle name="20% - Accent5 9 2 2 5 3 2" xfId="49065" xr:uid="{77A7538D-94A6-41AB-94DD-DB32D02CAFD8}"/>
    <cellStyle name="20% - Accent5 9 2 2 5 4" xfId="33188" xr:uid="{AE8AB90C-A9A5-47DB-9342-9AD2434D1E92}"/>
    <cellStyle name="20% - Accent5 9 2 2 6" xfId="10226" xr:uid="{00000000-0005-0000-0000-0000B4220000}"/>
    <cellStyle name="20% - Accent5 9 2 2 6 2" xfId="34076" xr:uid="{980C365F-BCDD-4D18-B0F7-C14F7702FD64}"/>
    <cellStyle name="20% - Accent5 9 2 2 7" xfId="18181" xr:uid="{00000000-0005-0000-0000-0000B5220000}"/>
    <cellStyle name="20% - Accent5 9 2 2 7 2" xfId="42014" xr:uid="{B9841ED5-E9DA-4188-AD0C-EA99961F4479}"/>
    <cellStyle name="20% - Accent5 9 2 2 8" xfId="26134" xr:uid="{69224C78-5275-4A8E-BE23-878FF853C8DF}"/>
    <cellStyle name="20% - Accent5 9 2 2_Exh G" xfId="2553" xr:uid="{00000000-0005-0000-0000-0000B6220000}"/>
    <cellStyle name="20% - Accent5 9 2 3" xfId="1305" xr:uid="{00000000-0005-0000-0000-0000B7220000}"/>
    <cellStyle name="20% - Accent5 9 2 3 2" xfId="4835" xr:uid="{00000000-0005-0000-0000-0000B8220000}"/>
    <cellStyle name="20% - Accent5 9 2 3 2 2" xfId="8426" xr:uid="{00000000-0005-0000-0000-0000B9220000}"/>
    <cellStyle name="20% - Accent5 9 2 3 2 2 2" xfId="16397" xr:uid="{00000000-0005-0000-0000-0000BA220000}"/>
    <cellStyle name="20% - Accent5 9 2 3 2 2 2 2" xfId="40240" xr:uid="{16934F37-5A3F-4965-AA09-8AAC48E6721D}"/>
    <cellStyle name="20% - Accent5 9 2 3 2 2 3" xfId="24343" xr:uid="{00000000-0005-0000-0000-0000BB220000}"/>
    <cellStyle name="20% - Accent5 9 2 3 2 2 3 2" xfId="48176" xr:uid="{7FC19EE1-B367-4C30-B00A-BEFD64B65D0D}"/>
    <cellStyle name="20% - Accent5 9 2 3 2 2 4" xfId="32299" xr:uid="{2A984F25-2FBC-4B08-8914-A3B1F973BDA6}"/>
    <cellStyle name="20% - Accent5 9 2 3 2 3" xfId="12859" xr:uid="{00000000-0005-0000-0000-0000BC220000}"/>
    <cellStyle name="20% - Accent5 9 2 3 2 3 2" xfId="36709" xr:uid="{2BFBD82C-0C08-433B-9291-BA2E71FD0ADB}"/>
    <cellStyle name="20% - Accent5 9 2 3 2 4" xfId="20814" xr:uid="{00000000-0005-0000-0000-0000BD220000}"/>
    <cellStyle name="20% - Accent5 9 2 3 2 4 2" xfId="44647" xr:uid="{7A5509F6-9B08-49BA-8940-4AA7024AA427}"/>
    <cellStyle name="20% - Accent5 9 2 3 2 5" xfId="28768" xr:uid="{81D33AD7-9296-4C44-965E-61A366E67890}"/>
    <cellStyle name="20% - Accent5 9 2 3 3" xfId="6667" xr:uid="{00000000-0005-0000-0000-0000BE220000}"/>
    <cellStyle name="20% - Accent5 9 2 3 3 2" xfId="14639" xr:uid="{00000000-0005-0000-0000-0000BF220000}"/>
    <cellStyle name="20% - Accent5 9 2 3 3 2 2" xfId="38482" xr:uid="{C9CFAD95-773A-462E-BB60-E5CE3B7C6740}"/>
    <cellStyle name="20% - Accent5 9 2 3 3 3" xfId="22586" xr:uid="{00000000-0005-0000-0000-0000C0220000}"/>
    <cellStyle name="20% - Accent5 9 2 3 3 3 2" xfId="46419" xr:uid="{0471CF12-B439-4C6F-A927-93D62A510AD5}"/>
    <cellStyle name="20% - Accent5 9 2 3 3 4" xfId="30541" xr:uid="{6E4AC495-11B0-48DD-88C5-BCC7FC9B9C53}"/>
    <cellStyle name="20% - Accent5 9 2 3 4" xfId="11103" xr:uid="{00000000-0005-0000-0000-0000C1220000}"/>
    <cellStyle name="20% - Accent5 9 2 3 4 2" xfId="34953" xr:uid="{2846CC58-4E62-4DBF-923A-70F185983C89}"/>
    <cellStyle name="20% - Accent5 9 2 3 5" xfId="19058" xr:uid="{00000000-0005-0000-0000-0000C2220000}"/>
    <cellStyle name="20% - Accent5 9 2 3 5 2" xfId="42891" xr:uid="{D83B3AAC-C324-46AD-ABDE-FD7FE51E12F2}"/>
    <cellStyle name="20% - Accent5 9 2 3 6" xfId="27011" xr:uid="{BD2DAA01-A682-424B-8754-F39EB92D701A}"/>
    <cellStyle name="20% - Accent5 9 2 3_Exh G" xfId="2555" xr:uid="{00000000-0005-0000-0000-0000C3220000}"/>
    <cellStyle name="20% - Accent5 9 2 4" xfId="3956" xr:uid="{00000000-0005-0000-0000-0000C4220000}"/>
    <cellStyle name="20% - Accent5 9 2 4 2" xfId="7548" xr:uid="{00000000-0005-0000-0000-0000C5220000}"/>
    <cellStyle name="20% - Accent5 9 2 4 2 2" xfId="15519" xr:uid="{00000000-0005-0000-0000-0000C6220000}"/>
    <cellStyle name="20% - Accent5 9 2 4 2 2 2" xfId="39362" xr:uid="{63DD07CF-4615-4731-947B-9838F452AC33}"/>
    <cellStyle name="20% - Accent5 9 2 4 2 3" xfId="23465" xr:uid="{00000000-0005-0000-0000-0000C7220000}"/>
    <cellStyle name="20% - Accent5 9 2 4 2 3 2" xfId="47298" xr:uid="{DF7B2AF0-254B-4A7A-A641-6092238F16AA}"/>
    <cellStyle name="20% - Accent5 9 2 4 2 4" xfId="31421" xr:uid="{907162BD-EC95-429B-927D-154D988D28A9}"/>
    <cellStyle name="20% - Accent5 9 2 4 3" xfId="11981" xr:uid="{00000000-0005-0000-0000-0000C8220000}"/>
    <cellStyle name="20% - Accent5 9 2 4 3 2" xfId="35831" xr:uid="{0AD652A1-EE9E-47DA-A43E-F6B525ED700E}"/>
    <cellStyle name="20% - Accent5 9 2 4 4" xfId="19936" xr:uid="{00000000-0005-0000-0000-0000C9220000}"/>
    <cellStyle name="20% - Accent5 9 2 4 4 2" xfId="43769" xr:uid="{A050FAC5-A535-436B-A209-5A7CBDEB2829}"/>
    <cellStyle name="20% - Accent5 9 2 4 5" xfId="27890" xr:uid="{178A3946-0CD9-41D2-8F0C-1D594F818991}"/>
    <cellStyle name="20% - Accent5 9 2 5" xfId="5776" xr:uid="{00000000-0005-0000-0000-0000CA220000}"/>
    <cellStyle name="20% - Accent5 9 2 5 2" xfId="13760" xr:uid="{00000000-0005-0000-0000-0000CB220000}"/>
    <cellStyle name="20% - Accent5 9 2 5 2 2" xfId="37604" xr:uid="{25A9C7EC-CA85-49B6-8082-2E4E11D48AF8}"/>
    <cellStyle name="20% - Accent5 9 2 5 3" xfId="21708" xr:uid="{00000000-0005-0000-0000-0000CC220000}"/>
    <cellStyle name="20% - Accent5 9 2 5 3 2" xfId="45541" xr:uid="{ADB3C452-529F-42DA-B7EE-C1BA2C088703}"/>
    <cellStyle name="20% - Accent5 9 2 5 4" xfId="29663" xr:uid="{197354D8-2F06-4C61-A809-AF7EC48606EB}"/>
    <cellStyle name="20% - Accent5 9 2 6" xfId="9329" xr:uid="{00000000-0005-0000-0000-0000CD220000}"/>
    <cellStyle name="20% - Accent5 9 2 6 2" xfId="17287" xr:uid="{00000000-0005-0000-0000-0000CE220000}"/>
    <cellStyle name="20% - Accent5 9 2 6 2 2" xfId="41128" xr:uid="{3C19BD57-C468-442D-9568-B23B0D7136EB}"/>
    <cellStyle name="20% - Accent5 9 2 6 3" xfId="25231" xr:uid="{00000000-0005-0000-0000-0000CF220000}"/>
    <cellStyle name="20% - Accent5 9 2 6 3 2" xfId="49064" xr:uid="{25EC6E05-B85C-47A5-8CC4-121BF018242E}"/>
    <cellStyle name="20% - Accent5 9 2 6 4" xfId="33187" xr:uid="{A08EA3CF-D889-4981-AA55-48B2A522C315}"/>
    <cellStyle name="20% - Accent5 9 2 7" xfId="10225" xr:uid="{00000000-0005-0000-0000-0000D0220000}"/>
    <cellStyle name="20% - Accent5 9 2 7 2" xfId="34075" xr:uid="{EF7C2667-9176-4690-A391-CDCF59F5D296}"/>
    <cellStyle name="20% - Accent5 9 2 8" xfId="18180" xr:uid="{00000000-0005-0000-0000-0000D1220000}"/>
    <cellStyle name="20% - Accent5 9 2 8 2" xfId="42013" xr:uid="{D018ABC1-522B-4D65-B0F1-44AE98C23241}"/>
    <cellStyle name="20% - Accent5 9 2 9" xfId="26133" xr:uid="{D5DE4921-76C3-45C0-9489-9E3DF48AB553}"/>
    <cellStyle name="20% - Accent5 9 2_Exh G" xfId="2552" xr:uid="{00000000-0005-0000-0000-0000D2220000}"/>
    <cellStyle name="20% - Accent5 9 3" xfId="279" xr:uid="{00000000-0005-0000-0000-0000D3220000}"/>
    <cellStyle name="20% - Accent5 9 3 2" xfId="1307" xr:uid="{00000000-0005-0000-0000-0000D4220000}"/>
    <cellStyle name="20% - Accent5 9 3 2 2" xfId="4837" xr:uid="{00000000-0005-0000-0000-0000D5220000}"/>
    <cellStyle name="20% - Accent5 9 3 2 2 2" xfId="8428" xr:uid="{00000000-0005-0000-0000-0000D6220000}"/>
    <cellStyle name="20% - Accent5 9 3 2 2 2 2" xfId="16399" xr:uid="{00000000-0005-0000-0000-0000D7220000}"/>
    <cellStyle name="20% - Accent5 9 3 2 2 2 2 2" xfId="40242" xr:uid="{0E68C135-C4A0-4A2A-A30E-92377A712D1C}"/>
    <cellStyle name="20% - Accent5 9 3 2 2 2 3" xfId="24345" xr:uid="{00000000-0005-0000-0000-0000D8220000}"/>
    <cellStyle name="20% - Accent5 9 3 2 2 2 3 2" xfId="48178" xr:uid="{C0C68FEE-747B-4DC6-A7E3-990EA20E5ACB}"/>
    <cellStyle name="20% - Accent5 9 3 2 2 2 4" xfId="32301" xr:uid="{CC81962B-C6C6-4883-8538-C57B4613C362}"/>
    <cellStyle name="20% - Accent5 9 3 2 2 3" xfId="12861" xr:uid="{00000000-0005-0000-0000-0000D9220000}"/>
    <cellStyle name="20% - Accent5 9 3 2 2 3 2" xfId="36711" xr:uid="{26E998CE-F70F-4C8D-A9EA-087AFAC3C347}"/>
    <cellStyle name="20% - Accent5 9 3 2 2 4" xfId="20816" xr:uid="{00000000-0005-0000-0000-0000DA220000}"/>
    <cellStyle name="20% - Accent5 9 3 2 2 4 2" xfId="44649" xr:uid="{9D447A08-0CC8-4279-BF76-A099CF1CEE7F}"/>
    <cellStyle name="20% - Accent5 9 3 2 2 5" xfId="28770" xr:uid="{32DC1524-ED6A-4F8E-960B-F08719D4ACC4}"/>
    <cellStyle name="20% - Accent5 9 3 2 3" xfId="6669" xr:uid="{00000000-0005-0000-0000-0000DB220000}"/>
    <cellStyle name="20% - Accent5 9 3 2 3 2" xfId="14641" xr:uid="{00000000-0005-0000-0000-0000DC220000}"/>
    <cellStyle name="20% - Accent5 9 3 2 3 2 2" xfId="38484" xr:uid="{A95E24A4-BE86-4F0A-A163-A3DCED01656F}"/>
    <cellStyle name="20% - Accent5 9 3 2 3 3" xfId="22588" xr:uid="{00000000-0005-0000-0000-0000DD220000}"/>
    <cellStyle name="20% - Accent5 9 3 2 3 3 2" xfId="46421" xr:uid="{C066E0F6-6C3F-4EFA-AE65-8530A8759320}"/>
    <cellStyle name="20% - Accent5 9 3 2 3 4" xfId="30543" xr:uid="{AFDB811E-A11C-400D-B726-8CDDFC4721FB}"/>
    <cellStyle name="20% - Accent5 9 3 2 4" xfId="11105" xr:uid="{00000000-0005-0000-0000-0000DE220000}"/>
    <cellStyle name="20% - Accent5 9 3 2 4 2" xfId="34955" xr:uid="{76E2C77B-7878-4F6E-82BD-F502C53B930A}"/>
    <cellStyle name="20% - Accent5 9 3 2 5" xfId="19060" xr:uid="{00000000-0005-0000-0000-0000DF220000}"/>
    <cellStyle name="20% - Accent5 9 3 2 5 2" xfId="42893" xr:uid="{A8757FA2-C7EB-433C-A346-2020CA36C661}"/>
    <cellStyle name="20% - Accent5 9 3 2 6" xfId="27013" xr:uid="{DE04C215-5A6C-47D3-B21F-CAF409D21A3E}"/>
    <cellStyle name="20% - Accent5 9 3 2_Exh G" xfId="2557" xr:uid="{00000000-0005-0000-0000-0000E0220000}"/>
    <cellStyle name="20% - Accent5 9 3 3" xfId="3958" xr:uid="{00000000-0005-0000-0000-0000E1220000}"/>
    <cellStyle name="20% - Accent5 9 3 3 2" xfId="7550" xr:uid="{00000000-0005-0000-0000-0000E2220000}"/>
    <cellStyle name="20% - Accent5 9 3 3 2 2" xfId="15521" xr:uid="{00000000-0005-0000-0000-0000E3220000}"/>
    <cellStyle name="20% - Accent5 9 3 3 2 2 2" xfId="39364" xr:uid="{5AF12A76-A8E2-42EB-91ED-014AF53A673A}"/>
    <cellStyle name="20% - Accent5 9 3 3 2 3" xfId="23467" xr:uid="{00000000-0005-0000-0000-0000E4220000}"/>
    <cellStyle name="20% - Accent5 9 3 3 2 3 2" xfId="47300" xr:uid="{28A44C97-AA36-4C32-9B4E-17E2F694EE94}"/>
    <cellStyle name="20% - Accent5 9 3 3 2 4" xfId="31423" xr:uid="{280F9DDC-8EA9-44A0-9B37-104F7AA2D757}"/>
    <cellStyle name="20% - Accent5 9 3 3 3" xfId="11983" xr:uid="{00000000-0005-0000-0000-0000E5220000}"/>
    <cellStyle name="20% - Accent5 9 3 3 3 2" xfId="35833" xr:uid="{38BD2511-2CE6-44F5-B502-0DBE6BB337CD}"/>
    <cellStyle name="20% - Accent5 9 3 3 4" xfId="19938" xr:uid="{00000000-0005-0000-0000-0000E6220000}"/>
    <cellStyle name="20% - Accent5 9 3 3 4 2" xfId="43771" xr:uid="{5B1309FA-7938-4906-B865-E90AF2FA3DF8}"/>
    <cellStyle name="20% - Accent5 9 3 3 5" xfId="27892" xr:uid="{21228421-4C61-4358-A456-620E1DEB77C4}"/>
    <cellStyle name="20% - Accent5 9 3 4" xfId="5778" xr:uid="{00000000-0005-0000-0000-0000E7220000}"/>
    <cellStyle name="20% - Accent5 9 3 4 2" xfId="13762" xr:uid="{00000000-0005-0000-0000-0000E8220000}"/>
    <cellStyle name="20% - Accent5 9 3 4 2 2" xfId="37606" xr:uid="{D000D49A-9774-463B-AE3F-DB711E3FF2A0}"/>
    <cellStyle name="20% - Accent5 9 3 4 3" xfId="21710" xr:uid="{00000000-0005-0000-0000-0000E9220000}"/>
    <cellStyle name="20% - Accent5 9 3 4 3 2" xfId="45543" xr:uid="{0A10D04B-6EAE-463C-BBF0-00C84CE7E801}"/>
    <cellStyle name="20% - Accent5 9 3 4 4" xfId="29665" xr:uid="{44B2376A-6C9F-445F-8A5A-68E3005BEEFB}"/>
    <cellStyle name="20% - Accent5 9 3 5" xfId="9331" xr:uid="{00000000-0005-0000-0000-0000EA220000}"/>
    <cellStyle name="20% - Accent5 9 3 5 2" xfId="17289" xr:uid="{00000000-0005-0000-0000-0000EB220000}"/>
    <cellStyle name="20% - Accent5 9 3 5 2 2" xfId="41130" xr:uid="{DE5D69EF-3A98-4C27-8D33-8C6D8AF897D1}"/>
    <cellStyle name="20% - Accent5 9 3 5 3" xfId="25233" xr:uid="{00000000-0005-0000-0000-0000EC220000}"/>
    <cellStyle name="20% - Accent5 9 3 5 3 2" xfId="49066" xr:uid="{F5E7A6E4-45E8-4B1B-99F4-08DB9A51EBC0}"/>
    <cellStyle name="20% - Accent5 9 3 5 4" xfId="33189" xr:uid="{D04872BA-A0C8-4F0F-8F34-4AE4F132C431}"/>
    <cellStyle name="20% - Accent5 9 3 6" xfId="10227" xr:uid="{00000000-0005-0000-0000-0000ED220000}"/>
    <cellStyle name="20% - Accent5 9 3 6 2" xfId="34077" xr:uid="{99E7509B-349E-43E7-A638-2389BF35A9CE}"/>
    <cellStyle name="20% - Accent5 9 3 7" xfId="18182" xr:uid="{00000000-0005-0000-0000-0000EE220000}"/>
    <cellStyle name="20% - Accent5 9 3 7 2" xfId="42015" xr:uid="{04ACC226-9D6E-4DED-B0E9-C817705214AC}"/>
    <cellStyle name="20% - Accent5 9 3 8" xfId="26135" xr:uid="{4F49805A-A0AD-4F1F-8C5E-668BF7B745A9}"/>
    <cellStyle name="20% - Accent5 9 3_Exh G" xfId="2556" xr:uid="{00000000-0005-0000-0000-0000EF220000}"/>
    <cellStyle name="20% - Accent5 9 4" xfId="921" xr:uid="{00000000-0005-0000-0000-0000F0220000}"/>
    <cellStyle name="20% - Accent5 9 4 2" xfId="1848" xr:uid="{00000000-0005-0000-0000-0000F1220000}"/>
    <cellStyle name="20% - Accent5 9 4 2 2" xfId="5366" xr:uid="{00000000-0005-0000-0000-0000F2220000}"/>
    <cellStyle name="20% - Accent5 9 4 2 2 2" xfId="8957" xr:uid="{00000000-0005-0000-0000-0000F3220000}"/>
    <cellStyle name="20% - Accent5 9 4 2 2 2 2" xfId="16928" xr:uid="{00000000-0005-0000-0000-0000F4220000}"/>
    <cellStyle name="20% - Accent5 9 4 2 2 2 2 2" xfId="40771" xr:uid="{C7478482-B21A-4FB7-82E7-0DE45ED4102E}"/>
    <cellStyle name="20% - Accent5 9 4 2 2 2 3" xfId="24874" xr:uid="{00000000-0005-0000-0000-0000F5220000}"/>
    <cellStyle name="20% - Accent5 9 4 2 2 2 3 2" xfId="48707" xr:uid="{00A71566-A126-4385-AA7B-1C84FA9D279F}"/>
    <cellStyle name="20% - Accent5 9 4 2 2 2 4" xfId="32830" xr:uid="{7F3B076B-71AD-48B0-B774-9402A0B18F0E}"/>
    <cellStyle name="20% - Accent5 9 4 2 2 3" xfId="13390" xr:uid="{00000000-0005-0000-0000-0000F6220000}"/>
    <cellStyle name="20% - Accent5 9 4 2 2 3 2" xfId="37240" xr:uid="{C2CF800B-A5C5-4711-B6C7-513644A73C9F}"/>
    <cellStyle name="20% - Accent5 9 4 2 2 4" xfId="21345" xr:uid="{00000000-0005-0000-0000-0000F7220000}"/>
    <cellStyle name="20% - Accent5 9 4 2 2 4 2" xfId="45178" xr:uid="{7DC0E1F8-E89F-4567-8F15-A33201116581}"/>
    <cellStyle name="20% - Accent5 9 4 2 2 5" xfId="29299" xr:uid="{FD90A527-A0F8-4E26-A461-A151AF586B6A}"/>
    <cellStyle name="20% - Accent5 9 4 2 3" xfId="7198" xr:uid="{00000000-0005-0000-0000-0000F8220000}"/>
    <cellStyle name="20% - Accent5 9 4 2 3 2" xfId="15170" xr:uid="{00000000-0005-0000-0000-0000F9220000}"/>
    <cellStyle name="20% - Accent5 9 4 2 3 2 2" xfId="39013" xr:uid="{68F4FE0B-0177-416E-8E94-9E09BFF78849}"/>
    <cellStyle name="20% - Accent5 9 4 2 3 3" xfId="23117" xr:uid="{00000000-0005-0000-0000-0000FA220000}"/>
    <cellStyle name="20% - Accent5 9 4 2 3 3 2" xfId="46950" xr:uid="{843912C8-E3D5-4715-9C4C-10F2733BBAF7}"/>
    <cellStyle name="20% - Accent5 9 4 2 3 4" xfId="31072" xr:uid="{7218A352-EA21-45A6-BF88-DB614B7A28B9}"/>
    <cellStyle name="20% - Accent5 9 4 2 4" xfId="11634" xr:uid="{00000000-0005-0000-0000-0000FB220000}"/>
    <cellStyle name="20% - Accent5 9 4 2 4 2" xfId="35484" xr:uid="{D4CDF124-9FBD-4F9E-A5D8-B7FEA3CF6353}"/>
    <cellStyle name="20% - Accent5 9 4 2 5" xfId="19589" xr:uid="{00000000-0005-0000-0000-0000FC220000}"/>
    <cellStyle name="20% - Accent5 9 4 2 5 2" xfId="43422" xr:uid="{75732D31-DE50-4854-A627-38E7F34DFC1F}"/>
    <cellStyle name="20% - Accent5 9 4 2 6" xfId="27542" xr:uid="{6508D2AE-9C96-4328-BB15-D796A6B249E5}"/>
    <cellStyle name="20% - Accent5 9 4 2_Exh G" xfId="2559" xr:uid="{00000000-0005-0000-0000-0000FD220000}"/>
    <cellStyle name="20% - Accent5 9 4 3" xfId="4487" xr:uid="{00000000-0005-0000-0000-0000FE220000}"/>
    <cellStyle name="20% - Accent5 9 4 3 2" xfId="8079" xr:uid="{00000000-0005-0000-0000-0000FF220000}"/>
    <cellStyle name="20% - Accent5 9 4 3 2 2" xfId="16050" xr:uid="{00000000-0005-0000-0000-000000230000}"/>
    <cellStyle name="20% - Accent5 9 4 3 2 2 2" xfId="39893" xr:uid="{EB60D08F-87C7-4028-9A53-2B3A34914411}"/>
    <cellStyle name="20% - Accent5 9 4 3 2 3" xfId="23996" xr:uid="{00000000-0005-0000-0000-000001230000}"/>
    <cellStyle name="20% - Accent5 9 4 3 2 3 2" xfId="47829" xr:uid="{3226992E-073D-4FF7-9FB5-C76BF12351F2}"/>
    <cellStyle name="20% - Accent5 9 4 3 2 4" xfId="31952" xr:uid="{D988C668-0EDC-4FD0-9B1E-CF362A780255}"/>
    <cellStyle name="20% - Accent5 9 4 3 3" xfId="12512" xr:uid="{00000000-0005-0000-0000-000002230000}"/>
    <cellStyle name="20% - Accent5 9 4 3 3 2" xfId="36362" xr:uid="{02759ECC-69AA-4520-AE9F-CE5041A1A077}"/>
    <cellStyle name="20% - Accent5 9 4 3 4" xfId="20467" xr:uid="{00000000-0005-0000-0000-000003230000}"/>
    <cellStyle name="20% - Accent5 9 4 3 4 2" xfId="44300" xr:uid="{3D1994B9-3C45-49AA-AC93-DEEB9C4B1765}"/>
    <cellStyle name="20% - Accent5 9 4 3 5" xfId="28421" xr:uid="{61413BD1-78E4-458E-BC92-8BA74F8382C7}"/>
    <cellStyle name="20% - Accent5 9 4 4" xfId="6317" xr:uid="{00000000-0005-0000-0000-000004230000}"/>
    <cellStyle name="20% - Accent5 9 4 4 2" xfId="14292" xr:uid="{00000000-0005-0000-0000-000005230000}"/>
    <cellStyle name="20% - Accent5 9 4 4 2 2" xfId="38135" xr:uid="{D5D1EFAF-3BD1-4395-84B8-DE0CE2692ED1}"/>
    <cellStyle name="20% - Accent5 9 4 4 3" xfId="22239" xr:uid="{00000000-0005-0000-0000-000006230000}"/>
    <cellStyle name="20% - Accent5 9 4 4 3 2" xfId="46072" xr:uid="{8750230A-7D88-4DCF-984F-54D37D72A417}"/>
    <cellStyle name="20% - Accent5 9 4 4 4" xfId="30194" xr:uid="{CF36CE6C-97C5-46C1-A26D-1F54CD78A299}"/>
    <cellStyle name="20% - Accent5 9 4 5" xfId="9860" xr:uid="{00000000-0005-0000-0000-000007230000}"/>
    <cellStyle name="20% - Accent5 9 4 5 2" xfId="17818" xr:uid="{00000000-0005-0000-0000-000008230000}"/>
    <cellStyle name="20% - Accent5 9 4 5 2 2" xfId="41659" xr:uid="{43FC0EA8-302B-4052-B447-42B2C7A91661}"/>
    <cellStyle name="20% - Accent5 9 4 5 3" xfId="25762" xr:uid="{00000000-0005-0000-0000-000009230000}"/>
    <cellStyle name="20% - Accent5 9 4 5 3 2" xfId="49595" xr:uid="{3139FBD3-9A8B-4ED0-ACA9-5AF8C3FB6E65}"/>
    <cellStyle name="20% - Accent5 9 4 5 4" xfId="33718" xr:uid="{254CD19F-9452-4583-BFFA-51D03D6AC8BC}"/>
    <cellStyle name="20% - Accent5 9 4 6" xfId="10756" xr:uid="{00000000-0005-0000-0000-00000A230000}"/>
    <cellStyle name="20% - Accent5 9 4 6 2" xfId="34606" xr:uid="{40A06AE9-E5B6-4FA5-95D8-E84C90180EA0}"/>
    <cellStyle name="20% - Accent5 9 4 7" xfId="18711" xr:uid="{00000000-0005-0000-0000-00000B230000}"/>
    <cellStyle name="20% - Accent5 9 4 7 2" xfId="42544" xr:uid="{120CB8E0-7772-42A2-BFC2-2AC4CB6461E4}"/>
    <cellStyle name="20% - Accent5 9 4 8" xfId="26664" xr:uid="{A087975C-E47D-4880-9E7D-F81CC79AC8A4}"/>
    <cellStyle name="20% - Accent5 9 4_Exh G" xfId="2558" xr:uid="{00000000-0005-0000-0000-00000C230000}"/>
    <cellStyle name="20% - Accent5 9 5" xfId="1304" xr:uid="{00000000-0005-0000-0000-00000D230000}"/>
    <cellStyle name="20% - Accent5 9 5 2" xfId="4834" xr:uid="{00000000-0005-0000-0000-00000E230000}"/>
    <cellStyle name="20% - Accent5 9 5 2 2" xfId="8425" xr:uid="{00000000-0005-0000-0000-00000F230000}"/>
    <cellStyle name="20% - Accent5 9 5 2 2 2" xfId="16396" xr:uid="{00000000-0005-0000-0000-000010230000}"/>
    <cellStyle name="20% - Accent5 9 5 2 2 2 2" xfId="40239" xr:uid="{62360ECD-133E-45F2-97FC-D845B8B39351}"/>
    <cellStyle name="20% - Accent5 9 5 2 2 3" xfId="24342" xr:uid="{00000000-0005-0000-0000-000011230000}"/>
    <cellStyle name="20% - Accent5 9 5 2 2 3 2" xfId="48175" xr:uid="{4241F24B-5D30-4E1F-9F88-0D97CE6D472A}"/>
    <cellStyle name="20% - Accent5 9 5 2 2 4" xfId="32298" xr:uid="{FF3F7220-C1B7-4FD1-9242-8F6D2B93C2D0}"/>
    <cellStyle name="20% - Accent5 9 5 2 3" xfId="12858" xr:uid="{00000000-0005-0000-0000-000012230000}"/>
    <cellStyle name="20% - Accent5 9 5 2 3 2" xfId="36708" xr:uid="{E89BB603-E766-4A47-974A-58BFDCE2EB83}"/>
    <cellStyle name="20% - Accent5 9 5 2 4" xfId="20813" xr:uid="{00000000-0005-0000-0000-000013230000}"/>
    <cellStyle name="20% - Accent5 9 5 2 4 2" xfId="44646" xr:uid="{D7883CA2-B346-423D-8FE3-1B9EAE1BD151}"/>
    <cellStyle name="20% - Accent5 9 5 2 5" xfId="28767" xr:uid="{3086B9D9-723C-4021-A7F0-8606853A97EA}"/>
    <cellStyle name="20% - Accent5 9 5 3" xfId="6666" xr:uid="{00000000-0005-0000-0000-000014230000}"/>
    <cellStyle name="20% - Accent5 9 5 3 2" xfId="14638" xr:uid="{00000000-0005-0000-0000-000015230000}"/>
    <cellStyle name="20% - Accent5 9 5 3 2 2" xfId="38481" xr:uid="{124B769A-60B5-411C-B56D-6D51F42A58A1}"/>
    <cellStyle name="20% - Accent5 9 5 3 3" xfId="22585" xr:uid="{00000000-0005-0000-0000-000016230000}"/>
    <cellStyle name="20% - Accent5 9 5 3 3 2" xfId="46418" xr:uid="{39F0FF75-B046-4612-AA54-FEE3E505EF10}"/>
    <cellStyle name="20% - Accent5 9 5 3 4" xfId="30540" xr:uid="{AB84C3A6-B0BF-406A-B9BC-F40C1915B169}"/>
    <cellStyle name="20% - Accent5 9 5 4" xfId="11102" xr:uid="{00000000-0005-0000-0000-000017230000}"/>
    <cellStyle name="20% - Accent5 9 5 4 2" xfId="34952" xr:uid="{289C6866-1E06-4F2A-BE8F-5BB20800F141}"/>
    <cellStyle name="20% - Accent5 9 5 5" xfId="19057" xr:uid="{00000000-0005-0000-0000-000018230000}"/>
    <cellStyle name="20% - Accent5 9 5 5 2" xfId="42890" xr:uid="{F7B8E422-3EC0-45A4-B0E9-61C5786B5E5A}"/>
    <cellStyle name="20% - Accent5 9 5 6" xfId="27010" xr:uid="{7F8CA333-920D-4C42-8590-5416C6D12C55}"/>
    <cellStyle name="20% - Accent5 9 5_Exh G" xfId="2560" xr:uid="{00000000-0005-0000-0000-000019230000}"/>
    <cellStyle name="20% - Accent5 9 6" xfId="3955" xr:uid="{00000000-0005-0000-0000-00001A230000}"/>
    <cellStyle name="20% - Accent5 9 6 2" xfId="7547" xr:uid="{00000000-0005-0000-0000-00001B230000}"/>
    <cellStyle name="20% - Accent5 9 6 2 2" xfId="15518" xr:uid="{00000000-0005-0000-0000-00001C230000}"/>
    <cellStyle name="20% - Accent5 9 6 2 2 2" xfId="39361" xr:uid="{C9BF4BE6-65BF-4FEA-9ED5-0A54A86AD6A0}"/>
    <cellStyle name="20% - Accent5 9 6 2 3" xfId="23464" xr:uid="{00000000-0005-0000-0000-00001D230000}"/>
    <cellStyle name="20% - Accent5 9 6 2 3 2" xfId="47297" xr:uid="{5BEB78F0-A732-4098-8F7D-7E3CE89181D0}"/>
    <cellStyle name="20% - Accent5 9 6 2 4" xfId="31420" xr:uid="{E5F35E77-E5BD-4CF4-87D2-88353D770DDE}"/>
    <cellStyle name="20% - Accent5 9 6 3" xfId="11980" xr:uid="{00000000-0005-0000-0000-00001E230000}"/>
    <cellStyle name="20% - Accent5 9 6 3 2" xfId="35830" xr:uid="{8585A7B2-C6FB-4EFF-A078-89B11D758C5B}"/>
    <cellStyle name="20% - Accent5 9 6 4" xfId="19935" xr:uid="{00000000-0005-0000-0000-00001F230000}"/>
    <cellStyle name="20% - Accent5 9 6 4 2" xfId="43768" xr:uid="{13057AF1-81C4-413D-8B87-7C843B998DA6}"/>
    <cellStyle name="20% - Accent5 9 6 5" xfId="27889" xr:uid="{831E2F64-C4FB-4504-910B-8085FC13C6F9}"/>
    <cellStyle name="20% - Accent5 9 7" xfId="5775" xr:uid="{00000000-0005-0000-0000-000020230000}"/>
    <cellStyle name="20% - Accent5 9 7 2" xfId="13759" xr:uid="{00000000-0005-0000-0000-000021230000}"/>
    <cellStyle name="20% - Accent5 9 7 2 2" xfId="37603" xr:uid="{E503BC5D-4F80-42CC-8D39-15C11E260514}"/>
    <cellStyle name="20% - Accent5 9 7 3" xfId="21707" xr:uid="{00000000-0005-0000-0000-000022230000}"/>
    <cellStyle name="20% - Accent5 9 7 3 2" xfId="45540" xr:uid="{0590283C-CFF5-4BCF-A6BF-6AFF39C3EAA0}"/>
    <cellStyle name="20% - Accent5 9 7 4" xfId="29662" xr:uid="{4E6CECF1-68F4-4A2C-A2AC-AF97A9AC3827}"/>
    <cellStyle name="20% - Accent5 9 8" xfId="9328" xr:uid="{00000000-0005-0000-0000-000023230000}"/>
    <cellStyle name="20% - Accent5 9 8 2" xfId="17286" xr:uid="{00000000-0005-0000-0000-000024230000}"/>
    <cellStyle name="20% - Accent5 9 8 2 2" xfId="41127" xr:uid="{11CB5479-8DAC-4FA5-BA80-F2761FA04F46}"/>
    <cellStyle name="20% - Accent5 9 8 3" xfId="25230" xr:uid="{00000000-0005-0000-0000-000025230000}"/>
    <cellStyle name="20% - Accent5 9 8 3 2" xfId="49063" xr:uid="{97EA5E93-C548-4AC4-845A-B2A346E2B4B8}"/>
    <cellStyle name="20% - Accent5 9 8 4" xfId="33186" xr:uid="{0DDF44E7-F717-494F-9875-7B3BCDDB99C7}"/>
    <cellStyle name="20% - Accent5 9 9" xfId="10224" xr:uid="{00000000-0005-0000-0000-000026230000}"/>
    <cellStyle name="20% - Accent5 9 9 2" xfId="34074" xr:uid="{CC40BB96-1B2B-4895-8A46-B7BD69BAE238}"/>
    <cellStyle name="20% - Accent5 9_Exh G" xfId="2551" xr:uid="{00000000-0005-0000-0000-000027230000}"/>
    <cellStyle name="20% - Accent6" xfId="49707" builtinId="50" customBuiltin="1"/>
    <cellStyle name="20% - Accent6 10" xfId="280" xr:uid="{00000000-0005-0000-0000-000028230000}"/>
    <cellStyle name="20% - Accent6 10 10" xfId="18183" xr:uid="{00000000-0005-0000-0000-000029230000}"/>
    <cellStyle name="20% - Accent6 10 10 2" xfId="42016" xr:uid="{0915E317-8710-4E97-A460-DB7048DABB30}"/>
    <cellStyle name="20% - Accent6 10 11" xfId="26136" xr:uid="{82873D75-37B7-471B-B3CC-6F7C00C19315}"/>
    <cellStyle name="20% - Accent6 10 2" xfId="281" xr:uid="{00000000-0005-0000-0000-00002A230000}"/>
    <cellStyle name="20% - Accent6 10 2 2" xfId="282" xr:uid="{00000000-0005-0000-0000-00002B230000}"/>
    <cellStyle name="20% - Accent6 10 2 2 2" xfId="1310" xr:uid="{00000000-0005-0000-0000-00002C230000}"/>
    <cellStyle name="20% - Accent6 10 2 2 2 2" xfId="4840" xr:uid="{00000000-0005-0000-0000-00002D230000}"/>
    <cellStyle name="20% - Accent6 10 2 2 2 2 2" xfId="8431" xr:uid="{00000000-0005-0000-0000-00002E230000}"/>
    <cellStyle name="20% - Accent6 10 2 2 2 2 2 2" xfId="16402" xr:uid="{00000000-0005-0000-0000-00002F230000}"/>
    <cellStyle name="20% - Accent6 10 2 2 2 2 2 2 2" xfId="40245" xr:uid="{B64CE5BE-6798-4035-9F1D-7DA614EB9A1B}"/>
    <cellStyle name="20% - Accent6 10 2 2 2 2 2 3" xfId="24348" xr:uid="{00000000-0005-0000-0000-000030230000}"/>
    <cellStyle name="20% - Accent6 10 2 2 2 2 2 3 2" xfId="48181" xr:uid="{A946765E-7C52-437D-B1BF-7077B5B69C67}"/>
    <cellStyle name="20% - Accent6 10 2 2 2 2 2 4" xfId="32304" xr:uid="{A755B1DD-9BF4-4E4D-818E-061D6630CC2C}"/>
    <cellStyle name="20% - Accent6 10 2 2 2 2 3" xfId="12864" xr:uid="{00000000-0005-0000-0000-000031230000}"/>
    <cellStyle name="20% - Accent6 10 2 2 2 2 3 2" xfId="36714" xr:uid="{077CD47D-3159-4FFA-B761-678EE431A979}"/>
    <cellStyle name="20% - Accent6 10 2 2 2 2 4" xfId="20819" xr:uid="{00000000-0005-0000-0000-000032230000}"/>
    <cellStyle name="20% - Accent6 10 2 2 2 2 4 2" xfId="44652" xr:uid="{FCA1AE93-2163-4238-9F7D-FACF4B03E8C8}"/>
    <cellStyle name="20% - Accent6 10 2 2 2 2 5" xfId="28773" xr:uid="{ABC9CB60-1C3F-4502-8274-4EBF4E48DAA8}"/>
    <cellStyle name="20% - Accent6 10 2 2 2 3" xfId="6672" xr:uid="{00000000-0005-0000-0000-000033230000}"/>
    <cellStyle name="20% - Accent6 10 2 2 2 3 2" xfId="14644" xr:uid="{00000000-0005-0000-0000-000034230000}"/>
    <cellStyle name="20% - Accent6 10 2 2 2 3 2 2" xfId="38487" xr:uid="{684306A9-5987-4699-97A0-E458623FF1AA}"/>
    <cellStyle name="20% - Accent6 10 2 2 2 3 3" xfId="22591" xr:uid="{00000000-0005-0000-0000-000035230000}"/>
    <cellStyle name="20% - Accent6 10 2 2 2 3 3 2" xfId="46424" xr:uid="{B7CD0C2B-2CAD-45A2-9F50-B4A29F0E8CD1}"/>
    <cellStyle name="20% - Accent6 10 2 2 2 3 4" xfId="30546" xr:uid="{5886E00A-1ABC-45E7-92AB-F991263FA1A0}"/>
    <cellStyle name="20% - Accent6 10 2 2 2 4" xfId="11108" xr:uid="{00000000-0005-0000-0000-000036230000}"/>
    <cellStyle name="20% - Accent6 10 2 2 2 4 2" xfId="34958" xr:uid="{F5ED78DF-7452-4D9A-9050-C1EE43BBFDCC}"/>
    <cellStyle name="20% - Accent6 10 2 2 2 5" xfId="19063" xr:uid="{00000000-0005-0000-0000-000037230000}"/>
    <cellStyle name="20% - Accent6 10 2 2 2 5 2" xfId="42896" xr:uid="{0A3AFF94-1B6D-422B-BF48-312C085C90FB}"/>
    <cellStyle name="20% - Accent6 10 2 2 2 6" xfId="27016" xr:uid="{972974FD-C496-4F4C-A926-45CCF20FEEF7}"/>
    <cellStyle name="20% - Accent6 10 2 2 2_Exh G" xfId="2564" xr:uid="{00000000-0005-0000-0000-000038230000}"/>
    <cellStyle name="20% - Accent6 10 2 2 3" xfId="3961" xr:uid="{00000000-0005-0000-0000-000039230000}"/>
    <cellStyle name="20% - Accent6 10 2 2 3 2" xfId="7553" xr:uid="{00000000-0005-0000-0000-00003A230000}"/>
    <cellStyle name="20% - Accent6 10 2 2 3 2 2" xfId="15524" xr:uid="{00000000-0005-0000-0000-00003B230000}"/>
    <cellStyle name="20% - Accent6 10 2 2 3 2 2 2" xfId="39367" xr:uid="{CFED0CDD-0B67-4EDA-9419-8A4B88BD2F9C}"/>
    <cellStyle name="20% - Accent6 10 2 2 3 2 3" xfId="23470" xr:uid="{00000000-0005-0000-0000-00003C230000}"/>
    <cellStyle name="20% - Accent6 10 2 2 3 2 3 2" xfId="47303" xr:uid="{49F3F1CC-F442-4213-AD81-6E2AB5699D49}"/>
    <cellStyle name="20% - Accent6 10 2 2 3 2 4" xfId="31426" xr:uid="{96D9EF8C-8367-4984-89F1-3D2EDE15DDB8}"/>
    <cellStyle name="20% - Accent6 10 2 2 3 3" xfId="11986" xr:uid="{00000000-0005-0000-0000-00003D230000}"/>
    <cellStyle name="20% - Accent6 10 2 2 3 3 2" xfId="35836" xr:uid="{9C1513C9-E158-4D38-8647-576797CE7EDA}"/>
    <cellStyle name="20% - Accent6 10 2 2 3 4" xfId="19941" xr:uid="{00000000-0005-0000-0000-00003E230000}"/>
    <cellStyle name="20% - Accent6 10 2 2 3 4 2" xfId="43774" xr:uid="{8C142EAA-DA9D-43A3-92A5-D6BDC12F5845}"/>
    <cellStyle name="20% - Accent6 10 2 2 3 5" xfId="27895" xr:uid="{742FC227-33EE-4FE6-A567-9A9F72CFA79E}"/>
    <cellStyle name="20% - Accent6 10 2 2 4" xfId="5781" xr:uid="{00000000-0005-0000-0000-00003F230000}"/>
    <cellStyle name="20% - Accent6 10 2 2 4 2" xfId="13765" xr:uid="{00000000-0005-0000-0000-000040230000}"/>
    <cellStyle name="20% - Accent6 10 2 2 4 2 2" xfId="37609" xr:uid="{0FB96AD9-52B3-420A-A5BA-826D0D52C8E5}"/>
    <cellStyle name="20% - Accent6 10 2 2 4 3" xfId="21713" xr:uid="{00000000-0005-0000-0000-000041230000}"/>
    <cellStyle name="20% - Accent6 10 2 2 4 3 2" xfId="45546" xr:uid="{0D511A9C-B467-400E-831C-3E1A9996EC35}"/>
    <cellStyle name="20% - Accent6 10 2 2 4 4" xfId="29668" xr:uid="{804577CF-BC7F-43A1-9CBD-C84776C11855}"/>
    <cellStyle name="20% - Accent6 10 2 2 5" xfId="9334" xr:uid="{00000000-0005-0000-0000-000042230000}"/>
    <cellStyle name="20% - Accent6 10 2 2 5 2" xfId="17292" xr:uid="{00000000-0005-0000-0000-000043230000}"/>
    <cellStyle name="20% - Accent6 10 2 2 5 2 2" xfId="41133" xr:uid="{C2F7F253-FDC3-4893-8C04-71686ADAAF53}"/>
    <cellStyle name="20% - Accent6 10 2 2 5 3" xfId="25236" xr:uid="{00000000-0005-0000-0000-000044230000}"/>
    <cellStyle name="20% - Accent6 10 2 2 5 3 2" xfId="49069" xr:uid="{FCB1489F-5CB4-4339-AC10-EDF8C769B29F}"/>
    <cellStyle name="20% - Accent6 10 2 2 5 4" xfId="33192" xr:uid="{61DF236A-EF67-4005-B1DA-DE546988DFA5}"/>
    <cellStyle name="20% - Accent6 10 2 2 6" xfId="10230" xr:uid="{00000000-0005-0000-0000-000045230000}"/>
    <cellStyle name="20% - Accent6 10 2 2 6 2" xfId="34080" xr:uid="{7FE9ECF2-6C7E-42CA-B2E6-0592B6FB1538}"/>
    <cellStyle name="20% - Accent6 10 2 2 7" xfId="18185" xr:uid="{00000000-0005-0000-0000-000046230000}"/>
    <cellStyle name="20% - Accent6 10 2 2 7 2" xfId="42018" xr:uid="{85AEF670-D9CA-485A-8273-86FB322AEBAC}"/>
    <cellStyle name="20% - Accent6 10 2 2 8" xfId="26138" xr:uid="{E0605D09-A31B-4656-8051-E4BD08DF3736}"/>
    <cellStyle name="20% - Accent6 10 2 2_Exh G" xfId="2563" xr:uid="{00000000-0005-0000-0000-000047230000}"/>
    <cellStyle name="20% - Accent6 10 2 3" xfId="1309" xr:uid="{00000000-0005-0000-0000-000048230000}"/>
    <cellStyle name="20% - Accent6 10 2 3 2" xfId="4839" xr:uid="{00000000-0005-0000-0000-000049230000}"/>
    <cellStyle name="20% - Accent6 10 2 3 2 2" xfId="8430" xr:uid="{00000000-0005-0000-0000-00004A230000}"/>
    <cellStyle name="20% - Accent6 10 2 3 2 2 2" xfId="16401" xr:uid="{00000000-0005-0000-0000-00004B230000}"/>
    <cellStyle name="20% - Accent6 10 2 3 2 2 2 2" xfId="40244" xr:uid="{7AB0E97D-FE4F-4BEA-912A-93D0D0043F4F}"/>
    <cellStyle name="20% - Accent6 10 2 3 2 2 3" xfId="24347" xr:uid="{00000000-0005-0000-0000-00004C230000}"/>
    <cellStyle name="20% - Accent6 10 2 3 2 2 3 2" xfId="48180" xr:uid="{EC9D04E9-1067-41B4-8B1E-C806DC2FE2DC}"/>
    <cellStyle name="20% - Accent6 10 2 3 2 2 4" xfId="32303" xr:uid="{15631D7E-D3AA-46F9-B127-F0B4139EB6AE}"/>
    <cellStyle name="20% - Accent6 10 2 3 2 3" xfId="12863" xr:uid="{00000000-0005-0000-0000-00004D230000}"/>
    <cellStyle name="20% - Accent6 10 2 3 2 3 2" xfId="36713" xr:uid="{40B8B933-8525-498E-867D-C6C15DE674BA}"/>
    <cellStyle name="20% - Accent6 10 2 3 2 4" xfId="20818" xr:uid="{00000000-0005-0000-0000-00004E230000}"/>
    <cellStyle name="20% - Accent6 10 2 3 2 4 2" xfId="44651" xr:uid="{464A4F4B-3331-4F0A-957A-D107CC89D6EE}"/>
    <cellStyle name="20% - Accent6 10 2 3 2 5" xfId="28772" xr:uid="{3A8DA7CC-C7D7-42CB-BCFF-7CED0BB13829}"/>
    <cellStyle name="20% - Accent6 10 2 3 3" xfId="6671" xr:uid="{00000000-0005-0000-0000-00004F230000}"/>
    <cellStyle name="20% - Accent6 10 2 3 3 2" xfId="14643" xr:uid="{00000000-0005-0000-0000-000050230000}"/>
    <cellStyle name="20% - Accent6 10 2 3 3 2 2" xfId="38486" xr:uid="{6274EC91-03E5-4576-B040-666EF4511201}"/>
    <cellStyle name="20% - Accent6 10 2 3 3 3" xfId="22590" xr:uid="{00000000-0005-0000-0000-000051230000}"/>
    <cellStyle name="20% - Accent6 10 2 3 3 3 2" xfId="46423" xr:uid="{6A139CFF-6586-4768-A6F0-ECFA49FE0D59}"/>
    <cellStyle name="20% - Accent6 10 2 3 3 4" xfId="30545" xr:uid="{EFC4AFB2-23EC-43B7-B130-94373B384E50}"/>
    <cellStyle name="20% - Accent6 10 2 3 4" xfId="11107" xr:uid="{00000000-0005-0000-0000-000052230000}"/>
    <cellStyle name="20% - Accent6 10 2 3 4 2" xfId="34957" xr:uid="{2F3024A3-15D1-4106-AA8A-EC639C9DD9AF}"/>
    <cellStyle name="20% - Accent6 10 2 3 5" xfId="19062" xr:uid="{00000000-0005-0000-0000-000053230000}"/>
    <cellStyle name="20% - Accent6 10 2 3 5 2" xfId="42895" xr:uid="{8542E6E9-2836-48D9-9145-283D9AF239B5}"/>
    <cellStyle name="20% - Accent6 10 2 3 6" xfId="27015" xr:uid="{BC797465-EBE5-41EF-8BBF-4C7488421C24}"/>
    <cellStyle name="20% - Accent6 10 2 3_Exh G" xfId="2565" xr:uid="{00000000-0005-0000-0000-000054230000}"/>
    <cellStyle name="20% - Accent6 10 2 4" xfId="3960" xr:uid="{00000000-0005-0000-0000-000055230000}"/>
    <cellStyle name="20% - Accent6 10 2 4 2" xfId="7552" xr:uid="{00000000-0005-0000-0000-000056230000}"/>
    <cellStyle name="20% - Accent6 10 2 4 2 2" xfId="15523" xr:uid="{00000000-0005-0000-0000-000057230000}"/>
    <cellStyle name="20% - Accent6 10 2 4 2 2 2" xfId="39366" xr:uid="{DF4F9112-839F-4326-8F71-2407A247B0AB}"/>
    <cellStyle name="20% - Accent6 10 2 4 2 3" xfId="23469" xr:uid="{00000000-0005-0000-0000-000058230000}"/>
    <cellStyle name="20% - Accent6 10 2 4 2 3 2" xfId="47302" xr:uid="{70CF2AF5-681C-4171-9F21-F3FD8AEC249E}"/>
    <cellStyle name="20% - Accent6 10 2 4 2 4" xfId="31425" xr:uid="{4EC0A9B7-7E05-41EB-B4A2-7A6CE24CCB81}"/>
    <cellStyle name="20% - Accent6 10 2 4 3" xfId="11985" xr:uid="{00000000-0005-0000-0000-000059230000}"/>
    <cellStyle name="20% - Accent6 10 2 4 3 2" xfId="35835" xr:uid="{0616C0A3-68BA-4CEE-9C57-2BE9DDD0CD27}"/>
    <cellStyle name="20% - Accent6 10 2 4 4" xfId="19940" xr:uid="{00000000-0005-0000-0000-00005A230000}"/>
    <cellStyle name="20% - Accent6 10 2 4 4 2" xfId="43773" xr:uid="{C357BA99-186E-44E9-AACD-C2DD2504B8B3}"/>
    <cellStyle name="20% - Accent6 10 2 4 5" xfId="27894" xr:uid="{47487C26-058E-4B66-8B42-783E3F29B3AE}"/>
    <cellStyle name="20% - Accent6 10 2 5" xfId="5780" xr:uid="{00000000-0005-0000-0000-00005B230000}"/>
    <cellStyle name="20% - Accent6 10 2 5 2" xfId="13764" xr:uid="{00000000-0005-0000-0000-00005C230000}"/>
    <cellStyle name="20% - Accent6 10 2 5 2 2" xfId="37608" xr:uid="{D5655E10-67F3-47E0-8AFD-8DF69E3E4C7C}"/>
    <cellStyle name="20% - Accent6 10 2 5 3" xfId="21712" xr:uid="{00000000-0005-0000-0000-00005D230000}"/>
    <cellStyle name="20% - Accent6 10 2 5 3 2" xfId="45545" xr:uid="{B822AB94-3997-4257-828C-BBC2BD22778C}"/>
    <cellStyle name="20% - Accent6 10 2 5 4" xfId="29667" xr:uid="{E8C97751-12C7-4470-9891-E98B88F6712F}"/>
    <cellStyle name="20% - Accent6 10 2 6" xfId="9333" xr:uid="{00000000-0005-0000-0000-00005E230000}"/>
    <cellStyle name="20% - Accent6 10 2 6 2" xfId="17291" xr:uid="{00000000-0005-0000-0000-00005F230000}"/>
    <cellStyle name="20% - Accent6 10 2 6 2 2" xfId="41132" xr:uid="{A98738E6-E87E-4888-9054-49129CE2D14A}"/>
    <cellStyle name="20% - Accent6 10 2 6 3" xfId="25235" xr:uid="{00000000-0005-0000-0000-000060230000}"/>
    <cellStyle name="20% - Accent6 10 2 6 3 2" xfId="49068" xr:uid="{319FCE9C-55FF-4EF1-AFFA-BD857272D4CC}"/>
    <cellStyle name="20% - Accent6 10 2 6 4" xfId="33191" xr:uid="{99A54E09-0ED0-447C-8EBD-157DC4D459B4}"/>
    <cellStyle name="20% - Accent6 10 2 7" xfId="10229" xr:uid="{00000000-0005-0000-0000-000061230000}"/>
    <cellStyle name="20% - Accent6 10 2 7 2" xfId="34079" xr:uid="{0CFA27EA-F0B5-4213-896C-B526F425F9A4}"/>
    <cellStyle name="20% - Accent6 10 2 8" xfId="18184" xr:uid="{00000000-0005-0000-0000-000062230000}"/>
    <cellStyle name="20% - Accent6 10 2 8 2" xfId="42017" xr:uid="{8EA350C5-8D93-4844-BD2B-F086D7889E29}"/>
    <cellStyle name="20% - Accent6 10 2 9" xfId="26137" xr:uid="{D08312A6-AE47-47C5-A3C0-6992DACD45D2}"/>
    <cellStyle name="20% - Accent6 10 2_Exh G" xfId="2562" xr:uid="{00000000-0005-0000-0000-000063230000}"/>
    <cellStyle name="20% - Accent6 10 3" xfId="283" xr:uid="{00000000-0005-0000-0000-000064230000}"/>
    <cellStyle name="20% - Accent6 10 3 2" xfId="1311" xr:uid="{00000000-0005-0000-0000-000065230000}"/>
    <cellStyle name="20% - Accent6 10 3 2 2" xfId="4841" xr:uid="{00000000-0005-0000-0000-000066230000}"/>
    <cellStyle name="20% - Accent6 10 3 2 2 2" xfId="8432" xr:uid="{00000000-0005-0000-0000-000067230000}"/>
    <cellStyle name="20% - Accent6 10 3 2 2 2 2" xfId="16403" xr:uid="{00000000-0005-0000-0000-000068230000}"/>
    <cellStyle name="20% - Accent6 10 3 2 2 2 2 2" xfId="40246" xr:uid="{37A7B57C-AB5D-4EF9-BBB4-277889BD3031}"/>
    <cellStyle name="20% - Accent6 10 3 2 2 2 3" xfId="24349" xr:uid="{00000000-0005-0000-0000-000069230000}"/>
    <cellStyle name="20% - Accent6 10 3 2 2 2 3 2" xfId="48182" xr:uid="{3A9314DF-0AA6-4BF5-AC16-E9808AD82853}"/>
    <cellStyle name="20% - Accent6 10 3 2 2 2 4" xfId="32305" xr:uid="{CDE0F255-0864-4E98-BC52-B6C8B241C10D}"/>
    <cellStyle name="20% - Accent6 10 3 2 2 3" xfId="12865" xr:uid="{00000000-0005-0000-0000-00006A230000}"/>
    <cellStyle name="20% - Accent6 10 3 2 2 3 2" xfId="36715" xr:uid="{B3FEF05C-BFAD-4E89-B66D-0CDC9A2A628E}"/>
    <cellStyle name="20% - Accent6 10 3 2 2 4" xfId="20820" xr:uid="{00000000-0005-0000-0000-00006B230000}"/>
    <cellStyle name="20% - Accent6 10 3 2 2 4 2" xfId="44653" xr:uid="{E179FB02-CA1B-4360-A354-4FADA99FB49B}"/>
    <cellStyle name="20% - Accent6 10 3 2 2 5" xfId="28774" xr:uid="{DB32282B-FEDE-4720-815C-47D467894343}"/>
    <cellStyle name="20% - Accent6 10 3 2 3" xfId="6673" xr:uid="{00000000-0005-0000-0000-00006C230000}"/>
    <cellStyle name="20% - Accent6 10 3 2 3 2" xfId="14645" xr:uid="{00000000-0005-0000-0000-00006D230000}"/>
    <cellStyle name="20% - Accent6 10 3 2 3 2 2" xfId="38488" xr:uid="{D464229D-1DC5-4B94-9A02-45DCF04B3000}"/>
    <cellStyle name="20% - Accent6 10 3 2 3 3" xfId="22592" xr:uid="{00000000-0005-0000-0000-00006E230000}"/>
    <cellStyle name="20% - Accent6 10 3 2 3 3 2" xfId="46425" xr:uid="{07886144-ED0F-4F85-9108-7E8DEE02B4C0}"/>
    <cellStyle name="20% - Accent6 10 3 2 3 4" xfId="30547" xr:uid="{F5CC4192-1BEE-4F97-9195-B2D1423A4B8A}"/>
    <cellStyle name="20% - Accent6 10 3 2 4" xfId="11109" xr:uid="{00000000-0005-0000-0000-00006F230000}"/>
    <cellStyle name="20% - Accent6 10 3 2 4 2" xfId="34959" xr:uid="{A188D8F8-A918-4BEA-9C9A-C866CFC01B3F}"/>
    <cellStyle name="20% - Accent6 10 3 2 5" xfId="19064" xr:uid="{00000000-0005-0000-0000-000070230000}"/>
    <cellStyle name="20% - Accent6 10 3 2 5 2" xfId="42897" xr:uid="{DCD1E525-DFA3-4594-93E0-6C4B7E699CB4}"/>
    <cellStyle name="20% - Accent6 10 3 2 6" xfId="27017" xr:uid="{2CB411C1-E134-4902-A9F9-127B3AB50C72}"/>
    <cellStyle name="20% - Accent6 10 3 2_Exh G" xfId="2567" xr:uid="{00000000-0005-0000-0000-000071230000}"/>
    <cellStyle name="20% - Accent6 10 3 3" xfId="3962" xr:uid="{00000000-0005-0000-0000-000072230000}"/>
    <cellStyle name="20% - Accent6 10 3 3 2" xfId="7554" xr:uid="{00000000-0005-0000-0000-000073230000}"/>
    <cellStyle name="20% - Accent6 10 3 3 2 2" xfId="15525" xr:uid="{00000000-0005-0000-0000-000074230000}"/>
    <cellStyle name="20% - Accent6 10 3 3 2 2 2" xfId="39368" xr:uid="{A40E730E-1EDB-4B5B-94D6-3AE158E92D05}"/>
    <cellStyle name="20% - Accent6 10 3 3 2 3" xfId="23471" xr:uid="{00000000-0005-0000-0000-000075230000}"/>
    <cellStyle name="20% - Accent6 10 3 3 2 3 2" xfId="47304" xr:uid="{68B70453-E745-47EC-9D20-9D8104FBB8D8}"/>
    <cellStyle name="20% - Accent6 10 3 3 2 4" xfId="31427" xr:uid="{0A3F745B-1B5D-417B-868C-B8D573BDDEE9}"/>
    <cellStyle name="20% - Accent6 10 3 3 3" xfId="11987" xr:uid="{00000000-0005-0000-0000-000076230000}"/>
    <cellStyle name="20% - Accent6 10 3 3 3 2" xfId="35837" xr:uid="{690D74D4-90F8-443B-8A95-6C2135D01BFE}"/>
    <cellStyle name="20% - Accent6 10 3 3 4" xfId="19942" xr:uid="{00000000-0005-0000-0000-000077230000}"/>
    <cellStyle name="20% - Accent6 10 3 3 4 2" xfId="43775" xr:uid="{D682069B-7FAF-495C-A14A-33D8206DA184}"/>
    <cellStyle name="20% - Accent6 10 3 3 5" xfId="27896" xr:uid="{02C1ABDC-5A9D-4654-88E7-55B04E9F36ED}"/>
    <cellStyle name="20% - Accent6 10 3 4" xfId="5782" xr:uid="{00000000-0005-0000-0000-000078230000}"/>
    <cellStyle name="20% - Accent6 10 3 4 2" xfId="13766" xr:uid="{00000000-0005-0000-0000-000079230000}"/>
    <cellStyle name="20% - Accent6 10 3 4 2 2" xfId="37610" xr:uid="{33729036-1DFE-44D5-A55F-02B5C2AA35AD}"/>
    <cellStyle name="20% - Accent6 10 3 4 3" xfId="21714" xr:uid="{00000000-0005-0000-0000-00007A230000}"/>
    <cellStyle name="20% - Accent6 10 3 4 3 2" xfId="45547" xr:uid="{F1E972C1-D616-494F-B36B-0E9B7FAE0ABC}"/>
    <cellStyle name="20% - Accent6 10 3 4 4" xfId="29669" xr:uid="{0BF66711-2EC1-4BBC-B366-88C28C6FCC65}"/>
    <cellStyle name="20% - Accent6 10 3 5" xfId="9335" xr:uid="{00000000-0005-0000-0000-00007B230000}"/>
    <cellStyle name="20% - Accent6 10 3 5 2" xfId="17293" xr:uid="{00000000-0005-0000-0000-00007C230000}"/>
    <cellStyle name="20% - Accent6 10 3 5 2 2" xfId="41134" xr:uid="{48A06585-DFE1-4D19-98BD-A6066A3020FA}"/>
    <cellStyle name="20% - Accent6 10 3 5 3" xfId="25237" xr:uid="{00000000-0005-0000-0000-00007D230000}"/>
    <cellStyle name="20% - Accent6 10 3 5 3 2" xfId="49070" xr:uid="{7D097631-43BF-49A4-A932-33F261DB856A}"/>
    <cellStyle name="20% - Accent6 10 3 5 4" xfId="33193" xr:uid="{899CB8B6-9E3D-4106-A0D5-18425CCA9803}"/>
    <cellStyle name="20% - Accent6 10 3 6" xfId="10231" xr:uid="{00000000-0005-0000-0000-00007E230000}"/>
    <cellStyle name="20% - Accent6 10 3 6 2" xfId="34081" xr:uid="{E3169D0E-E677-4A8D-897F-591A39BC1D4C}"/>
    <cellStyle name="20% - Accent6 10 3 7" xfId="18186" xr:uid="{00000000-0005-0000-0000-00007F230000}"/>
    <cellStyle name="20% - Accent6 10 3 7 2" xfId="42019" xr:uid="{C3A8941F-272A-40D9-A305-0A52C7CE0BC8}"/>
    <cellStyle name="20% - Accent6 10 3 8" xfId="26139" xr:uid="{7D25D10A-BEEC-4B64-A3A0-68E6852E9A5A}"/>
    <cellStyle name="20% - Accent6 10 3_Exh G" xfId="2566" xr:uid="{00000000-0005-0000-0000-000080230000}"/>
    <cellStyle name="20% - Accent6 10 4" xfId="922" xr:uid="{00000000-0005-0000-0000-000081230000}"/>
    <cellStyle name="20% - Accent6 10 5" xfId="1308" xr:uid="{00000000-0005-0000-0000-000082230000}"/>
    <cellStyle name="20% - Accent6 10 5 2" xfId="4838" xr:uid="{00000000-0005-0000-0000-000083230000}"/>
    <cellStyle name="20% - Accent6 10 5 2 2" xfId="8429" xr:uid="{00000000-0005-0000-0000-000084230000}"/>
    <cellStyle name="20% - Accent6 10 5 2 2 2" xfId="16400" xr:uid="{00000000-0005-0000-0000-000085230000}"/>
    <cellStyle name="20% - Accent6 10 5 2 2 2 2" xfId="40243" xr:uid="{6E1148D3-C14B-4AC2-878D-8B1413B35026}"/>
    <cellStyle name="20% - Accent6 10 5 2 2 3" xfId="24346" xr:uid="{00000000-0005-0000-0000-000086230000}"/>
    <cellStyle name="20% - Accent6 10 5 2 2 3 2" xfId="48179" xr:uid="{4DCDE5F1-8047-40AC-80D7-784EAF7703D3}"/>
    <cellStyle name="20% - Accent6 10 5 2 2 4" xfId="32302" xr:uid="{65F6111A-AAEA-4C54-B704-768741BE264B}"/>
    <cellStyle name="20% - Accent6 10 5 2 3" xfId="12862" xr:uid="{00000000-0005-0000-0000-000087230000}"/>
    <cellStyle name="20% - Accent6 10 5 2 3 2" xfId="36712" xr:uid="{E98236EE-D5C0-4BFA-8F65-B8CDD97D65A4}"/>
    <cellStyle name="20% - Accent6 10 5 2 4" xfId="20817" xr:uid="{00000000-0005-0000-0000-000088230000}"/>
    <cellStyle name="20% - Accent6 10 5 2 4 2" xfId="44650" xr:uid="{54413366-8521-42D3-AB52-CF9E65DD509A}"/>
    <cellStyle name="20% - Accent6 10 5 2 5" xfId="28771" xr:uid="{2F772D13-6F7A-4113-AFA0-C8B85DC89F9F}"/>
    <cellStyle name="20% - Accent6 10 5 3" xfId="6670" xr:uid="{00000000-0005-0000-0000-000089230000}"/>
    <cellStyle name="20% - Accent6 10 5 3 2" xfId="14642" xr:uid="{00000000-0005-0000-0000-00008A230000}"/>
    <cellStyle name="20% - Accent6 10 5 3 2 2" xfId="38485" xr:uid="{044EE1BE-0FCA-4803-A817-CB93B1E9FE46}"/>
    <cellStyle name="20% - Accent6 10 5 3 3" xfId="22589" xr:uid="{00000000-0005-0000-0000-00008B230000}"/>
    <cellStyle name="20% - Accent6 10 5 3 3 2" xfId="46422" xr:uid="{C6DE88F3-1E7F-45D4-BAEF-7C4714A9CF14}"/>
    <cellStyle name="20% - Accent6 10 5 3 4" xfId="30544" xr:uid="{9C0B2EAD-2273-4E2C-917B-63A004D396D7}"/>
    <cellStyle name="20% - Accent6 10 5 4" xfId="11106" xr:uid="{00000000-0005-0000-0000-00008C230000}"/>
    <cellStyle name="20% - Accent6 10 5 4 2" xfId="34956" xr:uid="{4026AE94-3778-40B6-84B9-56B8325F33AC}"/>
    <cellStyle name="20% - Accent6 10 5 5" xfId="19061" xr:uid="{00000000-0005-0000-0000-00008D230000}"/>
    <cellStyle name="20% - Accent6 10 5 5 2" xfId="42894" xr:uid="{8AA0271A-470E-497C-B240-26FB42ED1AFF}"/>
    <cellStyle name="20% - Accent6 10 5 6" xfId="27014" xr:uid="{98E80C14-70F2-4979-A7D5-98904FDA1BC7}"/>
    <cellStyle name="20% - Accent6 10 5_Exh G" xfId="2568" xr:uid="{00000000-0005-0000-0000-00008E230000}"/>
    <cellStyle name="20% - Accent6 10 6" xfId="3959" xr:uid="{00000000-0005-0000-0000-00008F230000}"/>
    <cellStyle name="20% - Accent6 10 6 2" xfId="7551" xr:uid="{00000000-0005-0000-0000-000090230000}"/>
    <cellStyle name="20% - Accent6 10 6 2 2" xfId="15522" xr:uid="{00000000-0005-0000-0000-000091230000}"/>
    <cellStyle name="20% - Accent6 10 6 2 2 2" xfId="39365" xr:uid="{31CC2243-1733-4C44-AF9E-33986793B512}"/>
    <cellStyle name="20% - Accent6 10 6 2 3" xfId="23468" xr:uid="{00000000-0005-0000-0000-000092230000}"/>
    <cellStyle name="20% - Accent6 10 6 2 3 2" xfId="47301" xr:uid="{674D292B-1FD3-4970-97C0-7390DD675868}"/>
    <cellStyle name="20% - Accent6 10 6 2 4" xfId="31424" xr:uid="{1DF085C1-1A86-49A3-A69B-0F3B83A1030C}"/>
    <cellStyle name="20% - Accent6 10 6 3" xfId="11984" xr:uid="{00000000-0005-0000-0000-000093230000}"/>
    <cellStyle name="20% - Accent6 10 6 3 2" xfId="35834" xr:uid="{6248A2DA-439A-4A86-AEC7-535B7A3B8750}"/>
    <cellStyle name="20% - Accent6 10 6 4" xfId="19939" xr:uid="{00000000-0005-0000-0000-000094230000}"/>
    <cellStyle name="20% - Accent6 10 6 4 2" xfId="43772" xr:uid="{1956117D-6784-4F08-B61E-6C87A6AE2BA7}"/>
    <cellStyle name="20% - Accent6 10 6 5" xfId="27893" xr:uid="{3EC76C43-4325-4352-B79D-067079EFF169}"/>
    <cellStyle name="20% - Accent6 10 7" xfId="5779" xr:uid="{00000000-0005-0000-0000-000095230000}"/>
    <cellStyle name="20% - Accent6 10 7 2" xfId="13763" xr:uid="{00000000-0005-0000-0000-000096230000}"/>
    <cellStyle name="20% - Accent6 10 7 2 2" xfId="37607" xr:uid="{B3D2E588-C7D5-417A-BB0F-B854803D3734}"/>
    <cellStyle name="20% - Accent6 10 7 3" xfId="21711" xr:uid="{00000000-0005-0000-0000-000097230000}"/>
    <cellStyle name="20% - Accent6 10 7 3 2" xfId="45544" xr:uid="{541F662F-BBF6-4401-A35A-382C5F8AC348}"/>
    <cellStyle name="20% - Accent6 10 7 4" xfId="29666" xr:uid="{4F2D7DFE-3332-4EA4-B4A7-B779751C1CA1}"/>
    <cellStyle name="20% - Accent6 10 8" xfId="9332" xr:uid="{00000000-0005-0000-0000-000098230000}"/>
    <cellStyle name="20% - Accent6 10 8 2" xfId="17290" xr:uid="{00000000-0005-0000-0000-000099230000}"/>
    <cellStyle name="20% - Accent6 10 8 2 2" xfId="41131" xr:uid="{34AECF19-1BA8-44D7-AF8F-C59C4FFF02C4}"/>
    <cellStyle name="20% - Accent6 10 8 3" xfId="25234" xr:uid="{00000000-0005-0000-0000-00009A230000}"/>
    <cellStyle name="20% - Accent6 10 8 3 2" xfId="49067" xr:uid="{EDE07AA3-84E8-440C-80DE-20A06882A5E9}"/>
    <cellStyle name="20% - Accent6 10 8 4" xfId="33190" xr:uid="{F7EAFA8D-2233-451D-9F50-70233D3B674A}"/>
    <cellStyle name="20% - Accent6 10 9" xfId="10228" xr:uid="{00000000-0005-0000-0000-00009B230000}"/>
    <cellStyle name="20% - Accent6 10 9 2" xfId="34078" xr:uid="{DAA42B10-4CC6-41E6-B168-7C162BB7AE33}"/>
    <cellStyle name="20% - Accent6 10_Exh G" xfId="2561" xr:uid="{00000000-0005-0000-0000-00009C230000}"/>
    <cellStyle name="20% - Accent6 11" xfId="284" xr:uid="{00000000-0005-0000-0000-00009D230000}"/>
    <cellStyle name="20% - Accent6 11 10" xfId="26140" xr:uid="{0989A706-ED46-4887-A451-312322E63DBD}"/>
    <cellStyle name="20% - Accent6 11 2" xfId="285" xr:uid="{00000000-0005-0000-0000-00009E230000}"/>
    <cellStyle name="20% - Accent6 11 2 2" xfId="286" xr:uid="{00000000-0005-0000-0000-00009F230000}"/>
    <cellStyle name="20% - Accent6 11 2 2 2" xfId="1314" xr:uid="{00000000-0005-0000-0000-0000A0230000}"/>
    <cellStyle name="20% - Accent6 11 2 2 2 2" xfId="4844" xr:uid="{00000000-0005-0000-0000-0000A1230000}"/>
    <cellStyle name="20% - Accent6 11 2 2 2 2 2" xfId="8435" xr:uid="{00000000-0005-0000-0000-0000A2230000}"/>
    <cellStyle name="20% - Accent6 11 2 2 2 2 2 2" xfId="16406" xr:uid="{00000000-0005-0000-0000-0000A3230000}"/>
    <cellStyle name="20% - Accent6 11 2 2 2 2 2 2 2" xfId="40249" xr:uid="{EC8709CA-9081-4FEC-A0D8-DA4EF0E4BD5D}"/>
    <cellStyle name="20% - Accent6 11 2 2 2 2 2 3" xfId="24352" xr:uid="{00000000-0005-0000-0000-0000A4230000}"/>
    <cellStyle name="20% - Accent6 11 2 2 2 2 2 3 2" xfId="48185" xr:uid="{5E992D7A-BF77-470D-96EA-1E62279076EF}"/>
    <cellStyle name="20% - Accent6 11 2 2 2 2 2 4" xfId="32308" xr:uid="{2E33F2FF-D971-412C-AB3F-F9A2A6D5F611}"/>
    <cellStyle name="20% - Accent6 11 2 2 2 2 3" xfId="12868" xr:uid="{00000000-0005-0000-0000-0000A5230000}"/>
    <cellStyle name="20% - Accent6 11 2 2 2 2 3 2" xfId="36718" xr:uid="{F46D8099-B591-4609-891A-BBDD1B664E1B}"/>
    <cellStyle name="20% - Accent6 11 2 2 2 2 4" xfId="20823" xr:uid="{00000000-0005-0000-0000-0000A6230000}"/>
    <cellStyle name="20% - Accent6 11 2 2 2 2 4 2" xfId="44656" xr:uid="{107D6B6A-4925-42E0-942B-C9999A5F0863}"/>
    <cellStyle name="20% - Accent6 11 2 2 2 2 5" xfId="28777" xr:uid="{BE486266-B090-490C-99FD-453E9E77C01D}"/>
    <cellStyle name="20% - Accent6 11 2 2 2 3" xfId="6676" xr:uid="{00000000-0005-0000-0000-0000A7230000}"/>
    <cellStyle name="20% - Accent6 11 2 2 2 3 2" xfId="14648" xr:uid="{00000000-0005-0000-0000-0000A8230000}"/>
    <cellStyle name="20% - Accent6 11 2 2 2 3 2 2" xfId="38491" xr:uid="{89B2D091-65AD-461E-9896-A60D5C3DF482}"/>
    <cellStyle name="20% - Accent6 11 2 2 2 3 3" xfId="22595" xr:uid="{00000000-0005-0000-0000-0000A9230000}"/>
    <cellStyle name="20% - Accent6 11 2 2 2 3 3 2" xfId="46428" xr:uid="{DD7FAF16-636B-49A6-8011-28E08F496389}"/>
    <cellStyle name="20% - Accent6 11 2 2 2 3 4" xfId="30550" xr:uid="{B638B63F-49F5-497E-93D3-4BB62CEB756F}"/>
    <cellStyle name="20% - Accent6 11 2 2 2 4" xfId="11112" xr:uid="{00000000-0005-0000-0000-0000AA230000}"/>
    <cellStyle name="20% - Accent6 11 2 2 2 4 2" xfId="34962" xr:uid="{CC3C3031-09CC-4784-8252-946DD6605978}"/>
    <cellStyle name="20% - Accent6 11 2 2 2 5" xfId="19067" xr:uid="{00000000-0005-0000-0000-0000AB230000}"/>
    <cellStyle name="20% - Accent6 11 2 2 2 5 2" xfId="42900" xr:uid="{7411CE61-BB5F-466A-9C72-12AAEB3D458B}"/>
    <cellStyle name="20% - Accent6 11 2 2 2 6" xfId="27020" xr:uid="{ABF8FC62-08D7-451D-9642-B2808AA91AAE}"/>
    <cellStyle name="20% - Accent6 11 2 2 2_Exh G" xfId="2572" xr:uid="{00000000-0005-0000-0000-0000AC230000}"/>
    <cellStyle name="20% - Accent6 11 2 2 3" xfId="3965" xr:uid="{00000000-0005-0000-0000-0000AD230000}"/>
    <cellStyle name="20% - Accent6 11 2 2 3 2" xfId="7557" xr:uid="{00000000-0005-0000-0000-0000AE230000}"/>
    <cellStyle name="20% - Accent6 11 2 2 3 2 2" xfId="15528" xr:uid="{00000000-0005-0000-0000-0000AF230000}"/>
    <cellStyle name="20% - Accent6 11 2 2 3 2 2 2" xfId="39371" xr:uid="{E0A4BD4F-B404-467C-AEB2-E59ABDC82070}"/>
    <cellStyle name="20% - Accent6 11 2 2 3 2 3" xfId="23474" xr:uid="{00000000-0005-0000-0000-0000B0230000}"/>
    <cellStyle name="20% - Accent6 11 2 2 3 2 3 2" xfId="47307" xr:uid="{F6348EE5-3870-4CE8-9910-04B0B4F79F03}"/>
    <cellStyle name="20% - Accent6 11 2 2 3 2 4" xfId="31430" xr:uid="{6C9471D4-A2FC-4CA3-906D-BE16A72FDD78}"/>
    <cellStyle name="20% - Accent6 11 2 2 3 3" xfId="11990" xr:uid="{00000000-0005-0000-0000-0000B1230000}"/>
    <cellStyle name="20% - Accent6 11 2 2 3 3 2" xfId="35840" xr:uid="{448A5F65-B1FA-45A4-BFDD-DC449AAB7AF2}"/>
    <cellStyle name="20% - Accent6 11 2 2 3 4" xfId="19945" xr:uid="{00000000-0005-0000-0000-0000B2230000}"/>
    <cellStyle name="20% - Accent6 11 2 2 3 4 2" xfId="43778" xr:uid="{A026143F-0265-4E3B-BF35-A331FA961E0F}"/>
    <cellStyle name="20% - Accent6 11 2 2 3 5" xfId="27899" xr:uid="{45193EE5-2E26-426B-96DC-759E17150788}"/>
    <cellStyle name="20% - Accent6 11 2 2 4" xfId="5785" xr:uid="{00000000-0005-0000-0000-0000B3230000}"/>
    <cellStyle name="20% - Accent6 11 2 2 4 2" xfId="13769" xr:uid="{00000000-0005-0000-0000-0000B4230000}"/>
    <cellStyle name="20% - Accent6 11 2 2 4 2 2" xfId="37613" xr:uid="{422C4166-FEED-494D-A131-D3273BCE4A3D}"/>
    <cellStyle name="20% - Accent6 11 2 2 4 3" xfId="21717" xr:uid="{00000000-0005-0000-0000-0000B5230000}"/>
    <cellStyle name="20% - Accent6 11 2 2 4 3 2" xfId="45550" xr:uid="{890B0A02-E22E-4A53-9839-B230FBC0E8CC}"/>
    <cellStyle name="20% - Accent6 11 2 2 4 4" xfId="29672" xr:uid="{76286059-5172-43D2-98AE-E7F2F05E86B0}"/>
    <cellStyle name="20% - Accent6 11 2 2 5" xfId="9338" xr:uid="{00000000-0005-0000-0000-0000B6230000}"/>
    <cellStyle name="20% - Accent6 11 2 2 5 2" xfId="17296" xr:uid="{00000000-0005-0000-0000-0000B7230000}"/>
    <cellStyle name="20% - Accent6 11 2 2 5 2 2" xfId="41137" xr:uid="{DBA3CFB2-4D12-4711-9D41-30CC726E6371}"/>
    <cellStyle name="20% - Accent6 11 2 2 5 3" xfId="25240" xr:uid="{00000000-0005-0000-0000-0000B8230000}"/>
    <cellStyle name="20% - Accent6 11 2 2 5 3 2" xfId="49073" xr:uid="{5A765D35-E7D5-424A-B544-5605521CC80F}"/>
    <cellStyle name="20% - Accent6 11 2 2 5 4" xfId="33196" xr:uid="{17D57FE7-D8D4-4FCB-9BAE-1EB12BE9BABA}"/>
    <cellStyle name="20% - Accent6 11 2 2 6" xfId="10234" xr:uid="{00000000-0005-0000-0000-0000B9230000}"/>
    <cellStyle name="20% - Accent6 11 2 2 6 2" xfId="34084" xr:uid="{7FAF01CB-CDA4-4194-8AF8-14B4C98DBB91}"/>
    <cellStyle name="20% - Accent6 11 2 2 7" xfId="18189" xr:uid="{00000000-0005-0000-0000-0000BA230000}"/>
    <cellStyle name="20% - Accent6 11 2 2 7 2" xfId="42022" xr:uid="{7BAE5CF3-1F52-4FC4-8472-21349635DE4C}"/>
    <cellStyle name="20% - Accent6 11 2 2 8" xfId="26142" xr:uid="{6EF2EBF6-ED97-4E5A-9D8A-9E56BBF4BC84}"/>
    <cellStyle name="20% - Accent6 11 2 2_Exh G" xfId="2571" xr:uid="{00000000-0005-0000-0000-0000BB230000}"/>
    <cellStyle name="20% - Accent6 11 2 3" xfId="1313" xr:uid="{00000000-0005-0000-0000-0000BC230000}"/>
    <cellStyle name="20% - Accent6 11 2 3 2" xfId="4843" xr:uid="{00000000-0005-0000-0000-0000BD230000}"/>
    <cellStyle name="20% - Accent6 11 2 3 2 2" xfId="8434" xr:uid="{00000000-0005-0000-0000-0000BE230000}"/>
    <cellStyle name="20% - Accent6 11 2 3 2 2 2" xfId="16405" xr:uid="{00000000-0005-0000-0000-0000BF230000}"/>
    <cellStyle name="20% - Accent6 11 2 3 2 2 2 2" xfId="40248" xr:uid="{D28274E9-6A78-4E07-A3E0-29780A91211B}"/>
    <cellStyle name="20% - Accent6 11 2 3 2 2 3" xfId="24351" xr:uid="{00000000-0005-0000-0000-0000C0230000}"/>
    <cellStyle name="20% - Accent6 11 2 3 2 2 3 2" xfId="48184" xr:uid="{8212EE10-80CC-4B1B-8D5F-B72BA8806747}"/>
    <cellStyle name="20% - Accent6 11 2 3 2 2 4" xfId="32307" xr:uid="{57373FA7-1A47-42E7-97ED-281C7BB3CEF1}"/>
    <cellStyle name="20% - Accent6 11 2 3 2 3" xfId="12867" xr:uid="{00000000-0005-0000-0000-0000C1230000}"/>
    <cellStyle name="20% - Accent6 11 2 3 2 3 2" xfId="36717" xr:uid="{14009359-0BE5-4CBB-A5AB-51022E23D37E}"/>
    <cellStyle name="20% - Accent6 11 2 3 2 4" xfId="20822" xr:uid="{00000000-0005-0000-0000-0000C2230000}"/>
    <cellStyle name="20% - Accent6 11 2 3 2 4 2" xfId="44655" xr:uid="{B4E934C2-D9E0-4CAB-BC22-B66553F1B992}"/>
    <cellStyle name="20% - Accent6 11 2 3 2 5" xfId="28776" xr:uid="{D3A9C455-16DD-4756-A24B-93C99EA49088}"/>
    <cellStyle name="20% - Accent6 11 2 3 3" xfId="6675" xr:uid="{00000000-0005-0000-0000-0000C3230000}"/>
    <cellStyle name="20% - Accent6 11 2 3 3 2" xfId="14647" xr:uid="{00000000-0005-0000-0000-0000C4230000}"/>
    <cellStyle name="20% - Accent6 11 2 3 3 2 2" xfId="38490" xr:uid="{036DFA04-1191-4A99-9D44-44AD16141FD0}"/>
    <cellStyle name="20% - Accent6 11 2 3 3 3" xfId="22594" xr:uid="{00000000-0005-0000-0000-0000C5230000}"/>
    <cellStyle name="20% - Accent6 11 2 3 3 3 2" xfId="46427" xr:uid="{C0A6B8A1-C4FD-4D4D-B2D4-28C819F9E808}"/>
    <cellStyle name="20% - Accent6 11 2 3 3 4" xfId="30549" xr:uid="{4306D045-FDF9-4D31-B6E3-DCEA6B2DCBE9}"/>
    <cellStyle name="20% - Accent6 11 2 3 4" xfId="11111" xr:uid="{00000000-0005-0000-0000-0000C6230000}"/>
    <cellStyle name="20% - Accent6 11 2 3 4 2" xfId="34961" xr:uid="{F0B02716-D091-43C5-9E04-2AB9435CD77A}"/>
    <cellStyle name="20% - Accent6 11 2 3 5" xfId="19066" xr:uid="{00000000-0005-0000-0000-0000C7230000}"/>
    <cellStyle name="20% - Accent6 11 2 3 5 2" xfId="42899" xr:uid="{8D3D68B3-3AC8-4202-9EA8-AAD11355346A}"/>
    <cellStyle name="20% - Accent6 11 2 3 6" xfId="27019" xr:uid="{2483CAA9-883D-474D-93AA-8BACF22364B6}"/>
    <cellStyle name="20% - Accent6 11 2 3_Exh G" xfId="2573" xr:uid="{00000000-0005-0000-0000-0000C8230000}"/>
    <cellStyle name="20% - Accent6 11 2 4" xfId="3964" xr:uid="{00000000-0005-0000-0000-0000C9230000}"/>
    <cellStyle name="20% - Accent6 11 2 4 2" xfId="7556" xr:uid="{00000000-0005-0000-0000-0000CA230000}"/>
    <cellStyle name="20% - Accent6 11 2 4 2 2" xfId="15527" xr:uid="{00000000-0005-0000-0000-0000CB230000}"/>
    <cellStyle name="20% - Accent6 11 2 4 2 2 2" xfId="39370" xr:uid="{5D82AE3F-8057-464F-8F8B-D369CED71DA9}"/>
    <cellStyle name="20% - Accent6 11 2 4 2 3" xfId="23473" xr:uid="{00000000-0005-0000-0000-0000CC230000}"/>
    <cellStyle name="20% - Accent6 11 2 4 2 3 2" xfId="47306" xr:uid="{0821623D-A580-4A66-A57A-03A8C289CCAA}"/>
    <cellStyle name="20% - Accent6 11 2 4 2 4" xfId="31429" xr:uid="{AA084A2F-1A81-477C-A573-810C78098B1F}"/>
    <cellStyle name="20% - Accent6 11 2 4 3" xfId="11989" xr:uid="{00000000-0005-0000-0000-0000CD230000}"/>
    <cellStyle name="20% - Accent6 11 2 4 3 2" xfId="35839" xr:uid="{AC47710F-DD9C-4E23-AA18-1D0FB1A78B75}"/>
    <cellStyle name="20% - Accent6 11 2 4 4" xfId="19944" xr:uid="{00000000-0005-0000-0000-0000CE230000}"/>
    <cellStyle name="20% - Accent6 11 2 4 4 2" xfId="43777" xr:uid="{7FE7CD02-C354-48EA-A82A-2007FEB00AF0}"/>
    <cellStyle name="20% - Accent6 11 2 4 5" xfId="27898" xr:uid="{6FCF9AE1-65A3-4C47-A46E-8044E3BC3E16}"/>
    <cellStyle name="20% - Accent6 11 2 5" xfId="5784" xr:uid="{00000000-0005-0000-0000-0000CF230000}"/>
    <cellStyle name="20% - Accent6 11 2 5 2" xfId="13768" xr:uid="{00000000-0005-0000-0000-0000D0230000}"/>
    <cellStyle name="20% - Accent6 11 2 5 2 2" xfId="37612" xr:uid="{E21B129D-08EB-4163-8FDA-434EC3CBCBA8}"/>
    <cellStyle name="20% - Accent6 11 2 5 3" xfId="21716" xr:uid="{00000000-0005-0000-0000-0000D1230000}"/>
    <cellStyle name="20% - Accent6 11 2 5 3 2" xfId="45549" xr:uid="{E8ED4E51-8C90-40FF-BC83-A069E0C6CF31}"/>
    <cellStyle name="20% - Accent6 11 2 5 4" xfId="29671" xr:uid="{C2CA3204-03D5-4E41-8B9F-9C94A2A721F0}"/>
    <cellStyle name="20% - Accent6 11 2 6" xfId="9337" xr:uid="{00000000-0005-0000-0000-0000D2230000}"/>
    <cellStyle name="20% - Accent6 11 2 6 2" xfId="17295" xr:uid="{00000000-0005-0000-0000-0000D3230000}"/>
    <cellStyle name="20% - Accent6 11 2 6 2 2" xfId="41136" xr:uid="{40916A0C-324F-4D89-BD99-95509FA7E2B1}"/>
    <cellStyle name="20% - Accent6 11 2 6 3" xfId="25239" xr:uid="{00000000-0005-0000-0000-0000D4230000}"/>
    <cellStyle name="20% - Accent6 11 2 6 3 2" xfId="49072" xr:uid="{3EC941A1-B709-41E9-81F3-5101B8BA1D5D}"/>
    <cellStyle name="20% - Accent6 11 2 6 4" xfId="33195" xr:uid="{88A5004C-982A-41C6-BAF6-5B8C086A2CF4}"/>
    <cellStyle name="20% - Accent6 11 2 7" xfId="10233" xr:uid="{00000000-0005-0000-0000-0000D5230000}"/>
    <cellStyle name="20% - Accent6 11 2 7 2" xfId="34083" xr:uid="{26ADB891-4F27-41F8-ABEF-B12473DF60AA}"/>
    <cellStyle name="20% - Accent6 11 2 8" xfId="18188" xr:uid="{00000000-0005-0000-0000-0000D6230000}"/>
    <cellStyle name="20% - Accent6 11 2 8 2" xfId="42021" xr:uid="{5B5E43F7-C075-4870-8CF3-FE444426E8EA}"/>
    <cellStyle name="20% - Accent6 11 2 9" xfId="26141" xr:uid="{F2902DC4-853E-49B7-92CC-2B4AD0987794}"/>
    <cellStyle name="20% - Accent6 11 2_Exh G" xfId="2570" xr:uid="{00000000-0005-0000-0000-0000D7230000}"/>
    <cellStyle name="20% - Accent6 11 3" xfId="287" xr:uid="{00000000-0005-0000-0000-0000D8230000}"/>
    <cellStyle name="20% - Accent6 11 3 2" xfId="1315" xr:uid="{00000000-0005-0000-0000-0000D9230000}"/>
    <cellStyle name="20% - Accent6 11 3 2 2" xfId="4845" xr:uid="{00000000-0005-0000-0000-0000DA230000}"/>
    <cellStyle name="20% - Accent6 11 3 2 2 2" xfId="8436" xr:uid="{00000000-0005-0000-0000-0000DB230000}"/>
    <cellStyle name="20% - Accent6 11 3 2 2 2 2" xfId="16407" xr:uid="{00000000-0005-0000-0000-0000DC230000}"/>
    <cellStyle name="20% - Accent6 11 3 2 2 2 2 2" xfId="40250" xr:uid="{EEA3E15D-B8F0-4FA9-A25B-E03445D2BF2E}"/>
    <cellStyle name="20% - Accent6 11 3 2 2 2 3" xfId="24353" xr:uid="{00000000-0005-0000-0000-0000DD230000}"/>
    <cellStyle name="20% - Accent6 11 3 2 2 2 3 2" xfId="48186" xr:uid="{EEC54D76-5935-4934-A644-BC231CE6A52C}"/>
    <cellStyle name="20% - Accent6 11 3 2 2 2 4" xfId="32309" xr:uid="{6920C98A-50FA-4683-9D60-48A5812D0F24}"/>
    <cellStyle name="20% - Accent6 11 3 2 2 3" xfId="12869" xr:uid="{00000000-0005-0000-0000-0000DE230000}"/>
    <cellStyle name="20% - Accent6 11 3 2 2 3 2" xfId="36719" xr:uid="{125E500D-D2AE-4901-A59A-37F8C2D5FFA7}"/>
    <cellStyle name="20% - Accent6 11 3 2 2 4" xfId="20824" xr:uid="{00000000-0005-0000-0000-0000DF230000}"/>
    <cellStyle name="20% - Accent6 11 3 2 2 4 2" xfId="44657" xr:uid="{6D35AB9F-CFF6-467C-8128-8922D95D6350}"/>
    <cellStyle name="20% - Accent6 11 3 2 2 5" xfId="28778" xr:uid="{65C8FE91-36D8-422B-9280-7894EA8FC7F8}"/>
    <cellStyle name="20% - Accent6 11 3 2 3" xfId="6677" xr:uid="{00000000-0005-0000-0000-0000E0230000}"/>
    <cellStyle name="20% - Accent6 11 3 2 3 2" xfId="14649" xr:uid="{00000000-0005-0000-0000-0000E1230000}"/>
    <cellStyle name="20% - Accent6 11 3 2 3 2 2" xfId="38492" xr:uid="{0B08DC44-CD2A-4A60-A2B8-65A8BB27EB30}"/>
    <cellStyle name="20% - Accent6 11 3 2 3 3" xfId="22596" xr:uid="{00000000-0005-0000-0000-0000E2230000}"/>
    <cellStyle name="20% - Accent6 11 3 2 3 3 2" xfId="46429" xr:uid="{567CA810-FAA2-4E7F-9998-E34EA10D1DBA}"/>
    <cellStyle name="20% - Accent6 11 3 2 3 4" xfId="30551" xr:uid="{3FFB7542-127E-4799-8141-7094037C1B02}"/>
    <cellStyle name="20% - Accent6 11 3 2 4" xfId="11113" xr:uid="{00000000-0005-0000-0000-0000E3230000}"/>
    <cellStyle name="20% - Accent6 11 3 2 4 2" xfId="34963" xr:uid="{F6B6C910-FD72-4006-9903-A6770A390673}"/>
    <cellStyle name="20% - Accent6 11 3 2 5" xfId="19068" xr:uid="{00000000-0005-0000-0000-0000E4230000}"/>
    <cellStyle name="20% - Accent6 11 3 2 5 2" xfId="42901" xr:uid="{B53EF410-85EA-4B98-BCDB-E81480768639}"/>
    <cellStyle name="20% - Accent6 11 3 2 6" xfId="27021" xr:uid="{5FD35411-5400-476E-9ADA-89873F33A074}"/>
    <cellStyle name="20% - Accent6 11 3 2_Exh G" xfId="2575" xr:uid="{00000000-0005-0000-0000-0000E5230000}"/>
    <cellStyle name="20% - Accent6 11 3 3" xfId="3966" xr:uid="{00000000-0005-0000-0000-0000E6230000}"/>
    <cellStyle name="20% - Accent6 11 3 3 2" xfId="7558" xr:uid="{00000000-0005-0000-0000-0000E7230000}"/>
    <cellStyle name="20% - Accent6 11 3 3 2 2" xfId="15529" xr:uid="{00000000-0005-0000-0000-0000E8230000}"/>
    <cellStyle name="20% - Accent6 11 3 3 2 2 2" xfId="39372" xr:uid="{7B9B2268-0299-4860-A409-B548A62319AB}"/>
    <cellStyle name="20% - Accent6 11 3 3 2 3" xfId="23475" xr:uid="{00000000-0005-0000-0000-0000E9230000}"/>
    <cellStyle name="20% - Accent6 11 3 3 2 3 2" xfId="47308" xr:uid="{05DBF7D4-853C-470A-B76C-C298ED1F99E4}"/>
    <cellStyle name="20% - Accent6 11 3 3 2 4" xfId="31431" xr:uid="{A68DB827-BBD9-4FE3-BEC8-0612728D7A2A}"/>
    <cellStyle name="20% - Accent6 11 3 3 3" xfId="11991" xr:uid="{00000000-0005-0000-0000-0000EA230000}"/>
    <cellStyle name="20% - Accent6 11 3 3 3 2" xfId="35841" xr:uid="{3BE07746-0BA4-4715-AD76-D7482C692A17}"/>
    <cellStyle name="20% - Accent6 11 3 3 4" xfId="19946" xr:uid="{00000000-0005-0000-0000-0000EB230000}"/>
    <cellStyle name="20% - Accent6 11 3 3 4 2" xfId="43779" xr:uid="{0ED70531-7F3D-4635-96C5-DE0C79905228}"/>
    <cellStyle name="20% - Accent6 11 3 3 5" xfId="27900" xr:uid="{E6DDBD09-16E9-4312-9B60-6CAD087C6EB1}"/>
    <cellStyle name="20% - Accent6 11 3 4" xfId="5786" xr:uid="{00000000-0005-0000-0000-0000EC230000}"/>
    <cellStyle name="20% - Accent6 11 3 4 2" xfId="13770" xr:uid="{00000000-0005-0000-0000-0000ED230000}"/>
    <cellStyle name="20% - Accent6 11 3 4 2 2" xfId="37614" xr:uid="{06ACFE93-86E3-47A8-9A52-62F87887A8AD}"/>
    <cellStyle name="20% - Accent6 11 3 4 3" xfId="21718" xr:uid="{00000000-0005-0000-0000-0000EE230000}"/>
    <cellStyle name="20% - Accent6 11 3 4 3 2" xfId="45551" xr:uid="{B87D5E1D-BC9D-4B97-8DBB-5559D6595797}"/>
    <cellStyle name="20% - Accent6 11 3 4 4" xfId="29673" xr:uid="{1FCED29C-19A6-4FBB-AC59-3E7114302E6F}"/>
    <cellStyle name="20% - Accent6 11 3 5" xfId="9339" xr:uid="{00000000-0005-0000-0000-0000EF230000}"/>
    <cellStyle name="20% - Accent6 11 3 5 2" xfId="17297" xr:uid="{00000000-0005-0000-0000-0000F0230000}"/>
    <cellStyle name="20% - Accent6 11 3 5 2 2" xfId="41138" xr:uid="{A2130A1F-B204-4F69-A44C-15A4F64FD83F}"/>
    <cellStyle name="20% - Accent6 11 3 5 3" xfId="25241" xr:uid="{00000000-0005-0000-0000-0000F1230000}"/>
    <cellStyle name="20% - Accent6 11 3 5 3 2" xfId="49074" xr:uid="{CDA4E298-CA7B-4680-9C8F-95C1A3584308}"/>
    <cellStyle name="20% - Accent6 11 3 5 4" xfId="33197" xr:uid="{F6D4595E-075A-435E-8271-18BDAA7C5C20}"/>
    <cellStyle name="20% - Accent6 11 3 6" xfId="10235" xr:uid="{00000000-0005-0000-0000-0000F2230000}"/>
    <cellStyle name="20% - Accent6 11 3 6 2" xfId="34085" xr:uid="{A8B574D1-23A1-4184-9983-33605B33788A}"/>
    <cellStyle name="20% - Accent6 11 3 7" xfId="18190" xr:uid="{00000000-0005-0000-0000-0000F3230000}"/>
    <cellStyle name="20% - Accent6 11 3 7 2" xfId="42023" xr:uid="{7B4E3ED0-9F48-4A9C-86BB-DD78698F387F}"/>
    <cellStyle name="20% - Accent6 11 3 8" xfId="26143" xr:uid="{14F5699B-CE3F-4493-A4A9-49ECA2440E9B}"/>
    <cellStyle name="20% - Accent6 11 3_Exh G" xfId="2574" xr:uid="{00000000-0005-0000-0000-0000F4230000}"/>
    <cellStyle name="20% - Accent6 11 4" xfId="1312" xr:uid="{00000000-0005-0000-0000-0000F5230000}"/>
    <cellStyle name="20% - Accent6 11 4 2" xfId="4842" xr:uid="{00000000-0005-0000-0000-0000F6230000}"/>
    <cellStyle name="20% - Accent6 11 4 2 2" xfId="8433" xr:uid="{00000000-0005-0000-0000-0000F7230000}"/>
    <cellStyle name="20% - Accent6 11 4 2 2 2" xfId="16404" xr:uid="{00000000-0005-0000-0000-0000F8230000}"/>
    <cellStyle name="20% - Accent6 11 4 2 2 2 2" xfId="40247" xr:uid="{2B8F1A70-D4B3-4166-951E-751EECC4153C}"/>
    <cellStyle name="20% - Accent6 11 4 2 2 3" xfId="24350" xr:uid="{00000000-0005-0000-0000-0000F9230000}"/>
    <cellStyle name="20% - Accent6 11 4 2 2 3 2" xfId="48183" xr:uid="{706FAB24-9ED1-4093-98C6-1FBAACC42E71}"/>
    <cellStyle name="20% - Accent6 11 4 2 2 4" xfId="32306" xr:uid="{E95B45B8-B91A-43FA-B2D2-3A5BF112827B}"/>
    <cellStyle name="20% - Accent6 11 4 2 3" xfId="12866" xr:uid="{00000000-0005-0000-0000-0000FA230000}"/>
    <cellStyle name="20% - Accent6 11 4 2 3 2" xfId="36716" xr:uid="{CAF7BA9F-2AA1-479A-AE7C-DBCAD9BAA584}"/>
    <cellStyle name="20% - Accent6 11 4 2 4" xfId="20821" xr:uid="{00000000-0005-0000-0000-0000FB230000}"/>
    <cellStyle name="20% - Accent6 11 4 2 4 2" xfId="44654" xr:uid="{3A2F3A77-637A-4FFF-8A01-4C2CEA985D8D}"/>
    <cellStyle name="20% - Accent6 11 4 2 5" xfId="28775" xr:uid="{2CA3F443-C351-4C07-81D4-4B20C797AD8B}"/>
    <cellStyle name="20% - Accent6 11 4 3" xfId="6674" xr:uid="{00000000-0005-0000-0000-0000FC230000}"/>
    <cellStyle name="20% - Accent6 11 4 3 2" xfId="14646" xr:uid="{00000000-0005-0000-0000-0000FD230000}"/>
    <cellStyle name="20% - Accent6 11 4 3 2 2" xfId="38489" xr:uid="{C20B514C-9E7D-4D83-B4F4-81CEF90EEB53}"/>
    <cellStyle name="20% - Accent6 11 4 3 3" xfId="22593" xr:uid="{00000000-0005-0000-0000-0000FE230000}"/>
    <cellStyle name="20% - Accent6 11 4 3 3 2" xfId="46426" xr:uid="{EAB7FD3B-0536-4981-824C-2CFBE5386852}"/>
    <cellStyle name="20% - Accent6 11 4 3 4" xfId="30548" xr:uid="{026CA74C-FAC0-428C-9992-E33EA7EC30A1}"/>
    <cellStyle name="20% - Accent6 11 4 4" xfId="11110" xr:uid="{00000000-0005-0000-0000-0000FF230000}"/>
    <cellStyle name="20% - Accent6 11 4 4 2" xfId="34960" xr:uid="{B7E53629-8422-49CB-9AAD-9978378D23B7}"/>
    <cellStyle name="20% - Accent6 11 4 5" xfId="19065" xr:uid="{00000000-0005-0000-0000-000000240000}"/>
    <cellStyle name="20% - Accent6 11 4 5 2" xfId="42898" xr:uid="{68F99852-F159-468C-A451-47A379A7A7BD}"/>
    <cellStyle name="20% - Accent6 11 4 6" xfId="27018" xr:uid="{F39E79BA-C598-4BD2-9B80-3C915D9866C8}"/>
    <cellStyle name="20% - Accent6 11 4_Exh G" xfId="2576" xr:uid="{00000000-0005-0000-0000-000001240000}"/>
    <cellStyle name="20% - Accent6 11 5" xfId="3963" xr:uid="{00000000-0005-0000-0000-000002240000}"/>
    <cellStyle name="20% - Accent6 11 5 2" xfId="7555" xr:uid="{00000000-0005-0000-0000-000003240000}"/>
    <cellStyle name="20% - Accent6 11 5 2 2" xfId="15526" xr:uid="{00000000-0005-0000-0000-000004240000}"/>
    <cellStyle name="20% - Accent6 11 5 2 2 2" xfId="39369" xr:uid="{48AC5E8E-B7B7-4C09-AD92-7E0F37F45CE0}"/>
    <cellStyle name="20% - Accent6 11 5 2 3" xfId="23472" xr:uid="{00000000-0005-0000-0000-000005240000}"/>
    <cellStyle name="20% - Accent6 11 5 2 3 2" xfId="47305" xr:uid="{4D6A32A8-0751-4B59-A04C-53CD309717C7}"/>
    <cellStyle name="20% - Accent6 11 5 2 4" xfId="31428" xr:uid="{50943648-1FDC-4C07-989D-4BE969BAC6CF}"/>
    <cellStyle name="20% - Accent6 11 5 3" xfId="11988" xr:uid="{00000000-0005-0000-0000-000006240000}"/>
    <cellStyle name="20% - Accent6 11 5 3 2" xfId="35838" xr:uid="{05D7F561-3504-4756-810A-5CF27A9F8DB3}"/>
    <cellStyle name="20% - Accent6 11 5 4" xfId="19943" xr:uid="{00000000-0005-0000-0000-000007240000}"/>
    <cellStyle name="20% - Accent6 11 5 4 2" xfId="43776" xr:uid="{107C10E1-7FE6-4993-B07D-D94C19BD85D7}"/>
    <cellStyle name="20% - Accent6 11 5 5" xfId="27897" xr:uid="{2DDE16EF-DEB2-4D6E-9E18-C72A5E8E04E7}"/>
    <cellStyle name="20% - Accent6 11 6" xfId="5783" xr:uid="{00000000-0005-0000-0000-000008240000}"/>
    <cellStyle name="20% - Accent6 11 6 2" xfId="13767" xr:uid="{00000000-0005-0000-0000-000009240000}"/>
    <cellStyle name="20% - Accent6 11 6 2 2" xfId="37611" xr:uid="{A54DD65F-CCE9-4D3B-99FC-DF065D680D9E}"/>
    <cellStyle name="20% - Accent6 11 6 3" xfId="21715" xr:uid="{00000000-0005-0000-0000-00000A240000}"/>
    <cellStyle name="20% - Accent6 11 6 3 2" xfId="45548" xr:uid="{54E8C2E2-EF27-45A5-8238-572EE793F759}"/>
    <cellStyle name="20% - Accent6 11 6 4" xfId="29670" xr:uid="{C40FC6C2-576D-40AA-9EF0-423A7939576D}"/>
    <cellStyle name="20% - Accent6 11 7" xfId="9336" xr:uid="{00000000-0005-0000-0000-00000B240000}"/>
    <cellStyle name="20% - Accent6 11 7 2" xfId="17294" xr:uid="{00000000-0005-0000-0000-00000C240000}"/>
    <cellStyle name="20% - Accent6 11 7 2 2" xfId="41135" xr:uid="{41D368A5-5B58-40D5-9381-532B0B554AFC}"/>
    <cellStyle name="20% - Accent6 11 7 3" xfId="25238" xr:uid="{00000000-0005-0000-0000-00000D240000}"/>
    <cellStyle name="20% - Accent6 11 7 3 2" xfId="49071" xr:uid="{72A53DB3-92EB-47A0-AB91-BFDBC3B6C55C}"/>
    <cellStyle name="20% - Accent6 11 7 4" xfId="33194" xr:uid="{1D20A7E9-B653-4FD9-8640-B949EB1EFF84}"/>
    <cellStyle name="20% - Accent6 11 8" xfId="10232" xr:uid="{00000000-0005-0000-0000-00000E240000}"/>
    <cellStyle name="20% - Accent6 11 8 2" xfId="34082" xr:uid="{98570424-21E2-405C-B496-81ECCF87B0A7}"/>
    <cellStyle name="20% - Accent6 11 9" xfId="18187" xr:uid="{00000000-0005-0000-0000-00000F240000}"/>
    <cellStyle name="20% - Accent6 11 9 2" xfId="42020" xr:uid="{ADB677FE-8184-4066-96B8-2901B1787DB3}"/>
    <cellStyle name="20% - Accent6 11_Exh G" xfId="2569" xr:uid="{00000000-0005-0000-0000-000010240000}"/>
    <cellStyle name="20% - Accent6 12" xfId="288" xr:uid="{00000000-0005-0000-0000-000011240000}"/>
    <cellStyle name="20% - Accent6 12 10" xfId="26144" xr:uid="{8EC87A3A-1FCF-4146-932F-B895CF42C8E9}"/>
    <cellStyle name="20% - Accent6 12 2" xfId="289" xr:uid="{00000000-0005-0000-0000-000012240000}"/>
    <cellStyle name="20% - Accent6 12 2 2" xfId="290" xr:uid="{00000000-0005-0000-0000-000013240000}"/>
    <cellStyle name="20% - Accent6 12 2 2 2" xfId="1318" xr:uid="{00000000-0005-0000-0000-000014240000}"/>
    <cellStyle name="20% - Accent6 12 2 2 2 2" xfId="4848" xr:uid="{00000000-0005-0000-0000-000015240000}"/>
    <cellStyle name="20% - Accent6 12 2 2 2 2 2" xfId="8439" xr:uid="{00000000-0005-0000-0000-000016240000}"/>
    <cellStyle name="20% - Accent6 12 2 2 2 2 2 2" xfId="16410" xr:uid="{00000000-0005-0000-0000-000017240000}"/>
    <cellStyle name="20% - Accent6 12 2 2 2 2 2 2 2" xfId="40253" xr:uid="{50495562-6257-498B-9D3B-79E960D3C8EF}"/>
    <cellStyle name="20% - Accent6 12 2 2 2 2 2 3" xfId="24356" xr:uid="{00000000-0005-0000-0000-000018240000}"/>
    <cellStyle name="20% - Accent6 12 2 2 2 2 2 3 2" xfId="48189" xr:uid="{B972F7DD-2DC6-4905-BB8F-2B342A9044E7}"/>
    <cellStyle name="20% - Accent6 12 2 2 2 2 2 4" xfId="32312" xr:uid="{12AD059D-D522-4A70-AFD9-D0380615F205}"/>
    <cellStyle name="20% - Accent6 12 2 2 2 2 3" xfId="12872" xr:uid="{00000000-0005-0000-0000-000019240000}"/>
    <cellStyle name="20% - Accent6 12 2 2 2 2 3 2" xfId="36722" xr:uid="{7C5821D5-9A0C-45E2-9263-EBC305B2A0A1}"/>
    <cellStyle name="20% - Accent6 12 2 2 2 2 4" xfId="20827" xr:uid="{00000000-0005-0000-0000-00001A240000}"/>
    <cellStyle name="20% - Accent6 12 2 2 2 2 4 2" xfId="44660" xr:uid="{1EFFC95A-BF1C-4545-8CEC-39073089C0F3}"/>
    <cellStyle name="20% - Accent6 12 2 2 2 2 5" xfId="28781" xr:uid="{9F4B9C9D-BF85-4A24-B5B2-7E6CCADFC5F2}"/>
    <cellStyle name="20% - Accent6 12 2 2 2 3" xfId="6680" xr:uid="{00000000-0005-0000-0000-00001B240000}"/>
    <cellStyle name="20% - Accent6 12 2 2 2 3 2" xfId="14652" xr:uid="{00000000-0005-0000-0000-00001C240000}"/>
    <cellStyle name="20% - Accent6 12 2 2 2 3 2 2" xfId="38495" xr:uid="{2EE1418F-DDA3-4203-AF35-5B74D3960F47}"/>
    <cellStyle name="20% - Accent6 12 2 2 2 3 3" xfId="22599" xr:uid="{00000000-0005-0000-0000-00001D240000}"/>
    <cellStyle name="20% - Accent6 12 2 2 2 3 3 2" xfId="46432" xr:uid="{8693E007-110F-4AF1-94CC-EBBA2EC04460}"/>
    <cellStyle name="20% - Accent6 12 2 2 2 3 4" xfId="30554" xr:uid="{A96AF53C-8781-4EE7-B6A7-F23DBFC2E037}"/>
    <cellStyle name="20% - Accent6 12 2 2 2 4" xfId="11116" xr:uid="{00000000-0005-0000-0000-00001E240000}"/>
    <cellStyle name="20% - Accent6 12 2 2 2 4 2" xfId="34966" xr:uid="{0837299D-EF0D-43B1-A436-BFFB0F2CD870}"/>
    <cellStyle name="20% - Accent6 12 2 2 2 5" xfId="19071" xr:uid="{00000000-0005-0000-0000-00001F240000}"/>
    <cellStyle name="20% - Accent6 12 2 2 2 5 2" xfId="42904" xr:uid="{46FA62D4-C5CD-45C8-BC56-2A9B19EBF18C}"/>
    <cellStyle name="20% - Accent6 12 2 2 2 6" xfId="27024" xr:uid="{0AE0C34C-CE9C-495C-8A64-DCDF3E578CEA}"/>
    <cellStyle name="20% - Accent6 12 2 2 2_Exh G" xfId="2580" xr:uid="{00000000-0005-0000-0000-000020240000}"/>
    <cellStyle name="20% - Accent6 12 2 2 3" xfId="3969" xr:uid="{00000000-0005-0000-0000-000021240000}"/>
    <cellStyle name="20% - Accent6 12 2 2 3 2" xfId="7561" xr:uid="{00000000-0005-0000-0000-000022240000}"/>
    <cellStyle name="20% - Accent6 12 2 2 3 2 2" xfId="15532" xr:uid="{00000000-0005-0000-0000-000023240000}"/>
    <cellStyle name="20% - Accent6 12 2 2 3 2 2 2" xfId="39375" xr:uid="{3D808422-1103-477D-B5CE-F5BCF6EE585C}"/>
    <cellStyle name="20% - Accent6 12 2 2 3 2 3" xfId="23478" xr:uid="{00000000-0005-0000-0000-000024240000}"/>
    <cellStyle name="20% - Accent6 12 2 2 3 2 3 2" xfId="47311" xr:uid="{58D4B570-99C2-427F-B337-297A16FDDB22}"/>
    <cellStyle name="20% - Accent6 12 2 2 3 2 4" xfId="31434" xr:uid="{134BFF77-8EFA-400A-B11E-47277D5579AC}"/>
    <cellStyle name="20% - Accent6 12 2 2 3 3" xfId="11994" xr:uid="{00000000-0005-0000-0000-000025240000}"/>
    <cellStyle name="20% - Accent6 12 2 2 3 3 2" xfId="35844" xr:uid="{329A60C3-C2E7-407B-91B1-89FC5BD4E635}"/>
    <cellStyle name="20% - Accent6 12 2 2 3 4" xfId="19949" xr:uid="{00000000-0005-0000-0000-000026240000}"/>
    <cellStyle name="20% - Accent6 12 2 2 3 4 2" xfId="43782" xr:uid="{B3F8E908-EF49-406F-AFFC-848A012AB4E8}"/>
    <cellStyle name="20% - Accent6 12 2 2 3 5" xfId="27903" xr:uid="{ABA60406-17E5-45B5-8A43-2FF86C5C57B7}"/>
    <cellStyle name="20% - Accent6 12 2 2 4" xfId="5789" xr:uid="{00000000-0005-0000-0000-000027240000}"/>
    <cellStyle name="20% - Accent6 12 2 2 4 2" xfId="13773" xr:uid="{00000000-0005-0000-0000-000028240000}"/>
    <cellStyle name="20% - Accent6 12 2 2 4 2 2" xfId="37617" xr:uid="{C75B88C3-AA5D-4169-B9AF-0C7910DDDFEF}"/>
    <cellStyle name="20% - Accent6 12 2 2 4 3" xfId="21721" xr:uid="{00000000-0005-0000-0000-000029240000}"/>
    <cellStyle name="20% - Accent6 12 2 2 4 3 2" xfId="45554" xr:uid="{19733C38-A06F-4731-95E2-FA4E38D6C23B}"/>
    <cellStyle name="20% - Accent6 12 2 2 4 4" xfId="29676" xr:uid="{6B70B35B-AA1B-4F72-8F34-FA3DFB456656}"/>
    <cellStyle name="20% - Accent6 12 2 2 5" xfId="9342" xr:uid="{00000000-0005-0000-0000-00002A240000}"/>
    <cellStyle name="20% - Accent6 12 2 2 5 2" xfId="17300" xr:uid="{00000000-0005-0000-0000-00002B240000}"/>
    <cellStyle name="20% - Accent6 12 2 2 5 2 2" xfId="41141" xr:uid="{D3582E01-C490-450A-A3CE-52B86E3041CC}"/>
    <cellStyle name="20% - Accent6 12 2 2 5 3" xfId="25244" xr:uid="{00000000-0005-0000-0000-00002C240000}"/>
    <cellStyle name="20% - Accent6 12 2 2 5 3 2" xfId="49077" xr:uid="{78D0CFCC-0B98-45D4-8F81-1C9AC9370071}"/>
    <cellStyle name="20% - Accent6 12 2 2 5 4" xfId="33200" xr:uid="{58978295-D493-4F06-84AB-6C6A17ADDFEA}"/>
    <cellStyle name="20% - Accent6 12 2 2 6" xfId="10238" xr:uid="{00000000-0005-0000-0000-00002D240000}"/>
    <cellStyle name="20% - Accent6 12 2 2 6 2" xfId="34088" xr:uid="{6F9DD69F-8CF5-4BCA-AF02-FE2BAA91F0F1}"/>
    <cellStyle name="20% - Accent6 12 2 2 7" xfId="18193" xr:uid="{00000000-0005-0000-0000-00002E240000}"/>
    <cellStyle name="20% - Accent6 12 2 2 7 2" xfId="42026" xr:uid="{8990B59F-CEFA-4912-AC97-4F0FD1AF356E}"/>
    <cellStyle name="20% - Accent6 12 2 2 8" xfId="26146" xr:uid="{B637B9FE-E3AB-47C5-96E1-3C86782382FB}"/>
    <cellStyle name="20% - Accent6 12 2 2_Exh G" xfId="2579" xr:uid="{00000000-0005-0000-0000-00002F240000}"/>
    <cellStyle name="20% - Accent6 12 2 3" xfId="1317" xr:uid="{00000000-0005-0000-0000-000030240000}"/>
    <cellStyle name="20% - Accent6 12 2 3 2" xfId="4847" xr:uid="{00000000-0005-0000-0000-000031240000}"/>
    <cellStyle name="20% - Accent6 12 2 3 2 2" xfId="8438" xr:uid="{00000000-0005-0000-0000-000032240000}"/>
    <cellStyle name="20% - Accent6 12 2 3 2 2 2" xfId="16409" xr:uid="{00000000-0005-0000-0000-000033240000}"/>
    <cellStyle name="20% - Accent6 12 2 3 2 2 2 2" xfId="40252" xr:uid="{3F9F7EE9-7418-408B-9FDF-10976C7FC4BC}"/>
    <cellStyle name="20% - Accent6 12 2 3 2 2 3" xfId="24355" xr:uid="{00000000-0005-0000-0000-000034240000}"/>
    <cellStyle name="20% - Accent6 12 2 3 2 2 3 2" xfId="48188" xr:uid="{02A91B94-98B6-4DB3-95B0-B554AB9AE2E6}"/>
    <cellStyle name="20% - Accent6 12 2 3 2 2 4" xfId="32311" xr:uid="{2EBC8CEA-7724-4236-A36B-5EB430446718}"/>
    <cellStyle name="20% - Accent6 12 2 3 2 3" xfId="12871" xr:uid="{00000000-0005-0000-0000-000035240000}"/>
    <cellStyle name="20% - Accent6 12 2 3 2 3 2" xfId="36721" xr:uid="{10264039-A20B-4EA6-9DBA-C8F35244F39B}"/>
    <cellStyle name="20% - Accent6 12 2 3 2 4" xfId="20826" xr:uid="{00000000-0005-0000-0000-000036240000}"/>
    <cellStyle name="20% - Accent6 12 2 3 2 4 2" xfId="44659" xr:uid="{C9F1FF3F-24FE-4DD7-9E51-99373096E6AC}"/>
    <cellStyle name="20% - Accent6 12 2 3 2 5" xfId="28780" xr:uid="{63B6D284-6FD6-453F-9A6D-2407F11E1CD5}"/>
    <cellStyle name="20% - Accent6 12 2 3 3" xfId="6679" xr:uid="{00000000-0005-0000-0000-000037240000}"/>
    <cellStyle name="20% - Accent6 12 2 3 3 2" xfId="14651" xr:uid="{00000000-0005-0000-0000-000038240000}"/>
    <cellStyle name="20% - Accent6 12 2 3 3 2 2" xfId="38494" xr:uid="{4F76A80A-004B-4FF0-AD63-03168DFAE1D3}"/>
    <cellStyle name="20% - Accent6 12 2 3 3 3" xfId="22598" xr:uid="{00000000-0005-0000-0000-000039240000}"/>
    <cellStyle name="20% - Accent6 12 2 3 3 3 2" xfId="46431" xr:uid="{8EF525BF-DF81-49E0-A0B1-08F310501172}"/>
    <cellStyle name="20% - Accent6 12 2 3 3 4" xfId="30553" xr:uid="{F02EF114-2EBB-4476-A105-F2628E95FE3D}"/>
    <cellStyle name="20% - Accent6 12 2 3 4" xfId="11115" xr:uid="{00000000-0005-0000-0000-00003A240000}"/>
    <cellStyle name="20% - Accent6 12 2 3 4 2" xfId="34965" xr:uid="{62405DE2-E9BA-436D-9658-B85C0BBD26BF}"/>
    <cellStyle name="20% - Accent6 12 2 3 5" xfId="19070" xr:uid="{00000000-0005-0000-0000-00003B240000}"/>
    <cellStyle name="20% - Accent6 12 2 3 5 2" xfId="42903" xr:uid="{DA9D5451-3E83-4C66-ACA5-D50A1193CF16}"/>
    <cellStyle name="20% - Accent6 12 2 3 6" xfId="27023" xr:uid="{F4FC350F-8444-48FF-BD4E-4814716DFE24}"/>
    <cellStyle name="20% - Accent6 12 2 3_Exh G" xfId="2581" xr:uid="{00000000-0005-0000-0000-00003C240000}"/>
    <cellStyle name="20% - Accent6 12 2 4" xfId="3968" xr:uid="{00000000-0005-0000-0000-00003D240000}"/>
    <cellStyle name="20% - Accent6 12 2 4 2" xfId="7560" xr:uid="{00000000-0005-0000-0000-00003E240000}"/>
    <cellStyle name="20% - Accent6 12 2 4 2 2" xfId="15531" xr:uid="{00000000-0005-0000-0000-00003F240000}"/>
    <cellStyle name="20% - Accent6 12 2 4 2 2 2" xfId="39374" xr:uid="{6941C9AA-FFC9-476B-BF1A-2A78C7C99C18}"/>
    <cellStyle name="20% - Accent6 12 2 4 2 3" xfId="23477" xr:uid="{00000000-0005-0000-0000-000040240000}"/>
    <cellStyle name="20% - Accent6 12 2 4 2 3 2" xfId="47310" xr:uid="{187335CE-50CD-4B9D-8DA3-9E22287D3072}"/>
    <cellStyle name="20% - Accent6 12 2 4 2 4" xfId="31433" xr:uid="{3FB2A466-4610-4864-8E5E-3234B6F79401}"/>
    <cellStyle name="20% - Accent6 12 2 4 3" xfId="11993" xr:uid="{00000000-0005-0000-0000-000041240000}"/>
    <cellStyle name="20% - Accent6 12 2 4 3 2" xfId="35843" xr:uid="{4653E0D9-034D-42CC-9A16-8B829E657F48}"/>
    <cellStyle name="20% - Accent6 12 2 4 4" xfId="19948" xr:uid="{00000000-0005-0000-0000-000042240000}"/>
    <cellStyle name="20% - Accent6 12 2 4 4 2" xfId="43781" xr:uid="{FA48C67A-A0B0-48DF-BE9F-DF314C23CF13}"/>
    <cellStyle name="20% - Accent6 12 2 4 5" xfId="27902" xr:uid="{BF3B15E6-B6FA-42D4-AED3-9293889B2E61}"/>
    <cellStyle name="20% - Accent6 12 2 5" xfId="5788" xr:uid="{00000000-0005-0000-0000-000043240000}"/>
    <cellStyle name="20% - Accent6 12 2 5 2" xfId="13772" xr:uid="{00000000-0005-0000-0000-000044240000}"/>
    <cellStyle name="20% - Accent6 12 2 5 2 2" xfId="37616" xr:uid="{37849CF2-BCD1-4963-951D-FD74400C3155}"/>
    <cellStyle name="20% - Accent6 12 2 5 3" xfId="21720" xr:uid="{00000000-0005-0000-0000-000045240000}"/>
    <cellStyle name="20% - Accent6 12 2 5 3 2" xfId="45553" xr:uid="{1F8A98EF-1DD9-4323-8013-E086AC2A8764}"/>
    <cellStyle name="20% - Accent6 12 2 5 4" xfId="29675" xr:uid="{4B565F72-5D26-45AB-8ADD-BD3D91A7AC45}"/>
    <cellStyle name="20% - Accent6 12 2 6" xfId="9341" xr:uid="{00000000-0005-0000-0000-000046240000}"/>
    <cellStyle name="20% - Accent6 12 2 6 2" xfId="17299" xr:uid="{00000000-0005-0000-0000-000047240000}"/>
    <cellStyle name="20% - Accent6 12 2 6 2 2" xfId="41140" xr:uid="{343FDA53-23A6-4E48-B2D3-C9989B186568}"/>
    <cellStyle name="20% - Accent6 12 2 6 3" xfId="25243" xr:uid="{00000000-0005-0000-0000-000048240000}"/>
    <cellStyle name="20% - Accent6 12 2 6 3 2" xfId="49076" xr:uid="{236E0295-0961-4C00-B0E1-E0BC7D7D1E94}"/>
    <cellStyle name="20% - Accent6 12 2 6 4" xfId="33199" xr:uid="{2D18F12B-0198-4A91-B85A-969149E6E972}"/>
    <cellStyle name="20% - Accent6 12 2 7" xfId="10237" xr:uid="{00000000-0005-0000-0000-000049240000}"/>
    <cellStyle name="20% - Accent6 12 2 7 2" xfId="34087" xr:uid="{6ED8DED6-6E7B-4384-ADD5-6473EE515D07}"/>
    <cellStyle name="20% - Accent6 12 2 8" xfId="18192" xr:uid="{00000000-0005-0000-0000-00004A240000}"/>
    <cellStyle name="20% - Accent6 12 2 8 2" xfId="42025" xr:uid="{6703A4E0-3E9B-4EB3-A0DC-FF38F5E7451D}"/>
    <cellStyle name="20% - Accent6 12 2 9" xfId="26145" xr:uid="{26C27A84-FD7E-4BF5-9FA6-DB5DD20CD6DF}"/>
    <cellStyle name="20% - Accent6 12 2_Exh G" xfId="2578" xr:uid="{00000000-0005-0000-0000-00004B240000}"/>
    <cellStyle name="20% - Accent6 12 3" xfId="291" xr:uid="{00000000-0005-0000-0000-00004C240000}"/>
    <cellStyle name="20% - Accent6 12 3 2" xfId="1319" xr:uid="{00000000-0005-0000-0000-00004D240000}"/>
    <cellStyle name="20% - Accent6 12 3 2 2" xfId="4849" xr:uid="{00000000-0005-0000-0000-00004E240000}"/>
    <cellStyle name="20% - Accent6 12 3 2 2 2" xfId="8440" xr:uid="{00000000-0005-0000-0000-00004F240000}"/>
    <cellStyle name="20% - Accent6 12 3 2 2 2 2" xfId="16411" xr:uid="{00000000-0005-0000-0000-000050240000}"/>
    <cellStyle name="20% - Accent6 12 3 2 2 2 2 2" xfId="40254" xr:uid="{3620597C-E37D-481A-884B-FD0CC32E95C9}"/>
    <cellStyle name="20% - Accent6 12 3 2 2 2 3" xfId="24357" xr:uid="{00000000-0005-0000-0000-000051240000}"/>
    <cellStyle name="20% - Accent6 12 3 2 2 2 3 2" xfId="48190" xr:uid="{CB4E2CDE-4CBB-49FF-ACBD-4DD9D40E3F10}"/>
    <cellStyle name="20% - Accent6 12 3 2 2 2 4" xfId="32313" xr:uid="{72822256-F80B-4B67-82C6-E1369CCA65A9}"/>
    <cellStyle name="20% - Accent6 12 3 2 2 3" xfId="12873" xr:uid="{00000000-0005-0000-0000-000052240000}"/>
    <cellStyle name="20% - Accent6 12 3 2 2 3 2" xfId="36723" xr:uid="{CE380C1C-56CD-4001-BBDF-46FE528DCB62}"/>
    <cellStyle name="20% - Accent6 12 3 2 2 4" xfId="20828" xr:uid="{00000000-0005-0000-0000-000053240000}"/>
    <cellStyle name="20% - Accent6 12 3 2 2 4 2" xfId="44661" xr:uid="{D1B26870-3E08-406B-9F01-30AF5DD10CB9}"/>
    <cellStyle name="20% - Accent6 12 3 2 2 5" xfId="28782" xr:uid="{43E5F2A4-2DD9-4C9B-A126-6BF1C8DB48ED}"/>
    <cellStyle name="20% - Accent6 12 3 2 3" xfId="6681" xr:uid="{00000000-0005-0000-0000-000054240000}"/>
    <cellStyle name="20% - Accent6 12 3 2 3 2" xfId="14653" xr:uid="{00000000-0005-0000-0000-000055240000}"/>
    <cellStyle name="20% - Accent6 12 3 2 3 2 2" xfId="38496" xr:uid="{CAF435A0-A4CD-45A2-8E72-C58E4325521A}"/>
    <cellStyle name="20% - Accent6 12 3 2 3 3" xfId="22600" xr:uid="{00000000-0005-0000-0000-000056240000}"/>
    <cellStyle name="20% - Accent6 12 3 2 3 3 2" xfId="46433" xr:uid="{160BC98B-D49E-43A8-AEA4-C389AB98146C}"/>
    <cellStyle name="20% - Accent6 12 3 2 3 4" xfId="30555" xr:uid="{F9FD2BA8-B33B-4E3C-B310-D1AE7988524D}"/>
    <cellStyle name="20% - Accent6 12 3 2 4" xfId="11117" xr:uid="{00000000-0005-0000-0000-000057240000}"/>
    <cellStyle name="20% - Accent6 12 3 2 4 2" xfId="34967" xr:uid="{BFE97085-C1A4-494C-98B5-9130007D07DF}"/>
    <cellStyle name="20% - Accent6 12 3 2 5" xfId="19072" xr:uid="{00000000-0005-0000-0000-000058240000}"/>
    <cellStyle name="20% - Accent6 12 3 2 5 2" xfId="42905" xr:uid="{0D7E26DB-9BE3-4DFC-B7C4-8B548A87F5C9}"/>
    <cellStyle name="20% - Accent6 12 3 2 6" xfId="27025" xr:uid="{D3EC8E3D-4C55-44A2-9FD8-E1C12F6E5666}"/>
    <cellStyle name="20% - Accent6 12 3 2_Exh G" xfId="2583" xr:uid="{00000000-0005-0000-0000-000059240000}"/>
    <cellStyle name="20% - Accent6 12 3 3" xfId="3970" xr:uid="{00000000-0005-0000-0000-00005A240000}"/>
    <cellStyle name="20% - Accent6 12 3 3 2" xfId="7562" xr:uid="{00000000-0005-0000-0000-00005B240000}"/>
    <cellStyle name="20% - Accent6 12 3 3 2 2" xfId="15533" xr:uid="{00000000-0005-0000-0000-00005C240000}"/>
    <cellStyle name="20% - Accent6 12 3 3 2 2 2" xfId="39376" xr:uid="{1BF5C542-7D1C-41E5-A0DA-A7BA83525AF7}"/>
    <cellStyle name="20% - Accent6 12 3 3 2 3" xfId="23479" xr:uid="{00000000-0005-0000-0000-00005D240000}"/>
    <cellStyle name="20% - Accent6 12 3 3 2 3 2" xfId="47312" xr:uid="{2C67DF63-D853-4F62-ACB4-CF6FE00F0418}"/>
    <cellStyle name="20% - Accent6 12 3 3 2 4" xfId="31435" xr:uid="{73480544-7E42-421D-B986-91FB67A0110D}"/>
    <cellStyle name="20% - Accent6 12 3 3 3" xfId="11995" xr:uid="{00000000-0005-0000-0000-00005E240000}"/>
    <cellStyle name="20% - Accent6 12 3 3 3 2" xfId="35845" xr:uid="{1A223AF8-48F8-47D9-9AE9-F570AE9B8018}"/>
    <cellStyle name="20% - Accent6 12 3 3 4" xfId="19950" xr:uid="{00000000-0005-0000-0000-00005F240000}"/>
    <cellStyle name="20% - Accent6 12 3 3 4 2" xfId="43783" xr:uid="{2B7513BD-F10F-4FE5-86BA-BBC21782E279}"/>
    <cellStyle name="20% - Accent6 12 3 3 5" xfId="27904" xr:uid="{D61B5585-0035-4C2C-97B4-9E8CEB433762}"/>
    <cellStyle name="20% - Accent6 12 3 4" xfId="5790" xr:uid="{00000000-0005-0000-0000-000060240000}"/>
    <cellStyle name="20% - Accent6 12 3 4 2" xfId="13774" xr:uid="{00000000-0005-0000-0000-000061240000}"/>
    <cellStyle name="20% - Accent6 12 3 4 2 2" xfId="37618" xr:uid="{F458C058-AB13-4D9E-BBCD-CF94D770F319}"/>
    <cellStyle name="20% - Accent6 12 3 4 3" xfId="21722" xr:uid="{00000000-0005-0000-0000-000062240000}"/>
    <cellStyle name="20% - Accent6 12 3 4 3 2" xfId="45555" xr:uid="{C86F7A35-7DA6-481A-9227-3B4B5BA838C0}"/>
    <cellStyle name="20% - Accent6 12 3 4 4" xfId="29677" xr:uid="{7ECD867A-77EE-46FA-BF8A-EAE0D574B117}"/>
    <cellStyle name="20% - Accent6 12 3 5" xfId="9343" xr:uid="{00000000-0005-0000-0000-000063240000}"/>
    <cellStyle name="20% - Accent6 12 3 5 2" xfId="17301" xr:uid="{00000000-0005-0000-0000-000064240000}"/>
    <cellStyle name="20% - Accent6 12 3 5 2 2" xfId="41142" xr:uid="{698E9505-59E6-4C4E-81D7-E93DD4C043E9}"/>
    <cellStyle name="20% - Accent6 12 3 5 3" xfId="25245" xr:uid="{00000000-0005-0000-0000-000065240000}"/>
    <cellStyle name="20% - Accent6 12 3 5 3 2" xfId="49078" xr:uid="{D71EC025-3979-4640-9DC4-D1A50E5B4C48}"/>
    <cellStyle name="20% - Accent6 12 3 5 4" xfId="33201" xr:uid="{8059B9DD-BDB7-4CF6-8D61-3116E4FED597}"/>
    <cellStyle name="20% - Accent6 12 3 6" xfId="10239" xr:uid="{00000000-0005-0000-0000-000066240000}"/>
    <cellStyle name="20% - Accent6 12 3 6 2" xfId="34089" xr:uid="{14751C5C-A1F5-4750-BD17-DE7FFEF26E66}"/>
    <cellStyle name="20% - Accent6 12 3 7" xfId="18194" xr:uid="{00000000-0005-0000-0000-000067240000}"/>
    <cellStyle name="20% - Accent6 12 3 7 2" xfId="42027" xr:uid="{2B3FCCCB-8823-414E-BD60-F8CAAD9A9CA6}"/>
    <cellStyle name="20% - Accent6 12 3 8" xfId="26147" xr:uid="{787381E6-87F6-46C6-AED6-8C0C099D28AA}"/>
    <cellStyle name="20% - Accent6 12 3_Exh G" xfId="2582" xr:uid="{00000000-0005-0000-0000-000068240000}"/>
    <cellStyle name="20% - Accent6 12 4" xfId="1316" xr:uid="{00000000-0005-0000-0000-000069240000}"/>
    <cellStyle name="20% - Accent6 12 4 2" xfId="4846" xr:uid="{00000000-0005-0000-0000-00006A240000}"/>
    <cellStyle name="20% - Accent6 12 4 2 2" xfId="8437" xr:uid="{00000000-0005-0000-0000-00006B240000}"/>
    <cellStyle name="20% - Accent6 12 4 2 2 2" xfId="16408" xr:uid="{00000000-0005-0000-0000-00006C240000}"/>
    <cellStyle name="20% - Accent6 12 4 2 2 2 2" xfId="40251" xr:uid="{663651A8-D8E1-4DE9-AAA1-AD068A368832}"/>
    <cellStyle name="20% - Accent6 12 4 2 2 3" xfId="24354" xr:uid="{00000000-0005-0000-0000-00006D240000}"/>
    <cellStyle name="20% - Accent6 12 4 2 2 3 2" xfId="48187" xr:uid="{E8158A24-B5E1-403D-ACFF-B676E592C1B9}"/>
    <cellStyle name="20% - Accent6 12 4 2 2 4" xfId="32310" xr:uid="{1E144CC8-11B3-4135-B383-7B516A798CEB}"/>
    <cellStyle name="20% - Accent6 12 4 2 3" xfId="12870" xr:uid="{00000000-0005-0000-0000-00006E240000}"/>
    <cellStyle name="20% - Accent6 12 4 2 3 2" xfId="36720" xr:uid="{7D553BFF-EE32-4F3A-915E-7AB281D00983}"/>
    <cellStyle name="20% - Accent6 12 4 2 4" xfId="20825" xr:uid="{00000000-0005-0000-0000-00006F240000}"/>
    <cellStyle name="20% - Accent6 12 4 2 4 2" xfId="44658" xr:uid="{57639075-1878-4B36-B734-37268A5EDF89}"/>
    <cellStyle name="20% - Accent6 12 4 2 5" xfId="28779" xr:uid="{EB26C705-17FB-4FEE-9B55-736899A61414}"/>
    <cellStyle name="20% - Accent6 12 4 3" xfId="6678" xr:uid="{00000000-0005-0000-0000-000070240000}"/>
    <cellStyle name="20% - Accent6 12 4 3 2" xfId="14650" xr:uid="{00000000-0005-0000-0000-000071240000}"/>
    <cellStyle name="20% - Accent6 12 4 3 2 2" xfId="38493" xr:uid="{BA6AD2C5-D49A-4D57-935D-E4D745EE70E8}"/>
    <cellStyle name="20% - Accent6 12 4 3 3" xfId="22597" xr:uid="{00000000-0005-0000-0000-000072240000}"/>
    <cellStyle name="20% - Accent6 12 4 3 3 2" xfId="46430" xr:uid="{DB0992B9-A8A1-4F5B-8FF5-078F470444E6}"/>
    <cellStyle name="20% - Accent6 12 4 3 4" xfId="30552" xr:uid="{683E5479-4253-4926-8772-E3FD118EF1D8}"/>
    <cellStyle name="20% - Accent6 12 4 4" xfId="11114" xr:uid="{00000000-0005-0000-0000-000073240000}"/>
    <cellStyle name="20% - Accent6 12 4 4 2" xfId="34964" xr:uid="{6CD39D42-0C21-45C5-B3B8-511887E90F79}"/>
    <cellStyle name="20% - Accent6 12 4 5" xfId="19069" xr:uid="{00000000-0005-0000-0000-000074240000}"/>
    <cellStyle name="20% - Accent6 12 4 5 2" xfId="42902" xr:uid="{20CD884C-B2FD-4D1B-A476-86CAD6492ED1}"/>
    <cellStyle name="20% - Accent6 12 4 6" xfId="27022" xr:uid="{CDEA221C-37D2-4F65-9558-D5C1CAF1F08B}"/>
    <cellStyle name="20% - Accent6 12 4_Exh G" xfId="2584" xr:uid="{00000000-0005-0000-0000-000075240000}"/>
    <cellStyle name="20% - Accent6 12 5" xfId="3967" xr:uid="{00000000-0005-0000-0000-000076240000}"/>
    <cellStyle name="20% - Accent6 12 5 2" xfId="7559" xr:uid="{00000000-0005-0000-0000-000077240000}"/>
    <cellStyle name="20% - Accent6 12 5 2 2" xfId="15530" xr:uid="{00000000-0005-0000-0000-000078240000}"/>
    <cellStyle name="20% - Accent6 12 5 2 2 2" xfId="39373" xr:uid="{D7F41DF7-CF57-4F97-AD03-F7D0156A1CEE}"/>
    <cellStyle name="20% - Accent6 12 5 2 3" xfId="23476" xr:uid="{00000000-0005-0000-0000-000079240000}"/>
    <cellStyle name="20% - Accent6 12 5 2 3 2" xfId="47309" xr:uid="{AF6B6C44-011D-4AD8-9CC0-EFE44BDFF515}"/>
    <cellStyle name="20% - Accent6 12 5 2 4" xfId="31432" xr:uid="{BF8402CD-11EA-475E-94B7-5F5CA9F58D8A}"/>
    <cellStyle name="20% - Accent6 12 5 3" xfId="11992" xr:uid="{00000000-0005-0000-0000-00007A240000}"/>
    <cellStyle name="20% - Accent6 12 5 3 2" xfId="35842" xr:uid="{BDC1BF99-E5E6-4030-A81D-96F1010F5B31}"/>
    <cellStyle name="20% - Accent6 12 5 4" xfId="19947" xr:uid="{00000000-0005-0000-0000-00007B240000}"/>
    <cellStyle name="20% - Accent6 12 5 4 2" xfId="43780" xr:uid="{FBE7A0BD-BABA-45C3-8A12-03E947781030}"/>
    <cellStyle name="20% - Accent6 12 5 5" xfId="27901" xr:uid="{C308FABB-7709-4939-A64D-4E22AEC318C6}"/>
    <cellStyle name="20% - Accent6 12 6" xfId="5787" xr:uid="{00000000-0005-0000-0000-00007C240000}"/>
    <cellStyle name="20% - Accent6 12 6 2" xfId="13771" xr:uid="{00000000-0005-0000-0000-00007D240000}"/>
    <cellStyle name="20% - Accent6 12 6 2 2" xfId="37615" xr:uid="{BAC22811-1644-45D9-A52A-17EA3DCA1055}"/>
    <cellStyle name="20% - Accent6 12 6 3" xfId="21719" xr:uid="{00000000-0005-0000-0000-00007E240000}"/>
    <cellStyle name="20% - Accent6 12 6 3 2" xfId="45552" xr:uid="{4575A05B-C013-4457-A219-E521279ED16C}"/>
    <cellStyle name="20% - Accent6 12 6 4" xfId="29674" xr:uid="{6BEEAAAE-77C6-44D8-A9A1-0BCC9C6BEE68}"/>
    <cellStyle name="20% - Accent6 12 7" xfId="9340" xr:uid="{00000000-0005-0000-0000-00007F240000}"/>
    <cellStyle name="20% - Accent6 12 7 2" xfId="17298" xr:uid="{00000000-0005-0000-0000-000080240000}"/>
    <cellStyle name="20% - Accent6 12 7 2 2" xfId="41139" xr:uid="{AD962693-3F1D-442E-938B-61A973FE6C8E}"/>
    <cellStyle name="20% - Accent6 12 7 3" xfId="25242" xr:uid="{00000000-0005-0000-0000-000081240000}"/>
    <cellStyle name="20% - Accent6 12 7 3 2" xfId="49075" xr:uid="{D0A6B0CE-7736-4634-9B12-D23532876E1A}"/>
    <cellStyle name="20% - Accent6 12 7 4" xfId="33198" xr:uid="{A44FD793-0EBA-4D6F-8C3E-085FC512D1A2}"/>
    <cellStyle name="20% - Accent6 12 8" xfId="10236" xr:uid="{00000000-0005-0000-0000-000082240000}"/>
    <cellStyle name="20% - Accent6 12 8 2" xfId="34086" xr:uid="{C54ECBCA-36FA-4614-847F-A5D30D3D8686}"/>
    <cellStyle name="20% - Accent6 12 9" xfId="18191" xr:uid="{00000000-0005-0000-0000-000083240000}"/>
    <cellStyle name="20% - Accent6 12 9 2" xfId="42024" xr:uid="{6177B55A-97D8-47BB-A769-637FF419AF2A}"/>
    <cellStyle name="20% - Accent6 12_Exh G" xfId="2577" xr:uid="{00000000-0005-0000-0000-000084240000}"/>
    <cellStyle name="20% - Accent6 13" xfId="292" xr:uid="{00000000-0005-0000-0000-000085240000}"/>
    <cellStyle name="20% - Accent6 13 10" xfId="26148" xr:uid="{E284F063-9E28-48E1-9D69-A67E956E9A9D}"/>
    <cellStyle name="20% - Accent6 13 2" xfId="293" xr:uid="{00000000-0005-0000-0000-000086240000}"/>
    <cellStyle name="20% - Accent6 13 2 2" xfId="294" xr:uid="{00000000-0005-0000-0000-000087240000}"/>
    <cellStyle name="20% - Accent6 13 2 2 2" xfId="1322" xr:uid="{00000000-0005-0000-0000-000088240000}"/>
    <cellStyle name="20% - Accent6 13 2 2 2 2" xfId="4852" xr:uid="{00000000-0005-0000-0000-000089240000}"/>
    <cellStyle name="20% - Accent6 13 2 2 2 2 2" xfId="8443" xr:uid="{00000000-0005-0000-0000-00008A240000}"/>
    <cellStyle name="20% - Accent6 13 2 2 2 2 2 2" xfId="16414" xr:uid="{00000000-0005-0000-0000-00008B240000}"/>
    <cellStyle name="20% - Accent6 13 2 2 2 2 2 2 2" xfId="40257" xr:uid="{6B8869CE-9A04-43A3-BF34-A8E1EFA119E0}"/>
    <cellStyle name="20% - Accent6 13 2 2 2 2 2 3" xfId="24360" xr:uid="{00000000-0005-0000-0000-00008C240000}"/>
    <cellStyle name="20% - Accent6 13 2 2 2 2 2 3 2" xfId="48193" xr:uid="{98861071-37B9-4081-BB95-74B76FAA606A}"/>
    <cellStyle name="20% - Accent6 13 2 2 2 2 2 4" xfId="32316" xr:uid="{D22D2B9A-8C3C-4700-BEE5-3A1CE5DF1068}"/>
    <cellStyle name="20% - Accent6 13 2 2 2 2 3" xfId="12876" xr:uid="{00000000-0005-0000-0000-00008D240000}"/>
    <cellStyle name="20% - Accent6 13 2 2 2 2 3 2" xfId="36726" xr:uid="{DFD6D218-41CD-47BC-9457-A2BC8404DC9E}"/>
    <cellStyle name="20% - Accent6 13 2 2 2 2 4" xfId="20831" xr:uid="{00000000-0005-0000-0000-00008E240000}"/>
    <cellStyle name="20% - Accent6 13 2 2 2 2 4 2" xfId="44664" xr:uid="{69750877-3C73-4596-8134-240700802B3E}"/>
    <cellStyle name="20% - Accent6 13 2 2 2 2 5" xfId="28785" xr:uid="{1594D99A-17E6-410C-8D8E-59CB09006124}"/>
    <cellStyle name="20% - Accent6 13 2 2 2 3" xfId="6684" xr:uid="{00000000-0005-0000-0000-00008F240000}"/>
    <cellStyle name="20% - Accent6 13 2 2 2 3 2" xfId="14656" xr:uid="{00000000-0005-0000-0000-000090240000}"/>
    <cellStyle name="20% - Accent6 13 2 2 2 3 2 2" xfId="38499" xr:uid="{EE8278C6-1A50-465D-A758-C0A62AA6BCF8}"/>
    <cellStyle name="20% - Accent6 13 2 2 2 3 3" xfId="22603" xr:uid="{00000000-0005-0000-0000-000091240000}"/>
    <cellStyle name="20% - Accent6 13 2 2 2 3 3 2" xfId="46436" xr:uid="{92F8EEDE-5206-4033-B559-AC1C4145B82F}"/>
    <cellStyle name="20% - Accent6 13 2 2 2 3 4" xfId="30558" xr:uid="{4A439D9F-2B63-420F-B7CA-A6C83F226276}"/>
    <cellStyle name="20% - Accent6 13 2 2 2 4" xfId="11120" xr:uid="{00000000-0005-0000-0000-000092240000}"/>
    <cellStyle name="20% - Accent6 13 2 2 2 4 2" xfId="34970" xr:uid="{E34F5BD0-ADC3-418A-BDC9-6ADE8925F61B}"/>
    <cellStyle name="20% - Accent6 13 2 2 2 5" xfId="19075" xr:uid="{00000000-0005-0000-0000-000093240000}"/>
    <cellStyle name="20% - Accent6 13 2 2 2 5 2" xfId="42908" xr:uid="{9406748A-CEF9-4232-B9AA-F03C7DC98309}"/>
    <cellStyle name="20% - Accent6 13 2 2 2 6" xfId="27028" xr:uid="{A82CACE1-7F14-45B5-80A5-FA7DE56C532A}"/>
    <cellStyle name="20% - Accent6 13 2 2 2_Exh G" xfId="2588" xr:uid="{00000000-0005-0000-0000-000094240000}"/>
    <cellStyle name="20% - Accent6 13 2 2 3" xfId="3973" xr:uid="{00000000-0005-0000-0000-000095240000}"/>
    <cellStyle name="20% - Accent6 13 2 2 3 2" xfId="7565" xr:uid="{00000000-0005-0000-0000-000096240000}"/>
    <cellStyle name="20% - Accent6 13 2 2 3 2 2" xfId="15536" xr:uid="{00000000-0005-0000-0000-000097240000}"/>
    <cellStyle name="20% - Accent6 13 2 2 3 2 2 2" xfId="39379" xr:uid="{B7F10F42-17FB-425B-800F-211476541CAC}"/>
    <cellStyle name="20% - Accent6 13 2 2 3 2 3" xfId="23482" xr:uid="{00000000-0005-0000-0000-000098240000}"/>
    <cellStyle name="20% - Accent6 13 2 2 3 2 3 2" xfId="47315" xr:uid="{6D11E204-0E8B-47F5-AC31-36644324CD88}"/>
    <cellStyle name="20% - Accent6 13 2 2 3 2 4" xfId="31438" xr:uid="{61F953CE-1256-445C-92E5-F3DDD4F16190}"/>
    <cellStyle name="20% - Accent6 13 2 2 3 3" xfId="11998" xr:uid="{00000000-0005-0000-0000-000099240000}"/>
    <cellStyle name="20% - Accent6 13 2 2 3 3 2" xfId="35848" xr:uid="{019848D4-E31F-4EA3-9A4D-BA70B60F54F6}"/>
    <cellStyle name="20% - Accent6 13 2 2 3 4" xfId="19953" xr:uid="{00000000-0005-0000-0000-00009A240000}"/>
    <cellStyle name="20% - Accent6 13 2 2 3 4 2" xfId="43786" xr:uid="{4D52B501-6841-4344-8FC6-A9BCBD6D6F66}"/>
    <cellStyle name="20% - Accent6 13 2 2 3 5" xfId="27907" xr:uid="{4FBF34DF-2647-40F4-89B4-532FA662C1DC}"/>
    <cellStyle name="20% - Accent6 13 2 2 4" xfId="5793" xr:uid="{00000000-0005-0000-0000-00009B240000}"/>
    <cellStyle name="20% - Accent6 13 2 2 4 2" xfId="13777" xr:uid="{00000000-0005-0000-0000-00009C240000}"/>
    <cellStyle name="20% - Accent6 13 2 2 4 2 2" xfId="37621" xr:uid="{202C4FFF-EC22-4B9B-8B8F-4539BC10DA4A}"/>
    <cellStyle name="20% - Accent6 13 2 2 4 3" xfId="21725" xr:uid="{00000000-0005-0000-0000-00009D240000}"/>
    <cellStyle name="20% - Accent6 13 2 2 4 3 2" xfId="45558" xr:uid="{A91B710D-C639-4937-ABC4-168CCC5FB4C4}"/>
    <cellStyle name="20% - Accent6 13 2 2 4 4" xfId="29680" xr:uid="{161318BC-610F-4B7E-9CDE-51A47EC88F98}"/>
    <cellStyle name="20% - Accent6 13 2 2 5" xfId="9346" xr:uid="{00000000-0005-0000-0000-00009E240000}"/>
    <cellStyle name="20% - Accent6 13 2 2 5 2" xfId="17304" xr:uid="{00000000-0005-0000-0000-00009F240000}"/>
    <cellStyle name="20% - Accent6 13 2 2 5 2 2" xfId="41145" xr:uid="{EA758921-7E95-44F8-8C4E-E6561114E75A}"/>
    <cellStyle name="20% - Accent6 13 2 2 5 3" xfId="25248" xr:uid="{00000000-0005-0000-0000-0000A0240000}"/>
    <cellStyle name="20% - Accent6 13 2 2 5 3 2" xfId="49081" xr:uid="{37C7F1E1-E439-4F96-A868-715D46F5AD31}"/>
    <cellStyle name="20% - Accent6 13 2 2 5 4" xfId="33204" xr:uid="{71AD6CEE-469F-4686-A0FE-66D9506C9029}"/>
    <cellStyle name="20% - Accent6 13 2 2 6" xfId="10242" xr:uid="{00000000-0005-0000-0000-0000A1240000}"/>
    <cellStyle name="20% - Accent6 13 2 2 6 2" xfId="34092" xr:uid="{0B79D10D-24E2-4C75-BAE5-6C3DA1584B79}"/>
    <cellStyle name="20% - Accent6 13 2 2 7" xfId="18197" xr:uid="{00000000-0005-0000-0000-0000A2240000}"/>
    <cellStyle name="20% - Accent6 13 2 2 7 2" xfId="42030" xr:uid="{4D5FB7E8-C753-4B68-AA02-D31069BCFD0F}"/>
    <cellStyle name="20% - Accent6 13 2 2 8" xfId="26150" xr:uid="{D00A7E4E-D7A2-4FF0-B82D-5972CE25267F}"/>
    <cellStyle name="20% - Accent6 13 2 2_Exh G" xfId="2587" xr:uid="{00000000-0005-0000-0000-0000A3240000}"/>
    <cellStyle name="20% - Accent6 13 2 3" xfId="1321" xr:uid="{00000000-0005-0000-0000-0000A4240000}"/>
    <cellStyle name="20% - Accent6 13 2 3 2" xfId="4851" xr:uid="{00000000-0005-0000-0000-0000A5240000}"/>
    <cellStyle name="20% - Accent6 13 2 3 2 2" xfId="8442" xr:uid="{00000000-0005-0000-0000-0000A6240000}"/>
    <cellStyle name="20% - Accent6 13 2 3 2 2 2" xfId="16413" xr:uid="{00000000-0005-0000-0000-0000A7240000}"/>
    <cellStyle name="20% - Accent6 13 2 3 2 2 2 2" xfId="40256" xr:uid="{828D0F61-7A66-4812-B62A-C865E3984324}"/>
    <cellStyle name="20% - Accent6 13 2 3 2 2 3" xfId="24359" xr:uid="{00000000-0005-0000-0000-0000A8240000}"/>
    <cellStyle name="20% - Accent6 13 2 3 2 2 3 2" xfId="48192" xr:uid="{FEC39210-9BB3-48B4-91C1-668C07C251DB}"/>
    <cellStyle name="20% - Accent6 13 2 3 2 2 4" xfId="32315" xr:uid="{F058BEAB-55BE-49D2-975E-9566F110C0FB}"/>
    <cellStyle name="20% - Accent6 13 2 3 2 3" xfId="12875" xr:uid="{00000000-0005-0000-0000-0000A9240000}"/>
    <cellStyle name="20% - Accent6 13 2 3 2 3 2" xfId="36725" xr:uid="{29BE2245-639B-4881-9E1D-36DD6939270A}"/>
    <cellStyle name="20% - Accent6 13 2 3 2 4" xfId="20830" xr:uid="{00000000-0005-0000-0000-0000AA240000}"/>
    <cellStyle name="20% - Accent6 13 2 3 2 4 2" xfId="44663" xr:uid="{E81A2FB2-E835-478E-9F99-8BB41FDD6A82}"/>
    <cellStyle name="20% - Accent6 13 2 3 2 5" xfId="28784" xr:uid="{CF3B0B04-6460-4766-BFFE-21314F984607}"/>
    <cellStyle name="20% - Accent6 13 2 3 3" xfId="6683" xr:uid="{00000000-0005-0000-0000-0000AB240000}"/>
    <cellStyle name="20% - Accent6 13 2 3 3 2" xfId="14655" xr:uid="{00000000-0005-0000-0000-0000AC240000}"/>
    <cellStyle name="20% - Accent6 13 2 3 3 2 2" xfId="38498" xr:uid="{B10A399C-3888-4DB8-95C8-5BE2D143318A}"/>
    <cellStyle name="20% - Accent6 13 2 3 3 3" xfId="22602" xr:uid="{00000000-0005-0000-0000-0000AD240000}"/>
    <cellStyle name="20% - Accent6 13 2 3 3 3 2" xfId="46435" xr:uid="{03690EC3-FF5F-441D-AB4F-787C663CAB47}"/>
    <cellStyle name="20% - Accent6 13 2 3 3 4" xfId="30557" xr:uid="{DF73CF77-B33C-4FA0-92CE-D03AC8139163}"/>
    <cellStyle name="20% - Accent6 13 2 3 4" xfId="11119" xr:uid="{00000000-0005-0000-0000-0000AE240000}"/>
    <cellStyle name="20% - Accent6 13 2 3 4 2" xfId="34969" xr:uid="{2182AED5-004F-47D4-A11C-37370D40BFAB}"/>
    <cellStyle name="20% - Accent6 13 2 3 5" xfId="19074" xr:uid="{00000000-0005-0000-0000-0000AF240000}"/>
    <cellStyle name="20% - Accent6 13 2 3 5 2" xfId="42907" xr:uid="{900DC0DE-E65A-4852-9C7A-067DE54E1E3E}"/>
    <cellStyle name="20% - Accent6 13 2 3 6" xfId="27027" xr:uid="{38730742-5006-4DC7-BF3F-793743B7785D}"/>
    <cellStyle name="20% - Accent6 13 2 3_Exh G" xfId="2589" xr:uid="{00000000-0005-0000-0000-0000B0240000}"/>
    <cellStyle name="20% - Accent6 13 2 4" xfId="3972" xr:uid="{00000000-0005-0000-0000-0000B1240000}"/>
    <cellStyle name="20% - Accent6 13 2 4 2" xfId="7564" xr:uid="{00000000-0005-0000-0000-0000B2240000}"/>
    <cellStyle name="20% - Accent6 13 2 4 2 2" xfId="15535" xr:uid="{00000000-0005-0000-0000-0000B3240000}"/>
    <cellStyle name="20% - Accent6 13 2 4 2 2 2" xfId="39378" xr:uid="{21B199A1-87A9-4870-B058-88D49531F9B3}"/>
    <cellStyle name="20% - Accent6 13 2 4 2 3" xfId="23481" xr:uid="{00000000-0005-0000-0000-0000B4240000}"/>
    <cellStyle name="20% - Accent6 13 2 4 2 3 2" xfId="47314" xr:uid="{A3F257FE-DF9F-4A6C-8D39-1A6E179161CD}"/>
    <cellStyle name="20% - Accent6 13 2 4 2 4" xfId="31437" xr:uid="{D2386EFD-67FA-466B-95B9-0CF7C691CCF2}"/>
    <cellStyle name="20% - Accent6 13 2 4 3" xfId="11997" xr:uid="{00000000-0005-0000-0000-0000B5240000}"/>
    <cellStyle name="20% - Accent6 13 2 4 3 2" xfId="35847" xr:uid="{9BAC0A18-B3E2-44CB-8AA4-064CBB39586B}"/>
    <cellStyle name="20% - Accent6 13 2 4 4" xfId="19952" xr:uid="{00000000-0005-0000-0000-0000B6240000}"/>
    <cellStyle name="20% - Accent6 13 2 4 4 2" xfId="43785" xr:uid="{41806270-AD1C-4C1B-A435-51BBA8E1E6C8}"/>
    <cellStyle name="20% - Accent6 13 2 4 5" xfId="27906" xr:uid="{2DD61CA0-396E-4DAB-A650-6A937B891ACD}"/>
    <cellStyle name="20% - Accent6 13 2 5" xfId="5792" xr:uid="{00000000-0005-0000-0000-0000B7240000}"/>
    <cellStyle name="20% - Accent6 13 2 5 2" xfId="13776" xr:uid="{00000000-0005-0000-0000-0000B8240000}"/>
    <cellStyle name="20% - Accent6 13 2 5 2 2" xfId="37620" xr:uid="{DE2BB7B0-A309-4C99-9674-812181FFE705}"/>
    <cellStyle name="20% - Accent6 13 2 5 3" xfId="21724" xr:uid="{00000000-0005-0000-0000-0000B9240000}"/>
    <cellStyle name="20% - Accent6 13 2 5 3 2" xfId="45557" xr:uid="{207E64C7-EC15-4865-82B2-6A77EA784A25}"/>
    <cellStyle name="20% - Accent6 13 2 5 4" xfId="29679" xr:uid="{45331C80-36F5-4F13-B874-9DDF87EFFEC2}"/>
    <cellStyle name="20% - Accent6 13 2 6" xfId="9345" xr:uid="{00000000-0005-0000-0000-0000BA240000}"/>
    <cellStyle name="20% - Accent6 13 2 6 2" xfId="17303" xr:uid="{00000000-0005-0000-0000-0000BB240000}"/>
    <cellStyle name="20% - Accent6 13 2 6 2 2" xfId="41144" xr:uid="{FF32E576-8CE0-4848-AA38-3BA89CFCA5D6}"/>
    <cellStyle name="20% - Accent6 13 2 6 3" xfId="25247" xr:uid="{00000000-0005-0000-0000-0000BC240000}"/>
    <cellStyle name="20% - Accent6 13 2 6 3 2" xfId="49080" xr:uid="{CA8DCABC-3D9B-4D0D-9D33-FCFB70DA8DCE}"/>
    <cellStyle name="20% - Accent6 13 2 6 4" xfId="33203" xr:uid="{9A1E9A6C-CE88-4135-B276-D6831CA91E10}"/>
    <cellStyle name="20% - Accent6 13 2 7" xfId="10241" xr:uid="{00000000-0005-0000-0000-0000BD240000}"/>
    <cellStyle name="20% - Accent6 13 2 7 2" xfId="34091" xr:uid="{7FDBB7A0-F19F-4710-9761-A7E1E512FC64}"/>
    <cellStyle name="20% - Accent6 13 2 8" xfId="18196" xr:uid="{00000000-0005-0000-0000-0000BE240000}"/>
    <cellStyle name="20% - Accent6 13 2 8 2" xfId="42029" xr:uid="{55F9BBD1-5BDA-4F30-BDC3-35E1309EAA5D}"/>
    <cellStyle name="20% - Accent6 13 2 9" xfId="26149" xr:uid="{67275329-8064-4039-805D-F182C16342BE}"/>
    <cellStyle name="20% - Accent6 13 2_Exh G" xfId="2586" xr:uid="{00000000-0005-0000-0000-0000BF240000}"/>
    <cellStyle name="20% - Accent6 13 3" xfId="295" xr:uid="{00000000-0005-0000-0000-0000C0240000}"/>
    <cellStyle name="20% - Accent6 13 3 2" xfId="1323" xr:uid="{00000000-0005-0000-0000-0000C1240000}"/>
    <cellStyle name="20% - Accent6 13 3 2 2" xfId="4853" xr:uid="{00000000-0005-0000-0000-0000C2240000}"/>
    <cellStyle name="20% - Accent6 13 3 2 2 2" xfId="8444" xr:uid="{00000000-0005-0000-0000-0000C3240000}"/>
    <cellStyle name="20% - Accent6 13 3 2 2 2 2" xfId="16415" xr:uid="{00000000-0005-0000-0000-0000C4240000}"/>
    <cellStyle name="20% - Accent6 13 3 2 2 2 2 2" xfId="40258" xr:uid="{6469CBC4-73B0-4C03-964B-62702A52B842}"/>
    <cellStyle name="20% - Accent6 13 3 2 2 2 3" xfId="24361" xr:uid="{00000000-0005-0000-0000-0000C5240000}"/>
    <cellStyle name="20% - Accent6 13 3 2 2 2 3 2" xfId="48194" xr:uid="{36C170E6-7AC1-4575-A734-249FC743F702}"/>
    <cellStyle name="20% - Accent6 13 3 2 2 2 4" xfId="32317" xr:uid="{CCC17C12-2C74-442D-ADAE-3FB1440EFE17}"/>
    <cellStyle name="20% - Accent6 13 3 2 2 3" xfId="12877" xr:uid="{00000000-0005-0000-0000-0000C6240000}"/>
    <cellStyle name="20% - Accent6 13 3 2 2 3 2" xfId="36727" xr:uid="{6E9DA230-8BAD-415D-B3C3-53D94ECB2221}"/>
    <cellStyle name="20% - Accent6 13 3 2 2 4" xfId="20832" xr:uid="{00000000-0005-0000-0000-0000C7240000}"/>
    <cellStyle name="20% - Accent6 13 3 2 2 4 2" xfId="44665" xr:uid="{2A5B729C-C9AE-4EFF-8BD5-E8242A4AE91D}"/>
    <cellStyle name="20% - Accent6 13 3 2 2 5" xfId="28786" xr:uid="{24F29100-A5C8-47B8-8BB7-066895CB6008}"/>
    <cellStyle name="20% - Accent6 13 3 2 3" xfId="6685" xr:uid="{00000000-0005-0000-0000-0000C8240000}"/>
    <cellStyle name="20% - Accent6 13 3 2 3 2" xfId="14657" xr:uid="{00000000-0005-0000-0000-0000C9240000}"/>
    <cellStyle name="20% - Accent6 13 3 2 3 2 2" xfId="38500" xr:uid="{0CF112B1-E120-444F-8961-DB08D938B471}"/>
    <cellStyle name="20% - Accent6 13 3 2 3 3" xfId="22604" xr:uid="{00000000-0005-0000-0000-0000CA240000}"/>
    <cellStyle name="20% - Accent6 13 3 2 3 3 2" xfId="46437" xr:uid="{93E90A76-7F48-490C-97B7-8E5989E4BA9F}"/>
    <cellStyle name="20% - Accent6 13 3 2 3 4" xfId="30559" xr:uid="{DD131F14-6E44-4084-9EC3-DF1C1DE4C15A}"/>
    <cellStyle name="20% - Accent6 13 3 2 4" xfId="11121" xr:uid="{00000000-0005-0000-0000-0000CB240000}"/>
    <cellStyle name="20% - Accent6 13 3 2 4 2" xfId="34971" xr:uid="{756D888A-9B25-47C3-B023-F9DBC250C8A0}"/>
    <cellStyle name="20% - Accent6 13 3 2 5" xfId="19076" xr:uid="{00000000-0005-0000-0000-0000CC240000}"/>
    <cellStyle name="20% - Accent6 13 3 2 5 2" xfId="42909" xr:uid="{40DA9E4E-8E16-4EAD-A44E-784E964BB62A}"/>
    <cellStyle name="20% - Accent6 13 3 2 6" xfId="27029" xr:uid="{27B1D224-BAD8-44F7-9A5C-72D0C41F7B9F}"/>
    <cellStyle name="20% - Accent6 13 3 2_Exh G" xfId="2591" xr:uid="{00000000-0005-0000-0000-0000CD240000}"/>
    <cellStyle name="20% - Accent6 13 3 3" xfId="3974" xr:uid="{00000000-0005-0000-0000-0000CE240000}"/>
    <cellStyle name="20% - Accent6 13 3 3 2" xfId="7566" xr:uid="{00000000-0005-0000-0000-0000CF240000}"/>
    <cellStyle name="20% - Accent6 13 3 3 2 2" xfId="15537" xr:uid="{00000000-0005-0000-0000-0000D0240000}"/>
    <cellStyle name="20% - Accent6 13 3 3 2 2 2" xfId="39380" xr:uid="{0666F10E-88DB-41B1-B9D2-B56108A1910E}"/>
    <cellStyle name="20% - Accent6 13 3 3 2 3" xfId="23483" xr:uid="{00000000-0005-0000-0000-0000D1240000}"/>
    <cellStyle name="20% - Accent6 13 3 3 2 3 2" xfId="47316" xr:uid="{BDFA5533-83BD-455A-B58F-EB6B642F1FD4}"/>
    <cellStyle name="20% - Accent6 13 3 3 2 4" xfId="31439" xr:uid="{20FA7BAA-CB49-4728-ACC3-D8C66AC04A7F}"/>
    <cellStyle name="20% - Accent6 13 3 3 3" xfId="11999" xr:uid="{00000000-0005-0000-0000-0000D2240000}"/>
    <cellStyle name="20% - Accent6 13 3 3 3 2" xfId="35849" xr:uid="{6054712C-7D9A-4DE8-ACCB-3544D3968E34}"/>
    <cellStyle name="20% - Accent6 13 3 3 4" xfId="19954" xr:uid="{00000000-0005-0000-0000-0000D3240000}"/>
    <cellStyle name="20% - Accent6 13 3 3 4 2" xfId="43787" xr:uid="{092E1F7F-3C2C-40BD-83DA-FC708826B0CA}"/>
    <cellStyle name="20% - Accent6 13 3 3 5" xfId="27908" xr:uid="{88C09DEC-3106-4E9A-BFA9-8E22383824CC}"/>
    <cellStyle name="20% - Accent6 13 3 4" xfId="5794" xr:uid="{00000000-0005-0000-0000-0000D4240000}"/>
    <cellStyle name="20% - Accent6 13 3 4 2" xfId="13778" xr:uid="{00000000-0005-0000-0000-0000D5240000}"/>
    <cellStyle name="20% - Accent6 13 3 4 2 2" xfId="37622" xr:uid="{D22664DB-4CC3-4689-B2E8-A8424C3478B8}"/>
    <cellStyle name="20% - Accent6 13 3 4 3" xfId="21726" xr:uid="{00000000-0005-0000-0000-0000D6240000}"/>
    <cellStyle name="20% - Accent6 13 3 4 3 2" xfId="45559" xr:uid="{A544FCDC-FB05-43B0-B8BA-74B024892E35}"/>
    <cellStyle name="20% - Accent6 13 3 4 4" xfId="29681" xr:uid="{8F0B6C4D-D894-4C2A-8BEB-ECAA4DACEE4D}"/>
    <cellStyle name="20% - Accent6 13 3 5" xfId="9347" xr:uid="{00000000-0005-0000-0000-0000D7240000}"/>
    <cellStyle name="20% - Accent6 13 3 5 2" xfId="17305" xr:uid="{00000000-0005-0000-0000-0000D8240000}"/>
    <cellStyle name="20% - Accent6 13 3 5 2 2" xfId="41146" xr:uid="{6891D507-62A9-4E9C-84C0-9AF209FA0B3A}"/>
    <cellStyle name="20% - Accent6 13 3 5 3" xfId="25249" xr:uid="{00000000-0005-0000-0000-0000D9240000}"/>
    <cellStyle name="20% - Accent6 13 3 5 3 2" xfId="49082" xr:uid="{EA0C00CC-EE71-40F8-89D0-392D3CF081FF}"/>
    <cellStyle name="20% - Accent6 13 3 5 4" xfId="33205" xr:uid="{C9A6FB0A-8016-4BE9-81F1-693928D231DA}"/>
    <cellStyle name="20% - Accent6 13 3 6" xfId="10243" xr:uid="{00000000-0005-0000-0000-0000DA240000}"/>
    <cellStyle name="20% - Accent6 13 3 6 2" xfId="34093" xr:uid="{D511B8AD-7B62-4061-A5ED-2DE69B9A1BAE}"/>
    <cellStyle name="20% - Accent6 13 3 7" xfId="18198" xr:uid="{00000000-0005-0000-0000-0000DB240000}"/>
    <cellStyle name="20% - Accent6 13 3 7 2" xfId="42031" xr:uid="{5E40985E-B3B5-4315-B0F6-C798DDF16205}"/>
    <cellStyle name="20% - Accent6 13 3 8" xfId="26151" xr:uid="{E31DF8FB-3234-49D6-8546-2AA3B5DE92B8}"/>
    <cellStyle name="20% - Accent6 13 3_Exh G" xfId="2590" xr:uid="{00000000-0005-0000-0000-0000DC240000}"/>
    <cellStyle name="20% - Accent6 13 4" xfId="1320" xr:uid="{00000000-0005-0000-0000-0000DD240000}"/>
    <cellStyle name="20% - Accent6 13 4 2" xfId="4850" xr:uid="{00000000-0005-0000-0000-0000DE240000}"/>
    <cellStyle name="20% - Accent6 13 4 2 2" xfId="8441" xr:uid="{00000000-0005-0000-0000-0000DF240000}"/>
    <cellStyle name="20% - Accent6 13 4 2 2 2" xfId="16412" xr:uid="{00000000-0005-0000-0000-0000E0240000}"/>
    <cellStyle name="20% - Accent6 13 4 2 2 2 2" xfId="40255" xr:uid="{A9C908EC-537D-431C-A480-D7BFEA9A1303}"/>
    <cellStyle name="20% - Accent6 13 4 2 2 3" xfId="24358" xr:uid="{00000000-0005-0000-0000-0000E1240000}"/>
    <cellStyle name="20% - Accent6 13 4 2 2 3 2" xfId="48191" xr:uid="{779BE740-A72D-4F43-B4B3-F8052E0A6E01}"/>
    <cellStyle name="20% - Accent6 13 4 2 2 4" xfId="32314" xr:uid="{0DCB3BBC-7027-46D0-ACEC-56C6687E8CF2}"/>
    <cellStyle name="20% - Accent6 13 4 2 3" xfId="12874" xr:uid="{00000000-0005-0000-0000-0000E2240000}"/>
    <cellStyle name="20% - Accent6 13 4 2 3 2" xfId="36724" xr:uid="{E2381AB3-4BBC-482B-AB8F-5EC2347D06AA}"/>
    <cellStyle name="20% - Accent6 13 4 2 4" xfId="20829" xr:uid="{00000000-0005-0000-0000-0000E3240000}"/>
    <cellStyle name="20% - Accent6 13 4 2 4 2" xfId="44662" xr:uid="{87D5E12A-FC6E-4AD8-AE35-F4376622D58C}"/>
    <cellStyle name="20% - Accent6 13 4 2 5" xfId="28783" xr:uid="{77C1A8AB-77F9-4EA3-83F4-4EEF6AF616B2}"/>
    <cellStyle name="20% - Accent6 13 4 3" xfId="6682" xr:uid="{00000000-0005-0000-0000-0000E4240000}"/>
    <cellStyle name="20% - Accent6 13 4 3 2" xfId="14654" xr:uid="{00000000-0005-0000-0000-0000E5240000}"/>
    <cellStyle name="20% - Accent6 13 4 3 2 2" xfId="38497" xr:uid="{740C1741-C57B-46C8-B57C-90BC69083298}"/>
    <cellStyle name="20% - Accent6 13 4 3 3" xfId="22601" xr:uid="{00000000-0005-0000-0000-0000E6240000}"/>
    <cellStyle name="20% - Accent6 13 4 3 3 2" xfId="46434" xr:uid="{9AEE7D37-A02F-467F-B400-10E3A08612D0}"/>
    <cellStyle name="20% - Accent6 13 4 3 4" xfId="30556" xr:uid="{4DF3C12A-7166-4FAE-9F6D-30FC7D3C9FDB}"/>
    <cellStyle name="20% - Accent6 13 4 4" xfId="11118" xr:uid="{00000000-0005-0000-0000-0000E7240000}"/>
    <cellStyle name="20% - Accent6 13 4 4 2" xfId="34968" xr:uid="{376A4E6F-A930-412A-AD1C-0550233F175B}"/>
    <cellStyle name="20% - Accent6 13 4 5" xfId="19073" xr:uid="{00000000-0005-0000-0000-0000E8240000}"/>
    <cellStyle name="20% - Accent6 13 4 5 2" xfId="42906" xr:uid="{A377A245-D1F7-41EA-BC99-103BD8031DA2}"/>
    <cellStyle name="20% - Accent6 13 4 6" xfId="27026" xr:uid="{37C999C9-603C-4772-A806-4CCD942B1477}"/>
    <cellStyle name="20% - Accent6 13 4_Exh G" xfId="2592" xr:uid="{00000000-0005-0000-0000-0000E9240000}"/>
    <cellStyle name="20% - Accent6 13 5" xfId="3971" xr:uid="{00000000-0005-0000-0000-0000EA240000}"/>
    <cellStyle name="20% - Accent6 13 5 2" xfId="7563" xr:uid="{00000000-0005-0000-0000-0000EB240000}"/>
    <cellStyle name="20% - Accent6 13 5 2 2" xfId="15534" xr:uid="{00000000-0005-0000-0000-0000EC240000}"/>
    <cellStyle name="20% - Accent6 13 5 2 2 2" xfId="39377" xr:uid="{B1BF67EC-AA74-4909-B8BB-C0A697CE2051}"/>
    <cellStyle name="20% - Accent6 13 5 2 3" xfId="23480" xr:uid="{00000000-0005-0000-0000-0000ED240000}"/>
    <cellStyle name="20% - Accent6 13 5 2 3 2" xfId="47313" xr:uid="{97E3D74F-EC3D-4187-A659-43C864F39125}"/>
    <cellStyle name="20% - Accent6 13 5 2 4" xfId="31436" xr:uid="{CA3371A1-3D77-4DA0-911E-20FBAC442D94}"/>
    <cellStyle name="20% - Accent6 13 5 3" xfId="11996" xr:uid="{00000000-0005-0000-0000-0000EE240000}"/>
    <cellStyle name="20% - Accent6 13 5 3 2" xfId="35846" xr:uid="{CC0CECFC-F2F0-42BF-A0BA-86011A1A17B9}"/>
    <cellStyle name="20% - Accent6 13 5 4" xfId="19951" xr:uid="{00000000-0005-0000-0000-0000EF240000}"/>
    <cellStyle name="20% - Accent6 13 5 4 2" xfId="43784" xr:uid="{D07CDB82-3FEB-4114-8EBB-92934B78AE98}"/>
    <cellStyle name="20% - Accent6 13 5 5" xfId="27905" xr:uid="{E50E9A39-76B3-44C9-9E6F-3B78978B66A3}"/>
    <cellStyle name="20% - Accent6 13 6" xfId="5791" xr:uid="{00000000-0005-0000-0000-0000F0240000}"/>
    <cellStyle name="20% - Accent6 13 6 2" xfId="13775" xr:uid="{00000000-0005-0000-0000-0000F1240000}"/>
    <cellStyle name="20% - Accent6 13 6 2 2" xfId="37619" xr:uid="{B5C60940-670C-4C4A-BFA2-47F803205C5A}"/>
    <cellStyle name="20% - Accent6 13 6 3" xfId="21723" xr:uid="{00000000-0005-0000-0000-0000F2240000}"/>
    <cellStyle name="20% - Accent6 13 6 3 2" xfId="45556" xr:uid="{E79ADB7D-F64F-4092-B66B-70CA2F53D354}"/>
    <cellStyle name="20% - Accent6 13 6 4" xfId="29678" xr:uid="{7F11F064-F632-4D8D-B01D-B0D8D29FA60A}"/>
    <cellStyle name="20% - Accent6 13 7" xfId="9344" xr:uid="{00000000-0005-0000-0000-0000F3240000}"/>
    <cellStyle name="20% - Accent6 13 7 2" xfId="17302" xr:uid="{00000000-0005-0000-0000-0000F4240000}"/>
    <cellStyle name="20% - Accent6 13 7 2 2" xfId="41143" xr:uid="{DD85A1ED-91C7-4AA9-A92E-8490D75714D0}"/>
    <cellStyle name="20% - Accent6 13 7 3" xfId="25246" xr:uid="{00000000-0005-0000-0000-0000F5240000}"/>
    <cellStyle name="20% - Accent6 13 7 3 2" xfId="49079" xr:uid="{145D206E-A455-4840-9C6B-B8493EA9DC04}"/>
    <cellStyle name="20% - Accent6 13 7 4" xfId="33202" xr:uid="{085A0004-4FF5-4786-8D86-92DD36D7CCAF}"/>
    <cellStyle name="20% - Accent6 13 8" xfId="10240" xr:uid="{00000000-0005-0000-0000-0000F6240000}"/>
    <cellStyle name="20% - Accent6 13 8 2" xfId="34090" xr:uid="{D63B029A-A644-48A1-92AF-85EED10F4DB3}"/>
    <cellStyle name="20% - Accent6 13 9" xfId="18195" xr:uid="{00000000-0005-0000-0000-0000F7240000}"/>
    <cellStyle name="20% - Accent6 13 9 2" xfId="42028" xr:uid="{C6F9DE20-EFF0-414D-A62A-5DBB3E7BFD82}"/>
    <cellStyle name="20% - Accent6 13_Exh G" xfId="2585" xr:uid="{00000000-0005-0000-0000-0000F8240000}"/>
    <cellStyle name="20% - Accent6 14" xfId="296" xr:uid="{00000000-0005-0000-0000-0000F9240000}"/>
    <cellStyle name="20% - Accent6 14 2" xfId="297" xr:uid="{00000000-0005-0000-0000-0000FA240000}"/>
    <cellStyle name="20% - Accent6 14 2 2" xfId="1325" xr:uid="{00000000-0005-0000-0000-0000FB240000}"/>
    <cellStyle name="20% - Accent6 14 2 2 2" xfId="4855" xr:uid="{00000000-0005-0000-0000-0000FC240000}"/>
    <cellStyle name="20% - Accent6 14 2 2 2 2" xfId="8446" xr:uid="{00000000-0005-0000-0000-0000FD240000}"/>
    <cellStyle name="20% - Accent6 14 2 2 2 2 2" xfId="16417" xr:uid="{00000000-0005-0000-0000-0000FE240000}"/>
    <cellStyle name="20% - Accent6 14 2 2 2 2 2 2" xfId="40260" xr:uid="{194B40E2-6A0C-4559-A3D4-AA012CCF81C7}"/>
    <cellStyle name="20% - Accent6 14 2 2 2 2 3" xfId="24363" xr:uid="{00000000-0005-0000-0000-0000FF240000}"/>
    <cellStyle name="20% - Accent6 14 2 2 2 2 3 2" xfId="48196" xr:uid="{AB2929B6-3A09-4C09-ACA7-75328B928141}"/>
    <cellStyle name="20% - Accent6 14 2 2 2 2 4" xfId="32319" xr:uid="{DF35F9A5-1785-4B45-99BD-B0540300C63D}"/>
    <cellStyle name="20% - Accent6 14 2 2 2 3" xfId="12879" xr:uid="{00000000-0005-0000-0000-000000250000}"/>
    <cellStyle name="20% - Accent6 14 2 2 2 3 2" xfId="36729" xr:uid="{B88EF2EE-7F1C-4B2C-892A-4E03A676A71A}"/>
    <cellStyle name="20% - Accent6 14 2 2 2 4" xfId="20834" xr:uid="{00000000-0005-0000-0000-000001250000}"/>
    <cellStyle name="20% - Accent6 14 2 2 2 4 2" xfId="44667" xr:uid="{5008FF11-B5E8-4076-B193-59DD57281529}"/>
    <cellStyle name="20% - Accent6 14 2 2 2 5" xfId="28788" xr:uid="{92348E42-C552-4E4C-AC71-09720BEE4A9A}"/>
    <cellStyle name="20% - Accent6 14 2 2 3" xfId="6687" xr:uid="{00000000-0005-0000-0000-000002250000}"/>
    <cellStyle name="20% - Accent6 14 2 2 3 2" xfId="14659" xr:uid="{00000000-0005-0000-0000-000003250000}"/>
    <cellStyle name="20% - Accent6 14 2 2 3 2 2" xfId="38502" xr:uid="{F72C9C16-FD74-45E3-AA89-6D7F99946157}"/>
    <cellStyle name="20% - Accent6 14 2 2 3 3" xfId="22606" xr:uid="{00000000-0005-0000-0000-000004250000}"/>
    <cellStyle name="20% - Accent6 14 2 2 3 3 2" xfId="46439" xr:uid="{4E0206A6-A824-4812-BE82-EBA31AD85833}"/>
    <cellStyle name="20% - Accent6 14 2 2 3 4" xfId="30561" xr:uid="{C8E24924-507C-4525-BAE4-EB2EE8ECC72B}"/>
    <cellStyle name="20% - Accent6 14 2 2 4" xfId="11123" xr:uid="{00000000-0005-0000-0000-000005250000}"/>
    <cellStyle name="20% - Accent6 14 2 2 4 2" xfId="34973" xr:uid="{9EAF2CD3-1FC5-4D17-9E34-64C4438B046D}"/>
    <cellStyle name="20% - Accent6 14 2 2 5" xfId="19078" xr:uid="{00000000-0005-0000-0000-000006250000}"/>
    <cellStyle name="20% - Accent6 14 2 2 5 2" xfId="42911" xr:uid="{3FF53811-E83C-4BA8-A925-FB6C9F27D07C}"/>
    <cellStyle name="20% - Accent6 14 2 2 6" xfId="27031" xr:uid="{5C498C93-8A7A-4139-8999-A9BC3199CE9E}"/>
    <cellStyle name="20% - Accent6 14 2 2_Exh G" xfId="2595" xr:uid="{00000000-0005-0000-0000-000007250000}"/>
    <cellStyle name="20% - Accent6 14 2 3" xfId="3976" xr:uid="{00000000-0005-0000-0000-000008250000}"/>
    <cellStyle name="20% - Accent6 14 2 3 2" xfId="7568" xr:uid="{00000000-0005-0000-0000-000009250000}"/>
    <cellStyle name="20% - Accent6 14 2 3 2 2" xfId="15539" xr:uid="{00000000-0005-0000-0000-00000A250000}"/>
    <cellStyle name="20% - Accent6 14 2 3 2 2 2" xfId="39382" xr:uid="{1D62EE2D-E434-4BAD-A6CA-C28125D9EDE1}"/>
    <cellStyle name="20% - Accent6 14 2 3 2 3" xfId="23485" xr:uid="{00000000-0005-0000-0000-00000B250000}"/>
    <cellStyle name="20% - Accent6 14 2 3 2 3 2" xfId="47318" xr:uid="{B3357663-98E9-4209-A213-5B810CAEA8DF}"/>
    <cellStyle name="20% - Accent6 14 2 3 2 4" xfId="31441" xr:uid="{8F82D966-F9F6-43AC-BAB8-9AB60C6D7BFC}"/>
    <cellStyle name="20% - Accent6 14 2 3 3" xfId="12001" xr:uid="{00000000-0005-0000-0000-00000C250000}"/>
    <cellStyle name="20% - Accent6 14 2 3 3 2" xfId="35851" xr:uid="{E2BF1FF9-4B6D-421C-B4A0-D180B225DC5D}"/>
    <cellStyle name="20% - Accent6 14 2 3 4" xfId="19956" xr:uid="{00000000-0005-0000-0000-00000D250000}"/>
    <cellStyle name="20% - Accent6 14 2 3 4 2" xfId="43789" xr:uid="{86DC419E-499D-4ED5-A612-698EB7F30348}"/>
    <cellStyle name="20% - Accent6 14 2 3 5" xfId="27910" xr:uid="{B8EDD8B8-40E0-4794-9B46-2B08F121BA38}"/>
    <cellStyle name="20% - Accent6 14 2 4" xfId="5796" xr:uid="{00000000-0005-0000-0000-00000E250000}"/>
    <cellStyle name="20% - Accent6 14 2 4 2" xfId="13780" xr:uid="{00000000-0005-0000-0000-00000F250000}"/>
    <cellStyle name="20% - Accent6 14 2 4 2 2" xfId="37624" xr:uid="{26CC31F9-B376-4291-9697-408CC58CCD5E}"/>
    <cellStyle name="20% - Accent6 14 2 4 3" xfId="21728" xr:uid="{00000000-0005-0000-0000-000010250000}"/>
    <cellStyle name="20% - Accent6 14 2 4 3 2" xfId="45561" xr:uid="{68A74D20-55C0-4072-BD38-BC711BEB22B6}"/>
    <cellStyle name="20% - Accent6 14 2 4 4" xfId="29683" xr:uid="{3F89E94A-E5AD-41A0-A47C-398AFA26A81C}"/>
    <cellStyle name="20% - Accent6 14 2 5" xfId="9349" xr:uid="{00000000-0005-0000-0000-000011250000}"/>
    <cellStyle name="20% - Accent6 14 2 5 2" xfId="17307" xr:uid="{00000000-0005-0000-0000-000012250000}"/>
    <cellStyle name="20% - Accent6 14 2 5 2 2" xfId="41148" xr:uid="{AFCECB88-D774-4AFD-8F20-D1A10C571618}"/>
    <cellStyle name="20% - Accent6 14 2 5 3" xfId="25251" xr:uid="{00000000-0005-0000-0000-000013250000}"/>
    <cellStyle name="20% - Accent6 14 2 5 3 2" xfId="49084" xr:uid="{C95497A4-057E-4D4C-9FD4-124CF7568903}"/>
    <cellStyle name="20% - Accent6 14 2 5 4" xfId="33207" xr:uid="{F0E11E04-8459-4452-B964-FB3809105DD7}"/>
    <cellStyle name="20% - Accent6 14 2 6" xfId="10245" xr:uid="{00000000-0005-0000-0000-000014250000}"/>
    <cellStyle name="20% - Accent6 14 2 6 2" xfId="34095" xr:uid="{9F0F60FA-6F40-4E3A-A75D-F7DAFEB74F2F}"/>
    <cellStyle name="20% - Accent6 14 2 7" xfId="18200" xr:uid="{00000000-0005-0000-0000-000015250000}"/>
    <cellStyle name="20% - Accent6 14 2 7 2" xfId="42033" xr:uid="{6B0490AE-0B5C-4DE4-B0C4-8471037E1D66}"/>
    <cellStyle name="20% - Accent6 14 2 8" xfId="26153" xr:uid="{CCAC9DAE-5FCC-477C-B1C0-E480308A32E1}"/>
    <cellStyle name="20% - Accent6 14 2_Exh G" xfId="2594" xr:uid="{00000000-0005-0000-0000-000016250000}"/>
    <cellStyle name="20% - Accent6 14 3" xfId="1324" xr:uid="{00000000-0005-0000-0000-000017250000}"/>
    <cellStyle name="20% - Accent6 14 3 2" xfId="4854" xr:uid="{00000000-0005-0000-0000-000018250000}"/>
    <cellStyle name="20% - Accent6 14 3 2 2" xfId="8445" xr:uid="{00000000-0005-0000-0000-000019250000}"/>
    <cellStyle name="20% - Accent6 14 3 2 2 2" xfId="16416" xr:uid="{00000000-0005-0000-0000-00001A250000}"/>
    <cellStyle name="20% - Accent6 14 3 2 2 2 2" xfId="40259" xr:uid="{271B1D71-DF11-4C52-9618-B8FB60D19B90}"/>
    <cellStyle name="20% - Accent6 14 3 2 2 3" xfId="24362" xr:uid="{00000000-0005-0000-0000-00001B250000}"/>
    <cellStyle name="20% - Accent6 14 3 2 2 3 2" xfId="48195" xr:uid="{77E235C2-7272-4AA1-A159-374C1BFC1AF5}"/>
    <cellStyle name="20% - Accent6 14 3 2 2 4" xfId="32318" xr:uid="{0D335358-E2E5-4722-B8CF-0FEFF4875E2F}"/>
    <cellStyle name="20% - Accent6 14 3 2 3" xfId="12878" xr:uid="{00000000-0005-0000-0000-00001C250000}"/>
    <cellStyle name="20% - Accent6 14 3 2 3 2" xfId="36728" xr:uid="{C1CDD420-DD30-441A-9950-620028514B3A}"/>
    <cellStyle name="20% - Accent6 14 3 2 4" xfId="20833" xr:uid="{00000000-0005-0000-0000-00001D250000}"/>
    <cellStyle name="20% - Accent6 14 3 2 4 2" xfId="44666" xr:uid="{C651FB71-DC18-4A2C-BC86-630AFD55F994}"/>
    <cellStyle name="20% - Accent6 14 3 2 5" xfId="28787" xr:uid="{B710C2FE-ACE5-478C-8A32-27FE7809D76F}"/>
    <cellStyle name="20% - Accent6 14 3 3" xfId="6686" xr:uid="{00000000-0005-0000-0000-00001E250000}"/>
    <cellStyle name="20% - Accent6 14 3 3 2" xfId="14658" xr:uid="{00000000-0005-0000-0000-00001F250000}"/>
    <cellStyle name="20% - Accent6 14 3 3 2 2" xfId="38501" xr:uid="{83A2666A-32F4-4E3E-AACA-BA59572E9BC6}"/>
    <cellStyle name="20% - Accent6 14 3 3 3" xfId="22605" xr:uid="{00000000-0005-0000-0000-000020250000}"/>
    <cellStyle name="20% - Accent6 14 3 3 3 2" xfId="46438" xr:uid="{34EA9C2E-F90A-4D2C-8436-6DAEE3E2111E}"/>
    <cellStyle name="20% - Accent6 14 3 3 4" xfId="30560" xr:uid="{6734DA53-C048-43C4-A197-DFF93A17ACFC}"/>
    <cellStyle name="20% - Accent6 14 3 4" xfId="11122" xr:uid="{00000000-0005-0000-0000-000021250000}"/>
    <cellStyle name="20% - Accent6 14 3 4 2" xfId="34972" xr:uid="{E7000BF3-4507-42C3-BF19-CEB893505E54}"/>
    <cellStyle name="20% - Accent6 14 3 5" xfId="19077" xr:uid="{00000000-0005-0000-0000-000022250000}"/>
    <cellStyle name="20% - Accent6 14 3 5 2" xfId="42910" xr:uid="{427675FA-05EA-4568-9D15-239B472F5440}"/>
    <cellStyle name="20% - Accent6 14 3 6" xfId="27030" xr:uid="{C770EAE8-3EC3-42C3-839F-F0C9918EC65E}"/>
    <cellStyle name="20% - Accent6 14 3_Exh G" xfId="2596" xr:uid="{00000000-0005-0000-0000-000023250000}"/>
    <cellStyle name="20% - Accent6 14 4" xfId="3975" xr:uid="{00000000-0005-0000-0000-000024250000}"/>
    <cellStyle name="20% - Accent6 14 4 2" xfId="7567" xr:uid="{00000000-0005-0000-0000-000025250000}"/>
    <cellStyle name="20% - Accent6 14 4 2 2" xfId="15538" xr:uid="{00000000-0005-0000-0000-000026250000}"/>
    <cellStyle name="20% - Accent6 14 4 2 2 2" xfId="39381" xr:uid="{EB78722F-24E2-4DC8-BDDD-E578D1E71BFB}"/>
    <cellStyle name="20% - Accent6 14 4 2 3" xfId="23484" xr:uid="{00000000-0005-0000-0000-000027250000}"/>
    <cellStyle name="20% - Accent6 14 4 2 3 2" xfId="47317" xr:uid="{5A079713-C4EB-472A-8DDC-9237F88AC0D7}"/>
    <cellStyle name="20% - Accent6 14 4 2 4" xfId="31440" xr:uid="{FED90BD2-F814-4FE4-8CC0-53179CF29956}"/>
    <cellStyle name="20% - Accent6 14 4 3" xfId="12000" xr:uid="{00000000-0005-0000-0000-000028250000}"/>
    <cellStyle name="20% - Accent6 14 4 3 2" xfId="35850" xr:uid="{E26F070C-CC75-427E-B47A-A9FE1F325C9A}"/>
    <cellStyle name="20% - Accent6 14 4 4" xfId="19955" xr:uid="{00000000-0005-0000-0000-000029250000}"/>
    <cellStyle name="20% - Accent6 14 4 4 2" xfId="43788" xr:uid="{716B8A48-768B-4447-8D41-13B15C3834BA}"/>
    <cellStyle name="20% - Accent6 14 4 5" xfId="27909" xr:uid="{6516C924-894F-4616-B913-149ABDA60297}"/>
    <cellStyle name="20% - Accent6 14 5" xfId="5795" xr:uid="{00000000-0005-0000-0000-00002A250000}"/>
    <cellStyle name="20% - Accent6 14 5 2" xfId="13779" xr:uid="{00000000-0005-0000-0000-00002B250000}"/>
    <cellStyle name="20% - Accent6 14 5 2 2" xfId="37623" xr:uid="{85A03C4A-34D8-4D8F-8F97-64EF190B308F}"/>
    <cellStyle name="20% - Accent6 14 5 3" xfId="21727" xr:uid="{00000000-0005-0000-0000-00002C250000}"/>
    <cellStyle name="20% - Accent6 14 5 3 2" xfId="45560" xr:uid="{4057E7F4-5844-429A-8185-260B845ADB7F}"/>
    <cellStyle name="20% - Accent6 14 5 4" xfId="29682" xr:uid="{9EDF1F3C-BAE5-43F1-932A-34EE1EE0ACE9}"/>
    <cellStyle name="20% - Accent6 14 6" xfId="9348" xr:uid="{00000000-0005-0000-0000-00002D250000}"/>
    <cellStyle name="20% - Accent6 14 6 2" xfId="17306" xr:uid="{00000000-0005-0000-0000-00002E250000}"/>
    <cellStyle name="20% - Accent6 14 6 2 2" xfId="41147" xr:uid="{E2FF4FAE-CD2E-4222-AA0F-14F4603F169C}"/>
    <cellStyle name="20% - Accent6 14 6 3" xfId="25250" xr:uid="{00000000-0005-0000-0000-00002F250000}"/>
    <cellStyle name="20% - Accent6 14 6 3 2" xfId="49083" xr:uid="{1A09607B-C3A0-4BAC-9F8B-712F5D7C618C}"/>
    <cellStyle name="20% - Accent6 14 6 4" xfId="33206" xr:uid="{7F5A6AC2-EB5A-4A09-B5D5-56134F36BF55}"/>
    <cellStyle name="20% - Accent6 14 7" xfId="10244" xr:uid="{00000000-0005-0000-0000-000030250000}"/>
    <cellStyle name="20% - Accent6 14 7 2" xfId="34094" xr:uid="{5626FB08-9B17-476A-B616-CF0735692538}"/>
    <cellStyle name="20% - Accent6 14 8" xfId="18199" xr:uid="{00000000-0005-0000-0000-000031250000}"/>
    <cellStyle name="20% - Accent6 14 8 2" xfId="42032" xr:uid="{AC840B37-5B58-4F53-92D2-CD2D0045B019}"/>
    <cellStyle name="20% - Accent6 14 9" xfId="26152" xr:uid="{A80046E1-632E-4032-BDC1-F73DE9A1B7A9}"/>
    <cellStyle name="20% - Accent6 14_Exh G" xfId="2593" xr:uid="{00000000-0005-0000-0000-000032250000}"/>
    <cellStyle name="20% - Accent6 15" xfId="298" xr:uid="{00000000-0005-0000-0000-000033250000}"/>
    <cellStyle name="20% - Accent6 15 2" xfId="1326" xr:uid="{00000000-0005-0000-0000-000034250000}"/>
    <cellStyle name="20% - Accent6 15 2 2" xfId="4856" xr:uid="{00000000-0005-0000-0000-000035250000}"/>
    <cellStyle name="20% - Accent6 15 2 2 2" xfId="8447" xr:uid="{00000000-0005-0000-0000-000036250000}"/>
    <cellStyle name="20% - Accent6 15 2 2 2 2" xfId="16418" xr:uid="{00000000-0005-0000-0000-000037250000}"/>
    <cellStyle name="20% - Accent6 15 2 2 2 2 2" xfId="40261" xr:uid="{CB76C078-1182-4D51-AD6A-BB5DB1F864BB}"/>
    <cellStyle name="20% - Accent6 15 2 2 2 3" xfId="24364" xr:uid="{00000000-0005-0000-0000-000038250000}"/>
    <cellStyle name="20% - Accent6 15 2 2 2 3 2" xfId="48197" xr:uid="{367049EB-A0A5-42B9-B8D5-F319304F2CC7}"/>
    <cellStyle name="20% - Accent6 15 2 2 2 4" xfId="32320" xr:uid="{5A4489DE-0882-44A6-ACF8-3E21509303D5}"/>
    <cellStyle name="20% - Accent6 15 2 2 3" xfId="12880" xr:uid="{00000000-0005-0000-0000-000039250000}"/>
    <cellStyle name="20% - Accent6 15 2 2 3 2" xfId="36730" xr:uid="{040F0848-2670-46BE-B871-F38C9EAAD0BC}"/>
    <cellStyle name="20% - Accent6 15 2 2 4" xfId="20835" xr:uid="{00000000-0005-0000-0000-00003A250000}"/>
    <cellStyle name="20% - Accent6 15 2 2 4 2" xfId="44668" xr:uid="{3BC1E23E-F682-470D-B4DF-C9D0BE3FF929}"/>
    <cellStyle name="20% - Accent6 15 2 2 5" xfId="28789" xr:uid="{D2496B34-9143-4331-A866-366C7A038B3A}"/>
    <cellStyle name="20% - Accent6 15 2 3" xfId="6688" xr:uid="{00000000-0005-0000-0000-00003B250000}"/>
    <cellStyle name="20% - Accent6 15 2 3 2" xfId="14660" xr:uid="{00000000-0005-0000-0000-00003C250000}"/>
    <cellStyle name="20% - Accent6 15 2 3 2 2" xfId="38503" xr:uid="{E25CAABC-A315-4298-96AF-B6D9DFBA06CF}"/>
    <cellStyle name="20% - Accent6 15 2 3 3" xfId="22607" xr:uid="{00000000-0005-0000-0000-00003D250000}"/>
    <cellStyle name="20% - Accent6 15 2 3 3 2" xfId="46440" xr:uid="{41122982-A367-4ADB-BDC2-FF64101726B3}"/>
    <cellStyle name="20% - Accent6 15 2 3 4" xfId="30562" xr:uid="{D44DE637-D158-446C-9725-657ADDC819E4}"/>
    <cellStyle name="20% - Accent6 15 2 4" xfId="11124" xr:uid="{00000000-0005-0000-0000-00003E250000}"/>
    <cellStyle name="20% - Accent6 15 2 4 2" xfId="34974" xr:uid="{6A074EC6-16E8-4D67-A97E-DA67D6B76FB3}"/>
    <cellStyle name="20% - Accent6 15 2 5" xfId="19079" xr:uid="{00000000-0005-0000-0000-00003F250000}"/>
    <cellStyle name="20% - Accent6 15 2 5 2" xfId="42912" xr:uid="{FAD793EF-5A22-45B0-BC1E-3C19BC1B3C7A}"/>
    <cellStyle name="20% - Accent6 15 2 6" xfId="27032" xr:uid="{3A238590-277D-4E5E-B8B7-91736B2AEC8F}"/>
    <cellStyle name="20% - Accent6 15 2_Exh G" xfId="2598" xr:uid="{00000000-0005-0000-0000-000040250000}"/>
    <cellStyle name="20% - Accent6 15 3" xfId="3977" xr:uid="{00000000-0005-0000-0000-000041250000}"/>
    <cellStyle name="20% - Accent6 15 3 2" xfId="7569" xr:uid="{00000000-0005-0000-0000-000042250000}"/>
    <cellStyle name="20% - Accent6 15 3 2 2" xfId="15540" xr:uid="{00000000-0005-0000-0000-000043250000}"/>
    <cellStyle name="20% - Accent6 15 3 2 2 2" xfId="39383" xr:uid="{CF91D11C-C524-4198-A93B-7F4880F0B0FF}"/>
    <cellStyle name="20% - Accent6 15 3 2 3" xfId="23486" xr:uid="{00000000-0005-0000-0000-000044250000}"/>
    <cellStyle name="20% - Accent6 15 3 2 3 2" xfId="47319" xr:uid="{6A8ECF23-DA77-44AC-B3FA-6FA63550C2A5}"/>
    <cellStyle name="20% - Accent6 15 3 2 4" xfId="31442" xr:uid="{92743003-002E-4C0C-9D4E-5CE6370A28ED}"/>
    <cellStyle name="20% - Accent6 15 3 3" xfId="12002" xr:uid="{00000000-0005-0000-0000-000045250000}"/>
    <cellStyle name="20% - Accent6 15 3 3 2" xfId="35852" xr:uid="{EFD0246A-FA60-4315-A125-27EBE7AA040B}"/>
    <cellStyle name="20% - Accent6 15 3 4" xfId="19957" xr:uid="{00000000-0005-0000-0000-000046250000}"/>
    <cellStyle name="20% - Accent6 15 3 4 2" xfId="43790" xr:uid="{624A182D-5C57-4E8B-8185-8B21E2E799BF}"/>
    <cellStyle name="20% - Accent6 15 3 5" xfId="27911" xr:uid="{77DD2913-3ED3-44D4-8B3E-62643178BA3B}"/>
    <cellStyle name="20% - Accent6 15 4" xfId="5797" xr:uid="{00000000-0005-0000-0000-000047250000}"/>
    <cellStyle name="20% - Accent6 15 4 2" xfId="13781" xr:uid="{00000000-0005-0000-0000-000048250000}"/>
    <cellStyle name="20% - Accent6 15 4 2 2" xfId="37625" xr:uid="{3E2B1109-7C48-4C63-9776-009311FF524C}"/>
    <cellStyle name="20% - Accent6 15 4 3" xfId="21729" xr:uid="{00000000-0005-0000-0000-000049250000}"/>
    <cellStyle name="20% - Accent6 15 4 3 2" xfId="45562" xr:uid="{8C1A5A8E-1057-419E-9386-9DB27DF789F9}"/>
    <cellStyle name="20% - Accent6 15 4 4" xfId="29684" xr:uid="{855F7879-BE49-486D-93A0-C0A0AE34D054}"/>
    <cellStyle name="20% - Accent6 15 5" xfId="9350" xr:uid="{00000000-0005-0000-0000-00004A250000}"/>
    <cellStyle name="20% - Accent6 15 5 2" xfId="17308" xr:uid="{00000000-0005-0000-0000-00004B250000}"/>
    <cellStyle name="20% - Accent6 15 5 2 2" xfId="41149" xr:uid="{EBD121B1-7C84-49F7-BEC7-6FBDC8333F6F}"/>
    <cellStyle name="20% - Accent6 15 5 3" xfId="25252" xr:uid="{00000000-0005-0000-0000-00004C250000}"/>
    <cellStyle name="20% - Accent6 15 5 3 2" xfId="49085" xr:uid="{E295B145-2AEB-4AF1-AF72-D756978F6147}"/>
    <cellStyle name="20% - Accent6 15 5 4" xfId="33208" xr:uid="{9181A842-CD12-44F8-9743-4BC55C7D7521}"/>
    <cellStyle name="20% - Accent6 15 6" xfId="10246" xr:uid="{00000000-0005-0000-0000-00004D250000}"/>
    <cellStyle name="20% - Accent6 15 6 2" xfId="34096" xr:uid="{23346AC6-FBA4-4DB8-B934-84268A3143AE}"/>
    <cellStyle name="20% - Accent6 15 7" xfId="18201" xr:uid="{00000000-0005-0000-0000-00004E250000}"/>
    <cellStyle name="20% - Accent6 15 7 2" xfId="42034" xr:uid="{BB1D1037-1227-45CB-A2AD-B5B55F3541D2}"/>
    <cellStyle name="20% - Accent6 15 8" xfId="26154" xr:uid="{7056481A-2988-4896-974C-CCD80ED76A88}"/>
    <cellStyle name="20% - Accent6 15_Exh G" xfId="2597" xr:uid="{00000000-0005-0000-0000-00004F250000}"/>
    <cellStyle name="20% - Accent6 16" xfId="848" xr:uid="{00000000-0005-0000-0000-000050250000}"/>
    <cellStyle name="20% - Accent6 16 2" xfId="1787" xr:uid="{00000000-0005-0000-0000-000051250000}"/>
    <cellStyle name="20% - Accent6 16 2 2" xfId="5308" xr:uid="{00000000-0005-0000-0000-000052250000}"/>
    <cellStyle name="20% - Accent6 16 2 2 2" xfId="8899" xr:uid="{00000000-0005-0000-0000-000053250000}"/>
    <cellStyle name="20% - Accent6 16 2 2 2 2" xfId="16870" xr:uid="{00000000-0005-0000-0000-000054250000}"/>
    <cellStyle name="20% - Accent6 16 2 2 2 2 2" xfId="40713" xr:uid="{2FCCF3B0-1C7E-40F4-BF68-D22B2EF2A705}"/>
    <cellStyle name="20% - Accent6 16 2 2 2 3" xfId="24816" xr:uid="{00000000-0005-0000-0000-000055250000}"/>
    <cellStyle name="20% - Accent6 16 2 2 2 3 2" xfId="48649" xr:uid="{61700AEB-6FE6-4D4A-90DF-5F142E3BC2B5}"/>
    <cellStyle name="20% - Accent6 16 2 2 2 4" xfId="32772" xr:uid="{7B4A4A19-B41C-4184-AAF4-E03847086130}"/>
    <cellStyle name="20% - Accent6 16 2 2 3" xfId="13332" xr:uid="{00000000-0005-0000-0000-000056250000}"/>
    <cellStyle name="20% - Accent6 16 2 2 3 2" xfId="37182" xr:uid="{A485F431-9470-48BA-B652-33193DC917DA}"/>
    <cellStyle name="20% - Accent6 16 2 2 4" xfId="21287" xr:uid="{00000000-0005-0000-0000-000057250000}"/>
    <cellStyle name="20% - Accent6 16 2 2 4 2" xfId="45120" xr:uid="{2F1FE499-BD7E-450D-98C8-E01181799845}"/>
    <cellStyle name="20% - Accent6 16 2 2 5" xfId="29241" xr:uid="{93DD8DED-F5D4-4474-8102-D47F7355A168}"/>
    <cellStyle name="20% - Accent6 16 2 3" xfId="7140" xr:uid="{00000000-0005-0000-0000-000058250000}"/>
    <cellStyle name="20% - Accent6 16 2 3 2" xfId="15112" xr:uid="{00000000-0005-0000-0000-000059250000}"/>
    <cellStyle name="20% - Accent6 16 2 3 2 2" xfId="38955" xr:uid="{A03B0843-E633-4128-BA11-16DA031AA8DB}"/>
    <cellStyle name="20% - Accent6 16 2 3 3" xfId="23059" xr:uid="{00000000-0005-0000-0000-00005A250000}"/>
    <cellStyle name="20% - Accent6 16 2 3 3 2" xfId="46892" xr:uid="{1216AC68-F4C2-4A9F-AB13-AA315278E159}"/>
    <cellStyle name="20% - Accent6 16 2 3 4" xfId="31014" xr:uid="{5B3E32D1-ED72-4E76-9851-8D4740249DC1}"/>
    <cellStyle name="20% - Accent6 16 2 4" xfId="11576" xr:uid="{00000000-0005-0000-0000-00005B250000}"/>
    <cellStyle name="20% - Accent6 16 2 4 2" xfId="35426" xr:uid="{CE517619-BC7D-44FC-906C-550370A8AC9F}"/>
    <cellStyle name="20% - Accent6 16 2 5" xfId="19531" xr:uid="{00000000-0005-0000-0000-00005C250000}"/>
    <cellStyle name="20% - Accent6 16 2 5 2" xfId="43364" xr:uid="{578E7856-8488-4CCB-AE09-096428E156E1}"/>
    <cellStyle name="20% - Accent6 16 2 6" xfId="27484" xr:uid="{D5170B9B-13FA-44C4-9E69-C042EDE835B4}"/>
    <cellStyle name="20% - Accent6 16 2_Exh G" xfId="2600" xr:uid="{00000000-0005-0000-0000-00005D250000}"/>
    <cellStyle name="20% - Accent6 16 3" xfId="4429" xr:uid="{00000000-0005-0000-0000-00005E250000}"/>
    <cellStyle name="20% - Accent6 16 3 2" xfId="8021" xr:uid="{00000000-0005-0000-0000-00005F250000}"/>
    <cellStyle name="20% - Accent6 16 3 2 2" xfId="15992" xr:uid="{00000000-0005-0000-0000-000060250000}"/>
    <cellStyle name="20% - Accent6 16 3 2 2 2" xfId="39835" xr:uid="{F94D1207-F4B9-4843-8EB6-1A98D3291665}"/>
    <cellStyle name="20% - Accent6 16 3 2 3" xfId="23938" xr:uid="{00000000-0005-0000-0000-000061250000}"/>
    <cellStyle name="20% - Accent6 16 3 2 3 2" xfId="47771" xr:uid="{5C7B7EE7-C888-4440-93CE-4B05A7C74978}"/>
    <cellStyle name="20% - Accent6 16 3 2 4" xfId="31894" xr:uid="{FF22A7AD-F06D-40DD-A34F-9B3747427116}"/>
    <cellStyle name="20% - Accent6 16 3 3" xfId="12454" xr:uid="{00000000-0005-0000-0000-000062250000}"/>
    <cellStyle name="20% - Accent6 16 3 3 2" xfId="36304" xr:uid="{E6873556-BF3B-4FE8-84B6-9FD353C32F83}"/>
    <cellStyle name="20% - Accent6 16 3 4" xfId="20409" xr:uid="{00000000-0005-0000-0000-000063250000}"/>
    <cellStyle name="20% - Accent6 16 3 4 2" xfId="44242" xr:uid="{E53EF90B-81B1-4DA7-A69B-2E76A8C03BC2}"/>
    <cellStyle name="20% - Accent6 16 3 5" xfId="28363" xr:uid="{6613E05A-BA13-498D-94A9-25D52355BCFD}"/>
    <cellStyle name="20% - Accent6 16 4" xfId="6259" xr:uid="{00000000-0005-0000-0000-000064250000}"/>
    <cellStyle name="20% - Accent6 16 4 2" xfId="14234" xr:uid="{00000000-0005-0000-0000-000065250000}"/>
    <cellStyle name="20% - Accent6 16 4 2 2" xfId="38077" xr:uid="{9BA91D8B-A177-42B4-BB76-BA7C7A1922E0}"/>
    <cellStyle name="20% - Accent6 16 4 3" xfId="22181" xr:uid="{00000000-0005-0000-0000-000066250000}"/>
    <cellStyle name="20% - Accent6 16 4 3 2" xfId="46014" xr:uid="{C98EFAA8-69DF-4D81-A1C7-8C540778DD21}"/>
    <cellStyle name="20% - Accent6 16 4 4" xfId="30136" xr:uid="{EA6990EF-88E1-45FD-BF63-E2CF74EF784C}"/>
    <cellStyle name="20% - Accent6 16 5" xfId="9802" xr:uid="{00000000-0005-0000-0000-000067250000}"/>
    <cellStyle name="20% - Accent6 16 5 2" xfId="17760" xr:uid="{00000000-0005-0000-0000-000068250000}"/>
    <cellStyle name="20% - Accent6 16 5 2 2" xfId="41601" xr:uid="{1CFC6FE6-CCB1-445A-B18D-3F999462418E}"/>
    <cellStyle name="20% - Accent6 16 5 3" xfId="25704" xr:uid="{00000000-0005-0000-0000-000069250000}"/>
    <cellStyle name="20% - Accent6 16 5 3 2" xfId="49537" xr:uid="{8BABC6EE-B706-48AC-BE3B-DCD84837E0F0}"/>
    <cellStyle name="20% - Accent6 16 5 4" xfId="33660" xr:uid="{3BC4378F-1576-42B1-8157-43040B811240}"/>
    <cellStyle name="20% - Accent6 16 6" xfId="10698" xr:uid="{00000000-0005-0000-0000-00006A250000}"/>
    <cellStyle name="20% - Accent6 16 6 2" xfId="34548" xr:uid="{E832D1CE-AE07-4299-9FA0-8EA110B8C242}"/>
    <cellStyle name="20% - Accent6 16 7" xfId="18653" xr:uid="{00000000-0005-0000-0000-00006B250000}"/>
    <cellStyle name="20% - Accent6 16 7 2" xfId="42486" xr:uid="{77B855E3-4C01-4A07-9843-279BE4ED6128}"/>
    <cellStyle name="20% - Accent6 16 8" xfId="26606" xr:uid="{C58FD1C0-66C1-4270-BB78-3CA41F9E79D4}"/>
    <cellStyle name="20% - Accent6 16_Exh G" xfId="2599" xr:uid="{00000000-0005-0000-0000-00006C250000}"/>
    <cellStyle name="20% - Accent6 17" xfId="49805" xr:uid="{85126466-3381-4F1E-AC4E-42C398EDD258}"/>
    <cellStyle name="20% - Accent6 2" xfId="299" xr:uid="{00000000-0005-0000-0000-00006D250000}"/>
    <cellStyle name="20% - Accent6 2 10" xfId="18202" xr:uid="{00000000-0005-0000-0000-00006E250000}"/>
    <cellStyle name="20% - Accent6 2 10 2" xfId="42035" xr:uid="{88AB7210-3CBE-439F-8CFE-6DAE83F69357}"/>
    <cellStyle name="20% - Accent6 2 11" xfId="26155" xr:uid="{FD7DB16B-D1DC-456A-BCDC-E56B2AD202D5}"/>
    <cellStyle name="20% - Accent6 2 12" xfId="49790" xr:uid="{4BD6B06A-5F58-4177-B94C-C69E7A627DC8}"/>
    <cellStyle name="20% - Accent6 2 13" xfId="49818" xr:uid="{9D491E89-21BC-4054-A9C0-6D1A5616E8EE}"/>
    <cellStyle name="20% - Accent6 2 2" xfId="300" xr:uid="{00000000-0005-0000-0000-00006F250000}"/>
    <cellStyle name="20% - Accent6 2 2 10" xfId="26156" xr:uid="{712B2D0B-5CDF-40B5-A9A8-236DB7E23AD2}"/>
    <cellStyle name="20% - Accent6 2 2 2" xfId="301" xr:uid="{00000000-0005-0000-0000-000070250000}"/>
    <cellStyle name="20% - Accent6 2 2 2 2" xfId="1329" xr:uid="{00000000-0005-0000-0000-000071250000}"/>
    <cellStyle name="20% - Accent6 2 2 2 2 2" xfId="4859" xr:uid="{00000000-0005-0000-0000-000072250000}"/>
    <cellStyle name="20% - Accent6 2 2 2 2 2 2" xfId="8450" xr:uid="{00000000-0005-0000-0000-000073250000}"/>
    <cellStyle name="20% - Accent6 2 2 2 2 2 2 2" xfId="16421" xr:uid="{00000000-0005-0000-0000-000074250000}"/>
    <cellStyle name="20% - Accent6 2 2 2 2 2 2 2 2" xfId="40264" xr:uid="{D3A032AC-BBAA-4A65-A64B-31AB947AE311}"/>
    <cellStyle name="20% - Accent6 2 2 2 2 2 2 3" xfId="24367" xr:uid="{00000000-0005-0000-0000-000075250000}"/>
    <cellStyle name="20% - Accent6 2 2 2 2 2 2 3 2" xfId="48200" xr:uid="{AF03C7F7-F1EB-4B23-8A42-2409335E3367}"/>
    <cellStyle name="20% - Accent6 2 2 2 2 2 2 4" xfId="32323" xr:uid="{EA1064BF-E43B-401C-9F26-40D1763156BE}"/>
    <cellStyle name="20% - Accent6 2 2 2 2 2 3" xfId="12883" xr:uid="{00000000-0005-0000-0000-000076250000}"/>
    <cellStyle name="20% - Accent6 2 2 2 2 2 3 2" xfId="36733" xr:uid="{1D476D1A-9718-41FC-847C-D53034016968}"/>
    <cellStyle name="20% - Accent6 2 2 2 2 2 4" xfId="20838" xr:uid="{00000000-0005-0000-0000-000077250000}"/>
    <cellStyle name="20% - Accent6 2 2 2 2 2 4 2" xfId="44671" xr:uid="{59EEEA86-65C4-472C-9C1F-17140F3406F8}"/>
    <cellStyle name="20% - Accent6 2 2 2 2 2 5" xfId="28792" xr:uid="{C806AB0A-CED9-4DA0-8B58-21BA0BBC1354}"/>
    <cellStyle name="20% - Accent6 2 2 2 2 3" xfId="6691" xr:uid="{00000000-0005-0000-0000-000078250000}"/>
    <cellStyle name="20% - Accent6 2 2 2 2 3 2" xfId="14663" xr:uid="{00000000-0005-0000-0000-000079250000}"/>
    <cellStyle name="20% - Accent6 2 2 2 2 3 2 2" xfId="38506" xr:uid="{07CFD78A-DE24-4106-BA66-996D2505E846}"/>
    <cellStyle name="20% - Accent6 2 2 2 2 3 3" xfId="22610" xr:uid="{00000000-0005-0000-0000-00007A250000}"/>
    <cellStyle name="20% - Accent6 2 2 2 2 3 3 2" xfId="46443" xr:uid="{846A08C5-CF69-4F24-B7BD-7B8AA5E60051}"/>
    <cellStyle name="20% - Accent6 2 2 2 2 3 4" xfId="30565" xr:uid="{349BE905-8C98-4C64-86D6-B770CCC1A52B}"/>
    <cellStyle name="20% - Accent6 2 2 2 2 4" xfId="11127" xr:uid="{00000000-0005-0000-0000-00007B250000}"/>
    <cellStyle name="20% - Accent6 2 2 2 2 4 2" xfId="34977" xr:uid="{4FED45A6-9DA6-4F60-8D6E-1C09C41FAB31}"/>
    <cellStyle name="20% - Accent6 2 2 2 2 5" xfId="19082" xr:uid="{00000000-0005-0000-0000-00007C250000}"/>
    <cellStyle name="20% - Accent6 2 2 2 2 5 2" xfId="42915" xr:uid="{25D8421A-73AE-457C-8BFD-945D4541E2B7}"/>
    <cellStyle name="20% - Accent6 2 2 2 2 6" xfId="27035" xr:uid="{F3C2EE04-48CC-491D-B219-D163AE396E26}"/>
    <cellStyle name="20% - Accent6 2 2 2 2_Exh G" xfId="2604" xr:uid="{00000000-0005-0000-0000-00007D250000}"/>
    <cellStyle name="20% - Accent6 2 2 2 3" xfId="3980" xr:uid="{00000000-0005-0000-0000-00007E250000}"/>
    <cellStyle name="20% - Accent6 2 2 2 3 2" xfId="7572" xr:uid="{00000000-0005-0000-0000-00007F250000}"/>
    <cellStyle name="20% - Accent6 2 2 2 3 2 2" xfId="15543" xr:uid="{00000000-0005-0000-0000-000080250000}"/>
    <cellStyle name="20% - Accent6 2 2 2 3 2 2 2" xfId="39386" xr:uid="{D77BAD58-3712-44DA-B43D-749EAAA22C4E}"/>
    <cellStyle name="20% - Accent6 2 2 2 3 2 3" xfId="23489" xr:uid="{00000000-0005-0000-0000-000081250000}"/>
    <cellStyle name="20% - Accent6 2 2 2 3 2 3 2" xfId="47322" xr:uid="{008E99A4-3BB2-4925-BB8C-13D0735D45D6}"/>
    <cellStyle name="20% - Accent6 2 2 2 3 2 4" xfId="31445" xr:uid="{3120E569-5DA0-41FF-9D6B-39D02AEBE407}"/>
    <cellStyle name="20% - Accent6 2 2 2 3 3" xfId="12005" xr:uid="{00000000-0005-0000-0000-000082250000}"/>
    <cellStyle name="20% - Accent6 2 2 2 3 3 2" xfId="35855" xr:uid="{AB404675-8C06-49FD-8A59-8698E4871841}"/>
    <cellStyle name="20% - Accent6 2 2 2 3 4" xfId="19960" xr:uid="{00000000-0005-0000-0000-000083250000}"/>
    <cellStyle name="20% - Accent6 2 2 2 3 4 2" xfId="43793" xr:uid="{E54A9B9B-0576-4630-A271-0CD44BEFC3A1}"/>
    <cellStyle name="20% - Accent6 2 2 2 3 5" xfId="27914" xr:uid="{1DA03FF6-6883-4CA9-B6FF-1AC7E4AC2D19}"/>
    <cellStyle name="20% - Accent6 2 2 2 4" xfId="5800" xr:uid="{00000000-0005-0000-0000-000084250000}"/>
    <cellStyle name="20% - Accent6 2 2 2 4 2" xfId="13784" xr:uid="{00000000-0005-0000-0000-000085250000}"/>
    <cellStyle name="20% - Accent6 2 2 2 4 2 2" xfId="37628" xr:uid="{89F6FD3B-3743-4D95-B2CD-690304C7B01A}"/>
    <cellStyle name="20% - Accent6 2 2 2 4 3" xfId="21732" xr:uid="{00000000-0005-0000-0000-000086250000}"/>
    <cellStyle name="20% - Accent6 2 2 2 4 3 2" xfId="45565" xr:uid="{1F41D225-C477-4EBA-839A-5F995CAA7EAD}"/>
    <cellStyle name="20% - Accent6 2 2 2 4 4" xfId="29687" xr:uid="{1552727D-0338-4581-9C22-50066639068E}"/>
    <cellStyle name="20% - Accent6 2 2 2 5" xfId="9353" xr:uid="{00000000-0005-0000-0000-000087250000}"/>
    <cellStyle name="20% - Accent6 2 2 2 5 2" xfId="17311" xr:uid="{00000000-0005-0000-0000-000088250000}"/>
    <cellStyle name="20% - Accent6 2 2 2 5 2 2" xfId="41152" xr:uid="{5146EF8E-4770-4483-BC1E-59329484E38B}"/>
    <cellStyle name="20% - Accent6 2 2 2 5 3" xfId="25255" xr:uid="{00000000-0005-0000-0000-000089250000}"/>
    <cellStyle name="20% - Accent6 2 2 2 5 3 2" xfId="49088" xr:uid="{ADC69348-EF9D-4A70-9D0E-1A0F9A0B98DE}"/>
    <cellStyle name="20% - Accent6 2 2 2 5 4" xfId="33211" xr:uid="{2F981532-F42F-4D5F-B73E-8EDF4E3613BA}"/>
    <cellStyle name="20% - Accent6 2 2 2 6" xfId="10249" xr:uid="{00000000-0005-0000-0000-00008A250000}"/>
    <cellStyle name="20% - Accent6 2 2 2 6 2" xfId="34099" xr:uid="{AB595A84-C964-46AB-83DB-CE87DC8E3E5A}"/>
    <cellStyle name="20% - Accent6 2 2 2 7" xfId="18204" xr:uid="{00000000-0005-0000-0000-00008B250000}"/>
    <cellStyle name="20% - Accent6 2 2 2 7 2" xfId="42037" xr:uid="{650BB830-9179-42E0-A717-F6103AD98907}"/>
    <cellStyle name="20% - Accent6 2 2 2 8" xfId="26157" xr:uid="{F855E4DF-ADEF-4138-879B-C94C31DD07A5}"/>
    <cellStyle name="20% - Accent6 2 2 2_Exh G" xfId="2603" xr:uid="{00000000-0005-0000-0000-00008C250000}"/>
    <cellStyle name="20% - Accent6 2 2 3" xfId="924" xr:uid="{00000000-0005-0000-0000-00008D250000}"/>
    <cellStyle name="20% - Accent6 2 2 3 2" xfId="1850" xr:uid="{00000000-0005-0000-0000-00008E250000}"/>
    <cellStyle name="20% - Accent6 2 2 3 2 2" xfId="5368" xr:uid="{00000000-0005-0000-0000-00008F250000}"/>
    <cellStyle name="20% - Accent6 2 2 3 2 2 2" xfId="8959" xr:uid="{00000000-0005-0000-0000-000090250000}"/>
    <cellStyle name="20% - Accent6 2 2 3 2 2 2 2" xfId="16930" xr:uid="{00000000-0005-0000-0000-000091250000}"/>
    <cellStyle name="20% - Accent6 2 2 3 2 2 2 2 2" xfId="40773" xr:uid="{8A2DAEEC-D385-4772-9EDD-5DAF85717B23}"/>
    <cellStyle name="20% - Accent6 2 2 3 2 2 2 3" xfId="24876" xr:uid="{00000000-0005-0000-0000-000092250000}"/>
    <cellStyle name="20% - Accent6 2 2 3 2 2 2 3 2" xfId="48709" xr:uid="{4123A204-1F4A-4CD8-A494-B2B724CB08AB}"/>
    <cellStyle name="20% - Accent6 2 2 3 2 2 2 4" xfId="32832" xr:uid="{A9A01F10-1591-4399-BD9F-DA933926FF67}"/>
    <cellStyle name="20% - Accent6 2 2 3 2 2 3" xfId="13392" xr:uid="{00000000-0005-0000-0000-000093250000}"/>
    <cellStyle name="20% - Accent6 2 2 3 2 2 3 2" xfId="37242" xr:uid="{92A3B868-31E7-4E6A-A6B4-7C461C4C9E18}"/>
    <cellStyle name="20% - Accent6 2 2 3 2 2 4" xfId="21347" xr:uid="{00000000-0005-0000-0000-000094250000}"/>
    <cellStyle name="20% - Accent6 2 2 3 2 2 4 2" xfId="45180" xr:uid="{8DB54591-EF9B-4D37-A755-78E52319BB26}"/>
    <cellStyle name="20% - Accent6 2 2 3 2 2 5" xfId="29301" xr:uid="{F1B0BC4E-9441-43E6-A498-9A1354C4B9A0}"/>
    <cellStyle name="20% - Accent6 2 2 3 2 3" xfId="7200" xr:uid="{00000000-0005-0000-0000-000095250000}"/>
    <cellStyle name="20% - Accent6 2 2 3 2 3 2" xfId="15172" xr:uid="{00000000-0005-0000-0000-000096250000}"/>
    <cellStyle name="20% - Accent6 2 2 3 2 3 2 2" xfId="39015" xr:uid="{9F860B1A-32C6-44D7-A343-635234494CEA}"/>
    <cellStyle name="20% - Accent6 2 2 3 2 3 3" xfId="23119" xr:uid="{00000000-0005-0000-0000-000097250000}"/>
    <cellStyle name="20% - Accent6 2 2 3 2 3 3 2" xfId="46952" xr:uid="{80D3CD6B-BE98-4988-AFF0-05ABF0AE4724}"/>
    <cellStyle name="20% - Accent6 2 2 3 2 3 4" xfId="31074" xr:uid="{35134C57-1628-4F5E-B5EF-1EA75EB8F459}"/>
    <cellStyle name="20% - Accent6 2 2 3 2 4" xfId="11636" xr:uid="{00000000-0005-0000-0000-000098250000}"/>
    <cellStyle name="20% - Accent6 2 2 3 2 4 2" xfId="35486" xr:uid="{31A4733B-5E2E-4AEB-8B8B-DE00C1620601}"/>
    <cellStyle name="20% - Accent6 2 2 3 2 5" xfId="19591" xr:uid="{00000000-0005-0000-0000-000099250000}"/>
    <cellStyle name="20% - Accent6 2 2 3 2 5 2" xfId="43424" xr:uid="{2CD2DA56-BF6A-4B51-8855-F1959402DA6D}"/>
    <cellStyle name="20% - Accent6 2 2 3 2 6" xfId="27544" xr:uid="{F51D7D9F-78A0-46A8-BC62-B103E86F132F}"/>
    <cellStyle name="20% - Accent6 2 2 3 2_Exh G" xfId="2606" xr:uid="{00000000-0005-0000-0000-00009A250000}"/>
    <cellStyle name="20% - Accent6 2 2 3 3" xfId="4489" xr:uid="{00000000-0005-0000-0000-00009B250000}"/>
    <cellStyle name="20% - Accent6 2 2 3 3 2" xfId="8081" xr:uid="{00000000-0005-0000-0000-00009C250000}"/>
    <cellStyle name="20% - Accent6 2 2 3 3 2 2" xfId="16052" xr:uid="{00000000-0005-0000-0000-00009D250000}"/>
    <cellStyle name="20% - Accent6 2 2 3 3 2 2 2" xfId="39895" xr:uid="{315AF3AD-165E-4A69-ABF9-1977B6EC7830}"/>
    <cellStyle name="20% - Accent6 2 2 3 3 2 3" xfId="23998" xr:uid="{00000000-0005-0000-0000-00009E250000}"/>
    <cellStyle name="20% - Accent6 2 2 3 3 2 3 2" xfId="47831" xr:uid="{C17AB013-C3E5-4320-BDAB-7B978DCFEFB4}"/>
    <cellStyle name="20% - Accent6 2 2 3 3 2 4" xfId="31954" xr:uid="{5DF98A03-C66C-4E65-AEE3-1FCE97D23B83}"/>
    <cellStyle name="20% - Accent6 2 2 3 3 3" xfId="12514" xr:uid="{00000000-0005-0000-0000-00009F250000}"/>
    <cellStyle name="20% - Accent6 2 2 3 3 3 2" xfId="36364" xr:uid="{4DF4BA9A-7076-430E-94CA-1C257729A2E1}"/>
    <cellStyle name="20% - Accent6 2 2 3 3 4" xfId="20469" xr:uid="{00000000-0005-0000-0000-0000A0250000}"/>
    <cellStyle name="20% - Accent6 2 2 3 3 4 2" xfId="44302" xr:uid="{EA43C822-F8B8-4A78-BC75-3FCC0BB87DC4}"/>
    <cellStyle name="20% - Accent6 2 2 3 3 5" xfId="28423" xr:uid="{D1E0C173-6874-4493-BAA0-D1F63682265C}"/>
    <cellStyle name="20% - Accent6 2 2 3 4" xfId="6319" xr:uid="{00000000-0005-0000-0000-0000A1250000}"/>
    <cellStyle name="20% - Accent6 2 2 3 4 2" xfId="14294" xr:uid="{00000000-0005-0000-0000-0000A2250000}"/>
    <cellStyle name="20% - Accent6 2 2 3 4 2 2" xfId="38137" xr:uid="{F5BB2B51-5759-4EE3-832C-16DF5A18DC86}"/>
    <cellStyle name="20% - Accent6 2 2 3 4 3" xfId="22241" xr:uid="{00000000-0005-0000-0000-0000A3250000}"/>
    <cellStyle name="20% - Accent6 2 2 3 4 3 2" xfId="46074" xr:uid="{41218804-1FF8-49F9-9DCE-E7E6EC74CF48}"/>
    <cellStyle name="20% - Accent6 2 2 3 4 4" xfId="30196" xr:uid="{16F7FECD-7E98-4E7A-884C-CCB712B837CF}"/>
    <cellStyle name="20% - Accent6 2 2 3 5" xfId="9862" xr:uid="{00000000-0005-0000-0000-0000A4250000}"/>
    <cellStyle name="20% - Accent6 2 2 3 5 2" xfId="17820" xr:uid="{00000000-0005-0000-0000-0000A5250000}"/>
    <cellStyle name="20% - Accent6 2 2 3 5 2 2" xfId="41661" xr:uid="{0E55DF5A-7075-42E5-A18D-34478EF7E696}"/>
    <cellStyle name="20% - Accent6 2 2 3 5 3" xfId="25764" xr:uid="{00000000-0005-0000-0000-0000A6250000}"/>
    <cellStyle name="20% - Accent6 2 2 3 5 3 2" xfId="49597" xr:uid="{B4C1E8D1-561B-4CAD-87BA-C793AB095C46}"/>
    <cellStyle name="20% - Accent6 2 2 3 5 4" xfId="33720" xr:uid="{EC834222-50D1-4ABA-972B-98B3590325AE}"/>
    <cellStyle name="20% - Accent6 2 2 3 6" xfId="10758" xr:uid="{00000000-0005-0000-0000-0000A7250000}"/>
    <cellStyle name="20% - Accent6 2 2 3 6 2" xfId="34608" xr:uid="{59BBE83D-54C2-4757-AB29-0F2E782685DF}"/>
    <cellStyle name="20% - Accent6 2 2 3 7" xfId="18713" xr:uid="{00000000-0005-0000-0000-0000A8250000}"/>
    <cellStyle name="20% - Accent6 2 2 3 7 2" xfId="42546" xr:uid="{0A3EAD04-07E8-4CDA-9EB7-64CF918BE3D3}"/>
    <cellStyle name="20% - Accent6 2 2 3 8" xfId="26666" xr:uid="{7FC0BDFC-4766-4D47-B33B-EE8D3312AC38}"/>
    <cellStyle name="20% - Accent6 2 2 3_Exh G" xfId="2605" xr:uid="{00000000-0005-0000-0000-0000A9250000}"/>
    <cellStyle name="20% - Accent6 2 2 4" xfId="1328" xr:uid="{00000000-0005-0000-0000-0000AA250000}"/>
    <cellStyle name="20% - Accent6 2 2 4 2" xfId="4858" xr:uid="{00000000-0005-0000-0000-0000AB250000}"/>
    <cellStyle name="20% - Accent6 2 2 4 2 2" xfId="8449" xr:uid="{00000000-0005-0000-0000-0000AC250000}"/>
    <cellStyle name="20% - Accent6 2 2 4 2 2 2" xfId="16420" xr:uid="{00000000-0005-0000-0000-0000AD250000}"/>
    <cellStyle name="20% - Accent6 2 2 4 2 2 2 2" xfId="40263" xr:uid="{6042B66B-ECA4-40D3-AE01-06DEB48DB14E}"/>
    <cellStyle name="20% - Accent6 2 2 4 2 2 3" xfId="24366" xr:uid="{00000000-0005-0000-0000-0000AE250000}"/>
    <cellStyle name="20% - Accent6 2 2 4 2 2 3 2" xfId="48199" xr:uid="{AEB05809-202D-4453-897D-581AAB6F87C4}"/>
    <cellStyle name="20% - Accent6 2 2 4 2 2 4" xfId="32322" xr:uid="{478B0C53-93A5-4593-AA32-1F020EEF30B2}"/>
    <cellStyle name="20% - Accent6 2 2 4 2 3" xfId="12882" xr:uid="{00000000-0005-0000-0000-0000AF250000}"/>
    <cellStyle name="20% - Accent6 2 2 4 2 3 2" xfId="36732" xr:uid="{74F7B06A-FF57-4445-9513-2D737752E0E0}"/>
    <cellStyle name="20% - Accent6 2 2 4 2 4" xfId="20837" xr:uid="{00000000-0005-0000-0000-0000B0250000}"/>
    <cellStyle name="20% - Accent6 2 2 4 2 4 2" xfId="44670" xr:uid="{9CAD4287-A829-4DFE-9701-A1C375A67692}"/>
    <cellStyle name="20% - Accent6 2 2 4 2 5" xfId="28791" xr:uid="{E5016399-5AE1-42FA-890A-E06E4C9053C7}"/>
    <cellStyle name="20% - Accent6 2 2 4 3" xfId="6690" xr:uid="{00000000-0005-0000-0000-0000B1250000}"/>
    <cellStyle name="20% - Accent6 2 2 4 3 2" xfId="14662" xr:uid="{00000000-0005-0000-0000-0000B2250000}"/>
    <cellStyle name="20% - Accent6 2 2 4 3 2 2" xfId="38505" xr:uid="{9A8ECA6B-2C31-47AA-A380-A2BB30DCF3A0}"/>
    <cellStyle name="20% - Accent6 2 2 4 3 3" xfId="22609" xr:uid="{00000000-0005-0000-0000-0000B3250000}"/>
    <cellStyle name="20% - Accent6 2 2 4 3 3 2" xfId="46442" xr:uid="{6487C6E0-2A42-4B66-A408-8104C7A7EC6B}"/>
    <cellStyle name="20% - Accent6 2 2 4 3 4" xfId="30564" xr:uid="{37986DF3-1955-40D0-87E0-A31804DADE60}"/>
    <cellStyle name="20% - Accent6 2 2 4 4" xfId="11126" xr:uid="{00000000-0005-0000-0000-0000B4250000}"/>
    <cellStyle name="20% - Accent6 2 2 4 4 2" xfId="34976" xr:uid="{F5B090FB-E548-47BF-9DBB-274755926211}"/>
    <cellStyle name="20% - Accent6 2 2 4 5" xfId="19081" xr:uid="{00000000-0005-0000-0000-0000B5250000}"/>
    <cellStyle name="20% - Accent6 2 2 4 5 2" xfId="42914" xr:uid="{C862A9EB-95C8-4258-B219-1519B6A20360}"/>
    <cellStyle name="20% - Accent6 2 2 4 6" xfId="27034" xr:uid="{DC53BCDD-53EF-4E1B-909C-77391AEBF301}"/>
    <cellStyle name="20% - Accent6 2 2 4_Exh G" xfId="2607" xr:uid="{00000000-0005-0000-0000-0000B6250000}"/>
    <cellStyle name="20% - Accent6 2 2 5" xfId="3979" xr:uid="{00000000-0005-0000-0000-0000B7250000}"/>
    <cellStyle name="20% - Accent6 2 2 5 2" xfId="7571" xr:uid="{00000000-0005-0000-0000-0000B8250000}"/>
    <cellStyle name="20% - Accent6 2 2 5 2 2" xfId="15542" xr:uid="{00000000-0005-0000-0000-0000B9250000}"/>
    <cellStyle name="20% - Accent6 2 2 5 2 2 2" xfId="39385" xr:uid="{0ED1363D-C84D-4A12-AF5F-66FB249BD62C}"/>
    <cellStyle name="20% - Accent6 2 2 5 2 3" xfId="23488" xr:uid="{00000000-0005-0000-0000-0000BA250000}"/>
    <cellStyle name="20% - Accent6 2 2 5 2 3 2" xfId="47321" xr:uid="{39662192-832E-4746-9036-9078D4F51288}"/>
    <cellStyle name="20% - Accent6 2 2 5 2 4" xfId="31444" xr:uid="{EEC501C4-F969-4E88-AF48-9F8C21CE761B}"/>
    <cellStyle name="20% - Accent6 2 2 5 3" xfId="12004" xr:uid="{00000000-0005-0000-0000-0000BB250000}"/>
    <cellStyle name="20% - Accent6 2 2 5 3 2" xfId="35854" xr:uid="{D7E26E92-A10D-448A-9939-E3E601EF6878}"/>
    <cellStyle name="20% - Accent6 2 2 5 4" xfId="19959" xr:uid="{00000000-0005-0000-0000-0000BC250000}"/>
    <cellStyle name="20% - Accent6 2 2 5 4 2" xfId="43792" xr:uid="{1FD772D3-BA15-4A89-9E75-1DA8AF5F5FD2}"/>
    <cellStyle name="20% - Accent6 2 2 5 5" xfId="27913" xr:uid="{629C3426-FDF7-4C0A-ACCF-447A9E441B3A}"/>
    <cellStyle name="20% - Accent6 2 2 6" xfId="5799" xr:uid="{00000000-0005-0000-0000-0000BD250000}"/>
    <cellStyle name="20% - Accent6 2 2 6 2" xfId="13783" xr:uid="{00000000-0005-0000-0000-0000BE250000}"/>
    <cellStyle name="20% - Accent6 2 2 6 2 2" xfId="37627" xr:uid="{31146D4B-F759-4ABE-8231-A43F0FAD427C}"/>
    <cellStyle name="20% - Accent6 2 2 6 3" xfId="21731" xr:uid="{00000000-0005-0000-0000-0000BF250000}"/>
    <cellStyle name="20% - Accent6 2 2 6 3 2" xfId="45564" xr:uid="{AEBF87F1-8F67-4AEE-B290-6838348A56C9}"/>
    <cellStyle name="20% - Accent6 2 2 6 4" xfId="29686" xr:uid="{83FBA453-A0E3-4EFF-8963-5A3418F2AADD}"/>
    <cellStyle name="20% - Accent6 2 2 7" xfId="9352" xr:uid="{00000000-0005-0000-0000-0000C0250000}"/>
    <cellStyle name="20% - Accent6 2 2 7 2" xfId="17310" xr:uid="{00000000-0005-0000-0000-0000C1250000}"/>
    <cellStyle name="20% - Accent6 2 2 7 2 2" xfId="41151" xr:uid="{3CBF3FF1-D77E-4C28-A0BA-E4D80EBE3ADD}"/>
    <cellStyle name="20% - Accent6 2 2 7 3" xfId="25254" xr:uid="{00000000-0005-0000-0000-0000C2250000}"/>
    <cellStyle name="20% - Accent6 2 2 7 3 2" xfId="49087" xr:uid="{054BD942-DDDB-4049-8AAC-E0A56E113E63}"/>
    <cellStyle name="20% - Accent6 2 2 7 4" xfId="33210" xr:uid="{3C8AE1CB-069E-479A-BB33-37E6E9E9420B}"/>
    <cellStyle name="20% - Accent6 2 2 8" xfId="10248" xr:uid="{00000000-0005-0000-0000-0000C3250000}"/>
    <cellStyle name="20% - Accent6 2 2 8 2" xfId="34098" xr:uid="{25C99BAD-F93D-4355-BEC5-7334DCF16592}"/>
    <cellStyle name="20% - Accent6 2 2 9" xfId="18203" xr:uid="{00000000-0005-0000-0000-0000C4250000}"/>
    <cellStyle name="20% - Accent6 2 2 9 2" xfId="42036" xr:uid="{1FD57CD2-8CA1-4606-91E4-54D39CFB02B9}"/>
    <cellStyle name="20% - Accent6 2 2_Exh G" xfId="2602" xr:uid="{00000000-0005-0000-0000-0000C5250000}"/>
    <cellStyle name="20% - Accent6 2 3" xfId="302" xr:uid="{00000000-0005-0000-0000-0000C6250000}"/>
    <cellStyle name="20% - Accent6 2 3 2" xfId="1330" xr:uid="{00000000-0005-0000-0000-0000C7250000}"/>
    <cellStyle name="20% - Accent6 2 3 2 2" xfId="4860" xr:uid="{00000000-0005-0000-0000-0000C8250000}"/>
    <cellStyle name="20% - Accent6 2 3 2 2 2" xfId="8451" xr:uid="{00000000-0005-0000-0000-0000C9250000}"/>
    <cellStyle name="20% - Accent6 2 3 2 2 2 2" xfId="16422" xr:uid="{00000000-0005-0000-0000-0000CA250000}"/>
    <cellStyle name="20% - Accent6 2 3 2 2 2 2 2" xfId="40265" xr:uid="{CC7ECA1A-139D-442B-B5D9-A892379BBD8C}"/>
    <cellStyle name="20% - Accent6 2 3 2 2 2 3" xfId="24368" xr:uid="{00000000-0005-0000-0000-0000CB250000}"/>
    <cellStyle name="20% - Accent6 2 3 2 2 2 3 2" xfId="48201" xr:uid="{29F5D66C-858E-4BC8-9252-929DF99414EF}"/>
    <cellStyle name="20% - Accent6 2 3 2 2 2 4" xfId="32324" xr:uid="{7A0F7D2A-DE0F-46DA-A878-61C8E6AF9D80}"/>
    <cellStyle name="20% - Accent6 2 3 2 2 3" xfId="12884" xr:uid="{00000000-0005-0000-0000-0000CC250000}"/>
    <cellStyle name="20% - Accent6 2 3 2 2 3 2" xfId="36734" xr:uid="{8D6B781D-22D3-44C0-953A-9C64E2997301}"/>
    <cellStyle name="20% - Accent6 2 3 2 2 4" xfId="20839" xr:uid="{00000000-0005-0000-0000-0000CD250000}"/>
    <cellStyle name="20% - Accent6 2 3 2 2 4 2" xfId="44672" xr:uid="{F675F332-6F9B-4A5D-AF97-1691D68930E7}"/>
    <cellStyle name="20% - Accent6 2 3 2 2 5" xfId="28793" xr:uid="{B45849F3-8366-467C-84B6-B96E70730F77}"/>
    <cellStyle name="20% - Accent6 2 3 2 3" xfId="6692" xr:uid="{00000000-0005-0000-0000-0000CE250000}"/>
    <cellStyle name="20% - Accent6 2 3 2 3 2" xfId="14664" xr:uid="{00000000-0005-0000-0000-0000CF250000}"/>
    <cellStyle name="20% - Accent6 2 3 2 3 2 2" xfId="38507" xr:uid="{EF37325A-28B9-480A-94EC-96B4BED66C9F}"/>
    <cellStyle name="20% - Accent6 2 3 2 3 3" xfId="22611" xr:uid="{00000000-0005-0000-0000-0000D0250000}"/>
    <cellStyle name="20% - Accent6 2 3 2 3 3 2" xfId="46444" xr:uid="{0B1BC78F-2CB9-46F6-8289-D5EEE0C8B8A0}"/>
    <cellStyle name="20% - Accent6 2 3 2 3 4" xfId="30566" xr:uid="{05E0333C-9D2E-4FA5-BA70-E96566164D78}"/>
    <cellStyle name="20% - Accent6 2 3 2 4" xfId="11128" xr:uid="{00000000-0005-0000-0000-0000D1250000}"/>
    <cellStyle name="20% - Accent6 2 3 2 4 2" xfId="34978" xr:uid="{A468D191-893A-4852-A4DC-9BF64B25B9A3}"/>
    <cellStyle name="20% - Accent6 2 3 2 5" xfId="19083" xr:uid="{00000000-0005-0000-0000-0000D2250000}"/>
    <cellStyle name="20% - Accent6 2 3 2 5 2" xfId="42916" xr:uid="{D73EF53F-8671-451D-A63E-272F37C951E5}"/>
    <cellStyle name="20% - Accent6 2 3 2 6" xfId="27036" xr:uid="{4E4D6B93-1196-4C35-830F-C371E517901B}"/>
    <cellStyle name="20% - Accent6 2 3 2_Exh G" xfId="2609" xr:uid="{00000000-0005-0000-0000-0000D3250000}"/>
    <cellStyle name="20% - Accent6 2 3 3" xfId="3981" xr:uid="{00000000-0005-0000-0000-0000D4250000}"/>
    <cellStyle name="20% - Accent6 2 3 3 2" xfId="7573" xr:uid="{00000000-0005-0000-0000-0000D5250000}"/>
    <cellStyle name="20% - Accent6 2 3 3 2 2" xfId="15544" xr:uid="{00000000-0005-0000-0000-0000D6250000}"/>
    <cellStyle name="20% - Accent6 2 3 3 2 2 2" xfId="39387" xr:uid="{875A2C0C-591E-40FD-988F-252DF8221109}"/>
    <cellStyle name="20% - Accent6 2 3 3 2 3" xfId="23490" xr:uid="{00000000-0005-0000-0000-0000D7250000}"/>
    <cellStyle name="20% - Accent6 2 3 3 2 3 2" xfId="47323" xr:uid="{50D5267D-21A2-4EF6-95C8-E7FB1B347565}"/>
    <cellStyle name="20% - Accent6 2 3 3 2 4" xfId="31446" xr:uid="{AB7FFE52-584F-493C-8AD9-AFB3DA77735E}"/>
    <cellStyle name="20% - Accent6 2 3 3 3" xfId="12006" xr:uid="{00000000-0005-0000-0000-0000D8250000}"/>
    <cellStyle name="20% - Accent6 2 3 3 3 2" xfId="35856" xr:uid="{023C08F7-6211-4993-B6D6-35A150D8710D}"/>
    <cellStyle name="20% - Accent6 2 3 3 4" xfId="19961" xr:uid="{00000000-0005-0000-0000-0000D9250000}"/>
    <cellStyle name="20% - Accent6 2 3 3 4 2" xfId="43794" xr:uid="{51BBD129-3CFD-4BB9-9979-8B06A006EB1A}"/>
    <cellStyle name="20% - Accent6 2 3 3 5" xfId="27915" xr:uid="{36A814D3-66B3-407C-9711-9BFE19EA10CA}"/>
    <cellStyle name="20% - Accent6 2 3 4" xfId="5801" xr:uid="{00000000-0005-0000-0000-0000DA250000}"/>
    <cellStyle name="20% - Accent6 2 3 4 2" xfId="13785" xr:uid="{00000000-0005-0000-0000-0000DB250000}"/>
    <cellStyle name="20% - Accent6 2 3 4 2 2" xfId="37629" xr:uid="{3CEF6CA2-4262-4189-92A2-DBA74560E6DF}"/>
    <cellStyle name="20% - Accent6 2 3 4 3" xfId="21733" xr:uid="{00000000-0005-0000-0000-0000DC250000}"/>
    <cellStyle name="20% - Accent6 2 3 4 3 2" xfId="45566" xr:uid="{EAB7FF2B-4753-4568-A11B-8FD575BD0E4D}"/>
    <cellStyle name="20% - Accent6 2 3 4 4" xfId="29688" xr:uid="{A8EB842F-6FCE-4425-AFAE-42603AA34075}"/>
    <cellStyle name="20% - Accent6 2 3 5" xfId="9354" xr:uid="{00000000-0005-0000-0000-0000DD250000}"/>
    <cellStyle name="20% - Accent6 2 3 5 2" xfId="17312" xr:uid="{00000000-0005-0000-0000-0000DE250000}"/>
    <cellStyle name="20% - Accent6 2 3 5 2 2" xfId="41153" xr:uid="{7BF6405C-F614-4179-BD3C-B4BCAFC8F4F6}"/>
    <cellStyle name="20% - Accent6 2 3 5 3" xfId="25256" xr:uid="{00000000-0005-0000-0000-0000DF250000}"/>
    <cellStyle name="20% - Accent6 2 3 5 3 2" xfId="49089" xr:uid="{A855290D-53B2-4CBD-890C-7527D69C0413}"/>
    <cellStyle name="20% - Accent6 2 3 5 4" xfId="33212" xr:uid="{46836CBC-2F25-4DDC-AC66-E3A4A0DB3F44}"/>
    <cellStyle name="20% - Accent6 2 3 6" xfId="10250" xr:uid="{00000000-0005-0000-0000-0000E0250000}"/>
    <cellStyle name="20% - Accent6 2 3 6 2" xfId="34100" xr:uid="{805296EC-58B5-4420-AE12-9406ED5E6415}"/>
    <cellStyle name="20% - Accent6 2 3 7" xfId="18205" xr:uid="{00000000-0005-0000-0000-0000E1250000}"/>
    <cellStyle name="20% - Accent6 2 3 7 2" xfId="42038" xr:uid="{5C46EF4B-8102-4B02-ABC0-EE754E737E42}"/>
    <cellStyle name="20% - Accent6 2 3 8" xfId="26158" xr:uid="{57A3F509-CBC3-4E11-B34F-E135D523FB40}"/>
    <cellStyle name="20% - Accent6 2 3_Exh G" xfId="2608" xr:uid="{00000000-0005-0000-0000-0000E2250000}"/>
    <cellStyle name="20% - Accent6 2 4" xfId="923" xr:uid="{00000000-0005-0000-0000-0000E3250000}"/>
    <cellStyle name="20% - Accent6 2 4 2" xfId="1849" xr:uid="{00000000-0005-0000-0000-0000E4250000}"/>
    <cellStyle name="20% - Accent6 2 4 2 2" xfId="5367" xr:uid="{00000000-0005-0000-0000-0000E5250000}"/>
    <cellStyle name="20% - Accent6 2 4 2 2 2" xfId="8958" xr:uid="{00000000-0005-0000-0000-0000E6250000}"/>
    <cellStyle name="20% - Accent6 2 4 2 2 2 2" xfId="16929" xr:uid="{00000000-0005-0000-0000-0000E7250000}"/>
    <cellStyle name="20% - Accent6 2 4 2 2 2 2 2" xfId="40772" xr:uid="{DFBFAD4A-FAC7-4632-A87F-618532370B5E}"/>
    <cellStyle name="20% - Accent6 2 4 2 2 2 3" xfId="24875" xr:uid="{00000000-0005-0000-0000-0000E8250000}"/>
    <cellStyle name="20% - Accent6 2 4 2 2 2 3 2" xfId="48708" xr:uid="{BA0A6AD4-8EA1-4368-B74A-3345B6EDFD5A}"/>
    <cellStyle name="20% - Accent6 2 4 2 2 2 4" xfId="32831" xr:uid="{653AD84C-D88F-4E79-A140-305C830C824C}"/>
    <cellStyle name="20% - Accent6 2 4 2 2 3" xfId="13391" xr:uid="{00000000-0005-0000-0000-0000E9250000}"/>
    <cellStyle name="20% - Accent6 2 4 2 2 3 2" xfId="37241" xr:uid="{5E9799EA-7405-45AD-A537-0D30B29FACB6}"/>
    <cellStyle name="20% - Accent6 2 4 2 2 4" xfId="21346" xr:uid="{00000000-0005-0000-0000-0000EA250000}"/>
    <cellStyle name="20% - Accent6 2 4 2 2 4 2" xfId="45179" xr:uid="{16467DBA-C26C-4AF1-92F9-AFDE6ABEFDF1}"/>
    <cellStyle name="20% - Accent6 2 4 2 2 5" xfId="29300" xr:uid="{2EEF6F4B-D6D2-4EDE-8EDD-BC3E35A1C558}"/>
    <cellStyle name="20% - Accent6 2 4 2 3" xfId="7199" xr:uid="{00000000-0005-0000-0000-0000EB250000}"/>
    <cellStyle name="20% - Accent6 2 4 2 3 2" xfId="15171" xr:uid="{00000000-0005-0000-0000-0000EC250000}"/>
    <cellStyle name="20% - Accent6 2 4 2 3 2 2" xfId="39014" xr:uid="{8F5E8335-3265-49DE-A07A-7F05B75CD282}"/>
    <cellStyle name="20% - Accent6 2 4 2 3 3" xfId="23118" xr:uid="{00000000-0005-0000-0000-0000ED250000}"/>
    <cellStyle name="20% - Accent6 2 4 2 3 3 2" xfId="46951" xr:uid="{F67F656D-1F0D-40C9-89D2-EA6E1B90F300}"/>
    <cellStyle name="20% - Accent6 2 4 2 3 4" xfId="31073" xr:uid="{79069432-6B48-40C5-9C5E-7C0E2B914E5B}"/>
    <cellStyle name="20% - Accent6 2 4 2 4" xfId="11635" xr:uid="{00000000-0005-0000-0000-0000EE250000}"/>
    <cellStyle name="20% - Accent6 2 4 2 4 2" xfId="35485" xr:uid="{B38B5DED-04F5-42DF-969E-D1E52D1563FB}"/>
    <cellStyle name="20% - Accent6 2 4 2 5" xfId="19590" xr:uid="{00000000-0005-0000-0000-0000EF250000}"/>
    <cellStyle name="20% - Accent6 2 4 2 5 2" xfId="43423" xr:uid="{8C342A70-0B0B-4A42-8E9E-17664051D7FF}"/>
    <cellStyle name="20% - Accent6 2 4 2 6" xfId="27543" xr:uid="{620A4BC9-A887-43F2-BD21-B57B49E6B731}"/>
    <cellStyle name="20% - Accent6 2 4 2_Exh G" xfId="2611" xr:uid="{00000000-0005-0000-0000-0000F0250000}"/>
    <cellStyle name="20% - Accent6 2 4 3" xfId="4488" xr:uid="{00000000-0005-0000-0000-0000F1250000}"/>
    <cellStyle name="20% - Accent6 2 4 3 2" xfId="8080" xr:uid="{00000000-0005-0000-0000-0000F2250000}"/>
    <cellStyle name="20% - Accent6 2 4 3 2 2" xfId="16051" xr:uid="{00000000-0005-0000-0000-0000F3250000}"/>
    <cellStyle name="20% - Accent6 2 4 3 2 2 2" xfId="39894" xr:uid="{36004509-0D09-48C4-9073-B18D47FFC69F}"/>
    <cellStyle name="20% - Accent6 2 4 3 2 3" xfId="23997" xr:uid="{00000000-0005-0000-0000-0000F4250000}"/>
    <cellStyle name="20% - Accent6 2 4 3 2 3 2" xfId="47830" xr:uid="{07F37FA4-333D-488C-849B-F5BD38184A84}"/>
    <cellStyle name="20% - Accent6 2 4 3 2 4" xfId="31953" xr:uid="{EF4FFB34-CB27-4020-BD35-A0397398839A}"/>
    <cellStyle name="20% - Accent6 2 4 3 3" xfId="12513" xr:uid="{00000000-0005-0000-0000-0000F5250000}"/>
    <cellStyle name="20% - Accent6 2 4 3 3 2" xfId="36363" xr:uid="{EC40E272-FC08-4DCE-804E-82CA44B04F1C}"/>
    <cellStyle name="20% - Accent6 2 4 3 4" xfId="20468" xr:uid="{00000000-0005-0000-0000-0000F6250000}"/>
    <cellStyle name="20% - Accent6 2 4 3 4 2" xfId="44301" xr:uid="{7069607C-AA59-422E-BF9C-7537AEC4691A}"/>
    <cellStyle name="20% - Accent6 2 4 3 5" xfId="28422" xr:uid="{7271B10A-94D2-409E-9DB6-FBAC530F3458}"/>
    <cellStyle name="20% - Accent6 2 4 4" xfId="6318" xr:uid="{00000000-0005-0000-0000-0000F7250000}"/>
    <cellStyle name="20% - Accent6 2 4 4 2" xfId="14293" xr:uid="{00000000-0005-0000-0000-0000F8250000}"/>
    <cellStyle name="20% - Accent6 2 4 4 2 2" xfId="38136" xr:uid="{AFE231A0-4F6B-4900-BFF5-077F969FEFB0}"/>
    <cellStyle name="20% - Accent6 2 4 4 3" xfId="22240" xr:uid="{00000000-0005-0000-0000-0000F9250000}"/>
    <cellStyle name="20% - Accent6 2 4 4 3 2" xfId="46073" xr:uid="{EDC0C0D8-4E31-4D52-A788-74FB2EFBB5A7}"/>
    <cellStyle name="20% - Accent6 2 4 4 4" xfId="30195" xr:uid="{72284FD3-0A4B-4D2C-9F5B-2E760A01823A}"/>
    <cellStyle name="20% - Accent6 2 4 5" xfId="9861" xr:uid="{00000000-0005-0000-0000-0000FA250000}"/>
    <cellStyle name="20% - Accent6 2 4 5 2" xfId="17819" xr:uid="{00000000-0005-0000-0000-0000FB250000}"/>
    <cellStyle name="20% - Accent6 2 4 5 2 2" xfId="41660" xr:uid="{2B4C4D7E-0794-4DE6-B2D2-4B8BA05E1BF1}"/>
    <cellStyle name="20% - Accent6 2 4 5 3" xfId="25763" xr:uid="{00000000-0005-0000-0000-0000FC250000}"/>
    <cellStyle name="20% - Accent6 2 4 5 3 2" xfId="49596" xr:uid="{83E667ED-E437-4B55-AF3E-1C5F98FD5D90}"/>
    <cellStyle name="20% - Accent6 2 4 5 4" xfId="33719" xr:uid="{56341274-AF86-4529-9B88-D3675A79F77F}"/>
    <cellStyle name="20% - Accent6 2 4 6" xfId="10757" xr:uid="{00000000-0005-0000-0000-0000FD250000}"/>
    <cellStyle name="20% - Accent6 2 4 6 2" xfId="34607" xr:uid="{FFD06C94-A3B7-4EDB-9C1C-531C37ED319D}"/>
    <cellStyle name="20% - Accent6 2 4 7" xfId="18712" xr:uid="{00000000-0005-0000-0000-0000FE250000}"/>
    <cellStyle name="20% - Accent6 2 4 7 2" xfId="42545" xr:uid="{5331D966-B1BC-4C2F-833E-66D3DD25DE68}"/>
    <cellStyle name="20% - Accent6 2 4 8" xfId="26665" xr:uid="{EA8891B1-B03A-4CDA-909D-C157DEA75CAA}"/>
    <cellStyle name="20% - Accent6 2 4_Exh G" xfId="2610" xr:uid="{00000000-0005-0000-0000-0000FF250000}"/>
    <cellStyle name="20% - Accent6 2 5" xfId="1327" xr:uid="{00000000-0005-0000-0000-000000260000}"/>
    <cellStyle name="20% - Accent6 2 5 2" xfId="4857" xr:uid="{00000000-0005-0000-0000-000001260000}"/>
    <cellStyle name="20% - Accent6 2 5 2 2" xfId="8448" xr:uid="{00000000-0005-0000-0000-000002260000}"/>
    <cellStyle name="20% - Accent6 2 5 2 2 2" xfId="16419" xr:uid="{00000000-0005-0000-0000-000003260000}"/>
    <cellStyle name="20% - Accent6 2 5 2 2 2 2" xfId="40262" xr:uid="{0DEB08DC-0B8B-4596-8C67-AF361541FAC1}"/>
    <cellStyle name="20% - Accent6 2 5 2 2 3" xfId="24365" xr:uid="{00000000-0005-0000-0000-000004260000}"/>
    <cellStyle name="20% - Accent6 2 5 2 2 3 2" xfId="48198" xr:uid="{1535D373-A561-44F5-A5C4-4BA7C5F97AF5}"/>
    <cellStyle name="20% - Accent6 2 5 2 2 4" xfId="32321" xr:uid="{562CFA11-0A4E-452F-BF38-E311721F389B}"/>
    <cellStyle name="20% - Accent6 2 5 2 3" xfId="12881" xr:uid="{00000000-0005-0000-0000-000005260000}"/>
    <cellStyle name="20% - Accent6 2 5 2 3 2" xfId="36731" xr:uid="{A5C09CE2-2C49-40CE-BD2C-7A79D7B8B3DB}"/>
    <cellStyle name="20% - Accent6 2 5 2 4" xfId="20836" xr:uid="{00000000-0005-0000-0000-000006260000}"/>
    <cellStyle name="20% - Accent6 2 5 2 4 2" xfId="44669" xr:uid="{0008EB86-2ACB-4449-841B-93EE5EF9B48E}"/>
    <cellStyle name="20% - Accent6 2 5 2 5" xfId="28790" xr:uid="{478063AA-1FC4-464C-B1EA-153E57A18AE5}"/>
    <cellStyle name="20% - Accent6 2 5 3" xfId="6689" xr:uid="{00000000-0005-0000-0000-000007260000}"/>
    <cellStyle name="20% - Accent6 2 5 3 2" xfId="14661" xr:uid="{00000000-0005-0000-0000-000008260000}"/>
    <cellStyle name="20% - Accent6 2 5 3 2 2" xfId="38504" xr:uid="{6D087F34-D1E3-458B-82F7-64A9C8769E40}"/>
    <cellStyle name="20% - Accent6 2 5 3 3" xfId="22608" xr:uid="{00000000-0005-0000-0000-000009260000}"/>
    <cellStyle name="20% - Accent6 2 5 3 3 2" xfId="46441" xr:uid="{B65BC57F-1455-4470-8364-60D72AED6DE5}"/>
    <cellStyle name="20% - Accent6 2 5 3 4" xfId="30563" xr:uid="{04FC965E-BE22-4FA8-A82F-1486645A4E32}"/>
    <cellStyle name="20% - Accent6 2 5 4" xfId="11125" xr:uid="{00000000-0005-0000-0000-00000A260000}"/>
    <cellStyle name="20% - Accent6 2 5 4 2" xfId="34975" xr:uid="{82E4591E-6353-425C-BBE9-D5EB8C4A9DC2}"/>
    <cellStyle name="20% - Accent6 2 5 5" xfId="19080" xr:uid="{00000000-0005-0000-0000-00000B260000}"/>
    <cellStyle name="20% - Accent6 2 5 5 2" xfId="42913" xr:uid="{1032F908-EDFB-48D9-B5CE-BDEDB930D713}"/>
    <cellStyle name="20% - Accent6 2 5 6" xfId="27033" xr:uid="{C72E2358-4477-4A48-B8C1-039A2384D0D2}"/>
    <cellStyle name="20% - Accent6 2 5_Exh G" xfId="2612" xr:uid="{00000000-0005-0000-0000-00000C260000}"/>
    <cellStyle name="20% - Accent6 2 6" xfId="3978" xr:uid="{00000000-0005-0000-0000-00000D260000}"/>
    <cellStyle name="20% - Accent6 2 6 2" xfId="7570" xr:uid="{00000000-0005-0000-0000-00000E260000}"/>
    <cellStyle name="20% - Accent6 2 6 2 2" xfId="15541" xr:uid="{00000000-0005-0000-0000-00000F260000}"/>
    <cellStyle name="20% - Accent6 2 6 2 2 2" xfId="39384" xr:uid="{68C9351B-77C9-4C9B-8DBF-0D00EF9C4F33}"/>
    <cellStyle name="20% - Accent6 2 6 2 3" xfId="23487" xr:uid="{00000000-0005-0000-0000-000010260000}"/>
    <cellStyle name="20% - Accent6 2 6 2 3 2" xfId="47320" xr:uid="{66D422FE-ABAB-4454-A179-AACEBD90EF89}"/>
    <cellStyle name="20% - Accent6 2 6 2 4" xfId="31443" xr:uid="{E46EB396-358E-4762-8D86-0F95E0CC1557}"/>
    <cellStyle name="20% - Accent6 2 6 3" xfId="12003" xr:uid="{00000000-0005-0000-0000-000011260000}"/>
    <cellStyle name="20% - Accent6 2 6 3 2" xfId="35853" xr:uid="{0B1F5B5F-4B86-487D-B6A3-9441CB136105}"/>
    <cellStyle name="20% - Accent6 2 6 4" xfId="19958" xr:uid="{00000000-0005-0000-0000-000012260000}"/>
    <cellStyle name="20% - Accent6 2 6 4 2" xfId="43791" xr:uid="{C369956B-C98E-4640-B18B-CF887D0AA68F}"/>
    <cellStyle name="20% - Accent6 2 6 5" xfId="27912" xr:uid="{9487DD5C-5366-4C02-9B81-BDB7AFB25AAB}"/>
    <cellStyle name="20% - Accent6 2 7" xfId="5798" xr:uid="{00000000-0005-0000-0000-000013260000}"/>
    <cellStyle name="20% - Accent6 2 7 2" xfId="13782" xr:uid="{00000000-0005-0000-0000-000014260000}"/>
    <cellStyle name="20% - Accent6 2 7 2 2" xfId="37626" xr:uid="{547FBD55-83A3-4F09-868B-2BAF0E63E74A}"/>
    <cellStyle name="20% - Accent6 2 7 3" xfId="21730" xr:uid="{00000000-0005-0000-0000-000015260000}"/>
    <cellStyle name="20% - Accent6 2 7 3 2" xfId="45563" xr:uid="{58319FCE-163E-4318-B53C-7ACDE2D729FF}"/>
    <cellStyle name="20% - Accent6 2 7 4" xfId="29685" xr:uid="{49239626-EF3A-4585-99D2-D6A08D99F106}"/>
    <cellStyle name="20% - Accent6 2 8" xfId="9351" xr:uid="{00000000-0005-0000-0000-000016260000}"/>
    <cellStyle name="20% - Accent6 2 8 2" xfId="17309" xr:uid="{00000000-0005-0000-0000-000017260000}"/>
    <cellStyle name="20% - Accent6 2 8 2 2" xfId="41150" xr:uid="{E57946CE-1A2B-4355-8B93-DE4EBCD2C49C}"/>
    <cellStyle name="20% - Accent6 2 8 3" xfId="25253" xr:uid="{00000000-0005-0000-0000-000018260000}"/>
    <cellStyle name="20% - Accent6 2 8 3 2" xfId="49086" xr:uid="{2F7925F3-A1E4-4BF1-90B2-FF469840FDFB}"/>
    <cellStyle name="20% - Accent6 2 8 4" xfId="33209" xr:uid="{D7287D9F-446F-45B6-B59F-045B8AA88DED}"/>
    <cellStyle name="20% - Accent6 2 9" xfId="10247" xr:uid="{00000000-0005-0000-0000-000019260000}"/>
    <cellStyle name="20% - Accent6 2 9 2" xfId="34097" xr:uid="{4E17488D-1B19-4107-AC8E-F4809E0ADFD3}"/>
    <cellStyle name="20% - Accent6 2_Exh G" xfId="2601" xr:uid="{00000000-0005-0000-0000-00001A260000}"/>
    <cellStyle name="20% - Accent6 3" xfId="303" xr:uid="{00000000-0005-0000-0000-00001B260000}"/>
    <cellStyle name="20% - Accent6 3 10" xfId="18206" xr:uid="{00000000-0005-0000-0000-00001C260000}"/>
    <cellStyle name="20% - Accent6 3 10 2" xfId="42039" xr:uid="{342BB74B-F1D0-47FF-AFE7-65642B33FD51}"/>
    <cellStyle name="20% - Accent6 3 11" xfId="26159" xr:uid="{B190DA66-B8C9-4A85-BFDA-7D469244C142}"/>
    <cellStyle name="20% - Accent6 3 12" xfId="49776" xr:uid="{3E199D84-80C6-4646-B96A-FADB6B9E1079}"/>
    <cellStyle name="20% - Accent6 3 13" xfId="49830" xr:uid="{033E4528-90A1-41C8-879F-D9CC4D2C2978}"/>
    <cellStyle name="20% - Accent6 3 2" xfId="304" xr:uid="{00000000-0005-0000-0000-00001D260000}"/>
    <cellStyle name="20% - Accent6 3 2 10" xfId="26160" xr:uid="{707733EB-832F-4001-9392-DBB4C0665BD7}"/>
    <cellStyle name="20% - Accent6 3 2 2" xfId="305" xr:uid="{00000000-0005-0000-0000-00001E260000}"/>
    <cellStyle name="20% - Accent6 3 2 2 2" xfId="1333" xr:uid="{00000000-0005-0000-0000-00001F260000}"/>
    <cellStyle name="20% - Accent6 3 2 2 2 2" xfId="4863" xr:uid="{00000000-0005-0000-0000-000020260000}"/>
    <cellStyle name="20% - Accent6 3 2 2 2 2 2" xfId="8454" xr:uid="{00000000-0005-0000-0000-000021260000}"/>
    <cellStyle name="20% - Accent6 3 2 2 2 2 2 2" xfId="16425" xr:uid="{00000000-0005-0000-0000-000022260000}"/>
    <cellStyle name="20% - Accent6 3 2 2 2 2 2 2 2" xfId="40268" xr:uid="{102A3404-A03D-4C3A-8740-A9213DF0E171}"/>
    <cellStyle name="20% - Accent6 3 2 2 2 2 2 3" xfId="24371" xr:uid="{00000000-0005-0000-0000-000023260000}"/>
    <cellStyle name="20% - Accent6 3 2 2 2 2 2 3 2" xfId="48204" xr:uid="{7A8D1A09-0C43-4974-97EE-80894009E409}"/>
    <cellStyle name="20% - Accent6 3 2 2 2 2 2 4" xfId="32327" xr:uid="{9CE76D7C-F6AF-4ED2-BC9F-C05767687438}"/>
    <cellStyle name="20% - Accent6 3 2 2 2 2 3" xfId="12887" xr:uid="{00000000-0005-0000-0000-000024260000}"/>
    <cellStyle name="20% - Accent6 3 2 2 2 2 3 2" xfId="36737" xr:uid="{FA6C37EF-B338-430D-9D3A-9FCB541CEEE0}"/>
    <cellStyle name="20% - Accent6 3 2 2 2 2 4" xfId="20842" xr:uid="{00000000-0005-0000-0000-000025260000}"/>
    <cellStyle name="20% - Accent6 3 2 2 2 2 4 2" xfId="44675" xr:uid="{50795D06-57D2-4338-A4EF-9CD142AE092A}"/>
    <cellStyle name="20% - Accent6 3 2 2 2 2 5" xfId="28796" xr:uid="{01DCE371-2D26-4F00-8CF7-8EF05D2682B6}"/>
    <cellStyle name="20% - Accent6 3 2 2 2 3" xfId="6695" xr:uid="{00000000-0005-0000-0000-000026260000}"/>
    <cellStyle name="20% - Accent6 3 2 2 2 3 2" xfId="14667" xr:uid="{00000000-0005-0000-0000-000027260000}"/>
    <cellStyle name="20% - Accent6 3 2 2 2 3 2 2" xfId="38510" xr:uid="{A51CDA0A-9E0A-4FF2-B765-2E9A378918B9}"/>
    <cellStyle name="20% - Accent6 3 2 2 2 3 3" xfId="22614" xr:uid="{00000000-0005-0000-0000-000028260000}"/>
    <cellStyle name="20% - Accent6 3 2 2 2 3 3 2" xfId="46447" xr:uid="{1C37F1E2-31D3-4257-A1C2-5385D47AAB3A}"/>
    <cellStyle name="20% - Accent6 3 2 2 2 3 4" xfId="30569" xr:uid="{7B67D4CD-4F82-4B70-8408-9AB703E51F74}"/>
    <cellStyle name="20% - Accent6 3 2 2 2 4" xfId="11131" xr:uid="{00000000-0005-0000-0000-000029260000}"/>
    <cellStyle name="20% - Accent6 3 2 2 2 4 2" xfId="34981" xr:uid="{84A56959-75CF-4599-ADAE-D8E67310A419}"/>
    <cellStyle name="20% - Accent6 3 2 2 2 5" xfId="19086" xr:uid="{00000000-0005-0000-0000-00002A260000}"/>
    <cellStyle name="20% - Accent6 3 2 2 2 5 2" xfId="42919" xr:uid="{BDF524A3-E765-485C-9712-10A31B6AEB4C}"/>
    <cellStyle name="20% - Accent6 3 2 2 2 6" xfId="27039" xr:uid="{DD2FB4E7-971E-4513-8090-0DC0B8360775}"/>
    <cellStyle name="20% - Accent6 3 2 2 2_Exh G" xfId="2616" xr:uid="{00000000-0005-0000-0000-00002B260000}"/>
    <cellStyle name="20% - Accent6 3 2 2 3" xfId="3984" xr:uid="{00000000-0005-0000-0000-00002C260000}"/>
    <cellStyle name="20% - Accent6 3 2 2 3 2" xfId="7576" xr:uid="{00000000-0005-0000-0000-00002D260000}"/>
    <cellStyle name="20% - Accent6 3 2 2 3 2 2" xfId="15547" xr:uid="{00000000-0005-0000-0000-00002E260000}"/>
    <cellStyle name="20% - Accent6 3 2 2 3 2 2 2" xfId="39390" xr:uid="{9AD303D7-DDD9-4C9C-AC77-06C3858E1811}"/>
    <cellStyle name="20% - Accent6 3 2 2 3 2 3" xfId="23493" xr:uid="{00000000-0005-0000-0000-00002F260000}"/>
    <cellStyle name="20% - Accent6 3 2 2 3 2 3 2" xfId="47326" xr:uid="{44F1A491-7B2E-4A9E-8FED-1683AC8172E8}"/>
    <cellStyle name="20% - Accent6 3 2 2 3 2 4" xfId="31449" xr:uid="{1D50C2D9-DA51-4F3A-B21C-75FF216186AE}"/>
    <cellStyle name="20% - Accent6 3 2 2 3 3" xfId="12009" xr:uid="{00000000-0005-0000-0000-000030260000}"/>
    <cellStyle name="20% - Accent6 3 2 2 3 3 2" xfId="35859" xr:uid="{D5990CEE-AC60-4377-A6EF-76DB59AA9D2F}"/>
    <cellStyle name="20% - Accent6 3 2 2 3 4" xfId="19964" xr:uid="{00000000-0005-0000-0000-000031260000}"/>
    <cellStyle name="20% - Accent6 3 2 2 3 4 2" xfId="43797" xr:uid="{F1ED4D42-9A88-4189-A401-D2614FF5DBBB}"/>
    <cellStyle name="20% - Accent6 3 2 2 3 5" xfId="27918" xr:uid="{60746B9B-B4B9-44C0-84D4-16D4232A2521}"/>
    <cellStyle name="20% - Accent6 3 2 2 4" xfId="5804" xr:uid="{00000000-0005-0000-0000-000032260000}"/>
    <cellStyle name="20% - Accent6 3 2 2 4 2" xfId="13788" xr:uid="{00000000-0005-0000-0000-000033260000}"/>
    <cellStyle name="20% - Accent6 3 2 2 4 2 2" xfId="37632" xr:uid="{FCCDC733-D8F6-48D3-9DEE-3CDFA74DDFF5}"/>
    <cellStyle name="20% - Accent6 3 2 2 4 3" xfId="21736" xr:uid="{00000000-0005-0000-0000-000034260000}"/>
    <cellStyle name="20% - Accent6 3 2 2 4 3 2" xfId="45569" xr:uid="{1DF77D21-B680-4D6C-ADBD-84CFACAA52CE}"/>
    <cellStyle name="20% - Accent6 3 2 2 4 4" xfId="29691" xr:uid="{A070D748-852F-4198-9DA9-47D198601E1C}"/>
    <cellStyle name="20% - Accent6 3 2 2 5" xfId="9357" xr:uid="{00000000-0005-0000-0000-000035260000}"/>
    <cellStyle name="20% - Accent6 3 2 2 5 2" xfId="17315" xr:uid="{00000000-0005-0000-0000-000036260000}"/>
    <cellStyle name="20% - Accent6 3 2 2 5 2 2" xfId="41156" xr:uid="{659CA0CE-3567-4606-90AE-D05647A1B2CF}"/>
    <cellStyle name="20% - Accent6 3 2 2 5 3" xfId="25259" xr:uid="{00000000-0005-0000-0000-000037260000}"/>
    <cellStyle name="20% - Accent6 3 2 2 5 3 2" xfId="49092" xr:uid="{E239985F-E04B-450C-98F3-C37040EC221F}"/>
    <cellStyle name="20% - Accent6 3 2 2 5 4" xfId="33215" xr:uid="{4CF4E590-4489-4172-B33E-8F6CC0CA3227}"/>
    <cellStyle name="20% - Accent6 3 2 2 6" xfId="10253" xr:uid="{00000000-0005-0000-0000-000038260000}"/>
    <cellStyle name="20% - Accent6 3 2 2 6 2" xfId="34103" xr:uid="{55C45C7E-76A4-40B7-B86D-89879A9D39E1}"/>
    <cellStyle name="20% - Accent6 3 2 2 7" xfId="18208" xr:uid="{00000000-0005-0000-0000-000039260000}"/>
    <cellStyle name="20% - Accent6 3 2 2 7 2" xfId="42041" xr:uid="{092F0D63-59F3-4E7D-86F3-68AD5EE93105}"/>
    <cellStyle name="20% - Accent6 3 2 2 8" xfId="26161" xr:uid="{099A2829-C0E3-4679-AB46-59F7251C8595}"/>
    <cellStyle name="20% - Accent6 3 2 2_Exh G" xfId="2615" xr:uid="{00000000-0005-0000-0000-00003A260000}"/>
    <cellStyle name="20% - Accent6 3 2 3" xfId="926" xr:uid="{00000000-0005-0000-0000-00003B260000}"/>
    <cellStyle name="20% - Accent6 3 2 3 2" xfId="1852" xr:uid="{00000000-0005-0000-0000-00003C260000}"/>
    <cellStyle name="20% - Accent6 3 2 3 2 2" xfId="5370" xr:uid="{00000000-0005-0000-0000-00003D260000}"/>
    <cellStyle name="20% - Accent6 3 2 3 2 2 2" xfId="8961" xr:uid="{00000000-0005-0000-0000-00003E260000}"/>
    <cellStyle name="20% - Accent6 3 2 3 2 2 2 2" xfId="16932" xr:uid="{00000000-0005-0000-0000-00003F260000}"/>
    <cellStyle name="20% - Accent6 3 2 3 2 2 2 2 2" xfId="40775" xr:uid="{7FB0A2E8-4FB8-4243-BC4C-D70811990A41}"/>
    <cellStyle name="20% - Accent6 3 2 3 2 2 2 3" xfId="24878" xr:uid="{00000000-0005-0000-0000-000040260000}"/>
    <cellStyle name="20% - Accent6 3 2 3 2 2 2 3 2" xfId="48711" xr:uid="{3DBF0364-8F4F-4994-8D13-82F68FDBD864}"/>
    <cellStyle name="20% - Accent6 3 2 3 2 2 2 4" xfId="32834" xr:uid="{608121C1-EDC9-4680-B570-3C1D937BEB9D}"/>
    <cellStyle name="20% - Accent6 3 2 3 2 2 3" xfId="13394" xr:uid="{00000000-0005-0000-0000-000041260000}"/>
    <cellStyle name="20% - Accent6 3 2 3 2 2 3 2" xfId="37244" xr:uid="{00733E2E-A8E4-4B16-AD1B-D98777AB7DDA}"/>
    <cellStyle name="20% - Accent6 3 2 3 2 2 4" xfId="21349" xr:uid="{00000000-0005-0000-0000-000042260000}"/>
    <cellStyle name="20% - Accent6 3 2 3 2 2 4 2" xfId="45182" xr:uid="{53977EB5-EF87-4A69-AF9E-CE86AF2AC4FD}"/>
    <cellStyle name="20% - Accent6 3 2 3 2 2 5" xfId="29303" xr:uid="{EE1E4B56-D68E-4F04-B549-6ED5632DF4B6}"/>
    <cellStyle name="20% - Accent6 3 2 3 2 3" xfId="7202" xr:uid="{00000000-0005-0000-0000-000043260000}"/>
    <cellStyle name="20% - Accent6 3 2 3 2 3 2" xfId="15174" xr:uid="{00000000-0005-0000-0000-000044260000}"/>
    <cellStyle name="20% - Accent6 3 2 3 2 3 2 2" xfId="39017" xr:uid="{CB42EBB1-7AE8-46DE-A92A-8F331B049AEF}"/>
    <cellStyle name="20% - Accent6 3 2 3 2 3 3" xfId="23121" xr:uid="{00000000-0005-0000-0000-000045260000}"/>
    <cellStyle name="20% - Accent6 3 2 3 2 3 3 2" xfId="46954" xr:uid="{D37CF22E-62A0-474A-8C46-3B1DC172B8F5}"/>
    <cellStyle name="20% - Accent6 3 2 3 2 3 4" xfId="31076" xr:uid="{6B9703B5-1BF1-4FBA-B78F-403F4AC25C7A}"/>
    <cellStyle name="20% - Accent6 3 2 3 2 4" xfId="11638" xr:uid="{00000000-0005-0000-0000-000046260000}"/>
    <cellStyle name="20% - Accent6 3 2 3 2 4 2" xfId="35488" xr:uid="{9E618518-776E-44DE-BB49-F51F3913F912}"/>
    <cellStyle name="20% - Accent6 3 2 3 2 5" xfId="19593" xr:uid="{00000000-0005-0000-0000-000047260000}"/>
    <cellStyle name="20% - Accent6 3 2 3 2 5 2" xfId="43426" xr:uid="{8C8141FC-12DF-4F4D-A059-2566DE97E453}"/>
    <cellStyle name="20% - Accent6 3 2 3 2 6" xfId="27546" xr:uid="{A4A32088-0458-48C4-9284-EA70FB13345B}"/>
    <cellStyle name="20% - Accent6 3 2 3 2_Exh G" xfId="2618" xr:uid="{00000000-0005-0000-0000-000048260000}"/>
    <cellStyle name="20% - Accent6 3 2 3 3" xfId="4491" xr:uid="{00000000-0005-0000-0000-000049260000}"/>
    <cellStyle name="20% - Accent6 3 2 3 3 2" xfId="8083" xr:uid="{00000000-0005-0000-0000-00004A260000}"/>
    <cellStyle name="20% - Accent6 3 2 3 3 2 2" xfId="16054" xr:uid="{00000000-0005-0000-0000-00004B260000}"/>
    <cellStyle name="20% - Accent6 3 2 3 3 2 2 2" xfId="39897" xr:uid="{F109AE1D-A042-4EF6-922A-381B8DE13A6D}"/>
    <cellStyle name="20% - Accent6 3 2 3 3 2 3" xfId="24000" xr:uid="{00000000-0005-0000-0000-00004C260000}"/>
    <cellStyle name="20% - Accent6 3 2 3 3 2 3 2" xfId="47833" xr:uid="{817F7F6B-F160-4930-931E-238FB11322B0}"/>
    <cellStyle name="20% - Accent6 3 2 3 3 2 4" xfId="31956" xr:uid="{C1F3A62E-E854-41CE-9C6B-FEF8B1F79969}"/>
    <cellStyle name="20% - Accent6 3 2 3 3 3" xfId="12516" xr:uid="{00000000-0005-0000-0000-00004D260000}"/>
    <cellStyle name="20% - Accent6 3 2 3 3 3 2" xfId="36366" xr:uid="{AD235AE1-A2B0-43A8-AD78-93D6BAFD4EB1}"/>
    <cellStyle name="20% - Accent6 3 2 3 3 4" xfId="20471" xr:uid="{00000000-0005-0000-0000-00004E260000}"/>
    <cellStyle name="20% - Accent6 3 2 3 3 4 2" xfId="44304" xr:uid="{AFD182E5-EF9E-4E65-A269-9371F30DE7A9}"/>
    <cellStyle name="20% - Accent6 3 2 3 3 5" xfId="28425" xr:uid="{89BB2E41-257E-42B7-872F-D56D77D3123F}"/>
    <cellStyle name="20% - Accent6 3 2 3 4" xfId="6321" xr:uid="{00000000-0005-0000-0000-00004F260000}"/>
    <cellStyle name="20% - Accent6 3 2 3 4 2" xfId="14296" xr:uid="{00000000-0005-0000-0000-000050260000}"/>
    <cellStyle name="20% - Accent6 3 2 3 4 2 2" xfId="38139" xr:uid="{22440CA2-5C8A-47C2-ACAB-FAE8785FEB00}"/>
    <cellStyle name="20% - Accent6 3 2 3 4 3" xfId="22243" xr:uid="{00000000-0005-0000-0000-000051260000}"/>
    <cellStyle name="20% - Accent6 3 2 3 4 3 2" xfId="46076" xr:uid="{6D6A3734-4A51-40DF-9E49-16C3D2817480}"/>
    <cellStyle name="20% - Accent6 3 2 3 4 4" xfId="30198" xr:uid="{5BFDE946-FE81-4DA6-BBD3-597943405456}"/>
    <cellStyle name="20% - Accent6 3 2 3 5" xfId="9864" xr:uid="{00000000-0005-0000-0000-000052260000}"/>
    <cellStyle name="20% - Accent6 3 2 3 5 2" xfId="17822" xr:uid="{00000000-0005-0000-0000-000053260000}"/>
    <cellStyle name="20% - Accent6 3 2 3 5 2 2" xfId="41663" xr:uid="{EAEE90A0-D978-4872-BDE7-5E67D88EF8FB}"/>
    <cellStyle name="20% - Accent6 3 2 3 5 3" xfId="25766" xr:uid="{00000000-0005-0000-0000-000054260000}"/>
    <cellStyle name="20% - Accent6 3 2 3 5 3 2" xfId="49599" xr:uid="{24DDF3CA-B7FA-4B58-B827-9C27855A2D97}"/>
    <cellStyle name="20% - Accent6 3 2 3 5 4" xfId="33722" xr:uid="{F50310DB-115B-42FD-B110-D370AEADB3D2}"/>
    <cellStyle name="20% - Accent6 3 2 3 6" xfId="10760" xr:uid="{00000000-0005-0000-0000-000055260000}"/>
    <cellStyle name="20% - Accent6 3 2 3 6 2" xfId="34610" xr:uid="{CBD7DE79-DA26-41ED-8A41-4263B4CA638A}"/>
    <cellStyle name="20% - Accent6 3 2 3 7" xfId="18715" xr:uid="{00000000-0005-0000-0000-000056260000}"/>
    <cellStyle name="20% - Accent6 3 2 3 7 2" xfId="42548" xr:uid="{E379BD13-3686-4BA6-B1E6-BC870D7C01C9}"/>
    <cellStyle name="20% - Accent6 3 2 3 8" xfId="26668" xr:uid="{E1CD3991-2F18-42AB-A71E-B36B69E7F39D}"/>
    <cellStyle name="20% - Accent6 3 2 3_Exh G" xfId="2617" xr:uid="{00000000-0005-0000-0000-000057260000}"/>
    <cellStyle name="20% - Accent6 3 2 4" xfId="1332" xr:uid="{00000000-0005-0000-0000-000058260000}"/>
    <cellStyle name="20% - Accent6 3 2 4 2" xfId="4862" xr:uid="{00000000-0005-0000-0000-000059260000}"/>
    <cellStyle name="20% - Accent6 3 2 4 2 2" xfId="8453" xr:uid="{00000000-0005-0000-0000-00005A260000}"/>
    <cellStyle name="20% - Accent6 3 2 4 2 2 2" xfId="16424" xr:uid="{00000000-0005-0000-0000-00005B260000}"/>
    <cellStyle name="20% - Accent6 3 2 4 2 2 2 2" xfId="40267" xr:uid="{EFEF96F1-9424-4C96-889E-42389B2CC3FF}"/>
    <cellStyle name="20% - Accent6 3 2 4 2 2 3" xfId="24370" xr:uid="{00000000-0005-0000-0000-00005C260000}"/>
    <cellStyle name="20% - Accent6 3 2 4 2 2 3 2" xfId="48203" xr:uid="{DE85E602-68B5-4EB9-A5F1-44A11E05342C}"/>
    <cellStyle name="20% - Accent6 3 2 4 2 2 4" xfId="32326" xr:uid="{8E47BD8A-C343-413C-97AE-2C2BD8AD1573}"/>
    <cellStyle name="20% - Accent6 3 2 4 2 3" xfId="12886" xr:uid="{00000000-0005-0000-0000-00005D260000}"/>
    <cellStyle name="20% - Accent6 3 2 4 2 3 2" xfId="36736" xr:uid="{D02D558F-FBD5-4601-A9FF-0C526D7848D7}"/>
    <cellStyle name="20% - Accent6 3 2 4 2 4" xfId="20841" xr:uid="{00000000-0005-0000-0000-00005E260000}"/>
    <cellStyle name="20% - Accent6 3 2 4 2 4 2" xfId="44674" xr:uid="{3395A293-07E4-4DE2-9CAF-0A5DC841D5B0}"/>
    <cellStyle name="20% - Accent6 3 2 4 2 5" xfId="28795" xr:uid="{4853A5DE-0D9C-444E-9456-C5556313419F}"/>
    <cellStyle name="20% - Accent6 3 2 4 3" xfId="6694" xr:uid="{00000000-0005-0000-0000-00005F260000}"/>
    <cellStyle name="20% - Accent6 3 2 4 3 2" xfId="14666" xr:uid="{00000000-0005-0000-0000-000060260000}"/>
    <cellStyle name="20% - Accent6 3 2 4 3 2 2" xfId="38509" xr:uid="{CB22D347-BF15-4D36-93DB-E8B3E80CDD93}"/>
    <cellStyle name="20% - Accent6 3 2 4 3 3" xfId="22613" xr:uid="{00000000-0005-0000-0000-000061260000}"/>
    <cellStyle name="20% - Accent6 3 2 4 3 3 2" xfId="46446" xr:uid="{1489B656-CF81-4A29-A19E-F1202E6EF5B1}"/>
    <cellStyle name="20% - Accent6 3 2 4 3 4" xfId="30568" xr:uid="{84CBC938-1A07-4FE2-814B-0524938169D0}"/>
    <cellStyle name="20% - Accent6 3 2 4 4" xfId="11130" xr:uid="{00000000-0005-0000-0000-000062260000}"/>
    <cellStyle name="20% - Accent6 3 2 4 4 2" xfId="34980" xr:uid="{F866B17A-6ECC-4139-8A30-B6810006456E}"/>
    <cellStyle name="20% - Accent6 3 2 4 5" xfId="19085" xr:uid="{00000000-0005-0000-0000-000063260000}"/>
    <cellStyle name="20% - Accent6 3 2 4 5 2" xfId="42918" xr:uid="{DCB256A8-9498-4E0E-901F-8DE0D5224908}"/>
    <cellStyle name="20% - Accent6 3 2 4 6" xfId="27038" xr:uid="{233E5E7F-5CE2-4314-A372-5073EFE8D5DB}"/>
    <cellStyle name="20% - Accent6 3 2 4_Exh G" xfId="2619" xr:uid="{00000000-0005-0000-0000-000064260000}"/>
    <cellStyle name="20% - Accent6 3 2 5" xfId="3983" xr:uid="{00000000-0005-0000-0000-000065260000}"/>
    <cellStyle name="20% - Accent6 3 2 5 2" xfId="7575" xr:uid="{00000000-0005-0000-0000-000066260000}"/>
    <cellStyle name="20% - Accent6 3 2 5 2 2" xfId="15546" xr:uid="{00000000-0005-0000-0000-000067260000}"/>
    <cellStyle name="20% - Accent6 3 2 5 2 2 2" xfId="39389" xr:uid="{A1C0E83C-9AB2-442D-BE47-5469AA2DA7B0}"/>
    <cellStyle name="20% - Accent6 3 2 5 2 3" xfId="23492" xr:uid="{00000000-0005-0000-0000-000068260000}"/>
    <cellStyle name="20% - Accent6 3 2 5 2 3 2" xfId="47325" xr:uid="{429FF5B0-C7DE-4773-AE46-0506848CDC0B}"/>
    <cellStyle name="20% - Accent6 3 2 5 2 4" xfId="31448" xr:uid="{B26A6C17-84A5-4715-94A0-9BB590B072F2}"/>
    <cellStyle name="20% - Accent6 3 2 5 3" xfId="12008" xr:uid="{00000000-0005-0000-0000-000069260000}"/>
    <cellStyle name="20% - Accent6 3 2 5 3 2" xfId="35858" xr:uid="{40A13DC4-1CD9-44D6-A1A8-40328664E403}"/>
    <cellStyle name="20% - Accent6 3 2 5 4" xfId="19963" xr:uid="{00000000-0005-0000-0000-00006A260000}"/>
    <cellStyle name="20% - Accent6 3 2 5 4 2" xfId="43796" xr:uid="{7B0375F1-4369-499B-8E4B-C36EBE8F083F}"/>
    <cellStyle name="20% - Accent6 3 2 5 5" xfId="27917" xr:uid="{7988611F-6128-4922-BB97-7BBB247EDDBB}"/>
    <cellStyle name="20% - Accent6 3 2 6" xfId="5803" xr:uid="{00000000-0005-0000-0000-00006B260000}"/>
    <cellStyle name="20% - Accent6 3 2 6 2" xfId="13787" xr:uid="{00000000-0005-0000-0000-00006C260000}"/>
    <cellStyle name="20% - Accent6 3 2 6 2 2" xfId="37631" xr:uid="{8CD19076-CC72-476B-BC9E-B74FABF9A367}"/>
    <cellStyle name="20% - Accent6 3 2 6 3" xfId="21735" xr:uid="{00000000-0005-0000-0000-00006D260000}"/>
    <cellStyle name="20% - Accent6 3 2 6 3 2" xfId="45568" xr:uid="{A58D3307-862E-42FE-B99C-5DC3789C2735}"/>
    <cellStyle name="20% - Accent6 3 2 6 4" xfId="29690" xr:uid="{367AE60A-DF36-462C-8C32-A89BC7192B98}"/>
    <cellStyle name="20% - Accent6 3 2 7" xfId="9356" xr:uid="{00000000-0005-0000-0000-00006E260000}"/>
    <cellStyle name="20% - Accent6 3 2 7 2" xfId="17314" xr:uid="{00000000-0005-0000-0000-00006F260000}"/>
    <cellStyle name="20% - Accent6 3 2 7 2 2" xfId="41155" xr:uid="{235D70A0-2790-4618-8C5D-74C97B7D5988}"/>
    <cellStyle name="20% - Accent6 3 2 7 3" xfId="25258" xr:uid="{00000000-0005-0000-0000-000070260000}"/>
    <cellStyle name="20% - Accent6 3 2 7 3 2" xfId="49091" xr:uid="{CE724C6A-9975-4372-90CB-C93993D3D142}"/>
    <cellStyle name="20% - Accent6 3 2 7 4" xfId="33214" xr:uid="{D9D8F8B3-4DD3-483A-9B37-D15370F898E1}"/>
    <cellStyle name="20% - Accent6 3 2 8" xfId="10252" xr:uid="{00000000-0005-0000-0000-000071260000}"/>
    <cellStyle name="20% - Accent6 3 2 8 2" xfId="34102" xr:uid="{27110C8B-90C9-4FE3-AEA5-47776F37712B}"/>
    <cellStyle name="20% - Accent6 3 2 9" xfId="18207" xr:uid="{00000000-0005-0000-0000-000072260000}"/>
    <cellStyle name="20% - Accent6 3 2 9 2" xfId="42040" xr:uid="{96CB6ED7-6CA3-42A1-AB22-A62C5FC93FC2}"/>
    <cellStyle name="20% - Accent6 3 2_Exh G" xfId="2614" xr:uid="{00000000-0005-0000-0000-000073260000}"/>
    <cellStyle name="20% - Accent6 3 3" xfId="306" xr:uid="{00000000-0005-0000-0000-000074260000}"/>
    <cellStyle name="20% - Accent6 3 3 2" xfId="1334" xr:uid="{00000000-0005-0000-0000-000075260000}"/>
    <cellStyle name="20% - Accent6 3 3 2 2" xfId="4864" xr:uid="{00000000-0005-0000-0000-000076260000}"/>
    <cellStyle name="20% - Accent6 3 3 2 2 2" xfId="8455" xr:uid="{00000000-0005-0000-0000-000077260000}"/>
    <cellStyle name="20% - Accent6 3 3 2 2 2 2" xfId="16426" xr:uid="{00000000-0005-0000-0000-000078260000}"/>
    <cellStyle name="20% - Accent6 3 3 2 2 2 2 2" xfId="40269" xr:uid="{4ECC91E6-61EA-4BC0-AB00-B2AFFD92956F}"/>
    <cellStyle name="20% - Accent6 3 3 2 2 2 3" xfId="24372" xr:uid="{00000000-0005-0000-0000-000079260000}"/>
    <cellStyle name="20% - Accent6 3 3 2 2 2 3 2" xfId="48205" xr:uid="{EEDF0FD4-A6EB-4131-AEA2-C857CEC426A4}"/>
    <cellStyle name="20% - Accent6 3 3 2 2 2 4" xfId="32328" xr:uid="{B0EA88DB-B9DB-43E7-A407-BDD91C787999}"/>
    <cellStyle name="20% - Accent6 3 3 2 2 3" xfId="12888" xr:uid="{00000000-0005-0000-0000-00007A260000}"/>
    <cellStyle name="20% - Accent6 3 3 2 2 3 2" xfId="36738" xr:uid="{5A4E77FD-A287-4B7F-869E-587148883532}"/>
    <cellStyle name="20% - Accent6 3 3 2 2 4" xfId="20843" xr:uid="{00000000-0005-0000-0000-00007B260000}"/>
    <cellStyle name="20% - Accent6 3 3 2 2 4 2" xfId="44676" xr:uid="{E379A7E0-4DDE-45CF-A88F-1E19241CEADE}"/>
    <cellStyle name="20% - Accent6 3 3 2 2 5" xfId="28797" xr:uid="{96213D61-B378-4149-B5DB-EF00908C1D3D}"/>
    <cellStyle name="20% - Accent6 3 3 2 3" xfId="6696" xr:uid="{00000000-0005-0000-0000-00007C260000}"/>
    <cellStyle name="20% - Accent6 3 3 2 3 2" xfId="14668" xr:uid="{00000000-0005-0000-0000-00007D260000}"/>
    <cellStyle name="20% - Accent6 3 3 2 3 2 2" xfId="38511" xr:uid="{9B3B04DE-8E7C-42D2-9506-F44FC2295AAD}"/>
    <cellStyle name="20% - Accent6 3 3 2 3 3" xfId="22615" xr:uid="{00000000-0005-0000-0000-00007E260000}"/>
    <cellStyle name="20% - Accent6 3 3 2 3 3 2" xfId="46448" xr:uid="{B831E885-5194-4A9F-9443-D9AC09BF396E}"/>
    <cellStyle name="20% - Accent6 3 3 2 3 4" xfId="30570" xr:uid="{33FAC6D1-0DB5-447D-8FC6-18BA36D6E4DE}"/>
    <cellStyle name="20% - Accent6 3 3 2 4" xfId="11132" xr:uid="{00000000-0005-0000-0000-00007F260000}"/>
    <cellStyle name="20% - Accent6 3 3 2 4 2" xfId="34982" xr:uid="{3FE10853-1235-4972-BA4C-2DAA0E434758}"/>
    <cellStyle name="20% - Accent6 3 3 2 5" xfId="19087" xr:uid="{00000000-0005-0000-0000-000080260000}"/>
    <cellStyle name="20% - Accent6 3 3 2 5 2" xfId="42920" xr:uid="{FA7E9ABE-183C-4B24-BFC0-20A6034CA28F}"/>
    <cellStyle name="20% - Accent6 3 3 2 6" xfId="27040" xr:uid="{BEF52299-1A28-433E-B5C4-7699C3093679}"/>
    <cellStyle name="20% - Accent6 3 3 2_Exh G" xfId="2621" xr:uid="{00000000-0005-0000-0000-000081260000}"/>
    <cellStyle name="20% - Accent6 3 3 3" xfId="3985" xr:uid="{00000000-0005-0000-0000-000082260000}"/>
    <cellStyle name="20% - Accent6 3 3 3 2" xfId="7577" xr:uid="{00000000-0005-0000-0000-000083260000}"/>
    <cellStyle name="20% - Accent6 3 3 3 2 2" xfId="15548" xr:uid="{00000000-0005-0000-0000-000084260000}"/>
    <cellStyle name="20% - Accent6 3 3 3 2 2 2" xfId="39391" xr:uid="{93A1DEFE-9DDC-4CA7-9A85-76E2C4190BBE}"/>
    <cellStyle name="20% - Accent6 3 3 3 2 3" xfId="23494" xr:uid="{00000000-0005-0000-0000-000085260000}"/>
    <cellStyle name="20% - Accent6 3 3 3 2 3 2" xfId="47327" xr:uid="{3895ED08-E4FD-488F-8737-2F77AFEBD576}"/>
    <cellStyle name="20% - Accent6 3 3 3 2 4" xfId="31450" xr:uid="{A716A602-7CF3-4CCD-B39E-AB0A622F740D}"/>
    <cellStyle name="20% - Accent6 3 3 3 3" xfId="12010" xr:uid="{00000000-0005-0000-0000-000086260000}"/>
    <cellStyle name="20% - Accent6 3 3 3 3 2" xfId="35860" xr:uid="{04B0417E-D1E9-4C10-B02D-33FB29CCFA53}"/>
    <cellStyle name="20% - Accent6 3 3 3 4" xfId="19965" xr:uid="{00000000-0005-0000-0000-000087260000}"/>
    <cellStyle name="20% - Accent6 3 3 3 4 2" xfId="43798" xr:uid="{4A441B09-1FB8-4BBD-95DE-EB355FFE8178}"/>
    <cellStyle name="20% - Accent6 3 3 3 5" xfId="27919" xr:uid="{B88E7E5C-DAF7-4B4B-9C8B-6AC3D7A5C96C}"/>
    <cellStyle name="20% - Accent6 3 3 4" xfId="5805" xr:uid="{00000000-0005-0000-0000-000088260000}"/>
    <cellStyle name="20% - Accent6 3 3 4 2" xfId="13789" xr:uid="{00000000-0005-0000-0000-000089260000}"/>
    <cellStyle name="20% - Accent6 3 3 4 2 2" xfId="37633" xr:uid="{31F1A8FC-86AC-4182-A161-666334E7FE81}"/>
    <cellStyle name="20% - Accent6 3 3 4 3" xfId="21737" xr:uid="{00000000-0005-0000-0000-00008A260000}"/>
    <cellStyle name="20% - Accent6 3 3 4 3 2" xfId="45570" xr:uid="{DD2A7CAF-26B8-4F75-84D9-564F63ABB6A2}"/>
    <cellStyle name="20% - Accent6 3 3 4 4" xfId="29692" xr:uid="{C9DCB5D5-6156-417D-85C3-D81B0745A755}"/>
    <cellStyle name="20% - Accent6 3 3 5" xfId="9358" xr:uid="{00000000-0005-0000-0000-00008B260000}"/>
    <cellStyle name="20% - Accent6 3 3 5 2" xfId="17316" xr:uid="{00000000-0005-0000-0000-00008C260000}"/>
    <cellStyle name="20% - Accent6 3 3 5 2 2" xfId="41157" xr:uid="{D8660163-C85D-4001-A459-8BD9D5181AB8}"/>
    <cellStyle name="20% - Accent6 3 3 5 3" xfId="25260" xr:uid="{00000000-0005-0000-0000-00008D260000}"/>
    <cellStyle name="20% - Accent6 3 3 5 3 2" xfId="49093" xr:uid="{1BA40192-4440-4404-80BA-2255CD23DC10}"/>
    <cellStyle name="20% - Accent6 3 3 5 4" xfId="33216" xr:uid="{F492C4FF-E37C-4001-BAED-FCA1D8C2A138}"/>
    <cellStyle name="20% - Accent6 3 3 6" xfId="10254" xr:uid="{00000000-0005-0000-0000-00008E260000}"/>
    <cellStyle name="20% - Accent6 3 3 6 2" xfId="34104" xr:uid="{5842E4CC-B783-40C1-9F44-83605D527EAE}"/>
    <cellStyle name="20% - Accent6 3 3 7" xfId="18209" xr:uid="{00000000-0005-0000-0000-00008F260000}"/>
    <cellStyle name="20% - Accent6 3 3 7 2" xfId="42042" xr:uid="{05A1F43C-AB6E-432D-ACFB-383DC4F08934}"/>
    <cellStyle name="20% - Accent6 3 3 8" xfId="26162" xr:uid="{01E8014F-5CF1-456C-99C5-328B443DA7B5}"/>
    <cellStyle name="20% - Accent6 3 3_Exh G" xfId="2620" xr:uid="{00000000-0005-0000-0000-000090260000}"/>
    <cellStyle name="20% - Accent6 3 4" xfId="925" xr:uid="{00000000-0005-0000-0000-000091260000}"/>
    <cellStyle name="20% - Accent6 3 4 2" xfId="1851" xr:uid="{00000000-0005-0000-0000-000092260000}"/>
    <cellStyle name="20% - Accent6 3 4 2 2" xfId="5369" xr:uid="{00000000-0005-0000-0000-000093260000}"/>
    <cellStyle name="20% - Accent6 3 4 2 2 2" xfId="8960" xr:uid="{00000000-0005-0000-0000-000094260000}"/>
    <cellStyle name="20% - Accent6 3 4 2 2 2 2" xfId="16931" xr:uid="{00000000-0005-0000-0000-000095260000}"/>
    <cellStyle name="20% - Accent6 3 4 2 2 2 2 2" xfId="40774" xr:uid="{147C3189-B710-4843-B69B-5038987A4D93}"/>
    <cellStyle name="20% - Accent6 3 4 2 2 2 3" xfId="24877" xr:uid="{00000000-0005-0000-0000-000096260000}"/>
    <cellStyle name="20% - Accent6 3 4 2 2 2 3 2" xfId="48710" xr:uid="{7FE3B4A9-4F2B-4281-BAE9-88CB5D005DD0}"/>
    <cellStyle name="20% - Accent6 3 4 2 2 2 4" xfId="32833" xr:uid="{FBECC882-3514-4F83-AD6B-199CB5485969}"/>
    <cellStyle name="20% - Accent6 3 4 2 2 3" xfId="13393" xr:uid="{00000000-0005-0000-0000-000097260000}"/>
    <cellStyle name="20% - Accent6 3 4 2 2 3 2" xfId="37243" xr:uid="{5ADE6528-4CDA-464E-A9AB-613B9486243F}"/>
    <cellStyle name="20% - Accent6 3 4 2 2 4" xfId="21348" xr:uid="{00000000-0005-0000-0000-000098260000}"/>
    <cellStyle name="20% - Accent6 3 4 2 2 4 2" xfId="45181" xr:uid="{46DA9CDE-CA83-4DFC-8C47-357DF7B5A27F}"/>
    <cellStyle name="20% - Accent6 3 4 2 2 5" xfId="29302" xr:uid="{81023CE7-05C9-4069-B8C3-669F114B5316}"/>
    <cellStyle name="20% - Accent6 3 4 2 3" xfId="7201" xr:uid="{00000000-0005-0000-0000-000099260000}"/>
    <cellStyle name="20% - Accent6 3 4 2 3 2" xfId="15173" xr:uid="{00000000-0005-0000-0000-00009A260000}"/>
    <cellStyle name="20% - Accent6 3 4 2 3 2 2" xfId="39016" xr:uid="{AA240CC4-B994-491C-AE30-4E9B24B95475}"/>
    <cellStyle name="20% - Accent6 3 4 2 3 3" xfId="23120" xr:uid="{00000000-0005-0000-0000-00009B260000}"/>
    <cellStyle name="20% - Accent6 3 4 2 3 3 2" xfId="46953" xr:uid="{422181C4-F04A-4910-975C-C940E4FC1447}"/>
    <cellStyle name="20% - Accent6 3 4 2 3 4" xfId="31075" xr:uid="{35A45E75-1013-4348-9AFE-FE86BF844DB7}"/>
    <cellStyle name="20% - Accent6 3 4 2 4" xfId="11637" xr:uid="{00000000-0005-0000-0000-00009C260000}"/>
    <cellStyle name="20% - Accent6 3 4 2 4 2" xfId="35487" xr:uid="{E16774FD-9FA6-4DCD-ABDA-2BF556A5303E}"/>
    <cellStyle name="20% - Accent6 3 4 2 5" xfId="19592" xr:uid="{00000000-0005-0000-0000-00009D260000}"/>
    <cellStyle name="20% - Accent6 3 4 2 5 2" xfId="43425" xr:uid="{492CC872-6C58-4165-9DBD-34B0BA3FC717}"/>
    <cellStyle name="20% - Accent6 3 4 2 6" xfId="27545" xr:uid="{9CBB8AE2-CFB9-47D9-B216-D2ABFE012743}"/>
    <cellStyle name="20% - Accent6 3 4 2_Exh G" xfId="2623" xr:uid="{00000000-0005-0000-0000-00009E260000}"/>
    <cellStyle name="20% - Accent6 3 4 3" xfId="4490" xr:uid="{00000000-0005-0000-0000-00009F260000}"/>
    <cellStyle name="20% - Accent6 3 4 3 2" xfId="8082" xr:uid="{00000000-0005-0000-0000-0000A0260000}"/>
    <cellStyle name="20% - Accent6 3 4 3 2 2" xfId="16053" xr:uid="{00000000-0005-0000-0000-0000A1260000}"/>
    <cellStyle name="20% - Accent6 3 4 3 2 2 2" xfId="39896" xr:uid="{68869CD5-EEA0-46F4-8B03-D9C38E927BE8}"/>
    <cellStyle name="20% - Accent6 3 4 3 2 3" xfId="23999" xr:uid="{00000000-0005-0000-0000-0000A2260000}"/>
    <cellStyle name="20% - Accent6 3 4 3 2 3 2" xfId="47832" xr:uid="{1F0D956A-8D30-4F7F-B3EB-9C0F0CE68DDE}"/>
    <cellStyle name="20% - Accent6 3 4 3 2 4" xfId="31955" xr:uid="{C67412B0-EB65-41AB-BA2F-CD8DB260E151}"/>
    <cellStyle name="20% - Accent6 3 4 3 3" xfId="12515" xr:uid="{00000000-0005-0000-0000-0000A3260000}"/>
    <cellStyle name="20% - Accent6 3 4 3 3 2" xfId="36365" xr:uid="{AA3411E5-4DF4-4722-BBB4-AC25DE22E1D6}"/>
    <cellStyle name="20% - Accent6 3 4 3 4" xfId="20470" xr:uid="{00000000-0005-0000-0000-0000A4260000}"/>
    <cellStyle name="20% - Accent6 3 4 3 4 2" xfId="44303" xr:uid="{490FB7C1-705D-40DF-AAE9-88594034EBB5}"/>
    <cellStyle name="20% - Accent6 3 4 3 5" xfId="28424" xr:uid="{14587C4C-2AFC-422A-8EE6-CE0C38D0C12F}"/>
    <cellStyle name="20% - Accent6 3 4 4" xfId="6320" xr:uid="{00000000-0005-0000-0000-0000A5260000}"/>
    <cellStyle name="20% - Accent6 3 4 4 2" xfId="14295" xr:uid="{00000000-0005-0000-0000-0000A6260000}"/>
    <cellStyle name="20% - Accent6 3 4 4 2 2" xfId="38138" xr:uid="{F1BA97B0-79B3-48CE-AFCB-267E9F0A799E}"/>
    <cellStyle name="20% - Accent6 3 4 4 3" xfId="22242" xr:uid="{00000000-0005-0000-0000-0000A7260000}"/>
    <cellStyle name="20% - Accent6 3 4 4 3 2" xfId="46075" xr:uid="{820677BA-68F3-4FE7-9D57-B63E7EC37565}"/>
    <cellStyle name="20% - Accent6 3 4 4 4" xfId="30197" xr:uid="{1DC249BB-3066-4DA3-9557-B5E5D6950CB8}"/>
    <cellStyle name="20% - Accent6 3 4 5" xfId="9863" xr:uid="{00000000-0005-0000-0000-0000A8260000}"/>
    <cellStyle name="20% - Accent6 3 4 5 2" xfId="17821" xr:uid="{00000000-0005-0000-0000-0000A9260000}"/>
    <cellStyle name="20% - Accent6 3 4 5 2 2" xfId="41662" xr:uid="{184804EC-C21E-42D2-BA48-3552F5A3E21D}"/>
    <cellStyle name="20% - Accent6 3 4 5 3" xfId="25765" xr:uid="{00000000-0005-0000-0000-0000AA260000}"/>
    <cellStyle name="20% - Accent6 3 4 5 3 2" xfId="49598" xr:uid="{D8132098-37EB-4F12-9028-F2BA8438CC51}"/>
    <cellStyle name="20% - Accent6 3 4 5 4" xfId="33721" xr:uid="{E48FEA69-956D-47FA-8647-61CF3F03DD12}"/>
    <cellStyle name="20% - Accent6 3 4 6" xfId="10759" xr:uid="{00000000-0005-0000-0000-0000AB260000}"/>
    <cellStyle name="20% - Accent6 3 4 6 2" xfId="34609" xr:uid="{2D4F352B-57C3-4022-87C2-076F6907463D}"/>
    <cellStyle name="20% - Accent6 3 4 7" xfId="18714" xr:uid="{00000000-0005-0000-0000-0000AC260000}"/>
    <cellStyle name="20% - Accent6 3 4 7 2" xfId="42547" xr:uid="{5EF17BD2-9F25-46F9-8C2B-FA827AEA3F19}"/>
    <cellStyle name="20% - Accent6 3 4 8" xfId="26667" xr:uid="{BECD37B0-57A3-4837-868C-ED68E8EA7550}"/>
    <cellStyle name="20% - Accent6 3 4_Exh G" xfId="2622" xr:uid="{00000000-0005-0000-0000-0000AD260000}"/>
    <cellStyle name="20% - Accent6 3 5" xfId="1331" xr:uid="{00000000-0005-0000-0000-0000AE260000}"/>
    <cellStyle name="20% - Accent6 3 5 2" xfId="4861" xr:uid="{00000000-0005-0000-0000-0000AF260000}"/>
    <cellStyle name="20% - Accent6 3 5 2 2" xfId="8452" xr:uid="{00000000-0005-0000-0000-0000B0260000}"/>
    <cellStyle name="20% - Accent6 3 5 2 2 2" xfId="16423" xr:uid="{00000000-0005-0000-0000-0000B1260000}"/>
    <cellStyle name="20% - Accent6 3 5 2 2 2 2" xfId="40266" xr:uid="{D0EA0D72-C25E-48DB-B139-42317FC71FEC}"/>
    <cellStyle name="20% - Accent6 3 5 2 2 3" xfId="24369" xr:uid="{00000000-0005-0000-0000-0000B2260000}"/>
    <cellStyle name="20% - Accent6 3 5 2 2 3 2" xfId="48202" xr:uid="{50DFEEA7-DDDC-4BC5-B00E-9322C3A65D3D}"/>
    <cellStyle name="20% - Accent6 3 5 2 2 4" xfId="32325" xr:uid="{8125F6C5-6C03-40DC-8092-8BEADA7E551B}"/>
    <cellStyle name="20% - Accent6 3 5 2 3" xfId="12885" xr:uid="{00000000-0005-0000-0000-0000B3260000}"/>
    <cellStyle name="20% - Accent6 3 5 2 3 2" xfId="36735" xr:uid="{DFD61B95-67F5-4AB0-AF3C-A33F39DDB1BB}"/>
    <cellStyle name="20% - Accent6 3 5 2 4" xfId="20840" xr:uid="{00000000-0005-0000-0000-0000B4260000}"/>
    <cellStyle name="20% - Accent6 3 5 2 4 2" xfId="44673" xr:uid="{F2BE6438-BB31-462B-AB27-EACC72A12BC9}"/>
    <cellStyle name="20% - Accent6 3 5 2 5" xfId="28794" xr:uid="{22249153-031A-4D73-8B1B-E74FA79C596D}"/>
    <cellStyle name="20% - Accent6 3 5 3" xfId="6693" xr:uid="{00000000-0005-0000-0000-0000B5260000}"/>
    <cellStyle name="20% - Accent6 3 5 3 2" xfId="14665" xr:uid="{00000000-0005-0000-0000-0000B6260000}"/>
    <cellStyle name="20% - Accent6 3 5 3 2 2" xfId="38508" xr:uid="{E1E91C58-6BF1-41BA-A619-EEF8E7D34F7A}"/>
    <cellStyle name="20% - Accent6 3 5 3 3" xfId="22612" xr:uid="{00000000-0005-0000-0000-0000B7260000}"/>
    <cellStyle name="20% - Accent6 3 5 3 3 2" xfId="46445" xr:uid="{039D39A5-343D-42D4-A922-5516E87CE361}"/>
    <cellStyle name="20% - Accent6 3 5 3 4" xfId="30567" xr:uid="{F5791AD0-A1A6-47C1-92D8-642795BD8DAE}"/>
    <cellStyle name="20% - Accent6 3 5 4" xfId="11129" xr:uid="{00000000-0005-0000-0000-0000B8260000}"/>
    <cellStyle name="20% - Accent6 3 5 4 2" xfId="34979" xr:uid="{61EF7EA2-27F2-4E93-9DB3-18B7027D43AD}"/>
    <cellStyle name="20% - Accent6 3 5 5" xfId="19084" xr:uid="{00000000-0005-0000-0000-0000B9260000}"/>
    <cellStyle name="20% - Accent6 3 5 5 2" xfId="42917" xr:uid="{5438C821-B166-4B4E-8B6C-0428BA89F043}"/>
    <cellStyle name="20% - Accent6 3 5 6" xfId="27037" xr:uid="{3B219654-DE1B-4BA7-8577-B111D19EEB63}"/>
    <cellStyle name="20% - Accent6 3 5_Exh G" xfId="2624" xr:uid="{00000000-0005-0000-0000-0000BA260000}"/>
    <cellStyle name="20% - Accent6 3 6" xfId="3982" xr:uid="{00000000-0005-0000-0000-0000BB260000}"/>
    <cellStyle name="20% - Accent6 3 6 2" xfId="7574" xr:uid="{00000000-0005-0000-0000-0000BC260000}"/>
    <cellStyle name="20% - Accent6 3 6 2 2" xfId="15545" xr:uid="{00000000-0005-0000-0000-0000BD260000}"/>
    <cellStyle name="20% - Accent6 3 6 2 2 2" xfId="39388" xr:uid="{EB26D9BF-4220-48F3-8AC0-F15A838BCC1A}"/>
    <cellStyle name="20% - Accent6 3 6 2 3" xfId="23491" xr:uid="{00000000-0005-0000-0000-0000BE260000}"/>
    <cellStyle name="20% - Accent6 3 6 2 3 2" xfId="47324" xr:uid="{F65ED784-A5C0-4914-8C91-1108A84AF0D8}"/>
    <cellStyle name="20% - Accent6 3 6 2 4" xfId="31447" xr:uid="{AA46B9ED-4488-424B-A8CF-422F05366265}"/>
    <cellStyle name="20% - Accent6 3 6 3" xfId="12007" xr:uid="{00000000-0005-0000-0000-0000BF260000}"/>
    <cellStyle name="20% - Accent6 3 6 3 2" xfId="35857" xr:uid="{0E7951F1-1FE2-4C7E-81E5-A32204FC5AEA}"/>
    <cellStyle name="20% - Accent6 3 6 4" xfId="19962" xr:uid="{00000000-0005-0000-0000-0000C0260000}"/>
    <cellStyle name="20% - Accent6 3 6 4 2" xfId="43795" xr:uid="{BA9FDF04-6F4D-477C-943F-D6C8BB365926}"/>
    <cellStyle name="20% - Accent6 3 6 5" xfId="27916" xr:uid="{E8732A44-1584-4198-9C8B-F0E926AA07B2}"/>
    <cellStyle name="20% - Accent6 3 7" xfId="5802" xr:uid="{00000000-0005-0000-0000-0000C1260000}"/>
    <cellStyle name="20% - Accent6 3 7 2" xfId="13786" xr:uid="{00000000-0005-0000-0000-0000C2260000}"/>
    <cellStyle name="20% - Accent6 3 7 2 2" xfId="37630" xr:uid="{A2BF1544-2EF4-49A6-ADAD-8A12A76A556F}"/>
    <cellStyle name="20% - Accent6 3 7 3" xfId="21734" xr:uid="{00000000-0005-0000-0000-0000C3260000}"/>
    <cellStyle name="20% - Accent6 3 7 3 2" xfId="45567" xr:uid="{5D7A05AF-234C-464A-82AB-07FA5BB6A9C9}"/>
    <cellStyle name="20% - Accent6 3 7 4" xfId="29689" xr:uid="{1E3CBDDE-6349-4055-A643-CB649183B75A}"/>
    <cellStyle name="20% - Accent6 3 8" xfId="9355" xr:uid="{00000000-0005-0000-0000-0000C4260000}"/>
    <cellStyle name="20% - Accent6 3 8 2" xfId="17313" xr:uid="{00000000-0005-0000-0000-0000C5260000}"/>
    <cellStyle name="20% - Accent6 3 8 2 2" xfId="41154" xr:uid="{7B1C3268-F0E9-4CC6-8744-F05A36B6D6CC}"/>
    <cellStyle name="20% - Accent6 3 8 3" xfId="25257" xr:uid="{00000000-0005-0000-0000-0000C6260000}"/>
    <cellStyle name="20% - Accent6 3 8 3 2" xfId="49090" xr:uid="{795CAEE8-BE30-4301-868C-FC0FA87BFBC0}"/>
    <cellStyle name="20% - Accent6 3 8 4" xfId="33213" xr:uid="{37BD5971-6437-435D-9504-73641573C194}"/>
    <cellStyle name="20% - Accent6 3 9" xfId="10251" xr:uid="{00000000-0005-0000-0000-0000C7260000}"/>
    <cellStyle name="20% - Accent6 3 9 2" xfId="34101" xr:uid="{212D275B-4B7B-4F06-8BDE-F14652C53A21}"/>
    <cellStyle name="20% - Accent6 3_Exh G" xfId="2613" xr:uid="{00000000-0005-0000-0000-0000C8260000}"/>
    <cellStyle name="20% - Accent6 4" xfId="307" xr:uid="{00000000-0005-0000-0000-0000C9260000}"/>
    <cellStyle name="20% - Accent6 4 10" xfId="18210" xr:uid="{00000000-0005-0000-0000-0000CA260000}"/>
    <cellStyle name="20% - Accent6 4 10 2" xfId="42043" xr:uid="{2317A849-6C94-42F1-9DA7-D6D73766CEF2}"/>
    <cellStyle name="20% - Accent6 4 11" xfId="26163" xr:uid="{B66E8098-7D33-4C75-B0A8-CECCCBA382C5}"/>
    <cellStyle name="20% - Accent6 4 2" xfId="308" xr:uid="{00000000-0005-0000-0000-0000CB260000}"/>
    <cellStyle name="20% - Accent6 4 2 10" xfId="26164" xr:uid="{927FCE53-8FC7-424C-A750-F4953432D9D4}"/>
    <cellStyle name="20% - Accent6 4 2 2" xfId="309" xr:uid="{00000000-0005-0000-0000-0000CC260000}"/>
    <cellStyle name="20% - Accent6 4 2 2 2" xfId="1337" xr:uid="{00000000-0005-0000-0000-0000CD260000}"/>
    <cellStyle name="20% - Accent6 4 2 2 2 2" xfId="4867" xr:uid="{00000000-0005-0000-0000-0000CE260000}"/>
    <cellStyle name="20% - Accent6 4 2 2 2 2 2" xfId="8458" xr:uid="{00000000-0005-0000-0000-0000CF260000}"/>
    <cellStyle name="20% - Accent6 4 2 2 2 2 2 2" xfId="16429" xr:uid="{00000000-0005-0000-0000-0000D0260000}"/>
    <cellStyle name="20% - Accent6 4 2 2 2 2 2 2 2" xfId="40272" xr:uid="{4D92F457-2B18-49FA-B16F-DA69059407B0}"/>
    <cellStyle name="20% - Accent6 4 2 2 2 2 2 3" xfId="24375" xr:uid="{00000000-0005-0000-0000-0000D1260000}"/>
    <cellStyle name="20% - Accent6 4 2 2 2 2 2 3 2" xfId="48208" xr:uid="{0D93E50B-ACE6-4643-A206-EF165CB2E185}"/>
    <cellStyle name="20% - Accent6 4 2 2 2 2 2 4" xfId="32331" xr:uid="{6CA901C9-3195-4171-8BF6-E2FF964597B2}"/>
    <cellStyle name="20% - Accent6 4 2 2 2 2 3" xfId="12891" xr:uid="{00000000-0005-0000-0000-0000D2260000}"/>
    <cellStyle name="20% - Accent6 4 2 2 2 2 3 2" xfId="36741" xr:uid="{6EFA2429-8238-43A0-8942-114212BF3066}"/>
    <cellStyle name="20% - Accent6 4 2 2 2 2 4" xfId="20846" xr:uid="{00000000-0005-0000-0000-0000D3260000}"/>
    <cellStyle name="20% - Accent6 4 2 2 2 2 4 2" xfId="44679" xr:uid="{F22BACD7-EBAC-4D8D-BC9A-F17262FF6D72}"/>
    <cellStyle name="20% - Accent6 4 2 2 2 2 5" xfId="28800" xr:uid="{BF66D882-3FAE-40C6-B3D9-EEC5436AF185}"/>
    <cellStyle name="20% - Accent6 4 2 2 2 3" xfId="6699" xr:uid="{00000000-0005-0000-0000-0000D4260000}"/>
    <cellStyle name="20% - Accent6 4 2 2 2 3 2" xfId="14671" xr:uid="{00000000-0005-0000-0000-0000D5260000}"/>
    <cellStyle name="20% - Accent6 4 2 2 2 3 2 2" xfId="38514" xr:uid="{6E35A839-EC6F-4BCF-9910-719AA8D54765}"/>
    <cellStyle name="20% - Accent6 4 2 2 2 3 3" xfId="22618" xr:uid="{00000000-0005-0000-0000-0000D6260000}"/>
    <cellStyle name="20% - Accent6 4 2 2 2 3 3 2" xfId="46451" xr:uid="{152B4A62-CB49-46D8-BB42-35E7B7E8812A}"/>
    <cellStyle name="20% - Accent6 4 2 2 2 3 4" xfId="30573" xr:uid="{1F033AC7-B0ED-4620-A8BA-A381A09DAF11}"/>
    <cellStyle name="20% - Accent6 4 2 2 2 4" xfId="11135" xr:uid="{00000000-0005-0000-0000-0000D7260000}"/>
    <cellStyle name="20% - Accent6 4 2 2 2 4 2" xfId="34985" xr:uid="{19E4CEBF-A328-4C1C-8145-78F9BE3B793F}"/>
    <cellStyle name="20% - Accent6 4 2 2 2 5" xfId="19090" xr:uid="{00000000-0005-0000-0000-0000D8260000}"/>
    <cellStyle name="20% - Accent6 4 2 2 2 5 2" xfId="42923" xr:uid="{B4A13CEF-85D3-445E-8B5D-B38A71C8F114}"/>
    <cellStyle name="20% - Accent6 4 2 2 2 6" xfId="27043" xr:uid="{6AB400A5-5F76-4791-88A0-4038462948D8}"/>
    <cellStyle name="20% - Accent6 4 2 2 2_Exh G" xfId="2628" xr:uid="{00000000-0005-0000-0000-0000D9260000}"/>
    <cellStyle name="20% - Accent6 4 2 2 3" xfId="3988" xr:uid="{00000000-0005-0000-0000-0000DA260000}"/>
    <cellStyle name="20% - Accent6 4 2 2 3 2" xfId="7580" xr:uid="{00000000-0005-0000-0000-0000DB260000}"/>
    <cellStyle name="20% - Accent6 4 2 2 3 2 2" xfId="15551" xr:uid="{00000000-0005-0000-0000-0000DC260000}"/>
    <cellStyle name="20% - Accent6 4 2 2 3 2 2 2" xfId="39394" xr:uid="{7E8CF063-95BC-4378-9ADB-52BBF9D844EA}"/>
    <cellStyle name="20% - Accent6 4 2 2 3 2 3" xfId="23497" xr:uid="{00000000-0005-0000-0000-0000DD260000}"/>
    <cellStyle name="20% - Accent6 4 2 2 3 2 3 2" xfId="47330" xr:uid="{2FAF4354-A5E1-4CE3-A985-5FE4991474AA}"/>
    <cellStyle name="20% - Accent6 4 2 2 3 2 4" xfId="31453" xr:uid="{E994F16B-3F06-4BB7-941E-B07C17F31C08}"/>
    <cellStyle name="20% - Accent6 4 2 2 3 3" xfId="12013" xr:uid="{00000000-0005-0000-0000-0000DE260000}"/>
    <cellStyle name="20% - Accent6 4 2 2 3 3 2" xfId="35863" xr:uid="{622D9DC7-BEA3-4630-ACFD-03BD76FF2812}"/>
    <cellStyle name="20% - Accent6 4 2 2 3 4" xfId="19968" xr:uid="{00000000-0005-0000-0000-0000DF260000}"/>
    <cellStyle name="20% - Accent6 4 2 2 3 4 2" xfId="43801" xr:uid="{B34D8BEB-A270-4B6E-812B-86B59EE4A9DD}"/>
    <cellStyle name="20% - Accent6 4 2 2 3 5" xfId="27922" xr:uid="{3C976E11-ABAC-4F3E-BBB4-6E29470462B2}"/>
    <cellStyle name="20% - Accent6 4 2 2 4" xfId="5808" xr:uid="{00000000-0005-0000-0000-0000E0260000}"/>
    <cellStyle name="20% - Accent6 4 2 2 4 2" xfId="13792" xr:uid="{00000000-0005-0000-0000-0000E1260000}"/>
    <cellStyle name="20% - Accent6 4 2 2 4 2 2" xfId="37636" xr:uid="{2B5E39E1-0B4A-4EA0-BB15-11DC1A7BF9AB}"/>
    <cellStyle name="20% - Accent6 4 2 2 4 3" xfId="21740" xr:uid="{00000000-0005-0000-0000-0000E2260000}"/>
    <cellStyle name="20% - Accent6 4 2 2 4 3 2" xfId="45573" xr:uid="{EE0654E9-FF64-4B12-BB55-CE46CC2573B9}"/>
    <cellStyle name="20% - Accent6 4 2 2 4 4" xfId="29695" xr:uid="{D5B09AE8-EDA8-4862-94CA-BD583C46056A}"/>
    <cellStyle name="20% - Accent6 4 2 2 5" xfId="9361" xr:uid="{00000000-0005-0000-0000-0000E3260000}"/>
    <cellStyle name="20% - Accent6 4 2 2 5 2" xfId="17319" xr:uid="{00000000-0005-0000-0000-0000E4260000}"/>
    <cellStyle name="20% - Accent6 4 2 2 5 2 2" xfId="41160" xr:uid="{B5EDA2E3-422F-48E0-B390-7D0B20945CEB}"/>
    <cellStyle name="20% - Accent6 4 2 2 5 3" xfId="25263" xr:uid="{00000000-0005-0000-0000-0000E5260000}"/>
    <cellStyle name="20% - Accent6 4 2 2 5 3 2" xfId="49096" xr:uid="{C7860374-B666-4AC7-9AB8-93AAE774158E}"/>
    <cellStyle name="20% - Accent6 4 2 2 5 4" xfId="33219" xr:uid="{84548628-06B5-482C-9C3D-B25DDA1D541B}"/>
    <cellStyle name="20% - Accent6 4 2 2 6" xfId="10257" xr:uid="{00000000-0005-0000-0000-0000E6260000}"/>
    <cellStyle name="20% - Accent6 4 2 2 6 2" xfId="34107" xr:uid="{4533A941-2E48-47AD-83CA-4E71A0F49A0D}"/>
    <cellStyle name="20% - Accent6 4 2 2 7" xfId="18212" xr:uid="{00000000-0005-0000-0000-0000E7260000}"/>
    <cellStyle name="20% - Accent6 4 2 2 7 2" xfId="42045" xr:uid="{350E41DD-29D3-4F63-BE80-A7CC99A81BF1}"/>
    <cellStyle name="20% - Accent6 4 2 2 8" xfId="26165" xr:uid="{072E2734-414D-4509-B8C3-F6C7FD5D7998}"/>
    <cellStyle name="20% - Accent6 4 2 2_Exh G" xfId="2627" xr:uid="{00000000-0005-0000-0000-0000E8260000}"/>
    <cellStyle name="20% - Accent6 4 2 3" xfId="928" xr:uid="{00000000-0005-0000-0000-0000E9260000}"/>
    <cellStyle name="20% - Accent6 4 2 3 2" xfId="1854" xr:uid="{00000000-0005-0000-0000-0000EA260000}"/>
    <cellStyle name="20% - Accent6 4 2 3 2 2" xfId="5372" xr:uid="{00000000-0005-0000-0000-0000EB260000}"/>
    <cellStyle name="20% - Accent6 4 2 3 2 2 2" xfId="8963" xr:uid="{00000000-0005-0000-0000-0000EC260000}"/>
    <cellStyle name="20% - Accent6 4 2 3 2 2 2 2" xfId="16934" xr:uid="{00000000-0005-0000-0000-0000ED260000}"/>
    <cellStyle name="20% - Accent6 4 2 3 2 2 2 2 2" xfId="40777" xr:uid="{0623AA97-3735-49B6-AAF4-F12E146DC6C1}"/>
    <cellStyle name="20% - Accent6 4 2 3 2 2 2 3" xfId="24880" xr:uid="{00000000-0005-0000-0000-0000EE260000}"/>
    <cellStyle name="20% - Accent6 4 2 3 2 2 2 3 2" xfId="48713" xr:uid="{10402B64-D149-44AC-915B-1BF36EABDA65}"/>
    <cellStyle name="20% - Accent6 4 2 3 2 2 2 4" xfId="32836" xr:uid="{7016C931-064A-4D13-8507-691EA67BB56F}"/>
    <cellStyle name="20% - Accent6 4 2 3 2 2 3" xfId="13396" xr:uid="{00000000-0005-0000-0000-0000EF260000}"/>
    <cellStyle name="20% - Accent6 4 2 3 2 2 3 2" xfId="37246" xr:uid="{51959950-A50C-42AF-9D55-DEFA1E0D3E84}"/>
    <cellStyle name="20% - Accent6 4 2 3 2 2 4" xfId="21351" xr:uid="{00000000-0005-0000-0000-0000F0260000}"/>
    <cellStyle name="20% - Accent6 4 2 3 2 2 4 2" xfId="45184" xr:uid="{48D3132B-833F-45B9-8874-E7ACD5CB49C8}"/>
    <cellStyle name="20% - Accent6 4 2 3 2 2 5" xfId="29305" xr:uid="{D7D24A97-B041-40D0-B880-CD23AE305B50}"/>
    <cellStyle name="20% - Accent6 4 2 3 2 3" xfId="7204" xr:uid="{00000000-0005-0000-0000-0000F1260000}"/>
    <cellStyle name="20% - Accent6 4 2 3 2 3 2" xfId="15176" xr:uid="{00000000-0005-0000-0000-0000F2260000}"/>
    <cellStyle name="20% - Accent6 4 2 3 2 3 2 2" xfId="39019" xr:uid="{56BDF4F2-EAF7-4DB4-AE06-C1B6F3D17CE0}"/>
    <cellStyle name="20% - Accent6 4 2 3 2 3 3" xfId="23123" xr:uid="{00000000-0005-0000-0000-0000F3260000}"/>
    <cellStyle name="20% - Accent6 4 2 3 2 3 3 2" xfId="46956" xr:uid="{1A0B409F-9052-4E3F-B650-79DE03A8A504}"/>
    <cellStyle name="20% - Accent6 4 2 3 2 3 4" xfId="31078" xr:uid="{CADC8A61-B70F-4730-B7BC-9D6E0532419E}"/>
    <cellStyle name="20% - Accent6 4 2 3 2 4" xfId="11640" xr:uid="{00000000-0005-0000-0000-0000F4260000}"/>
    <cellStyle name="20% - Accent6 4 2 3 2 4 2" xfId="35490" xr:uid="{D10F3D61-8B06-4E59-AFFA-E2A160CC5659}"/>
    <cellStyle name="20% - Accent6 4 2 3 2 5" xfId="19595" xr:uid="{00000000-0005-0000-0000-0000F5260000}"/>
    <cellStyle name="20% - Accent6 4 2 3 2 5 2" xfId="43428" xr:uid="{624A9E48-EF27-4BAC-8238-1EB9BB851905}"/>
    <cellStyle name="20% - Accent6 4 2 3 2 6" xfId="27548" xr:uid="{F75E1C0E-BD1B-4F95-925A-3361867DE07A}"/>
    <cellStyle name="20% - Accent6 4 2 3 2_Exh G" xfId="2630" xr:uid="{00000000-0005-0000-0000-0000F6260000}"/>
    <cellStyle name="20% - Accent6 4 2 3 3" xfId="4493" xr:uid="{00000000-0005-0000-0000-0000F7260000}"/>
    <cellStyle name="20% - Accent6 4 2 3 3 2" xfId="8085" xr:uid="{00000000-0005-0000-0000-0000F8260000}"/>
    <cellStyle name="20% - Accent6 4 2 3 3 2 2" xfId="16056" xr:uid="{00000000-0005-0000-0000-0000F9260000}"/>
    <cellStyle name="20% - Accent6 4 2 3 3 2 2 2" xfId="39899" xr:uid="{147F98E5-D331-44F3-8DBF-52EE7F260A0A}"/>
    <cellStyle name="20% - Accent6 4 2 3 3 2 3" xfId="24002" xr:uid="{00000000-0005-0000-0000-0000FA260000}"/>
    <cellStyle name="20% - Accent6 4 2 3 3 2 3 2" xfId="47835" xr:uid="{E94E7695-0A8C-492C-B0A1-582838DA21E2}"/>
    <cellStyle name="20% - Accent6 4 2 3 3 2 4" xfId="31958" xr:uid="{F57BCD23-0711-4568-B7FC-D182FD11B951}"/>
    <cellStyle name="20% - Accent6 4 2 3 3 3" xfId="12518" xr:uid="{00000000-0005-0000-0000-0000FB260000}"/>
    <cellStyle name="20% - Accent6 4 2 3 3 3 2" xfId="36368" xr:uid="{8EC3D946-FE0B-4FF8-A99F-9B03573B0BEC}"/>
    <cellStyle name="20% - Accent6 4 2 3 3 4" xfId="20473" xr:uid="{00000000-0005-0000-0000-0000FC260000}"/>
    <cellStyle name="20% - Accent6 4 2 3 3 4 2" xfId="44306" xr:uid="{6A319A93-D3F7-4AC7-A673-B46304A43390}"/>
    <cellStyle name="20% - Accent6 4 2 3 3 5" xfId="28427" xr:uid="{5E5B45C6-4BD9-4B8C-BCFA-7927EA4DADFA}"/>
    <cellStyle name="20% - Accent6 4 2 3 4" xfId="6323" xr:uid="{00000000-0005-0000-0000-0000FD260000}"/>
    <cellStyle name="20% - Accent6 4 2 3 4 2" xfId="14298" xr:uid="{00000000-0005-0000-0000-0000FE260000}"/>
    <cellStyle name="20% - Accent6 4 2 3 4 2 2" xfId="38141" xr:uid="{31E55E14-9869-4EBF-825B-7F5AD88BB2AB}"/>
    <cellStyle name="20% - Accent6 4 2 3 4 3" xfId="22245" xr:uid="{00000000-0005-0000-0000-0000FF260000}"/>
    <cellStyle name="20% - Accent6 4 2 3 4 3 2" xfId="46078" xr:uid="{6B0392EC-EF52-4677-B3D7-FE79B6A59599}"/>
    <cellStyle name="20% - Accent6 4 2 3 4 4" xfId="30200" xr:uid="{512DC5B7-AFA7-4E49-81D3-A90CB0640D3A}"/>
    <cellStyle name="20% - Accent6 4 2 3 5" xfId="9866" xr:uid="{00000000-0005-0000-0000-000000270000}"/>
    <cellStyle name="20% - Accent6 4 2 3 5 2" xfId="17824" xr:uid="{00000000-0005-0000-0000-000001270000}"/>
    <cellStyle name="20% - Accent6 4 2 3 5 2 2" xfId="41665" xr:uid="{BB30F8A6-746F-49EE-80DE-71F7464FE01F}"/>
    <cellStyle name="20% - Accent6 4 2 3 5 3" xfId="25768" xr:uid="{00000000-0005-0000-0000-000002270000}"/>
    <cellStyle name="20% - Accent6 4 2 3 5 3 2" xfId="49601" xr:uid="{A8C6A10C-E119-4B8B-AD6A-7254169FDFFE}"/>
    <cellStyle name="20% - Accent6 4 2 3 5 4" xfId="33724" xr:uid="{2ADCB213-7A41-4617-A806-E45B65B1AB3C}"/>
    <cellStyle name="20% - Accent6 4 2 3 6" xfId="10762" xr:uid="{00000000-0005-0000-0000-000003270000}"/>
    <cellStyle name="20% - Accent6 4 2 3 6 2" xfId="34612" xr:uid="{AFD81B92-6311-4B9F-B639-9BA6FB0605C2}"/>
    <cellStyle name="20% - Accent6 4 2 3 7" xfId="18717" xr:uid="{00000000-0005-0000-0000-000004270000}"/>
    <cellStyle name="20% - Accent6 4 2 3 7 2" xfId="42550" xr:uid="{E39B8F54-CA6B-4440-A99C-AE3210D2BACF}"/>
    <cellStyle name="20% - Accent6 4 2 3 8" xfId="26670" xr:uid="{B873E2E9-EAB3-4A9D-A863-9EB0DBAD27F3}"/>
    <cellStyle name="20% - Accent6 4 2 3_Exh G" xfId="2629" xr:uid="{00000000-0005-0000-0000-000005270000}"/>
    <cellStyle name="20% - Accent6 4 2 4" xfId="1336" xr:uid="{00000000-0005-0000-0000-000006270000}"/>
    <cellStyle name="20% - Accent6 4 2 4 2" xfId="4866" xr:uid="{00000000-0005-0000-0000-000007270000}"/>
    <cellStyle name="20% - Accent6 4 2 4 2 2" xfId="8457" xr:uid="{00000000-0005-0000-0000-000008270000}"/>
    <cellStyle name="20% - Accent6 4 2 4 2 2 2" xfId="16428" xr:uid="{00000000-0005-0000-0000-000009270000}"/>
    <cellStyle name="20% - Accent6 4 2 4 2 2 2 2" xfId="40271" xr:uid="{B18175E4-B39D-4CE3-B4AB-01B09F4E1691}"/>
    <cellStyle name="20% - Accent6 4 2 4 2 2 3" xfId="24374" xr:uid="{00000000-0005-0000-0000-00000A270000}"/>
    <cellStyle name="20% - Accent6 4 2 4 2 2 3 2" xfId="48207" xr:uid="{DF5F0423-3549-439E-96B3-FA5A1243F353}"/>
    <cellStyle name="20% - Accent6 4 2 4 2 2 4" xfId="32330" xr:uid="{7BFCB6F5-198F-4108-A7A0-E92D0985A2A8}"/>
    <cellStyle name="20% - Accent6 4 2 4 2 3" xfId="12890" xr:uid="{00000000-0005-0000-0000-00000B270000}"/>
    <cellStyle name="20% - Accent6 4 2 4 2 3 2" xfId="36740" xr:uid="{832FA348-6C50-4158-8D55-3F791D92E69E}"/>
    <cellStyle name="20% - Accent6 4 2 4 2 4" xfId="20845" xr:uid="{00000000-0005-0000-0000-00000C270000}"/>
    <cellStyle name="20% - Accent6 4 2 4 2 4 2" xfId="44678" xr:uid="{5ED84EAB-F4C3-4585-B326-D53E5A273C32}"/>
    <cellStyle name="20% - Accent6 4 2 4 2 5" xfId="28799" xr:uid="{FCEBFDCF-6C73-4175-9D72-9463D321E7CF}"/>
    <cellStyle name="20% - Accent6 4 2 4 3" xfId="6698" xr:uid="{00000000-0005-0000-0000-00000D270000}"/>
    <cellStyle name="20% - Accent6 4 2 4 3 2" xfId="14670" xr:uid="{00000000-0005-0000-0000-00000E270000}"/>
    <cellStyle name="20% - Accent6 4 2 4 3 2 2" xfId="38513" xr:uid="{17272E02-7F06-4738-8902-589BFBDF8693}"/>
    <cellStyle name="20% - Accent6 4 2 4 3 3" xfId="22617" xr:uid="{00000000-0005-0000-0000-00000F270000}"/>
    <cellStyle name="20% - Accent6 4 2 4 3 3 2" xfId="46450" xr:uid="{471F73D9-2341-49D8-A8E5-C8CEA44AE015}"/>
    <cellStyle name="20% - Accent6 4 2 4 3 4" xfId="30572" xr:uid="{1B601A02-B6D3-4A29-8621-AFE37329CD56}"/>
    <cellStyle name="20% - Accent6 4 2 4 4" xfId="11134" xr:uid="{00000000-0005-0000-0000-000010270000}"/>
    <cellStyle name="20% - Accent6 4 2 4 4 2" xfId="34984" xr:uid="{04A76D33-DEF3-4772-8D6C-83A91C56898D}"/>
    <cellStyle name="20% - Accent6 4 2 4 5" xfId="19089" xr:uid="{00000000-0005-0000-0000-000011270000}"/>
    <cellStyle name="20% - Accent6 4 2 4 5 2" xfId="42922" xr:uid="{3FA2BD4D-80FA-4889-935C-A6A13A653B03}"/>
    <cellStyle name="20% - Accent6 4 2 4 6" xfId="27042" xr:uid="{D55D4457-99D0-4532-B718-CE608E86E276}"/>
    <cellStyle name="20% - Accent6 4 2 4_Exh G" xfId="2631" xr:uid="{00000000-0005-0000-0000-000012270000}"/>
    <cellStyle name="20% - Accent6 4 2 5" xfId="3987" xr:uid="{00000000-0005-0000-0000-000013270000}"/>
    <cellStyle name="20% - Accent6 4 2 5 2" xfId="7579" xr:uid="{00000000-0005-0000-0000-000014270000}"/>
    <cellStyle name="20% - Accent6 4 2 5 2 2" xfId="15550" xr:uid="{00000000-0005-0000-0000-000015270000}"/>
    <cellStyle name="20% - Accent6 4 2 5 2 2 2" xfId="39393" xr:uid="{092E7E14-1816-4809-9D25-C35AC4F675F1}"/>
    <cellStyle name="20% - Accent6 4 2 5 2 3" xfId="23496" xr:uid="{00000000-0005-0000-0000-000016270000}"/>
    <cellStyle name="20% - Accent6 4 2 5 2 3 2" xfId="47329" xr:uid="{83356719-A4AC-49C7-8BC2-4E6A5203F68A}"/>
    <cellStyle name="20% - Accent6 4 2 5 2 4" xfId="31452" xr:uid="{94C168E9-F806-4E62-989C-174FAC2D63CA}"/>
    <cellStyle name="20% - Accent6 4 2 5 3" xfId="12012" xr:uid="{00000000-0005-0000-0000-000017270000}"/>
    <cellStyle name="20% - Accent6 4 2 5 3 2" xfId="35862" xr:uid="{FE19FC9B-A267-4E9F-A470-73FC10B6F6B9}"/>
    <cellStyle name="20% - Accent6 4 2 5 4" xfId="19967" xr:uid="{00000000-0005-0000-0000-000018270000}"/>
    <cellStyle name="20% - Accent6 4 2 5 4 2" xfId="43800" xr:uid="{9A1C184C-1204-4657-9A46-EBC01D5F3BBF}"/>
    <cellStyle name="20% - Accent6 4 2 5 5" xfId="27921" xr:uid="{CA829984-53C8-43BC-9049-FC13F029A2A4}"/>
    <cellStyle name="20% - Accent6 4 2 6" xfId="5807" xr:uid="{00000000-0005-0000-0000-000019270000}"/>
    <cellStyle name="20% - Accent6 4 2 6 2" xfId="13791" xr:uid="{00000000-0005-0000-0000-00001A270000}"/>
    <cellStyle name="20% - Accent6 4 2 6 2 2" xfId="37635" xr:uid="{A4116637-1EF0-4CD0-BBBC-DF129B0210B2}"/>
    <cellStyle name="20% - Accent6 4 2 6 3" xfId="21739" xr:uid="{00000000-0005-0000-0000-00001B270000}"/>
    <cellStyle name="20% - Accent6 4 2 6 3 2" xfId="45572" xr:uid="{4E7C1163-4368-4A53-9446-F91271746B1D}"/>
    <cellStyle name="20% - Accent6 4 2 6 4" xfId="29694" xr:uid="{34658617-F370-4349-BF7C-DD8251B378B1}"/>
    <cellStyle name="20% - Accent6 4 2 7" xfId="9360" xr:uid="{00000000-0005-0000-0000-00001C270000}"/>
    <cellStyle name="20% - Accent6 4 2 7 2" xfId="17318" xr:uid="{00000000-0005-0000-0000-00001D270000}"/>
    <cellStyle name="20% - Accent6 4 2 7 2 2" xfId="41159" xr:uid="{22BC5943-03DE-413E-AF4A-C3307C7411E1}"/>
    <cellStyle name="20% - Accent6 4 2 7 3" xfId="25262" xr:uid="{00000000-0005-0000-0000-00001E270000}"/>
    <cellStyle name="20% - Accent6 4 2 7 3 2" xfId="49095" xr:uid="{155524A9-8379-492D-84FC-6206B52A7462}"/>
    <cellStyle name="20% - Accent6 4 2 7 4" xfId="33218" xr:uid="{695F4B92-F116-457A-90D7-9012B16FA827}"/>
    <cellStyle name="20% - Accent6 4 2 8" xfId="10256" xr:uid="{00000000-0005-0000-0000-00001F270000}"/>
    <cellStyle name="20% - Accent6 4 2 8 2" xfId="34106" xr:uid="{8CAB928C-AA7D-4E92-AFB0-CB1CFA3EB1BC}"/>
    <cellStyle name="20% - Accent6 4 2 9" xfId="18211" xr:uid="{00000000-0005-0000-0000-000020270000}"/>
    <cellStyle name="20% - Accent6 4 2 9 2" xfId="42044" xr:uid="{23BC4B52-9F78-4120-B73B-AA542CCD9D93}"/>
    <cellStyle name="20% - Accent6 4 2_Exh G" xfId="2626" xr:uid="{00000000-0005-0000-0000-000021270000}"/>
    <cellStyle name="20% - Accent6 4 3" xfId="310" xr:uid="{00000000-0005-0000-0000-000022270000}"/>
    <cellStyle name="20% - Accent6 4 3 2" xfId="1338" xr:uid="{00000000-0005-0000-0000-000023270000}"/>
    <cellStyle name="20% - Accent6 4 3 2 2" xfId="4868" xr:uid="{00000000-0005-0000-0000-000024270000}"/>
    <cellStyle name="20% - Accent6 4 3 2 2 2" xfId="8459" xr:uid="{00000000-0005-0000-0000-000025270000}"/>
    <cellStyle name="20% - Accent6 4 3 2 2 2 2" xfId="16430" xr:uid="{00000000-0005-0000-0000-000026270000}"/>
    <cellStyle name="20% - Accent6 4 3 2 2 2 2 2" xfId="40273" xr:uid="{D2B8B920-027C-4C1A-A19B-D9B9FD161154}"/>
    <cellStyle name="20% - Accent6 4 3 2 2 2 3" xfId="24376" xr:uid="{00000000-0005-0000-0000-000027270000}"/>
    <cellStyle name="20% - Accent6 4 3 2 2 2 3 2" xfId="48209" xr:uid="{7FB552AC-0DFE-494C-8C50-FE4FF285318E}"/>
    <cellStyle name="20% - Accent6 4 3 2 2 2 4" xfId="32332" xr:uid="{19C509CD-00AA-432A-9F64-1A51475CF357}"/>
    <cellStyle name="20% - Accent6 4 3 2 2 3" xfId="12892" xr:uid="{00000000-0005-0000-0000-000028270000}"/>
    <cellStyle name="20% - Accent6 4 3 2 2 3 2" xfId="36742" xr:uid="{2F0E18E3-1995-4391-8889-D46636F5E874}"/>
    <cellStyle name="20% - Accent6 4 3 2 2 4" xfId="20847" xr:uid="{00000000-0005-0000-0000-000029270000}"/>
    <cellStyle name="20% - Accent6 4 3 2 2 4 2" xfId="44680" xr:uid="{3A05AFB8-1C7B-4DA0-939D-AA4AA6301698}"/>
    <cellStyle name="20% - Accent6 4 3 2 2 5" xfId="28801" xr:uid="{005D7FDF-D31B-4502-886D-22CE4472CC4F}"/>
    <cellStyle name="20% - Accent6 4 3 2 3" xfId="6700" xr:uid="{00000000-0005-0000-0000-00002A270000}"/>
    <cellStyle name="20% - Accent6 4 3 2 3 2" xfId="14672" xr:uid="{00000000-0005-0000-0000-00002B270000}"/>
    <cellStyle name="20% - Accent6 4 3 2 3 2 2" xfId="38515" xr:uid="{32161D59-84BD-45A1-B449-71F12F9F2C9B}"/>
    <cellStyle name="20% - Accent6 4 3 2 3 3" xfId="22619" xr:uid="{00000000-0005-0000-0000-00002C270000}"/>
    <cellStyle name="20% - Accent6 4 3 2 3 3 2" xfId="46452" xr:uid="{C91D0D47-70E6-45E0-8FDE-52C2EB67A3D1}"/>
    <cellStyle name="20% - Accent6 4 3 2 3 4" xfId="30574" xr:uid="{E6F4EA7B-5806-41CE-83BF-C549A0CB7141}"/>
    <cellStyle name="20% - Accent6 4 3 2 4" xfId="11136" xr:uid="{00000000-0005-0000-0000-00002D270000}"/>
    <cellStyle name="20% - Accent6 4 3 2 4 2" xfId="34986" xr:uid="{9ADC050F-E3DF-46E1-AFC8-3F9B8339630D}"/>
    <cellStyle name="20% - Accent6 4 3 2 5" xfId="19091" xr:uid="{00000000-0005-0000-0000-00002E270000}"/>
    <cellStyle name="20% - Accent6 4 3 2 5 2" xfId="42924" xr:uid="{59CA22BA-722E-46E9-8783-6573820B921B}"/>
    <cellStyle name="20% - Accent6 4 3 2 6" xfId="27044" xr:uid="{7B6DEE39-D6F9-44EC-B940-7A7813EE2BA3}"/>
    <cellStyle name="20% - Accent6 4 3 2_Exh G" xfId="2633" xr:uid="{00000000-0005-0000-0000-00002F270000}"/>
    <cellStyle name="20% - Accent6 4 3 3" xfId="3989" xr:uid="{00000000-0005-0000-0000-000030270000}"/>
    <cellStyle name="20% - Accent6 4 3 3 2" xfId="7581" xr:uid="{00000000-0005-0000-0000-000031270000}"/>
    <cellStyle name="20% - Accent6 4 3 3 2 2" xfId="15552" xr:uid="{00000000-0005-0000-0000-000032270000}"/>
    <cellStyle name="20% - Accent6 4 3 3 2 2 2" xfId="39395" xr:uid="{86634859-8AA2-4AB2-835F-EB5CFC51838A}"/>
    <cellStyle name="20% - Accent6 4 3 3 2 3" xfId="23498" xr:uid="{00000000-0005-0000-0000-000033270000}"/>
    <cellStyle name="20% - Accent6 4 3 3 2 3 2" xfId="47331" xr:uid="{BE09018F-889F-4F1B-9449-EE3A415E349D}"/>
    <cellStyle name="20% - Accent6 4 3 3 2 4" xfId="31454" xr:uid="{3F807DDF-064F-4CDD-87BB-C13D93B91BD0}"/>
    <cellStyle name="20% - Accent6 4 3 3 3" xfId="12014" xr:uid="{00000000-0005-0000-0000-000034270000}"/>
    <cellStyle name="20% - Accent6 4 3 3 3 2" xfId="35864" xr:uid="{8C6D7F5E-F7D3-40E6-A97E-274AF4305570}"/>
    <cellStyle name="20% - Accent6 4 3 3 4" xfId="19969" xr:uid="{00000000-0005-0000-0000-000035270000}"/>
    <cellStyle name="20% - Accent6 4 3 3 4 2" xfId="43802" xr:uid="{EE2083F3-EEBB-4FA1-ADF9-DF7CFD9B4B8E}"/>
    <cellStyle name="20% - Accent6 4 3 3 5" xfId="27923" xr:uid="{52EF059C-099D-4854-BD14-CC16999B87C6}"/>
    <cellStyle name="20% - Accent6 4 3 4" xfId="5809" xr:uid="{00000000-0005-0000-0000-000036270000}"/>
    <cellStyle name="20% - Accent6 4 3 4 2" xfId="13793" xr:uid="{00000000-0005-0000-0000-000037270000}"/>
    <cellStyle name="20% - Accent6 4 3 4 2 2" xfId="37637" xr:uid="{C922678A-3895-4F08-8AC3-43DE33D59734}"/>
    <cellStyle name="20% - Accent6 4 3 4 3" xfId="21741" xr:uid="{00000000-0005-0000-0000-000038270000}"/>
    <cellStyle name="20% - Accent6 4 3 4 3 2" xfId="45574" xr:uid="{2C7A5233-0EB1-4C10-98A4-83D44392B34C}"/>
    <cellStyle name="20% - Accent6 4 3 4 4" xfId="29696" xr:uid="{FB3A5BFE-F287-4D9B-8D6D-DC78F5BF602F}"/>
    <cellStyle name="20% - Accent6 4 3 5" xfId="9362" xr:uid="{00000000-0005-0000-0000-000039270000}"/>
    <cellStyle name="20% - Accent6 4 3 5 2" xfId="17320" xr:uid="{00000000-0005-0000-0000-00003A270000}"/>
    <cellStyle name="20% - Accent6 4 3 5 2 2" xfId="41161" xr:uid="{7F9B16CE-2304-4549-8223-57C2C03CC86F}"/>
    <cellStyle name="20% - Accent6 4 3 5 3" xfId="25264" xr:uid="{00000000-0005-0000-0000-00003B270000}"/>
    <cellStyle name="20% - Accent6 4 3 5 3 2" xfId="49097" xr:uid="{A0684C8E-82DD-462E-AE8E-0B93545E0483}"/>
    <cellStyle name="20% - Accent6 4 3 5 4" xfId="33220" xr:uid="{B25BE749-4F34-40B7-9F2D-6B36469EEDFE}"/>
    <cellStyle name="20% - Accent6 4 3 6" xfId="10258" xr:uid="{00000000-0005-0000-0000-00003C270000}"/>
    <cellStyle name="20% - Accent6 4 3 6 2" xfId="34108" xr:uid="{3F747C79-E6BA-4C81-A21F-FEED06740774}"/>
    <cellStyle name="20% - Accent6 4 3 7" xfId="18213" xr:uid="{00000000-0005-0000-0000-00003D270000}"/>
    <cellStyle name="20% - Accent6 4 3 7 2" xfId="42046" xr:uid="{089B277F-CD19-44CF-B63E-B807EBB4FB7B}"/>
    <cellStyle name="20% - Accent6 4 3 8" xfId="26166" xr:uid="{AD5A51B6-3B72-41E1-9736-FC0E5CBB2DB2}"/>
    <cellStyle name="20% - Accent6 4 3_Exh G" xfId="2632" xr:uid="{00000000-0005-0000-0000-00003E270000}"/>
    <cellStyle name="20% - Accent6 4 4" xfId="927" xr:uid="{00000000-0005-0000-0000-00003F270000}"/>
    <cellStyle name="20% - Accent6 4 4 2" xfId="1853" xr:uid="{00000000-0005-0000-0000-000040270000}"/>
    <cellStyle name="20% - Accent6 4 4 2 2" xfId="5371" xr:uid="{00000000-0005-0000-0000-000041270000}"/>
    <cellStyle name="20% - Accent6 4 4 2 2 2" xfId="8962" xr:uid="{00000000-0005-0000-0000-000042270000}"/>
    <cellStyle name="20% - Accent6 4 4 2 2 2 2" xfId="16933" xr:uid="{00000000-0005-0000-0000-000043270000}"/>
    <cellStyle name="20% - Accent6 4 4 2 2 2 2 2" xfId="40776" xr:uid="{C16CB276-BB7D-4F56-AF25-846F4014DEDD}"/>
    <cellStyle name="20% - Accent6 4 4 2 2 2 3" xfId="24879" xr:uid="{00000000-0005-0000-0000-000044270000}"/>
    <cellStyle name="20% - Accent6 4 4 2 2 2 3 2" xfId="48712" xr:uid="{26C25661-0D64-4656-AB3C-7BBD8F22D751}"/>
    <cellStyle name="20% - Accent6 4 4 2 2 2 4" xfId="32835" xr:uid="{5E97E32D-2469-4DC4-A4A0-ED3AAE88956E}"/>
    <cellStyle name="20% - Accent6 4 4 2 2 3" xfId="13395" xr:uid="{00000000-0005-0000-0000-000045270000}"/>
    <cellStyle name="20% - Accent6 4 4 2 2 3 2" xfId="37245" xr:uid="{3F6D5BE5-3F87-4A83-93DD-776AEFE49DD6}"/>
    <cellStyle name="20% - Accent6 4 4 2 2 4" xfId="21350" xr:uid="{00000000-0005-0000-0000-000046270000}"/>
    <cellStyle name="20% - Accent6 4 4 2 2 4 2" xfId="45183" xr:uid="{68430874-F58B-44BE-891A-46BE0E02B279}"/>
    <cellStyle name="20% - Accent6 4 4 2 2 5" xfId="29304" xr:uid="{34C77FA8-B028-46B9-8E31-B8A6164AC74A}"/>
    <cellStyle name="20% - Accent6 4 4 2 3" xfId="7203" xr:uid="{00000000-0005-0000-0000-000047270000}"/>
    <cellStyle name="20% - Accent6 4 4 2 3 2" xfId="15175" xr:uid="{00000000-0005-0000-0000-000048270000}"/>
    <cellStyle name="20% - Accent6 4 4 2 3 2 2" xfId="39018" xr:uid="{56B6BD94-F2DE-499A-B326-8350DAF1AA60}"/>
    <cellStyle name="20% - Accent6 4 4 2 3 3" xfId="23122" xr:uid="{00000000-0005-0000-0000-000049270000}"/>
    <cellStyle name="20% - Accent6 4 4 2 3 3 2" xfId="46955" xr:uid="{73C28852-F281-4A65-97FF-4DE47FCE0DD8}"/>
    <cellStyle name="20% - Accent6 4 4 2 3 4" xfId="31077" xr:uid="{0962C441-E621-4B04-998A-8EC2250F4666}"/>
    <cellStyle name="20% - Accent6 4 4 2 4" xfId="11639" xr:uid="{00000000-0005-0000-0000-00004A270000}"/>
    <cellStyle name="20% - Accent6 4 4 2 4 2" xfId="35489" xr:uid="{76770159-2EAA-448D-A7A7-8ABEBC662C8A}"/>
    <cellStyle name="20% - Accent6 4 4 2 5" xfId="19594" xr:uid="{00000000-0005-0000-0000-00004B270000}"/>
    <cellStyle name="20% - Accent6 4 4 2 5 2" xfId="43427" xr:uid="{4D71CE56-0DBB-4645-8024-7BC17F94DF6D}"/>
    <cellStyle name="20% - Accent6 4 4 2 6" xfId="27547" xr:uid="{D73564A0-B529-4028-A5C8-A39EF6FB0B3D}"/>
    <cellStyle name="20% - Accent6 4 4 2_Exh G" xfId="2635" xr:uid="{00000000-0005-0000-0000-00004C270000}"/>
    <cellStyle name="20% - Accent6 4 4 3" xfId="4492" xr:uid="{00000000-0005-0000-0000-00004D270000}"/>
    <cellStyle name="20% - Accent6 4 4 3 2" xfId="8084" xr:uid="{00000000-0005-0000-0000-00004E270000}"/>
    <cellStyle name="20% - Accent6 4 4 3 2 2" xfId="16055" xr:uid="{00000000-0005-0000-0000-00004F270000}"/>
    <cellStyle name="20% - Accent6 4 4 3 2 2 2" xfId="39898" xr:uid="{20B2386A-523F-4D54-B884-03932C50551A}"/>
    <cellStyle name="20% - Accent6 4 4 3 2 3" xfId="24001" xr:uid="{00000000-0005-0000-0000-000050270000}"/>
    <cellStyle name="20% - Accent6 4 4 3 2 3 2" xfId="47834" xr:uid="{5522409C-5A7F-42E2-A4E8-DC769666AD41}"/>
    <cellStyle name="20% - Accent6 4 4 3 2 4" xfId="31957" xr:uid="{2994292D-9D1B-47D9-87DA-73697E5A0DAF}"/>
    <cellStyle name="20% - Accent6 4 4 3 3" xfId="12517" xr:uid="{00000000-0005-0000-0000-000051270000}"/>
    <cellStyle name="20% - Accent6 4 4 3 3 2" xfId="36367" xr:uid="{E24B6EAF-8C5D-46E6-A3B5-8F68AA1CD76E}"/>
    <cellStyle name="20% - Accent6 4 4 3 4" xfId="20472" xr:uid="{00000000-0005-0000-0000-000052270000}"/>
    <cellStyle name="20% - Accent6 4 4 3 4 2" xfId="44305" xr:uid="{33C49B94-4A14-4265-AD18-304EB2FB1ABF}"/>
    <cellStyle name="20% - Accent6 4 4 3 5" xfId="28426" xr:uid="{14AC0537-22F8-4754-AB29-D8C9B3205BC5}"/>
    <cellStyle name="20% - Accent6 4 4 4" xfId="6322" xr:uid="{00000000-0005-0000-0000-000053270000}"/>
    <cellStyle name="20% - Accent6 4 4 4 2" xfId="14297" xr:uid="{00000000-0005-0000-0000-000054270000}"/>
    <cellStyle name="20% - Accent6 4 4 4 2 2" xfId="38140" xr:uid="{4CF88D24-1004-4B00-AA40-9EB5565A541B}"/>
    <cellStyle name="20% - Accent6 4 4 4 3" xfId="22244" xr:uid="{00000000-0005-0000-0000-000055270000}"/>
    <cellStyle name="20% - Accent6 4 4 4 3 2" xfId="46077" xr:uid="{9E02598F-CABC-49C7-AA94-AA0B17AE7D0A}"/>
    <cellStyle name="20% - Accent6 4 4 4 4" xfId="30199" xr:uid="{AA25D48E-2162-48AE-BD28-678C8AE23F9B}"/>
    <cellStyle name="20% - Accent6 4 4 5" xfId="9865" xr:uid="{00000000-0005-0000-0000-000056270000}"/>
    <cellStyle name="20% - Accent6 4 4 5 2" xfId="17823" xr:uid="{00000000-0005-0000-0000-000057270000}"/>
    <cellStyle name="20% - Accent6 4 4 5 2 2" xfId="41664" xr:uid="{5E3298D4-F6F7-4BC6-9EF2-FEC3CB942F6A}"/>
    <cellStyle name="20% - Accent6 4 4 5 3" xfId="25767" xr:uid="{00000000-0005-0000-0000-000058270000}"/>
    <cellStyle name="20% - Accent6 4 4 5 3 2" xfId="49600" xr:uid="{AA62A13B-87E6-46F3-99C4-4AEC983FE3D3}"/>
    <cellStyle name="20% - Accent6 4 4 5 4" xfId="33723" xr:uid="{D40D96BC-DCFD-48A6-90F4-AFB044BA8CA1}"/>
    <cellStyle name="20% - Accent6 4 4 6" xfId="10761" xr:uid="{00000000-0005-0000-0000-000059270000}"/>
    <cellStyle name="20% - Accent6 4 4 6 2" xfId="34611" xr:uid="{A8B542F7-73E9-49B0-BC0D-3AB8DB4BEC18}"/>
    <cellStyle name="20% - Accent6 4 4 7" xfId="18716" xr:uid="{00000000-0005-0000-0000-00005A270000}"/>
    <cellStyle name="20% - Accent6 4 4 7 2" xfId="42549" xr:uid="{742BA9A7-4D84-495E-97A1-0714489CC55F}"/>
    <cellStyle name="20% - Accent6 4 4 8" xfId="26669" xr:uid="{E2A3560E-2D2C-4FCE-9743-23521AD91C12}"/>
    <cellStyle name="20% - Accent6 4 4_Exh G" xfId="2634" xr:uid="{00000000-0005-0000-0000-00005B270000}"/>
    <cellStyle name="20% - Accent6 4 5" xfId="1335" xr:uid="{00000000-0005-0000-0000-00005C270000}"/>
    <cellStyle name="20% - Accent6 4 5 2" xfId="4865" xr:uid="{00000000-0005-0000-0000-00005D270000}"/>
    <cellStyle name="20% - Accent6 4 5 2 2" xfId="8456" xr:uid="{00000000-0005-0000-0000-00005E270000}"/>
    <cellStyle name="20% - Accent6 4 5 2 2 2" xfId="16427" xr:uid="{00000000-0005-0000-0000-00005F270000}"/>
    <cellStyle name="20% - Accent6 4 5 2 2 2 2" xfId="40270" xr:uid="{DC91809D-9ADE-4673-B53B-B6332CCF1AF0}"/>
    <cellStyle name="20% - Accent6 4 5 2 2 3" xfId="24373" xr:uid="{00000000-0005-0000-0000-000060270000}"/>
    <cellStyle name="20% - Accent6 4 5 2 2 3 2" xfId="48206" xr:uid="{61C017F0-CA33-4E8F-B51C-44B0BC727FB2}"/>
    <cellStyle name="20% - Accent6 4 5 2 2 4" xfId="32329" xr:uid="{9F453E7D-E290-4A46-AB51-B7E8E81DC89B}"/>
    <cellStyle name="20% - Accent6 4 5 2 3" xfId="12889" xr:uid="{00000000-0005-0000-0000-000061270000}"/>
    <cellStyle name="20% - Accent6 4 5 2 3 2" xfId="36739" xr:uid="{59D53AC3-EEBD-40A4-BDEA-40739C8B2603}"/>
    <cellStyle name="20% - Accent6 4 5 2 4" xfId="20844" xr:uid="{00000000-0005-0000-0000-000062270000}"/>
    <cellStyle name="20% - Accent6 4 5 2 4 2" xfId="44677" xr:uid="{EA8FC015-90D6-492F-A567-71B99CF127C9}"/>
    <cellStyle name="20% - Accent6 4 5 2 5" xfId="28798" xr:uid="{5F0EF2A3-221C-4885-B089-0ADECE76E7C2}"/>
    <cellStyle name="20% - Accent6 4 5 3" xfId="6697" xr:uid="{00000000-0005-0000-0000-000063270000}"/>
    <cellStyle name="20% - Accent6 4 5 3 2" xfId="14669" xr:uid="{00000000-0005-0000-0000-000064270000}"/>
    <cellStyle name="20% - Accent6 4 5 3 2 2" xfId="38512" xr:uid="{9A4A97E1-599A-4E5D-BA9D-76B4038B0E19}"/>
    <cellStyle name="20% - Accent6 4 5 3 3" xfId="22616" xr:uid="{00000000-0005-0000-0000-000065270000}"/>
    <cellStyle name="20% - Accent6 4 5 3 3 2" xfId="46449" xr:uid="{B58DA4BC-86C3-4B35-81ED-6396571FEC6E}"/>
    <cellStyle name="20% - Accent6 4 5 3 4" xfId="30571" xr:uid="{BF55018D-87E0-4737-888C-AEB3532218E8}"/>
    <cellStyle name="20% - Accent6 4 5 4" xfId="11133" xr:uid="{00000000-0005-0000-0000-000066270000}"/>
    <cellStyle name="20% - Accent6 4 5 4 2" xfId="34983" xr:uid="{9B37F657-567E-483A-BE19-E37E724E8558}"/>
    <cellStyle name="20% - Accent6 4 5 5" xfId="19088" xr:uid="{00000000-0005-0000-0000-000067270000}"/>
    <cellStyle name="20% - Accent6 4 5 5 2" xfId="42921" xr:uid="{C101B907-283E-49EE-916A-FE6A5DF487BB}"/>
    <cellStyle name="20% - Accent6 4 5 6" xfId="27041" xr:uid="{B958C380-33E6-4E13-B8EC-76F58E454DB3}"/>
    <cellStyle name="20% - Accent6 4 5_Exh G" xfId="2636" xr:uid="{00000000-0005-0000-0000-000068270000}"/>
    <cellStyle name="20% - Accent6 4 6" xfId="3986" xr:uid="{00000000-0005-0000-0000-000069270000}"/>
    <cellStyle name="20% - Accent6 4 6 2" xfId="7578" xr:uid="{00000000-0005-0000-0000-00006A270000}"/>
    <cellStyle name="20% - Accent6 4 6 2 2" xfId="15549" xr:uid="{00000000-0005-0000-0000-00006B270000}"/>
    <cellStyle name="20% - Accent6 4 6 2 2 2" xfId="39392" xr:uid="{E60C6493-E7EC-4E2B-91B6-90FD2B5CDC8F}"/>
    <cellStyle name="20% - Accent6 4 6 2 3" xfId="23495" xr:uid="{00000000-0005-0000-0000-00006C270000}"/>
    <cellStyle name="20% - Accent6 4 6 2 3 2" xfId="47328" xr:uid="{6FDEE559-1ED8-4DBE-BDD2-DB7054A0F0A9}"/>
    <cellStyle name="20% - Accent6 4 6 2 4" xfId="31451" xr:uid="{D8B61FE4-9D86-44BC-8774-6DEF534601F1}"/>
    <cellStyle name="20% - Accent6 4 6 3" xfId="12011" xr:uid="{00000000-0005-0000-0000-00006D270000}"/>
    <cellStyle name="20% - Accent6 4 6 3 2" xfId="35861" xr:uid="{DC500B29-9334-4935-B5F8-859D33DFB57E}"/>
    <cellStyle name="20% - Accent6 4 6 4" xfId="19966" xr:uid="{00000000-0005-0000-0000-00006E270000}"/>
    <cellStyle name="20% - Accent6 4 6 4 2" xfId="43799" xr:uid="{627E04C9-E708-461C-8D6F-7D1925EDB094}"/>
    <cellStyle name="20% - Accent6 4 6 5" xfId="27920" xr:uid="{E5BB70C6-5FEF-400A-9FB5-202278276E86}"/>
    <cellStyle name="20% - Accent6 4 7" xfId="5806" xr:uid="{00000000-0005-0000-0000-00006F270000}"/>
    <cellStyle name="20% - Accent6 4 7 2" xfId="13790" xr:uid="{00000000-0005-0000-0000-000070270000}"/>
    <cellStyle name="20% - Accent6 4 7 2 2" xfId="37634" xr:uid="{40D079CC-2647-4BC3-B62F-A25B056C473E}"/>
    <cellStyle name="20% - Accent6 4 7 3" xfId="21738" xr:uid="{00000000-0005-0000-0000-000071270000}"/>
    <cellStyle name="20% - Accent6 4 7 3 2" xfId="45571" xr:uid="{C99D6790-EF4B-442A-B2D6-AAF8CC13EE8E}"/>
    <cellStyle name="20% - Accent6 4 7 4" xfId="29693" xr:uid="{966DE44A-C2D3-443D-8D87-DA92F9BE93FD}"/>
    <cellStyle name="20% - Accent6 4 8" xfId="9359" xr:uid="{00000000-0005-0000-0000-000072270000}"/>
    <cellStyle name="20% - Accent6 4 8 2" xfId="17317" xr:uid="{00000000-0005-0000-0000-000073270000}"/>
    <cellStyle name="20% - Accent6 4 8 2 2" xfId="41158" xr:uid="{DD0E5D80-6AC9-434B-A7D2-3A3C995D0E78}"/>
    <cellStyle name="20% - Accent6 4 8 3" xfId="25261" xr:uid="{00000000-0005-0000-0000-000074270000}"/>
    <cellStyle name="20% - Accent6 4 8 3 2" xfId="49094" xr:uid="{1243BEB0-42F0-499C-B18E-C80A31224524}"/>
    <cellStyle name="20% - Accent6 4 8 4" xfId="33217" xr:uid="{97E77353-BDFC-46E3-A8B6-D786E32215EF}"/>
    <cellStyle name="20% - Accent6 4 9" xfId="10255" xr:uid="{00000000-0005-0000-0000-000075270000}"/>
    <cellStyle name="20% - Accent6 4 9 2" xfId="34105" xr:uid="{FAD02884-EFD7-4761-8A43-8572CCB61182}"/>
    <cellStyle name="20% - Accent6 4_Exh G" xfId="2625" xr:uid="{00000000-0005-0000-0000-000076270000}"/>
    <cellStyle name="20% - Accent6 5" xfId="311" xr:uid="{00000000-0005-0000-0000-000077270000}"/>
    <cellStyle name="20% - Accent6 5 10" xfId="18214" xr:uid="{00000000-0005-0000-0000-000078270000}"/>
    <cellStyle name="20% - Accent6 5 10 2" xfId="42047" xr:uid="{8BA88D24-95CB-43ED-BBC6-AA167AB1F528}"/>
    <cellStyle name="20% - Accent6 5 11" xfId="26167" xr:uid="{748BC7F8-C2C4-4261-84C6-75D8E0836DEA}"/>
    <cellStyle name="20% - Accent6 5 2" xfId="312" xr:uid="{00000000-0005-0000-0000-000079270000}"/>
    <cellStyle name="20% - Accent6 5 2 2" xfId="313" xr:uid="{00000000-0005-0000-0000-00007A270000}"/>
    <cellStyle name="20% - Accent6 5 2 2 2" xfId="1341" xr:uid="{00000000-0005-0000-0000-00007B270000}"/>
    <cellStyle name="20% - Accent6 5 2 2 2 2" xfId="4871" xr:uid="{00000000-0005-0000-0000-00007C270000}"/>
    <cellStyle name="20% - Accent6 5 2 2 2 2 2" xfId="8462" xr:uid="{00000000-0005-0000-0000-00007D270000}"/>
    <cellStyle name="20% - Accent6 5 2 2 2 2 2 2" xfId="16433" xr:uid="{00000000-0005-0000-0000-00007E270000}"/>
    <cellStyle name="20% - Accent6 5 2 2 2 2 2 2 2" xfId="40276" xr:uid="{F7B0D9F4-E7CC-401C-AC15-5EAE703E649C}"/>
    <cellStyle name="20% - Accent6 5 2 2 2 2 2 3" xfId="24379" xr:uid="{00000000-0005-0000-0000-00007F270000}"/>
    <cellStyle name="20% - Accent6 5 2 2 2 2 2 3 2" xfId="48212" xr:uid="{6C1DF20C-C801-4E9A-9760-05FD730D1948}"/>
    <cellStyle name="20% - Accent6 5 2 2 2 2 2 4" xfId="32335" xr:uid="{3DB50104-7C57-4A81-8B1F-EB7EAE675966}"/>
    <cellStyle name="20% - Accent6 5 2 2 2 2 3" xfId="12895" xr:uid="{00000000-0005-0000-0000-000080270000}"/>
    <cellStyle name="20% - Accent6 5 2 2 2 2 3 2" xfId="36745" xr:uid="{C9D7EAA4-A190-45B9-B344-E795AAFFC66E}"/>
    <cellStyle name="20% - Accent6 5 2 2 2 2 4" xfId="20850" xr:uid="{00000000-0005-0000-0000-000081270000}"/>
    <cellStyle name="20% - Accent6 5 2 2 2 2 4 2" xfId="44683" xr:uid="{70944304-9BF9-45AE-A095-EA0159B34C97}"/>
    <cellStyle name="20% - Accent6 5 2 2 2 2 5" xfId="28804" xr:uid="{831B64C0-E88E-4567-ABB4-347BB942B9FC}"/>
    <cellStyle name="20% - Accent6 5 2 2 2 3" xfId="6703" xr:uid="{00000000-0005-0000-0000-000082270000}"/>
    <cellStyle name="20% - Accent6 5 2 2 2 3 2" xfId="14675" xr:uid="{00000000-0005-0000-0000-000083270000}"/>
    <cellStyle name="20% - Accent6 5 2 2 2 3 2 2" xfId="38518" xr:uid="{1A8F557C-B993-4EA4-B106-F8C9C78A1CB6}"/>
    <cellStyle name="20% - Accent6 5 2 2 2 3 3" xfId="22622" xr:uid="{00000000-0005-0000-0000-000084270000}"/>
    <cellStyle name="20% - Accent6 5 2 2 2 3 3 2" xfId="46455" xr:uid="{7B5CD218-ED7C-4418-BF3B-E09CC5AA6F30}"/>
    <cellStyle name="20% - Accent6 5 2 2 2 3 4" xfId="30577" xr:uid="{F9710551-7322-4DD0-9960-F1893D713943}"/>
    <cellStyle name="20% - Accent6 5 2 2 2 4" xfId="11139" xr:uid="{00000000-0005-0000-0000-000085270000}"/>
    <cellStyle name="20% - Accent6 5 2 2 2 4 2" xfId="34989" xr:uid="{04D6894D-134D-4489-8016-3C787D996527}"/>
    <cellStyle name="20% - Accent6 5 2 2 2 5" xfId="19094" xr:uid="{00000000-0005-0000-0000-000086270000}"/>
    <cellStyle name="20% - Accent6 5 2 2 2 5 2" xfId="42927" xr:uid="{3B31ED15-F5E6-4731-8820-E104858DFA41}"/>
    <cellStyle name="20% - Accent6 5 2 2 2 6" xfId="27047" xr:uid="{C4F8DF60-0941-4D96-8A0A-B10B97D3699D}"/>
    <cellStyle name="20% - Accent6 5 2 2 2_Exh G" xfId="2640" xr:uid="{00000000-0005-0000-0000-000087270000}"/>
    <cellStyle name="20% - Accent6 5 2 2 3" xfId="3992" xr:uid="{00000000-0005-0000-0000-000088270000}"/>
    <cellStyle name="20% - Accent6 5 2 2 3 2" xfId="7584" xr:uid="{00000000-0005-0000-0000-000089270000}"/>
    <cellStyle name="20% - Accent6 5 2 2 3 2 2" xfId="15555" xr:uid="{00000000-0005-0000-0000-00008A270000}"/>
    <cellStyle name="20% - Accent6 5 2 2 3 2 2 2" xfId="39398" xr:uid="{F6BF529C-92D9-49B3-9441-D335BD8E0E2A}"/>
    <cellStyle name="20% - Accent6 5 2 2 3 2 3" xfId="23501" xr:uid="{00000000-0005-0000-0000-00008B270000}"/>
    <cellStyle name="20% - Accent6 5 2 2 3 2 3 2" xfId="47334" xr:uid="{5AACDE3C-4424-4710-AD2D-72E96FAF4EC3}"/>
    <cellStyle name="20% - Accent6 5 2 2 3 2 4" xfId="31457" xr:uid="{8A33DF85-639C-43A7-9A3C-58A8B998BF7D}"/>
    <cellStyle name="20% - Accent6 5 2 2 3 3" xfId="12017" xr:uid="{00000000-0005-0000-0000-00008C270000}"/>
    <cellStyle name="20% - Accent6 5 2 2 3 3 2" xfId="35867" xr:uid="{1F4F328E-4188-42FB-B233-6A3856F59DF1}"/>
    <cellStyle name="20% - Accent6 5 2 2 3 4" xfId="19972" xr:uid="{00000000-0005-0000-0000-00008D270000}"/>
    <cellStyle name="20% - Accent6 5 2 2 3 4 2" xfId="43805" xr:uid="{1C045123-01CB-4EF4-AA4D-89E84E4D7A55}"/>
    <cellStyle name="20% - Accent6 5 2 2 3 5" xfId="27926" xr:uid="{27675190-721E-418C-A955-AC961AFF3234}"/>
    <cellStyle name="20% - Accent6 5 2 2 4" xfId="5812" xr:uid="{00000000-0005-0000-0000-00008E270000}"/>
    <cellStyle name="20% - Accent6 5 2 2 4 2" xfId="13796" xr:uid="{00000000-0005-0000-0000-00008F270000}"/>
    <cellStyle name="20% - Accent6 5 2 2 4 2 2" xfId="37640" xr:uid="{FF64C2A4-B46A-44E2-BA35-BC0D851EF8E7}"/>
    <cellStyle name="20% - Accent6 5 2 2 4 3" xfId="21744" xr:uid="{00000000-0005-0000-0000-000090270000}"/>
    <cellStyle name="20% - Accent6 5 2 2 4 3 2" xfId="45577" xr:uid="{318D6771-9E73-46B6-958A-353E9A6AFB3B}"/>
    <cellStyle name="20% - Accent6 5 2 2 4 4" xfId="29699" xr:uid="{3C20A089-B486-4117-A9A8-F253C0CE89D2}"/>
    <cellStyle name="20% - Accent6 5 2 2 5" xfId="9365" xr:uid="{00000000-0005-0000-0000-000091270000}"/>
    <cellStyle name="20% - Accent6 5 2 2 5 2" xfId="17323" xr:uid="{00000000-0005-0000-0000-000092270000}"/>
    <cellStyle name="20% - Accent6 5 2 2 5 2 2" xfId="41164" xr:uid="{D78E7145-34CB-4C99-A890-9BA8111186CF}"/>
    <cellStyle name="20% - Accent6 5 2 2 5 3" xfId="25267" xr:uid="{00000000-0005-0000-0000-000093270000}"/>
    <cellStyle name="20% - Accent6 5 2 2 5 3 2" xfId="49100" xr:uid="{76D66351-5CF3-46EF-A59F-0A7D338D7DBA}"/>
    <cellStyle name="20% - Accent6 5 2 2 5 4" xfId="33223" xr:uid="{2ABDDD73-35FB-4029-B530-B9BAC0D2D449}"/>
    <cellStyle name="20% - Accent6 5 2 2 6" xfId="10261" xr:uid="{00000000-0005-0000-0000-000094270000}"/>
    <cellStyle name="20% - Accent6 5 2 2 6 2" xfId="34111" xr:uid="{4B00F442-D860-4400-A9EA-D94C3D484253}"/>
    <cellStyle name="20% - Accent6 5 2 2 7" xfId="18216" xr:uid="{00000000-0005-0000-0000-000095270000}"/>
    <cellStyle name="20% - Accent6 5 2 2 7 2" xfId="42049" xr:uid="{99E36808-3FEC-4756-BAF1-8A5BD4FFE4A3}"/>
    <cellStyle name="20% - Accent6 5 2 2 8" xfId="26169" xr:uid="{E36AAE17-1C05-492E-908B-F342A850002B}"/>
    <cellStyle name="20% - Accent6 5 2 2_Exh G" xfId="2639" xr:uid="{00000000-0005-0000-0000-000096270000}"/>
    <cellStyle name="20% - Accent6 5 2 3" xfId="1340" xr:uid="{00000000-0005-0000-0000-000097270000}"/>
    <cellStyle name="20% - Accent6 5 2 3 2" xfId="4870" xr:uid="{00000000-0005-0000-0000-000098270000}"/>
    <cellStyle name="20% - Accent6 5 2 3 2 2" xfId="8461" xr:uid="{00000000-0005-0000-0000-000099270000}"/>
    <cellStyle name="20% - Accent6 5 2 3 2 2 2" xfId="16432" xr:uid="{00000000-0005-0000-0000-00009A270000}"/>
    <cellStyle name="20% - Accent6 5 2 3 2 2 2 2" xfId="40275" xr:uid="{EFBCD369-9839-4E0D-97B1-5A2D96E28827}"/>
    <cellStyle name="20% - Accent6 5 2 3 2 2 3" xfId="24378" xr:uid="{00000000-0005-0000-0000-00009B270000}"/>
    <cellStyle name="20% - Accent6 5 2 3 2 2 3 2" xfId="48211" xr:uid="{A6CECA6B-BFF4-40DF-A64D-3D8AA29244C4}"/>
    <cellStyle name="20% - Accent6 5 2 3 2 2 4" xfId="32334" xr:uid="{CFA0127F-5790-4F2A-A152-96277208E9C4}"/>
    <cellStyle name="20% - Accent6 5 2 3 2 3" xfId="12894" xr:uid="{00000000-0005-0000-0000-00009C270000}"/>
    <cellStyle name="20% - Accent6 5 2 3 2 3 2" xfId="36744" xr:uid="{DBF1F00C-A6A7-4BB1-A1C4-FB928E7BAFA1}"/>
    <cellStyle name="20% - Accent6 5 2 3 2 4" xfId="20849" xr:uid="{00000000-0005-0000-0000-00009D270000}"/>
    <cellStyle name="20% - Accent6 5 2 3 2 4 2" xfId="44682" xr:uid="{70451EA1-ADC5-49BC-9959-7A7BE2727369}"/>
    <cellStyle name="20% - Accent6 5 2 3 2 5" xfId="28803" xr:uid="{F538BFB4-D550-43F7-85F5-FB3C122B1BDD}"/>
    <cellStyle name="20% - Accent6 5 2 3 3" xfId="6702" xr:uid="{00000000-0005-0000-0000-00009E270000}"/>
    <cellStyle name="20% - Accent6 5 2 3 3 2" xfId="14674" xr:uid="{00000000-0005-0000-0000-00009F270000}"/>
    <cellStyle name="20% - Accent6 5 2 3 3 2 2" xfId="38517" xr:uid="{2A3B07E3-DF55-4579-959D-9A843678826D}"/>
    <cellStyle name="20% - Accent6 5 2 3 3 3" xfId="22621" xr:uid="{00000000-0005-0000-0000-0000A0270000}"/>
    <cellStyle name="20% - Accent6 5 2 3 3 3 2" xfId="46454" xr:uid="{86091590-0C19-4E31-B7BE-EDD830B15EBC}"/>
    <cellStyle name="20% - Accent6 5 2 3 3 4" xfId="30576" xr:uid="{AAA58931-93D0-4240-AE09-7E860442367B}"/>
    <cellStyle name="20% - Accent6 5 2 3 4" xfId="11138" xr:uid="{00000000-0005-0000-0000-0000A1270000}"/>
    <cellStyle name="20% - Accent6 5 2 3 4 2" xfId="34988" xr:uid="{E3975711-889C-4243-9A92-9013F53698D7}"/>
    <cellStyle name="20% - Accent6 5 2 3 5" xfId="19093" xr:uid="{00000000-0005-0000-0000-0000A2270000}"/>
    <cellStyle name="20% - Accent6 5 2 3 5 2" xfId="42926" xr:uid="{DEC78A7C-37FF-445B-9BB9-9C468FBC92F1}"/>
    <cellStyle name="20% - Accent6 5 2 3 6" xfId="27046" xr:uid="{2730D3B5-7041-495E-8441-43D1545A5231}"/>
    <cellStyle name="20% - Accent6 5 2 3_Exh G" xfId="2641" xr:uid="{00000000-0005-0000-0000-0000A3270000}"/>
    <cellStyle name="20% - Accent6 5 2 4" xfId="3991" xr:uid="{00000000-0005-0000-0000-0000A4270000}"/>
    <cellStyle name="20% - Accent6 5 2 4 2" xfId="7583" xr:uid="{00000000-0005-0000-0000-0000A5270000}"/>
    <cellStyle name="20% - Accent6 5 2 4 2 2" xfId="15554" xr:uid="{00000000-0005-0000-0000-0000A6270000}"/>
    <cellStyle name="20% - Accent6 5 2 4 2 2 2" xfId="39397" xr:uid="{860EBF57-18C4-4B93-9970-B9425C2EC679}"/>
    <cellStyle name="20% - Accent6 5 2 4 2 3" xfId="23500" xr:uid="{00000000-0005-0000-0000-0000A7270000}"/>
    <cellStyle name="20% - Accent6 5 2 4 2 3 2" xfId="47333" xr:uid="{96A3A01F-D60B-4243-A1FC-28C2DA5F95E2}"/>
    <cellStyle name="20% - Accent6 5 2 4 2 4" xfId="31456" xr:uid="{AAB30309-AA29-497F-B1C8-790AF616F00D}"/>
    <cellStyle name="20% - Accent6 5 2 4 3" xfId="12016" xr:uid="{00000000-0005-0000-0000-0000A8270000}"/>
    <cellStyle name="20% - Accent6 5 2 4 3 2" xfId="35866" xr:uid="{FF03572D-3E04-41CB-A3DE-26664C1A0153}"/>
    <cellStyle name="20% - Accent6 5 2 4 4" xfId="19971" xr:uid="{00000000-0005-0000-0000-0000A9270000}"/>
    <cellStyle name="20% - Accent6 5 2 4 4 2" xfId="43804" xr:uid="{2D949B42-9FD5-4294-8707-643A0A5DBE53}"/>
    <cellStyle name="20% - Accent6 5 2 4 5" xfId="27925" xr:uid="{D3EF0C83-C558-4A6C-AE62-1DFC47F70CB7}"/>
    <cellStyle name="20% - Accent6 5 2 5" xfId="5811" xr:uid="{00000000-0005-0000-0000-0000AA270000}"/>
    <cellStyle name="20% - Accent6 5 2 5 2" xfId="13795" xr:uid="{00000000-0005-0000-0000-0000AB270000}"/>
    <cellStyle name="20% - Accent6 5 2 5 2 2" xfId="37639" xr:uid="{D37228A7-EB71-4307-B2C5-610D225B60DF}"/>
    <cellStyle name="20% - Accent6 5 2 5 3" xfId="21743" xr:uid="{00000000-0005-0000-0000-0000AC270000}"/>
    <cellStyle name="20% - Accent6 5 2 5 3 2" xfId="45576" xr:uid="{DD11C980-9BB0-490A-8323-978FE8B05DB9}"/>
    <cellStyle name="20% - Accent6 5 2 5 4" xfId="29698" xr:uid="{F1F7E313-A784-41F8-A27A-FC2F20B383CB}"/>
    <cellStyle name="20% - Accent6 5 2 6" xfId="9364" xr:uid="{00000000-0005-0000-0000-0000AD270000}"/>
    <cellStyle name="20% - Accent6 5 2 6 2" xfId="17322" xr:uid="{00000000-0005-0000-0000-0000AE270000}"/>
    <cellStyle name="20% - Accent6 5 2 6 2 2" xfId="41163" xr:uid="{847F3E2D-6D57-438C-98F4-AAE275A365D9}"/>
    <cellStyle name="20% - Accent6 5 2 6 3" xfId="25266" xr:uid="{00000000-0005-0000-0000-0000AF270000}"/>
    <cellStyle name="20% - Accent6 5 2 6 3 2" xfId="49099" xr:uid="{852F8D68-ED85-47B8-AD97-2B66C7BFDEBF}"/>
    <cellStyle name="20% - Accent6 5 2 6 4" xfId="33222" xr:uid="{0FDE28A3-6C80-43A4-964E-9081281314BF}"/>
    <cellStyle name="20% - Accent6 5 2 7" xfId="10260" xr:uid="{00000000-0005-0000-0000-0000B0270000}"/>
    <cellStyle name="20% - Accent6 5 2 7 2" xfId="34110" xr:uid="{1AA24EFB-3234-4189-84DE-1DEBA59C8A27}"/>
    <cellStyle name="20% - Accent6 5 2 8" xfId="18215" xr:uid="{00000000-0005-0000-0000-0000B1270000}"/>
    <cellStyle name="20% - Accent6 5 2 8 2" xfId="42048" xr:uid="{7ABC4B3E-B8BC-4BA8-9E83-8218A4B11940}"/>
    <cellStyle name="20% - Accent6 5 2 9" xfId="26168" xr:uid="{C54AE14B-BB59-4EC5-BF21-3634770856CC}"/>
    <cellStyle name="20% - Accent6 5 2_Exh G" xfId="2638" xr:uid="{00000000-0005-0000-0000-0000B2270000}"/>
    <cellStyle name="20% - Accent6 5 3" xfId="314" xr:uid="{00000000-0005-0000-0000-0000B3270000}"/>
    <cellStyle name="20% - Accent6 5 3 2" xfId="1342" xr:uid="{00000000-0005-0000-0000-0000B4270000}"/>
    <cellStyle name="20% - Accent6 5 3 2 2" xfId="4872" xr:uid="{00000000-0005-0000-0000-0000B5270000}"/>
    <cellStyle name="20% - Accent6 5 3 2 2 2" xfId="8463" xr:uid="{00000000-0005-0000-0000-0000B6270000}"/>
    <cellStyle name="20% - Accent6 5 3 2 2 2 2" xfId="16434" xr:uid="{00000000-0005-0000-0000-0000B7270000}"/>
    <cellStyle name="20% - Accent6 5 3 2 2 2 2 2" xfId="40277" xr:uid="{985587A7-D01F-44BE-AE56-7BFE4C580A68}"/>
    <cellStyle name="20% - Accent6 5 3 2 2 2 3" xfId="24380" xr:uid="{00000000-0005-0000-0000-0000B8270000}"/>
    <cellStyle name="20% - Accent6 5 3 2 2 2 3 2" xfId="48213" xr:uid="{636AA1E8-AA3F-4638-AA31-AEB27E4F074A}"/>
    <cellStyle name="20% - Accent6 5 3 2 2 2 4" xfId="32336" xr:uid="{F5D8BDF7-2F07-4F14-83DF-D9079DC85495}"/>
    <cellStyle name="20% - Accent6 5 3 2 2 3" xfId="12896" xr:uid="{00000000-0005-0000-0000-0000B9270000}"/>
    <cellStyle name="20% - Accent6 5 3 2 2 3 2" xfId="36746" xr:uid="{CBCAAA21-20AB-4492-8F05-801B001F97E4}"/>
    <cellStyle name="20% - Accent6 5 3 2 2 4" xfId="20851" xr:uid="{00000000-0005-0000-0000-0000BA270000}"/>
    <cellStyle name="20% - Accent6 5 3 2 2 4 2" xfId="44684" xr:uid="{977E31D2-6BE6-4354-B5B5-9BC36FB300ED}"/>
    <cellStyle name="20% - Accent6 5 3 2 2 5" xfId="28805" xr:uid="{84671D82-CBAA-4F0F-A345-EF5F16B501A1}"/>
    <cellStyle name="20% - Accent6 5 3 2 3" xfId="6704" xr:uid="{00000000-0005-0000-0000-0000BB270000}"/>
    <cellStyle name="20% - Accent6 5 3 2 3 2" xfId="14676" xr:uid="{00000000-0005-0000-0000-0000BC270000}"/>
    <cellStyle name="20% - Accent6 5 3 2 3 2 2" xfId="38519" xr:uid="{A955DEB0-0AA5-4FEB-B337-B42A9CEDC7DE}"/>
    <cellStyle name="20% - Accent6 5 3 2 3 3" xfId="22623" xr:uid="{00000000-0005-0000-0000-0000BD270000}"/>
    <cellStyle name="20% - Accent6 5 3 2 3 3 2" xfId="46456" xr:uid="{A2C00AA9-6F62-4928-8597-D06518584882}"/>
    <cellStyle name="20% - Accent6 5 3 2 3 4" xfId="30578" xr:uid="{BEBA8C5A-7BFA-43E7-A393-DCA3D6715295}"/>
    <cellStyle name="20% - Accent6 5 3 2 4" xfId="11140" xr:uid="{00000000-0005-0000-0000-0000BE270000}"/>
    <cellStyle name="20% - Accent6 5 3 2 4 2" xfId="34990" xr:uid="{DD3C0B4D-3E0D-4479-A836-7ACB5C4CA8CA}"/>
    <cellStyle name="20% - Accent6 5 3 2 5" xfId="19095" xr:uid="{00000000-0005-0000-0000-0000BF270000}"/>
    <cellStyle name="20% - Accent6 5 3 2 5 2" xfId="42928" xr:uid="{2D5B3BC8-8F0D-4F99-B50A-37A8FEC23E02}"/>
    <cellStyle name="20% - Accent6 5 3 2 6" xfId="27048" xr:uid="{4728FE90-0204-49B7-837D-27E317769BF4}"/>
    <cellStyle name="20% - Accent6 5 3 2_Exh G" xfId="2643" xr:uid="{00000000-0005-0000-0000-0000C0270000}"/>
    <cellStyle name="20% - Accent6 5 3 3" xfId="3993" xr:uid="{00000000-0005-0000-0000-0000C1270000}"/>
    <cellStyle name="20% - Accent6 5 3 3 2" xfId="7585" xr:uid="{00000000-0005-0000-0000-0000C2270000}"/>
    <cellStyle name="20% - Accent6 5 3 3 2 2" xfId="15556" xr:uid="{00000000-0005-0000-0000-0000C3270000}"/>
    <cellStyle name="20% - Accent6 5 3 3 2 2 2" xfId="39399" xr:uid="{2C926924-1746-47FE-9D65-BC5E27EA87DF}"/>
    <cellStyle name="20% - Accent6 5 3 3 2 3" xfId="23502" xr:uid="{00000000-0005-0000-0000-0000C4270000}"/>
    <cellStyle name="20% - Accent6 5 3 3 2 3 2" xfId="47335" xr:uid="{D9C12B0A-5346-414D-8B16-9576335B7A2D}"/>
    <cellStyle name="20% - Accent6 5 3 3 2 4" xfId="31458" xr:uid="{D30BBB68-A4BA-4241-BB78-139CBA9A9D5E}"/>
    <cellStyle name="20% - Accent6 5 3 3 3" xfId="12018" xr:uid="{00000000-0005-0000-0000-0000C5270000}"/>
    <cellStyle name="20% - Accent6 5 3 3 3 2" xfId="35868" xr:uid="{56480A94-EC47-4A36-90F2-950AD66EF5D7}"/>
    <cellStyle name="20% - Accent6 5 3 3 4" xfId="19973" xr:uid="{00000000-0005-0000-0000-0000C6270000}"/>
    <cellStyle name="20% - Accent6 5 3 3 4 2" xfId="43806" xr:uid="{312BE6B3-146A-4E6F-9188-9FA74243F00F}"/>
    <cellStyle name="20% - Accent6 5 3 3 5" xfId="27927" xr:uid="{19A5E9EB-F048-47C3-A598-7C4D26A5CA5C}"/>
    <cellStyle name="20% - Accent6 5 3 4" xfId="5813" xr:uid="{00000000-0005-0000-0000-0000C7270000}"/>
    <cellStyle name="20% - Accent6 5 3 4 2" xfId="13797" xr:uid="{00000000-0005-0000-0000-0000C8270000}"/>
    <cellStyle name="20% - Accent6 5 3 4 2 2" xfId="37641" xr:uid="{94635122-CA17-40E9-9730-DA858385F416}"/>
    <cellStyle name="20% - Accent6 5 3 4 3" xfId="21745" xr:uid="{00000000-0005-0000-0000-0000C9270000}"/>
    <cellStyle name="20% - Accent6 5 3 4 3 2" xfId="45578" xr:uid="{BBA01D46-25DD-4A0E-B83A-EE4DEDCFBE96}"/>
    <cellStyle name="20% - Accent6 5 3 4 4" xfId="29700" xr:uid="{8E1FD1DF-259F-45C5-8D1E-F9511AD9BED7}"/>
    <cellStyle name="20% - Accent6 5 3 5" xfId="9366" xr:uid="{00000000-0005-0000-0000-0000CA270000}"/>
    <cellStyle name="20% - Accent6 5 3 5 2" xfId="17324" xr:uid="{00000000-0005-0000-0000-0000CB270000}"/>
    <cellStyle name="20% - Accent6 5 3 5 2 2" xfId="41165" xr:uid="{180692A9-0CC0-49D7-89D6-04B6DD74127E}"/>
    <cellStyle name="20% - Accent6 5 3 5 3" xfId="25268" xr:uid="{00000000-0005-0000-0000-0000CC270000}"/>
    <cellStyle name="20% - Accent6 5 3 5 3 2" xfId="49101" xr:uid="{545E9473-A887-486E-8043-AACEFC02527B}"/>
    <cellStyle name="20% - Accent6 5 3 5 4" xfId="33224" xr:uid="{04BB6217-2D39-431E-8E7C-7127967CD034}"/>
    <cellStyle name="20% - Accent6 5 3 6" xfId="10262" xr:uid="{00000000-0005-0000-0000-0000CD270000}"/>
    <cellStyle name="20% - Accent6 5 3 6 2" xfId="34112" xr:uid="{27F94650-3C1F-43CC-B18B-8D648E2AF25C}"/>
    <cellStyle name="20% - Accent6 5 3 7" xfId="18217" xr:uid="{00000000-0005-0000-0000-0000CE270000}"/>
    <cellStyle name="20% - Accent6 5 3 7 2" xfId="42050" xr:uid="{A41AAF94-7633-4711-A61D-070E74676F6E}"/>
    <cellStyle name="20% - Accent6 5 3 8" xfId="26170" xr:uid="{CDD9E96D-FEBC-41AF-A047-A590099EBF87}"/>
    <cellStyle name="20% - Accent6 5 3_Exh G" xfId="2642" xr:uid="{00000000-0005-0000-0000-0000CF270000}"/>
    <cellStyle name="20% - Accent6 5 4" xfId="929" xr:uid="{00000000-0005-0000-0000-0000D0270000}"/>
    <cellStyle name="20% - Accent6 5 5" xfId="1339" xr:uid="{00000000-0005-0000-0000-0000D1270000}"/>
    <cellStyle name="20% - Accent6 5 5 2" xfId="4869" xr:uid="{00000000-0005-0000-0000-0000D2270000}"/>
    <cellStyle name="20% - Accent6 5 5 2 2" xfId="8460" xr:uid="{00000000-0005-0000-0000-0000D3270000}"/>
    <cellStyle name="20% - Accent6 5 5 2 2 2" xfId="16431" xr:uid="{00000000-0005-0000-0000-0000D4270000}"/>
    <cellStyle name="20% - Accent6 5 5 2 2 2 2" xfId="40274" xr:uid="{7F773458-7FC8-4A07-8B40-82DCB3219EAE}"/>
    <cellStyle name="20% - Accent6 5 5 2 2 3" xfId="24377" xr:uid="{00000000-0005-0000-0000-0000D5270000}"/>
    <cellStyle name="20% - Accent6 5 5 2 2 3 2" xfId="48210" xr:uid="{21E0AAC4-F23D-4E8D-8F1E-A408DF979A69}"/>
    <cellStyle name="20% - Accent6 5 5 2 2 4" xfId="32333" xr:uid="{22D6A13F-51BA-4404-B00A-591B97B79417}"/>
    <cellStyle name="20% - Accent6 5 5 2 3" xfId="12893" xr:uid="{00000000-0005-0000-0000-0000D6270000}"/>
    <cellStyle name="20% - Accent6 5 5 2 3 2" xfId="36743" xr:uid="{9B1F7F63-DBD6-49BC-9A0C-22F712022BE3}"/>
    <cellStyle name="20% - Accent6 5 5 2 4" xfId="20848" xr:uid="{00000000-0005-0000-0000-0000D7270000}"/>
    <cellStyle name="20% - Accent6 5 5 2 4 2" xfId="44681" xr:uid="{54D249C1-0694-4A10-A403-4AF3FFB11649}"/>
    <cellStyle name="20% - Accent6 5 5 2 5" xfId="28802" xr:uid="{EA94E49C-4577-4274-94B4-035B499E12BB}"/>
    <cellStyle name="20% - Accent6 5 5 3" xfId="6701" xr:uid="{00000000-0005-0000-0000-0000D8270000}"/>
    <cellStyle name="20% - Accent6 5 5 3 2" xfId="14673" xr:uid="{00000000-0005-0000-0000-0000D9270000}"/>
    <cellStyle name="20% - Accent6 5 5 3 2 2" xfId="38516" xr:uid="{1C56E8CE-D59D-4FA7-95AE-5BCAF3E6C3D6}"/>
    <cellStyle name="20% - Accent6 5 5 3 3" xfId="22620" xr:uid="{00000000-0005-0000-0000-0000DA270000}"/>
    <cellStyle name="20% - Accent6 5 5 3 3 2" xfId="46453" xr:uid="{212A770A-6E61-4F8A-A4E2-95FDEC5611CD}"/>
    <cellStyle name="20% - Accent6 5 5 3 4" xfId="30575" xr:uid="{152BC3E1-B7B8-4F24-A8BD-EE44C05A747A}"/>
    <cellStyle name="20% - Accent6 5 5 4" xfId="11137" xr:uid="{00000000-0005-0000-0000-0000DB270000}"/>
    <cellStyle name="20% - Accent6 5 5 4 2" xfId="34987" xr:uid="{CA1BBFFE-873C-4E4D-A88B-A9E42A990139}"/>
    <cellStyle name="20% - Accent6 5 5 5" xfId="19092" xr:uid="{00000000-0005-0000-0000-0000DC270000}"/>
    <cellStyle name="20% - Accent6 5 5 5 2" xfId="42925" xr:uid="{14101AB0-9DB5-4CE5-9DD6-5D1B3C0B6DE4}"/>
    <cellStyle name="20% - Accent6 5 5 6" xfId="27045" xr:uid="{4DECF83E-F454-4BCD-B8A0-A0197EB355B3}"/>
    <cellStyle name="20% - Accent6 5 5_Exh G" xfId="2644" xr:uid="{00000000-0005-0000-0000-0000DD270000}"/>
    <cellStyle name="20% - Accent6 5 6" xfId="3990" xr:uid="{00000000-0005-0000-0000-0000DE270000}"/>
    <cellStyle name="20% - Accent6 5 6 2" xfId="7582" xr:uid="{00000000-0005-0000-0000-0000DF270000}"/>
    <cellStyle name="20% - Accent6 5 6 2 2" xfId="15553" xr:uid="{00000000-0005-0000-0000-0000E0270000}"/>
    <cellStyle name="20% - Accent6 5 6 2 2 2" xfId="39396" xr:uid="{DD55E7BB-21CE-408D-9F8A-DD15FAE40CD6}"/>
    <cellStyle name="20% - Accent6 5 6 2 3" xfId="23499" xr:uid="{00000000-0005-0000-0000-0000E1270000}"/>
    <cellStyle name="20% - Accent6 5 6 2 3 2" xfId="47332" xr:uid="{026CAEA4-6F70-4F6C-A2BD-0F239A07F609}"/>
    <cellStyle name="20% - Accent6 5 6 2 4" xfId="31455" xr:uid="{E8EF5933-33C8-4450-A97A-4F8D276CEAC7}"/>
    <cellStyle name="20% - Accent6 5 6 3" xfId="12015" xr:uid="{00000000-0005-0000-0000-0000E2270000}"/>
    <cellStyle name="20% - Accent6 5 6 3 2" xfId="35865" xr:uid="{71AFA413-1B1B-49BB-8E9A-59657AD23242}"/>
    <cellStyle name="20% - Accent6 5 6 4" xfId="19970" xr:uid="{00000000-0005-0000-0000-0000E3270000}"/>
    <cellStyle name="20% - Accent6 5 6 4 2" xfId="43803" xr:uid="{9F6CC42A-32EE-4F2A-91F2-D1B43F62A20A}"/>
    <cellStyle name="20% - Accent6 5 6 5" xfId="27924" xr:uid="{FC893A98-0754-4E9D-B3F2-4970018C5A9B}"/>
    <cellStyle name="20% - Accent6 5 7" xfId="5810" xr:uid="{00000000-0005-0000-0000-0000E4270000}"/>
    <cellStyle name="20% - Accent6 5 7 2" xfId="13794" xr:uid="{00000000-0005-0000-0000-0000E5270000}"/>
    <cellStyle name="20% - Accent6 5 7 2 2" xfId="37638" xr:uid="{4558943D-EBBF-439B-BC71-9E642B65F704}"/>
    <cellStyle name="20% - Accent6 5 7 3" xfId="21742" xr:uid="{00000000-0005-0000-0000-0000E6270000}"/>
    <cellStyle name="20% - Accent6 5 7 3 2" xfId="45575" xr:uid="{5CBD7628-59D1-4C0A-986C-459C7110C69B}"/>
    <cellStyle name="20% - Accent6 5 7 4" xfId="29697" xr:uid="{A4EA7E30-675B-4B7E-980F-637D379C89BA}"/>
    <cellStyle name="20% - Accent6 5 8" xfId="9363" xr:uid="{00000000-0005-0000-0000-0000E7270000}"/>
    <cellStyle name="20% - Accent6 5 8 2" xfId="17321" xr:uid="{00000000-0005-0000-0000-0000E8270000}"/>
    <cellStyle name="20% - Accent6 5 8 2 2" xfId="41162" xr:uid="{960ABDA9-A98A-435D-8564-FBFD0373A203}"/>
    <cellStyle name="20% - Accent6 5 8 3" xfId="25265" xr:uid="{00000000-0005-0000-0000-0000E9270000}"/>
    <cellStyle name="20% - Accent6 5 8 3 2" xfId="49098" xr:uid="{5C97341D-86BE-4067-918E-4B73A67E8889}"/>
    <cellStyle name="20% - Accent6 5 8 4" xfId="33221" xr:uid="{17036F97-2E9C-4DE3-B0B7-DC0E38D67275}"/>
    <cellStyle name="20% - Accent6 5 9" xfId="10259" xr:uid="{00000000-0005-0000-0000-0000EA270000}"/>
    <cellStyle name="20% - Accent6 5 9 2" xfId="34109" xr:uid="{43803CDB-F7AD-4B65-BFCD-CF32217E4840}"/>
    <cellStyle name="20% - Accent6 5_Exh G" xfId="2637" xr:uid="{00000000-0005-0000-0000-0000EB270000}"/>
    <cellStyle name="20% - Accent6 6" xfId="315" xr:uid="{00000000-0005-0000-0000-0000EC270000}"/>
    <cellStyle name="20% - Accent6 6 10" xfId="18218" xr:uid="{00000000-0005-0000-0000-0000ED270000}"/>
    <cellStyle name="20% - Accent6 6 10 2" xfId="42051" xr:uid="{BFC525B6-5A5C-4F11-A34E-0BEB48B51F87}"/>
    <cellStyle name="20% - Accent6 6 11" xfId="26171" xr:uid="{4729303A-B07B-40BF-BBB9-7928398D086E}"/>
    <cellStyle name="20% - Accent6 6 2" xfId="316" xr:uid="{00000000-0005-0000-0000-0000EE270000}"/>
    <cellStyle name="20% - Accent6 6 2 2" xfId="317" xr:uid="{00000000-0005-0000-0000-0000EF270000}"/>
    <cellStyle name="20% - Accent6 6 2 2 2" xfId="1345" xr:uid="{00000000-0005-0000-0000-0000F0270000}"/>
    <cellStyle name="20% - Accent6 6 2 2 2 2" xfId="4875" xr:uid="{00000000-0005-0000-0000-0000F1270000}"/>
    <cellStyle name="20% - Accent6 6 2 2 2 2 2" xfId="8466" xr:uid="{00000000-0005-0000-0000-0000F2270000}"/>
    <cellStyle name="20% - Accent6 6 2 2 2 2 2 2" xfId="16437" xr:uid="{00000000-0005-0000-0000-0000F3270000}"/>
    <cellStyle name="20% - Accent6 6 2 2 2 2 2 2 2" xfId="40280" xr:uid="{8EA6189E-96ED-4E9D-9C19-E935D53B7D67}"/>
    <cellStyle name="20% - Accent6 6 2 2 2 2 2 3" xfId="24383" xr:uid="{00000000-0005-0000-0000-0000F4270000}"/>
    <cellStyle name="20% - Accent6 6 2 2 2 2 2 3 2" xfId="48216" xr:uid="{17A52BB8-BE68-4A4D-A48F-0962E1AB0250}"/>
    <cellStyle name="20% - Accent6 6 2 2 2 2 2 4" xfId="32339" xr:uid="{C256E08A-3863-40D8-90E8-EC352AD1B144}"/>
    <cellStyle name="20% - Accent6 6 2 2 2 2 3" xfId="12899" xr:uid="{00000000-0005-0000-0000-0000F5270000}"/>
    <cellStyle name="20% - Accent6 6 2 2 2 2 3 2" xfId="36749" xr:uid="{F71CAAA7-0824-49F7-8D00-47B6CC4FF30A}"/>
    <cellStyle name="20% - Accent6 6 2 2 2 2 4" xfId="20854" xr:uid="{00000000-0005-0000-0000-0000F6270000}"/>
    <cellStyle name="20% - Accent6 6 2 2 2 2 4 2" xfId="44687" xr:uid="{DB5D2F1B-0EA6-414F-B92E-86BFAAB6B28F}"/>
    <cellStyle name="20% - Accent6 6 2 2 2 2 5" xfId="28808" xr:uid="{7ED3E3C6-B1DF-4E94-B96D-093182340F77}"/>
    <cellStyle name="20% - Accent6 6 2 2 2 3" xfId="6707" xr:uid="{00000000-0005-0000-0000-0000F7270000}"/>
    <cellStyle name="20% - Accent6 6 2 2 2 3 2" xfId="14679" xr:uid="{00000000-0005-0000-0000-0000F8270000}"/>
    <cellStyle name="20% - Accent6 6 2 2 2 3 2 2" xfId="38522" xr:uid="{62189C36-BE73-4EA4-89A5-F897C9AA8262}"/>
    <cellStyle name="20% - Accent6 6 2 2 2 3 3" xfId="22626" xr:uid="{00000000-0005-0000-0000-0000F9270000}"/>
    <cellStyle name="20% - Accent6 6 2 2 2 3 3 2" xfId="46459" xr:uid="{C43DF2DF-A4A6-4D7A-BA23-869925D1B383}"/>
    <cellStyle name="20% - Accent6 6 2 2 2 3 4" xfId="30581" xr:uid="{74BB6A30-7401-4F9A-AE48-274A2ECCB8DB}"/>
    <cellStyle name="20% - Accent6 6 2 2 2 4" xfId="11143" xr:uid="{00000000-0005-0000-0000-0000FA270000}"/>
    <cellStyle name="20% - Accent6 6 2 2 2 4 2" xfId="34993" xr:uid="{DB64A33E-D8C9-4BF9-9BFC-D955ED8D0C9F}"/>
    <cellStyle name="20% - Accent6 6 2 2 2 5" xfId="19098" xr:uid="{00000000-0005-0000-0000-0000FB270000}"/>
    <cellStyle name="20% - Accent6 6 2 2 2 5 2" xfId="42931" xr:uid="{F6A4B3D0-4528-47EA-89EF-0AAA3588437E}"/>
    <cellStyle name="20% - Accent6 6 2 2 2 6" xfId="27051" xr:uid="{6DE0EF4B-1E24-45EA-BF71-AE19CE497890}"/>
    <cellStyle name="20% - Accent6 6 2 2 2_Exh G" xfId="2648" xr:uid="{00000000-0005-0000-0000-0000FC270000}"/>
    <cellStyle name="20% - Accent6 6 2 2 3" xfId="3996" xr:uid="{00000000-0005-0000-0000-0000FD270000}"/>
    <cellStyle name="20% - Accent6 6 2 2 3 2" xfId="7588" xr:uid="{00000000-0005-0000-0000-0000FE270000}"/>
    <cellStyle name="20% - Accent6 6 2 2 3 2 2" xfId="15559" xr:uid="{00000000-0005-0000-0000-0000FF270000}"/>
    <cellStyle name="20% - Accent6 6 2 2 3 2 2 2" xfId="39402" xr:uid="{6BEEA791-BB33-4562-A7BD-CCA976CD92AE}"/>
    <cellStyle name="20% - Accent6 6 2 2 3 2 3" xfId="23505" xr:uid="{00000000-0005-0000-0000-000000280000}"/>
    <cellStyle name="20% - Accent6 6 2 2 3 2 3 2" xfId="47338" xr:uid="{89035C32-0E65-4232-8CF7-CB91A84B9692}"/>
    <cellStyle name="20% - Accent6 6 2 2 3 2 4" xfId="31461" xr:uid="{EEF31D08-9E69-463A-96B2-10F49A4CDE13}"/>
    <cellStyle name="20% - Accent6 6 2 2 3 3" xfId="12021" xr:uid="{00000000-0005-0000-0000-000001280000}"/>
    <cellStyle name="20% - Accent6 6 2 2 3 3 2" xfId="35871" xr:uid="{425F99B2-7FA1-4AF4-AC3F-5F8C63F3CEB4}"/>
    <cellStyle name="20% - Accent6 6 2 2 3 4" xfId="19976" xr:uid="{00000000-0005-0000-0000-000002280000}"/>
    <cellStyle name="20% - Accent6 6 2 2 3 4 2" xfId="43809" xr:uid="{2B348378-04E9-4AC7-892A-1DC721F02B0E}"/>
    <cellStyle name="20% - Accent6 6 2 2 3 5" xfId="27930" xr:uid="{C51D02C1-C747-4A81-9C35-3252A7951D0B}"/>
    <cellStyle name="20% - Accent6 6 2 2 4" xfId="5816" xr:uid="{00000000-0005-0000-0000-000003280000}"/>
    <cellStyle name="20% - Accent6 6 2 2 4 2" xfId="13800" xr:uid="{00000000-0005-0000-0000-000004280000}"/>
    <cellStyle name="20% - Accent6 6 2 2 4 2 2" xfId="37644" xr:uid="{C10DF5EA-4EBC-49FB-9B1C-5C7A3145C42D}"/>
    <cellStyle name="20% - Accent6 6 2 2 4 3" xfId="21748" xr:uid="{00000000-0005-0000-0000-000005280000}"/>
    <cellStyle name="20% - Accent6 6 2 2 4 3 2" xfId="45581" xr:uid="{D9A78D76-56ED-4BB0-9A79-C130BAB1FB67}"/>
    <cellStyle name="20% - Accent6 6 2 2 4 4" xfId="29703" xr:uid="{B1864774-17CA-4A6B-8266-65B30DA4724E}"/>
    <cellStyle name="20% - Accent6 6 2 2 5" xfId="9369" xr:uid="{00000000-0005-0000-0000-000006280000}"/>
    <cellStyle name="20% - Accent6 6 2 2 5 2" xfId="17327" xr:uid="{00000000-0005-0000-0000-000007280000}"/>
    <cellStyle name="20% - Accent6 6 2 2 5 2 2" xfId="41168" xr:uid="{B44F673A-E169-41A8-A6DD-78961C6E47D7}"/>
    <cellStyle name="20% - Accent6 6 2 2 5 3" xfId="25271" xr:uid="{00000000-0005-0000-0000-000008280000}"/>
    <cellStyle name="20% - Accent6 6 2 2 5 3 2" xfId="49104" xr:uid="{5330A825-322C-4DE1-8F43-B355209A2B12}"/>
    <cellStyle name="20% - Accent6 6 2 2 5 4" xfId="33227" xr:uid="{99E021EB-8160-4FD9-BFFC-6BE74E78209D}"/>
    <cellStyle name="20% - Accent6 6 2 2 6" xfId="10265" xr:uid="{00000000-0005-0000-0000-000009280000}"/>
    <cellStyle name="20% - Accent6 6 2 2 6 2" xfId="34115" xr:uid="{4A3E96D0-FE6A-4F78-82DA-712FA06C6E6C}"/>
    <cellStyle name="20% - Accent6 6 2 2 7" xfId="18220" xr:uid="{00000000-0005-0000-0000-00000A280000}"/>
    <cellStyle name="20% - Accent6 6 2 2 7 2" xfId="42053" xr:uid="{44845DF0-42E8-4EDD-A6D8-25F78B7B767D}"/>
    <cellStyle name="20% - Accent6 6 2 2 8" xfId="26173" xr:uid="{53AEC4C8-72C2-4F6E-9F93-8D1668810711}"/>
    <cellStyle name="20% - Accent6 6 2 2_Exh G" xfId="2647" xr:uid="{00000000-0005-0000-0000-00000B280000}"/>
    <cellStyle name="20% - Accent6 6 2 3" xfId="1344" xr:uid="{00000000-0005-0000-0000-00000C280000}"/>
    <cellStyle name="20% - Accent6 6 2 3 2" xfId="4874" xr:uid="{00000000-0005-0000-0000-00000D280000}"/>
    <cellStyle name="20% - Accent6 6 2 3 2 2" xfId="8465" xr:uid="{00000000-0005-0000-0000-00000E280000}"/>
    <cellStyle name="20% - Accent6 6 2 3 2 2 2" xfId="16436" xr:uid="{00000000-0005-0000-0000-00000F280000}"/>
    <cellStyle name="20% - Accent6 6 2 3 2 2 2 2" xfId="40279" xr:uid="{E429D320-CA04-4700-AFFE-BC6012454C96}"/>
    <cellStyle name="20% - Accent6 6 2 3 2 2 3" xfId="24382" xr:uid="{00000000-0005-0000-0000-000010280000}"/>
    <cellStyle name="20% - Accent6 6 2 3 2 2 3 2" xfId="48215" xr:uid="{6078F263-463E-4C39-867B-3168F684F559}"/>
    <cellStyle name="20% - Accent6 6 2 3 2 2 4" xfId="32338" xr:uid="{A74DFA00-5DB9-4939-8B37-0EEEEED1E0A6}"/>
    <cellStyle name="20% - Accent6 6 2 3 2 3" xfId="12898" xr:uid="{00000000-0005-0000-0000-000011280000}"/>
    <cellStyle name="20% - Accent6 6 2 3 2 3 2" xfId="36748" xr:uid="{2EE8FE31-7BFB-4FA8-9665-0C3D5FC7E202}"/>
    <cellStyle name="20% - Accent6 6 2 3 2 4" xfId="20853" xr:uid="{00000000-0005-0000-0000-000012280000}"/>
    <cellStyle name="20% - Accent6 6 2 3 2 4 2" xfId="44686" xr:uid="{224FD1DF-E551-4DED-9C4D-CDDB50EA9350}"/>
    <cellStyle name="20% - Accent6 6 2 3 2 5" xfId="28807" xr:uid="{5AF39B1B-0939-4513-AB0F-15D214B75F9E}"/>
    <cellStyle name="20% - Accent6 6 2 3 3" xfId="6706" xr:uid="{00000000-0005-0000-0000-000013280000}"/>
    <cellStyle name="20% - Accent6 6 2 3 3 2" xfId="14678" xr:uid="{00000000-0005-0000-0000-000014280000}"/>
    <cellStyle name="20% - Accent6 6 2 3 3 2 2" xfId="38521" xr:uid="{67738BEB-AA5E-4A74-9E04-FACE1E2A9D4D}"/>
    <cellStyle name="20% - Accent6 6 2 3 3 3" xfId="22625" xr:uid="{00000000-0005-0000-0000-000015280000}"/>
    <cellStyle name="20% - Accent6 6 2 3 3 3 2" xfId="46458" xr:uid="{A98835BD-254D-40C5-9F9D-9636969083B4}"/>
    <cellStyle name="20% - Accent6 6 2 3 3 4" xfId="30580" xr:uid="{09915E0C-04F2-4C37-8A06-DAB0B3624D9F}"/>
    <cellStyle name="20% - Accent6 6 2 3 4" xfId="11142" xr:uid="{00000000-0005-0000-0000-000016280000}"/>
    <cellStyle name="20% - Accent6 6 2 3 4 2" xfId="34992" xr:uid="{7C6BD81E-6397-417F-9350-D66FC68CABC8}"/>
    <cellStyle name="20% - Accent6 6 2 3 5" xfId="19097" xr:uid="{00000000-0005-0000-0000-000017280000}"/>
    <cellStyle name="20% - Accent6 6 2 3 5 2" xfId="42930" xr:uid="{CAB34820-173F-4479-AE71-12BAE9E0CBBD}"/>
    <cellStyle name="20% - Accent6 6 2 3 6" xfId="27050" xr:uid="{AB4C60A2-B113-4014-AD5A-71F0F34719EA}"/>
    <cellStyle name="20% - Accent6 6 2 3_Exh G" xfId="2649" xr:uid="{00000000-0005-0000-0000-000018280000}"/>
    <cellStyle name="20% - Accent6 6 2 4" xfId="3995" xr:uid="{00000000-0005-0000-0000-000019280000}"/>
    <cellStyle name="20% - Accent6 6 2 4 2" xfId="7587" xr:uid="{00000000-0005-0000-0000-00001A280000}"/>
    <cellStyle name="20% - Accent6 6 2 4 2 2" xfId="15558" xr:uid="{00000000-0005-0000-0000-00001B280000}"/>
    <cellStyle name="20% - Accent6 6 2 4 2 2 2" xfId="39401" xr:uid="{1DB9457B-131C-4BB9-BFC5-1B9C9EA9D498}"/>
    <cellStyle name="20% - Accent6 6 2 4 2 3" xfId="23504" xr:uid="{00000000-0005-0000-0000-00001C280000}"/>
    <cellStyle name="20% - Accent6 6 2 4 2 3 2" xfId="47337" xr:uid="{AFE22377-627D-40B5-99DA-491D39E8B9E1}"/>
    <cellStyle name="20% - Accent6 6 2 4 2 4" xfId="31460" xr:uid="{4108E77E-F6B4-4210-BDF8-D61BFD206EE0}"/>
    <cellStyle name="20% - Accent6 6 2 4 3" xfId="12020" xr:uid="{00000000-0005-0000-0000-00001D280000}"/>
    <cellStyle name="20% - Accent6 6 2 4 3 2" xfId="35870" xr:uid="{BBCD1F11-315C-449E-9DA1-4C46D6CF7F52}"/>
    <cellStyle name="20% - Accent6 6 2 4 4" xfId="19975" xr:uid="{00000000-0005-0000-0000-00001E280000}"/>
    <cellStyle name="20% - Accent6 6 2 4 4 2" xfId="43808" xr:uid="{65A9D9BB-F87B-4B85-A453-79108ECF8A1F}"/>
    <cellStyle name="20% - Accent6 6 2 4 5" xfId="27929" xr:uid="{6ECA9CE0-AE48-4222-879E-CDC6B943F1B1}"/>
    <cellStyle name="20% - Accent6 6 2 5" xfId="5815" xr:uid="{00000000-0005-0000-0000-00001F280000}"/>
    <cellStyle name="20% - Accent6 6 2 5 2" xfId="13799" xr:uid="{00000000-0005-0000-0000-000020280000}"/>
    <cellStyle name="20% - Accent6 6 2 5 2 2" xfId="37643" xr:uid="{F07B6E63-815E-44A2-BE81-B9DE2C810EE8}"/>
    <cellStyle name="20% - Accent6 6 2 5 3" xfId="21747" xr:uid="{00000000-0005-0000-0000-000021280000}"/>
    <cellStyle name="20% - Accent6 6 2 5 3 2" xfId="45580" xr:uid="{4815D0D0-115A-4762-AEDA-C63AA654210B}"/>
    <cellStyle name="20% - Accent6 6 2 5 4" xfId="29702" xr:uid="{B38AF525-148E-4B8D-A12D-1D06090456A8}"/>
    <cellStyle name="20% - Accent6 6 2 6" xfId="9368" xr:uid="{00000000-0005-0000-0000-000022280000}"/>
    <cellStyle name="20% - Accent6 6 2 6 2" xfId="17326" xr:uid="{00000000-0005-0000-0000-000023280000}"/>
    <cellStyle name="20% - Accent6 6 2 6 2 2" xfId="41167" xr:uid="{180E82E0-6326-4400-87F7-A2F0B614A04F}"/>
    <cellStyle name="20% - Accent6 6 2 6 3" xfId="25270" xr:uid="{00000000-0005-0000-0000-000024280000}"/>
    <cellStyle name="20% - Accent6 6 2 6 3 2" xfId="49103" xr:uid="{86088601-8D1D-4E8C-93A4-83681D3770C9}"/>
    <cellStyle name="20% - Accent6 6 2 6 4" xfId="33226" xr:uid="{EAC2CEAD-2A9D-483F-BEC4-36192D33C23F}"/>
    <cellStyle name="20% - Accent6 6 2 7" xfId="10264" xr:uid="{00000000-0005-0000-0000-000025280000}"/>
    <cellStyle name="20% - Accent6 6 2 7 2" xfId="34114" xr:uid="{B6A81770-E07F-482B-A6D8-B35EDD5485B4}"/>
    <cellStyle name="20% - Accent6 6 2 8" xfId="18219" xr:uid="{00000000-0005-0000-0000-000026280000}"/>
    <cellStyle name="20% - Accent6 6 2 8 2" xfId="42052" xr:uid="{5C0ECDF9-706A-439D-8DAC-D67A41E82154}"/>
    <cellStyle name="20% - Accent6 6 2 9" xfId="26172" xr:uid="{D321F3D8-92D4-4685-88B8-81DD3000285A}"/>
    <cellStyle name="20% - Accent6 6 2_Exh G" xfId="2646" xr:uid="{00000000-0005-0000-0000-000027280000}"/>
    <cellStyle name="20% - Accent6 6 3" xfId="318" xr:uid="{00000000-0005-0000-0000-000028280000}"/>
    <cellStyle name="20% - Accent6 6 3 2" xfId="1346" xr:uid="{00000000-0005-0000-0000-000029280000}"/>
    <cellStyle name="20% - Accent6 6 3 2 2" xfId="4876" xr:uid="{00000000-0005-0000-0000-00002A280000}"/>
    <cellStyle name="20% - Accent6 6 3 2 2 2" xfId="8467" xr:uid="{00000000-0005-0000-0000-00002B280000}"/>
    <cellStyle name="20% - Accent6 6 3 2 2 2 2" xfId="16438" xr:uid="{00000000-0005-0000-0000-00002C280000}"/>
    <cellStyle name="20% - Accent6 6 3 2 2 2 2 2" xfId="40281" xr:uid="{71F6940A-C43A-4A1B-94D2-E8B5B1E781D1}"/>
    <cellStyle name="20% - Accent6 6 3 2 2 2 3" xfId="24384" xr:uid="{00000000-0005-0000-0000-00002D280000}"/>
    <cellStyle name="20% - Accent6 6 3 2 2 2 3 2" xfId="48217" xr:uid="{78C76FA4-86E0-4F6A-8F6B-9BF37168D3AE}"/>
    <cellStyle name="20% - Accent6 6 3 2 2 2 4" xfId="32340" xr:uid="{18084F02-AF78-4D27-B3DC-98AE2965393D}"/>
    <cellStyle name="20% - Accent6 6 3 2 2 3" xfId="12900" xr:uid="{00000000-0005-0000-0000-00002E280000}"/>
    <cellStyle name="20% - Accent6 6 3 2 2 3 2" xfId="36750" xr:uid="{60490E95-03EF-4B99-9D28-DD78162E16BD}"/>
    <cellStyle name="20% - Accent6 6 3 2 2 4" xfId="20855" xr:uid="{00000000-0005-0000-0000-00002F280000}"/>
    <cellStyle name="20% - Accent6 6 3 2 2 4 2" xfId="44688" xr:uid="{81AB7A11-CFFB-4677-A421-F4470CABBE9D}"/>
    <cellStyle name="20% - Accent6 6 3 2 2 5" xfId="28809" xr:uid="{92294E69-FB75-43BC-9EBE-AE7EE5A983FB}"/>
    <cellStyle name="20% - Accent6 6 3 2 3" xfId="6708" xr:uid="{00000000-0005-0000-0000-000030280000}"/>
    <cellStyle name="20% - Accent6 6 3 2 3 2" xfId="14680" xr:uid="{00000000-0005-0000-0000-000031280000}"/>
    <cellStyle name="20% - Accent6 6 3 2 3 2 2" xfId="38523" xr:uid="{42292398-9922-490E-9D4B-34C2ADCB5D05}"/>
    <cellStyle name="20% - Accent6 6 3 2 3 3" xfId="22627" xr:uid="{00000000-0005-0000-0000-000032280000}"/>
    <cellStyle name="20% - Accent6 6 3 2 3 3 2" xfId="46460" xr:uid="{CD3FB58B-11E9-4878-B240-0625466E94A4}"/>
    <cellStyle name="20% - Accent6 6 3 2 3 4" xfId="30582" xr:uid="{55920B38-2A24-4CC5-A16A-C2C2A10199F9}"/>
    <cellStyle name="20% - Accent6 6 3 2 4" xfId="11144" xr:uid="{00000000-0005-0000-0000-000033280000}"/>
    <cellStyle name="20% - Accent6 6 3 2 4 2" xfId="34994" xr:uid="{ADB8494F-C57A-45B9-B80A-A7D6DA404489}"/>
    <cellStyle name="20% - Accent6 6 3 2 5" xfId="19099" xr:uid="{00000000-0005-0000-0000-000034280000}"/>
    <cellStyle name="20% - Accent6 6 3 2 5 2" xfId="42932" xr:uid="{A5E01B7A-AC7B-4CED-AB7E-E88BFA488154}"/>
    <cellStyle name="20% - Accent6 6 3 2 6" xfId="27052" xr:uid="{998B7BD5-CAFA-4813-805D-AC4A4C801F1A}"/>
    <cellStyle name="20% - Accent6 6 3 2_Exh G" xfId="2651" xr:uid="{00000000-0005-0000-0000-000035280000}"/>
    <cellStyle name="20% - Accent6 6 3 3" xfId="3997" xr:uid="{00000000-0005-0000-0000-000036280000}"/>
    <cellStyle name="20% - Accent6 6 3 3 2" xfId="7589" xr:uid="{00000000-0005-0000-0000-000037280000}"/>
    <cellStyle name="20% - Accent6 6 3 3 2 2" xfId="15560" xr:uid="{00000000-0005-0000-0000-000038280000}"/>
    <cellStyle name="20% - Accent6 6 3 3 2 2 2" xfId="39403" xr:uid="{2370C9D0-FE6D-4FF7-A4EB-7C3248E9669C}"/>
    <cellStyle name="20% - Accent6 6 3 3 2 3" xfId="23506" xr:uid="{00000000-0005-0000-0000-000039280000}"/>
    <cellStyle name="20% - Accent6 6 3 3 2 3 2" xfId="47339" xr:uid="{92D5F2BE-C94B-438A-8C93-2C8E195704BA}"/>
    <cellStyle name="20% - Accent6 6 3 3 2 4" xfId="31462" xr:uid="{D66EE5D0-9DF4-4E15-99AB-F8FF38BE0D5A}"/>
    <cellStyle name="20% - Accent6 6 3 3 3" xfId="12022" xr:uid="{00000000-0005-0000-0000-00003A280000}"/>
    <cellStyle name="20% - Accent6 6 3 3 3 2" xfId="35872" xr:uid="{EB95A8B8-C88B-44C1-A349-F93CE63AAAB7}"/>
    <cellStyle name="20% - Accent6 6 3 3 4" xfId="19977" xr:uid="{00000000-0005-0000-0000-00003B280000}"/>
    <cellStyle name="20% - Accent6 6 3 3 4 2" xfId="43810" xr:uid="{E52B2E5E-ACD9-41BB-9088-329CAF1560BE}"/>
    <cellStyle name="20% - Accent6 6 3 3 5" xfId="27931" xr:uid="{4DF80F18-5DC5-4161-AA88-968DA5CFD09A}"/>
    <cellStyle name="20% - Accent6 6 3 4" xfId="5817" xr:uid="{00000000-0005-0000-0000-00003C280000}"/>
    <cellStyle name="20% - Accent6 6 3 4 2" xfId="13801" xr:uid="{00000000-0005-0000-0000-00003D280000}"/>
    <cellStyle name="20% - Accent6 6 3 4 2 2" xfId="37645" xr:uid="{EF12AD64-193B-47B7-923E-1AFA1C220A98}"/>
    <cellStyle name="20% - Accent6 6 3 4 3" xfId="21749" xr:uid="{00000000-0005-0000-0000-00003E280000}"/>
    <cellStyle name="20% - Accent6 6 3 4 3 2" xfId="45582" xr:uid="{4AA75F28-EF90-4F14-9BBB-B52E42B7D033}"/>
    <cellStyle name="20% - Accent6 6 3 4 4" xfId="29704" xr:uid="{F552ADEE-71FA-40B0-9DDD-5F9F57AEB3C3}"/>
    <cellStyle name="20% - Accent6 6 3 5" xfId="9370" xr:uid="{00000000-0005-0000-0000-00003F280000}"/>
    <cellStyle name="20% - Accent6 6 3 5 2" xfId="17328" xr:uid="{00000000-0005-0000-0000-000040280000}"/>
    <cellStyle name="20% - Accent6 6 3 5 2 2" xfId="41169" xr:uid="{83A80B13-D61F-421A-BD07-7A4F51B90848}"/>
    <cellStyle name="20% - Accent6 6 3 5 3" xfId="25272" xr:uid="{00000000-0005-0000-0000-000041280000}"/>
    <cellStyle name="20% - Accent6 6 3 5 3 2" xfId="49105" xr:uid="{2A18E287-53FD-41F1-A668-056F2E6D8A88}"/>
    <cellStyle name="20% - Accent6 6 3 5 4" xfId="33228" xr:uid="{E5DE1426-B783-4940-BB53-34D43B357F2A}"/>
    <cellStyle name="20% - Accent6 6 3 6" xfId="10266" xr:uid="{00000000-0005-0000-0000-000042280000}"/>
    <cellStyle name="20% - Accent6 6 3 6 2" xfId="34116" xr:uid="{00E05773-4A8C-49C5-9B67-E25F52B103B7}"/>
    <cellStyle name="20% - Accent6 6 3 7" xfId="18221" xr:uid="{00000000-0005-0000-0000-000043280000}"/>
    <cellStyle name="20% - Accent6 6 3 7 2" xfId="42054" xr:uid="{4E70A7B3-80EC-4D72-B2F8-F9E60B1CDB8E}"/>
    <cellStyle name="20% - Accent6 6 3 8" xfId="26174" xr:uid="{32E4930F-E73E-4E1C-A2ED-3CDE41618C20}"/>
    <cellStyle name="20% - Accent6 6 3_Exh G" xfId="2650" xr:uid="{00000000-0005-0000-0000-000044280000}"/>
    <cellStyle name="20% - Accent6 6 4" xfId="930" xr:uid="{00000000-0005-0000-0000-000045280000}"/>
    <cellStyle name="20% - Accent6 6 4 2" xfId="1855" xr:uid="{00000000-0005-0000-0000-000046280000}"/>
    <cellStyle name="20% - Accent6 6 4 2 2" xfId="5373" xr:uid="{00000000-0005-0000-0000-000047280000}"/>
    <cellStyle name="20% - Accent6 6 4 2 2 2" xfId="8964" xr:uid="{00000000-0005-0000-0000-000048280000}"/>
    <cellStyle name="20% - Accent6 6 4 2 2 2 2" xfId="16935" xr:uid="{00000000-0005-0000-0000-000049280000}"/>
    <cellStyle name="20% - Accent6 6 4 2 2 2 2 2" xfId="40778" xr:uid="{88DC31EB-862B-4D88-8918-97657893E082}"/>
    <cellStyle name="20% - Accent6 6 4 2 2 2 3" xfId="24881" xr:uid="{00000000-0005-0000-0000-00004A280000}"/>
    <cellStyle name="20% - Accent6 6 4 2 2 2 3 2" xfId="48714" xr:uid="{E15E0D32-79C4-491E-8144-568D42848ECF}"/>
    <cellStyle name="20% - Accent6 6 4 2 2 2 4" xfId="32837" xr:uid="{A099FDE4-350D-47DD-AF98-C40E6CEDDCB9}"/>
    <cellStyle name="20% - Accent6 6 4 2 2 3" xfId="13397" xr:uid="{00000000-0005-0000-0000-00004B280000}"/>
    <cellStyle name="20% - Accent6 6 4 2 2 3 2" xfId="37247" xr:uid="{54A09B0D-CF56-4698-AB7D-418BA49ACABD}"/>
    <cellStyle name="20% - Accent6 6 4 2 2 4" xfId="21352" xr:uid="{00000000-0005-0000-0000-00004C280000}"/>
    <cellStyle name="20% - Accent6 6 4 2 2 4 2" xfId="45185" xr:uid="{611C7AEF-7BF3-4C11-9216-59659CBD2FC7}"/>
    <cellStyle name="20% - Accent6 6 4 2 2 5" xfId="29306" xr:uid="{6BBF8D14-3C02-40BF-8A21-2D31E4F2F438}"/>
    <cellStyle name="20% - Accent6 6 4 2 3" xfId="7205" xr:uid="{00000000-0005-0000-0000-00004D280000}"/>
    <cellStyle name="20% - Accent6 6 4 2 3 2" xfId="15177" xr:uid="{00000000-0005-0000-0000-00004E280000}"/>
    <cellStyle name="20% - Accent6 6 4 2 3 2 2" xfId="39020" xr:uid="{182CA49E-BF9D-430B-8CFF-F365A91E2539}"/>
    <cellStyle name="20% - Accent6 6 4 2 3 3" xfId="23124" xr:uid="{00000000-0005-0000-0000-00004F280000}"/>
    <cellStyle name="20% - Accent6 6 4 2 3 3 2" xfId="46957" xr:uid="{38A55521-2C09-46AA-82B0-0F0EF528108E}"/>
    <cellStyle name="20% - Accent6 6 4 2 3 4" xfId="31079" xr:uid="{2021AD5E-E490-4A62-A4CB-3CD55B856F35}"/>
    <cellStyle name="20% - Accent6 6 4 2 4" xfId="11641" xr:uid="{00000000-0005-0000-0000-000050280000}"/>
    <cellStyle name="20% - Accent6 6 4 2 4 2" xfId="35491" xr:uid="{330E3217-2061-4FF1-AD57-7B46817D177F}"/>
    <cellStyle name="20% - Accent6 6 4 2 5" xfId="19596" xr:uid="{00000000-0005-0000-0000-000051280000}"/>
    <cellStyle name="20% - Accent6 6 4 2 5 2" xfId="43429" xr:uid="{F56024EB-F5C1-483E-B6FA-0286316AB26D}"/>
    <cellStyle name="20% - Accent6 6 4 2 6" xfId="27549" xr:uid="{B7768B5A-15B9-44B7-9F8B-E028BFBF0FC0}"/>
    <cellStyle name="20% - Accent6 6 4 2_Exh G" xfId="2653" xr:uid="{00000000-0005-0000-0000-000052280000}"/>
    <cellStyle name="20% - Accent6 6 4 3" xfId="4494" xr:uid="{00000000-0005-0000-0000-000053280000}"/>
    <cellStyle name="20% - Accent6 6 4 3 2" xfId="8086" xr:uid="{00000000-0005-0000-0000-000054280000}"/>
    <cellStyle name="20% - Accent6 6 4 3 2 2" xfId="16057" xr:uid="{00000000-0005-0000-0000-000055280000}"/>
    <cellStyle name="20% - Accent6 6 4 3 2 2 2" xfId="39900" xr:uid="{F1055C00-890B-493D-BEF9-1FB98ECA1952}"/>
    <cellStyle name="20% - Accent6 6 4 3 2 3" xfId="24003" xr:uid="{00000000-0005-0000-0000-000056280000}"/>
    <cellStyle name="20% - Accent6 6 4 3 2 3 2" xfId="47836" xr:uid="{A697B538-609D-4712-970D-08A304BEEDA4}"/>
    <cellStyle name="20% - Accent6 6 4 3 2 4" xfId="31959" xr:uid="{9B9A54F4-853A-4A3B-A09A-B204B8CEA662}"/>
    <cellStyle name="20% - Accent6 6 4 3 3" xfId="12519" xr:uid="{00000000-0005-0000-0000-000057280000}"/>
    <cellStyle name="20% - Accent6 6 4 3 3 2" xfId="36369" xr:uid="{B76AF9D5-189B-4C7A-9126-2F7D6487986D}"/>
    <cellStyle name="20% - Accent6 6 4 3 4" xfId="20474" xr:uid="{00000000-0005-0000-0000-000058280000}"/>
    <cellStyle name="20% - Accent6 6 4 3 4 2" xfId="44307" xr:uid="{A18369F0-E92D-460B-AF89-A3A444971B8B}"/>
    <cellStyle name="20% - Accent6 6 4 3 5" xfId="28428" xr:uid="{CFEC904B-4CDC-44F6-98D3-9C7FC89B2770}"/>
    <cellStyle name="20% - Accent6 6 4 4" xfId="6324" xr:uid="{00000000-0005-0000-0000-000059280000}"/>
    <cellStyle name="20% - Accent6 6 4 4 2" xfId="14299" xr:uid="{00000000-0005-0000-0000-00005A280000}"/>
    <cellStyle name="20% - Accent6 6 4 4 2 2" xfId="38142" xr:uid="{FCFB7DED-2776-4370-9FBB-5C80EB3B8985}"/>
    <cellStyle name="20% - Accent6 6 4 4 3" xfId="22246" xr:uid="{00000000-0005-0000-0000-00005B280000}"/>
    <cellStyle name="20% - Accent6 6 4 4 3 2" xfId="46079" xr:uid="{5A6AAF2D-1928-4430-9011-A70F0D18D51A}"/>
    <cellStyle name="20% - Accent6 6 4 4 4" xfId="30201" xr:uid="{39F5E071-E95C-47F1-88D3-3300E89D549F}"/>
    <cellStyle name="20% - Accent6 6 4 5" xfId="9867" xr:uid="{00000000-0005-0000-0000-00005C280000}"/>
    <cellStyle name="20% - Accent6 6 4 5 2" xfId="17825" xr:uid="{00000000-0005-0000-0000-00005D280000}"/>
    <cellStyle name="20% - Accent6 6 4 5 2 2" xfId="41666" xr:uid="{98F2FB52-2338-40F6-B379-93D79804E218}"/>
    <cellStyle name="20% - Accent6 6 4 5 3" xfId="25769" xr:uid="{00000000-0005-0000-0000-00005E280000}"/>
    <cellStyle name="20% - Accent6 6 4 5 3 2" xfId="49602" xr:uid="{59ACEB3A-A558-4D6E-B944-4B255740BA3B}"/>
    <cellStyle name="20% - Accent6 6 4 5 4" xfId="33725" xr:uid="{0327D7E5-40B7-4C35-B15A-647FFF1C24C7}"/>
    <cellStyle name="20% - Accent6 6 4 6" xfId="10763" xr:uid="{00000000-0005-0000-0000-00005F280000}"/>
    <cellStyle name="20% - Accent6 6 4 6 2" xfId="34613" xr:uid="{224D723D-5F3C-4A6F-8833-FF9F677DFBB6}"/>
    <cellStyle name="20% - Accent6 6 4 7" xfId="18718" xr:uid="{00000000-0005-0000-0000-000060280000}"/>
    <cellStyle name="20% - Accent6 6 4 7 2" xfId="42551" xr:uid="{935026C3-22C5-4608-9B43-C5EA52536262}"/>
    <cellStyle name="20% - Accent6 6 4 8" xfId="26671" xr:uid="{2CA64A40-AEAC-4ADA-AF35-22120869B406}"/>
    <cellStyle name="20% - Accent6 6 4_Exh G" xfId="2652" xr:uid="{00000000-0005-0000-0000-000061280000}"/>
    <cellStyle name="20% - Accent6 6 5" xfId="1343" xr:uid="{00000000-0005-0000-0000-000062280000}"/>
    <cellStyle name="20% - Accent6 6 5 2" xfId="4873" xr:uid="{00000000-0005-0000-0000-000063280000}"/>
    <cellStyle name="20% - Accent6 6 5 2 2" xfId="8464" xr:uid="{00000000-0005-0000-0000-000064280000}"/>
    <cellStyle name="20% - Accent6 6 5 2 2 2" xfId="16435" xr:uid="{00000000-0005-0000-0000-000065280000}"/>
    <cellStyle name="20% - Accent6 6 5 2 2 2 2" xfId="40278" xr:uid="{85E47ACC-D999-40D7-8A54-71B7D5B44B05}"/>
    <cellStyle name="20% - Accent6 6 5 2 2 3" xfId="24381" xr:uid="{00000000-0005-0000-0000-000066280000}"/>
    <cellStyle name="20% - Accent6 6 5 2 2 3 2" xfId="48214" xr:uid="{436B80E7-7E10-4BBE-8DF5-D42B18708FDA}"/>
    <cellStyle name="20% - Accent6 6 5 2 2 4" xfId="32337" xr:uid="{DFE72987-63AD-436A-B6D5-78C7C6009F03}"/>
    <cellStyle name="20% - Accent6 6 5 2 3" xfId="12897" xr:uid="{00000000-0005-0000-0000-000067280000}"/>
    <cellStyle name="20% - Accent6 6 5 2 3 2" xfId="36747" xr:uid="{D60348A8-A596-448B-9F12-E1BC09B87175}"/>
    <cellStyle name="20% - Accent6 6 5 2 4" xfId="20852" xr:uid="{00000000-0005-0000-0000-000068280000}"/>
    <cellStyle name="20% - Accent6 6 5 2 4 2" xfId="44685" xr:uid="{7E02F262-852E-4FDE-BFA9-ACE94677905B}"/>
    <cellStyle name="20% - Accent6 6 5 2 5" xfId="28806" xr:uid="{922365CC-CA25-4960-ABB0-B531D26492E2}"/>
    <cellStyle name="20% - Accent6 6 5 3" xfId="6705" xr:uid="{00000000-0005-0000-0000-000069280000}"/>
    <cellStyle name="20% - Accent6 6 5 3 2" xfId="14677" xr:uid="{00000000-0005-0000-0000-00006A280000}"/>
    <cellStyle name="20% - Accent6 6 5 3 2 2" xfId="38520" xr:uid="{C8C4B044-1143-4036-8B4A-367D78F5EA16}"/>
    <cellStyle name="20% - Accent6 6 5 3 3" xfId="22624" xr:uid="{00000000-0005-0000-0000-00006B280000}"/>
    <cellStyle name="20% - Accent6 6 5 3 3 2" xfId="46457" xr:uid="{2C3F8176-E30D-4115-BB15-BD59F7B815A6}"/>
    <cellStyle name="20% - Accent6 6 5 3 4" xfId="30579" xr:uid="{055948FB-2AA6-43B0-ACAB-AFAC517AC96E}"/>
    <cellStyle name="20% - Accent6 6 5 4" xfId="11141" xr:uid="{00000000-0005-0000-0000-00006C280000}"/>
    <cellStyle name="20% - Accent6 6 5 4 2" xfId="34991" xr:uid="{5133585B-B350-479B-BA08-7D3DC330E477}"/>
    <cellStyle name="20% - Accent6 6 5 5" xfId="19096" xr:uid="{00000000-0005-0000-0000-00006D280000}"/>
    <cellStyle name="20% - Accent6 6 5 5 2" xfId="42929" xr:uid="{3D14FB0D-976A-4732-B608-29351D8BD33C}"/>
    <cellStyle name="20% - Accent6 6 5 6" xfId="27049" xr:uid="{15CDE4F6-AD6B-4768-832D-567CEDB85130}"/>
    <cellStyle name="20% - Accent6 6 5_Exh G" xfId="2654" xr:uid="{00000000-0005-0000-0000-00006E280000}"/>
    <cellStyle name="20% - Accent6 6 6" xfId="3994" xr:uid="{00000000-0005-0000-0000-00006F280000}"/>
    <cellStyle name="20% - Accent6 6 6 2" xfId="7586" xr:uid="{00000000-0005-0000-0000-000070280000}"/>
    <cellStyle name="20% - Accent6 6 6 2 2" xfId="15557" xr:uid="{00000000-0005-0000-0000-000071280000}"/>
    <cellStyle name="20% - Accent6 6 6 2 2 2" xfId="39400" xr:uid="{EB23D5AC-4D1E-4D0F-BAC0-1619134C6B1F}"/>
    <cellStyle name="20% - Accent6 6 6 2 3" xfId="23503" xr:uid="{00000000-0005-0000-0000-000072280000}"/>
    <cellStyle name="20% - Accent6 6 6 2 3 2" xfId="47336" xr:uid="{C82B8904-928C-4A70-B75E-7C468447CD2E}"/>
    <cellStyle name="20% - Accent6 6 6 2 4" xfId="31459" xr:uid="{2C0A256B-30CD-44F1-8FDC-875C7BF8087A}"/>
    <cellStyle name="20% - Accent6 6 6 3" xfId="12019" xr:uid="{00000000-0005-0000-0000-000073280000}"/>
    <cellStyle name="20% - Accent6 6 6 3 2" xfId="35869" xr:uid="{5A4E46B3-CC30-4A1E-89FD-68A076CF11E6}"/>
    <cellStyle name="20% - Accent6 6 6 4" xfId="19974" xr:uid="{00000000-0005-0000-0000-000074280000}"/>
    <cellStyle name="20% - Accent6 6 6 4 2" xfId="43807" xr:uid="{C6FE102F-C272-43C1-8527-3D4C3A443508}"/>
    <cellStyle name="20% - Accent6 6 6 5" xfId="27928" xr:uid="{E3D82256-3C05-4590-AA92-5974BC3F101B}"/>
    <cellStyle name="20% - Accent6 6 7" xfId="5814" xr:uid="{00000000-0005-0000-0000-000075280000}"/>
    <cellStyle name="20% - Accent6 6 7 2" xfId="13798" xr:uid="{00000000-0005-0000-0000-000076280000}"/>
    <cellStyle name="20% - Accent6 6 7 2 2" xfId="37642" xr:uid="{36DE3745-DEB8-4865-8342-4DF4D831DB4C}"/>
    <cellStyle name="20% - Accent6 6 7 3" xfId="21746" xr:uid="{00000000-0005-0000-0000-000077280000}"/>
    <cellStyle name="20% - Accent6 6 7 3 2" xfId="45579" xr:uid="{096B273C-00C5-48C0-A7F7-0DFA3701CD4A}"/>
    <cellStyle name="20% - Accent6 6 7 4" xfId="29701" xr:uid="{03334D4F-4648-4892-BF5A-9C44073810CF}"/>
    <cellStyle name="20% - Accent6 6 8" xfId="9367" xr:uid="{00000000-0005-0000-0000-000078280000}"/>
    <cellStyle name="20% - Accent6 6 8 2" xfId="17325" xr:uid="{00000000-0005-0000-0000-000079280000}"/>
    <cellStyle name="20% - Accent6 6 8 2 2" xfId="41166" xr:uid="{8F5979FA-54F2-40DD-A217-2B60CAE86149}"/>
    <cellStyle name="20% - Accent6 6 8 3" xfId="25269" xr:uid="{00000000-0005-0000-0000-00007A280000}"/>
    <cellStyle name="20% - Accent6 6 8 3 2" xfId="49102" xr:uid="{C7D152BE-7A0B-44A7-A8E9-E9174F31AF50}"/>
    <cellStyle name="20% - Accent6 6 8 4" xfId="33225" xr:uid="{2E4E8434-3B1E-49DB-A66C-AF8CA8FE86E2}"/>
    <cellStyle name="20% - Accent6 6 9" xfId="10263" xr:uid="{00000000-0005-0000-0000-00007B280000}"/>
    <cellStyle name="20% - Accent6 6 9 2" xfId="34113" xr:uid="{FE4186BA-0204-4436-966A-35C28B9863BF}"/>
    <cellStyle name="20% - Accent6 6_Exh G" xfId="2645" xr:uid="{00000000-0005-0000-0000-00007C280000}"/>
    <cellStyle name="20% - Accent6 7" xfId="319" xr:uid="{00000000-0005-0000-0000-00007D280000}"/>
    <cellStyle name="20% - Accent6 7 10" xfId="18222" xr:uid="{00000000-0005-0000-0000-00007E280000}"/>
    <cellStyle name="20% - Accent6 7 10 2" xfId="42055" xr:uid="{637D83D9-B182-4A35-975F-07DA45E06E00}"/>
    <cellStyle name="20% - Accent6 7 11" xfId="26175" xr:uid="{E7429080-DDF8-454B-BAC7-1E45E632A8F3}"/>
    <cellStyle name="20% - Accent6 7 2" xfId="320" xr:uid="{00000000-0005-0000-0000-00007F280000}"/>
    <cellStyle name="20% - Accent6 7 2 2" xfId="321" xr:uid="{00000000-0005-0000-0000-000080280000}"/>
    <cellStyle name="20% - Accent6 7 2 2 2" xfId="1349" xr:uid="{00000000-0005-0000-0000-000081280000}"/>
    <cellStyle name="20% - Accent6 7 2 2 2 2" xfId="4879" xr:uid="{00000000-0005-0000-0000-000082280000}"/>
    <cellStyle name="20% - Accent6 7 2 2 2 2 2" xfId="8470" xr:uid="{00000000-0005-0000-0000-000083280000}"/>
    <cellStyle name="20% - Accent6 7 2 2 2 2 2 2" xfId="16441" xr:uid="{00000000-0005-0000-0000-000084280000}"/>
    <cellStyle name="20% - Accent6 7 2 2 2 2 2 2 2" xfId="40284" xr:uid="{D7964BF4-C63E-4B24-81DB-18E39A856B16}"/>
    <cellStyle name="20% - Accent6 7 2 2 2 2 2 3" xfId="24387" xr:uid="{00000000-0005-0000-0000-000085280000}"/>
    <cellStyle name="20% - Accent6 7 2 2 2 2 2 3 2" xfId="48220" xr:uid="{731F466A-5B73-4DDB-8FF1-D8D1F900170C}"/>
    <cellStyle name="20% - Accent6 7 2 2 2 2 2 4" xfId="32343" xr:uid="{E2CCDBF7-685B-483E-B965-A311AAC82B82}"/>
    <cellStyle name="20% - Accent6 7 2 2 2 2 3" xfId="12903" xr:uid="{00000000-0005-0000-0000-000086280000}"/>
    <cellStyle name="20% - Accent6 7 2 2 2 2 3 2" xfId="36753" xr:uid="{16551A97-0505-4F83-8E62-1B21D09090D4}"/>
    <cellStyle name="20% - Accent6 7 2 2 2 2 4" xfId="20858" xr:uid="{00000000-0005-0000-0000-000087280000}"/>
    <cellStyle name="20% - Accent6 7 2 2 2 2 4 2" xfId="44691" xr:uid="{BE1B8A9C-08FF-4169-9DBF-4E2D2D1F2A3F}"/>
    <cellStyle name="20% - Accent6 7 2 2 2 2 5" xfId="28812" xr:uid="{EEC9C1D7-514F-41C6-ACF8-4A097112E12C}"/>
    <cellStyle name="20% - Accent6 7 2 2 2 3" xfId="6711" xr:uid="{00000000-0005-0000-0000-000088280000}"/>
    <cellStyle name="20% - Accent6 7 2 2 2 3 2" xfId="14683" xr:uid="{00000000-0005-0000-0000-000089280000}"/>
    <cellStyle name="20% - Accent6 7 2 2 2 3 2 2" xfId="38526" xr:uid="{48529549-E9D1-47D2-9918-EBC9DEC0D03D}"/>
    <cellStyle name="20% - Accent6 7 2 2 2 3 3" xfId="22630" xr:uid="{00000000-0005-0000-0000-00008A280000}"/>
    <cellStyle name="20% - Accent6 7 2 2 2 3 3 2" xfId="46463" xr:uid="{37F6C481-FD86-447E-B550-7DFEEB5C9CD9}"/>
    <cellStyle name="20% - Accent6 7 2 2 2 3 4" xfId="30585" xr:uid="{4B2E7DA7-5BB5-41AA-A8CB-11F79F1F34BE}"/>
    <cellStyle name="20% - Accent6 7 2 2 2 4" xfId="11147" xr:uid="{00000000-0005-0000-0000-00008B280000}"/>
    <cellStyle name="20% - Accent6 7 2 2 2 4 2" xfId="34997" xr:uid="{AF8ED922-0040-4322-A583-EB34E3D723E4}"/>
    <cellStyle name="20% - Accent6 7 2 2 2 5" xfId="19102" xr:uid="{00000000-0005-0000-0000-00008C280000}"/>
    <cellStyle name="20% - Accent6 7 2 2 2 5 2" xfId="42935" xr:uid="{849DB006-50B4-41DC-8416-36490616EE25}"/>
    <cellStyle name="20% - Accent6 7 2 2 2 6" xfId="27055" xr:uid="{27BA8001-160A-4667-8036-8ED2282BD6B7}"/>
    <cellStyle name="20% - Accent6 7 2 2 2_Exh G" xfId="2658" xr:uid="{00000000-0005-0000-0000-00008D280000}"/>
    <cellStyle name="20% - Accent6 7 2 2 3" xfId="4000" xr:uid="{00000000-0005-0000-0000-00008E280000}"/>
    <cellStyle name="20% - Accent6 7 2 2 3 2" xfId="7592" xr:uid="{00000000-0005-0000-0000-00008F280000}"/>
    <cellStyle name="20% - Accent6 7 2 2 3 2 2" xfId="15563" xr:uid="{00000000-0005-0000-0000-000090280000}"/>
    <cellStyle name="20% - Accent6 7 2 2 3 2 2 2" xfId="39406" xr:uid="{39845C4F-6F59-4053-A840-DE315EC5F64A}"/>
    <cellStyle name="20% - Accent6 7 2 2 3 2 3" xfId="23509" xr:uid="{00000000-0005-0000-0000-000091280000}"/>
    <cellStyle name="20% - Accent6 7 2 2 3 2 3 2" xfId="47342" xr:uid="{0A720738-CA4A-4D8B-BFBD-09AA3BC601E3}"/>
    <cellStyle name="20% - Accent6 7 2 2 3 2 4" xfId="31465" xr:uid="{50A882AA-8635-40D0-B4A7-1D407397879F}"/>
    <cellStyle name="20% - Accent6 7 2 2 3 3" xfId="12025" xr:uid="{00000000-0005-0000-0000-000092280000}"/>
    <cellStyle name="20% - Accent6 7 2 2 3 3 2" xfId="35875" xr:uid="{EF523EB3-F64E-41E9-A65F-C95F09AC5EB9}"/>
    <cellStyle name="20% - Accent6 7 2 2 3 4" xfId="19980" xr:uid="{00000000-0005-0000-0000-000093280000}"/>
    <cellStyle name="20% - Accent6 7 2 2 3 4 2" xfId="43813" xr:uid="{8A584F17-8685-4C00-9A9F-C96F2A2F69D1}"/>
    <cellStyle name="20% - Accent6 7 2 2 3 5" xfId="27934" xr:uid="{0B6CFE36-7BFF-4B29-AD6B-D6B037CB24BF}"/>
    <cellStyle name="20% - Accent6 7 2 2 4" xfId="5820" xr:uid="{00000000-0005-0000-0000-000094280000}"/>
    <cellStyle name="20% - Accent6 7 2 2 4 2" xfId="13804" xr:uid="{00000000-0005-0000-0000-000095280000}"/>
    <cellStyle name="20% - Accent6 7 2 2 4 2 2" xfId="37648" xr:uid="{2C375A2C-2887-4566-B78D-73653452BE5D}"/>
    <cellStyle name="20% - Accent6 7 2 2 4 3" xfId="21752" xr:uid="{00000000-0005-0000-0000-000096280000}"/>
    <cellStyle name="20% - Accent6 7 2 2 4 3 2" xfId="45585" xr:uid="{856D8E45-2DFA-4687-B524-809E6A79DB50}"/>
    <cellStyle name="20% - Accent6 7 2 2 4 4" xfId="29707" xr:uid="{20573B58-8DC0-4BE2-B427-610AC0BFE3EB}"/>
    <cellStyle name="20% - Accent6 7 2 2 5" xfId="9373" xr:uid="{00000000-0005-0000-0000-000097280000}"/>
    <cellStyle name="20% - Accent6 7 2 2 5 2" xfId="17331" xr:uid="{00000000-0005-0000-0000-000098280000}"/>
    <cellStyle name="20% - Accent6 7 2 2 5 2 2" xfId="41172" xr:uid="{9DFD1BF3-5A2E-4E81-91E7-B0934E66D3C7}"/>
    <cellStyle name="20% - Accent6 7 2 2 5 3" xfId="25275" xr:uid="{00000000-0005-0000-0000-000099280000}"/>
    <cellStyle name="20% - Accent6 7 2 2 5 3 2" xfId="49108" xr:uid="{034621E5-B85F-4A06-B4CA-36018F1B814F}"/>
    <cellStyle name="20% - Accent6 7 2 2 5 4" xfId="33231" xr:uid="{FAC45046-3BDC-4BE0-8BA1-5DD192983FB9}"/>
    <cellStyle name="20% - Accent6 7 2 2 6" xfId="10269" xr:uid="{00000000-0005-0000-0000-00009A280000}"/>
    <cellStyle name="20% - Accent6 7 2 2 6 2" xfId="34119" xr:uid="{9414F382-B6AE-4C12-90BA-C8D2820BDFBA}"/>
    <cellStyle name="20% - Accent6 7 2 2 7" xfId="18224" xr:uid="{00000000-0005-0000-0000-00009B280000}"/>
    <cellStyle name="20% - Accent6 7 2 2 7 2" xfId="42057" xr:uid="{73F8EF19-2B7A-4AC7-9001-167E21943AB4}"/>
    <cellStyle name="20% - Accent6 7 2 2 8" xfId="26177" xr:uid="{786AF331-9AF6-495F-A143-F7DE4DE33026}"/>
    <cellStyle name="20% - Accent6 7 2 2_Exh G" xfId="2657" xr:uid="{00000000-0005-0000-0000-00009C280000}"/>
    <cellStyle name="20% - Accent6 7 2 3" xfId="1348" xr:uid="{00000000-0005-0000-0000-00009D280000}"/>
    <cellStyle name="20% - Accent6 7 2 3 2" xfId="4878" xr:uid="{00000000-0005-0000-0000-00009E280000}"/>
    <cellStyle name="20% - Accent6 7 2 3 2 2" xfId="8469" xr:uid="{00000000-0005-0000-0000-00009F280000}"/>
    <cellStyle name="20% - Accent6 7 2 3 2 2 2" xfId="16440" xr:uid="{00000000-0005-0000-0000-0000A0280000}"/>
    <cellStyle name="20% - Accent6 7 2 3 2 2 2 2" xfId="40283" xr:uid="{371DF75E-A04D-4956-A551-C2B80E02DC89}"/>
    <cellStyle name="20% - Accent6 7 2 3 2 2 3" xfId="24386" xr:uid="{00000000-0005-0000-0000-0000A1280000}"/>
    <cellStyle name="20% - Accent6 7 2 3 2 2 3 2" xfId="48219" xr:uid="{94B58883-CB4E-4E36-9F15-729A2CAB4E7A}"/>
    <cellStyle name="20% - Accent6 7 2 3 2 2 4" xfId="32342" xr:uid="{9217B9D6-7A12-45C3-ABDF-AA0BE6CA1E6C}"/>
    <cellStyle name="20% - Accent6 7 2 3 2 3" xfId="12902" xr:uid="{00000000-0005-0000-0000-0000A2280000}"/>
    <cellStyle name="20% - Accent6 7 2 3 2 3 2" xfId="36752" xr:uid="{346FB813-8B9E-43EE-92AE-6921D646A454}"/>
    <cellStyle name="20% - Accent6 7 2 3 2 4" xfId="20857" xr:uid="{00000000-0005-0000-0000-0000A3280000}"/>
    <cellStyle name="20% - Accent6 7 2 3 2 4 2" xfId="44690" xr:uid="{F160FFF7-637D-4F86-8142-9A7442D87096}"/>
    <cellStyle name="20% - Accent6 7 2 3 2 5" xfId="28811" xr:uid="{DEE12E38-B9F3-4106-AF93-1B3264BE66CD}"/>
    <cellStyle name="20% - Accent6 7 2 3 3" xfId="6710" xr:uid="{00000000-0005-0000-0000-0000A4280000}"/>
    <cellStyle name="20% - Accent6 7 2 3 3 2" xfId="14682" xr:uid="{00000000-0005-0000-0000-0000A5280000}"/>
    <cellStyle name="20% - Accent6 7 2 3 3 2 2" xfId="38525" xr:uid="{B1E7C1EB-E344-48FD-AF4E-910DD6F91AD3}"/>
    <cellStyle name="20% - Accent6 7 2 3 3 3" xfId="22629" xr:uid="{00000000-0005-0000-0000-0000A6280000}"/>
    <cellStyle name="20% - Accent6 7 2 3 3 3 2" xfId="46462" xr:uid="{67E317DA-1730-40B2-92D8-BAC86119CB8C}"/>
    <cellStyle name="20% - Accent6 7 2 3 3 4" xfId="30584" xr:uid="{92A54874-51D8-428E-BBB9-8EAEDF2F73B7}"/>
    <cellStyle name="20% - Accent6 7 2 3 4" xfId="11146" xr:uid="{00000000-0005-0000-0000-0000A7280000}"/>
    <cellStyle name="20% - Accent6 7 2 3 4 2" xfId="34996" xr:uid="{4B8E3B22-BD34-4ADB-8182-1D6BDAAB7129}"/>
    <cellStyle name="20% - Accent6 7 2 3 5" xfId="19101" xr:uid="{00000000-0005-0000-0000-0000A8280000}"/>
    <cellStyle name="20% - Accent6 7 2 3 5 2" xfId="42934" xr:uid="{BA9F2AFD-F462-428A-9DB3-39C0DD3E415B}"/>
    <cellStyle name="20% - Accent6 7 2 3 6" xfId="27054" xr:uid="{6D6BA50E-DC03-4CFB-8A4B-6E1F701B6195}"/>
    <cellStyle name="20% - Accent6 7 2 3_Exh G" xfId="2659" xr:uid="{00000000-0005-0000-0000-0000A9280000}"/>
    <cellStyle name="20% - Accent6 7 2 4" xfId="3999" xr:uid="{00000000-0005-0000-0000-0000AA280000}"/>
    <cellStyle name="20% - Accent6 7 2 4 2" xfId="7591" xr:uid="{00000000-0005-0000-0000-0000AB280000}"/>
    <cellStyle name="20% - Accent6 7 2 4 2 2" xfId="15562" xr:uid="{00000000-0005-0000-0000-0000AC280000}"/>
    <cellStyle name="20% - Accent6 7 2 4 2 2 2" xfId="39405" xr:uid="{65C3A26E-323D-410E-AD7E-5A51DDA6FFF8}"/>
    <cellStyle name="20% - Accent6 7 2 4 2 3" xfId="23508" xr:uid="{00000000-0005-0000-0000-0000AD280000}"/>
    <cellStyle name="20% - Accent6 7 2 4 2 3 2" xfId="47341" xr:uid="{F2D95ED7-B688-49CA-ACA9-8CE1946F6BAD}"/>
    <cellStyle name="20% - Accent6 7 2 4 2 4" xfId="31464" xr:uid="{C6F57557-62C6-4475-8CEE-75B5CE7C5D28}"/>
    <cellStyle name="20% - Accent6 7 2 4 3" xfId="12024" xr:uid="{00000000-0005-0000-0000-0000AE280000}"/>
    <cellStyle name="20% - Accent6 7 2 4 3 2" xfId="35874" xr:uid="{20A99B46-62D8-4A70-9F55-786BAFAE4841}"/>
    <cellStyle name="20% - Accent6 7 2 4 4" xfId="19979" xr:uid="{00000000-0005-0000-0000-0000AF280000}"/>
    <cellStyle name="20% - Accent6 7 2 4 4 2" xfId="43812" xr:uid="{CECB1F07-5898-43F9-A371-E3B5AA37BBCC}"/>
    <cellStyle name="20% - Accent6 7 2 4 5" xfId="27933" xr:uid="{753B2A05-4CD5-4AEC-B217-C11BFEBDA78F}"/>
    <cellStyle name="20% - Accent6 7 2 5" xfId="5819" xr:uid="{00000000-0005-0000-0000-0000B0280000}"/>
    <cellStyle name="20% - Accent6 7 2 5 2" xfId="13803" xr:uid="{00000000-0005-0000-0000-0000B1280000}"/>
    <cellStyle name="20% - Accent6 7 2 5 2 2" xfId="37647" xr:uid="{C229BB94-F5C3-469A-B865-D25B65382EE4}"/>
    <cellStyle name="20% - Accent6 7 2 5 3" xfId="21751" xr:uid="{00000000-0005-0000-0000-0000B2280000}"/>
    <cellStyle name="20% - Accent6 7 2 5 3 2" xfId="45584" xr:uid="{9A424EAE-EA18-4B8A-AB8B-CFFB1D10E430}"/>
    <cellStyle name="20% - Accent6 7 2 5 4" xfId="29706" xr:uid="{D3D04B42-C150-4AA4-9A07-0029FC7B3E7D}"/>
    <cellStyle name="20% - Accent6 7 2 6" xfId="9372" xr:uid="{00000000-0005-0000-0000-0000B3280000}"/>
    <cellStyle name="20% - Accent6 7 2 6 2" xfId="17330" xr:uid="{00000000-0005-0000-0000-0000B4280000}"/>
    <cellStyle name="20% - Accent6 7 2 6 2 2" xfId="41171" xr:uid="{52D4A90D-6487-4C3E-BA2A-B1C270F034B8}"/>
    <cellStyle name="20% - Accent6 7 2 6 3" xfId="25274" xr:uid="{00000000-0005-0000-0000-0000B5280000}"/>
    <cellStyle name="20% - Accent6 7 2 6 3 2" xfId="49107" xr:uid="{4D7C75D4-A3BB-4C9E-9EB1-95473BFDFD16}"/>
    <cellStyle name="20% - Accent6 7 2 6 4" xfId="33230" xr:uid="{0BD4E913-2B34-4BC7-8BC0-E42145C3E304}"/>
    <cellStyle name="20% - Accent6 7 2 7" xfId="10268" xr:uid="{00000000-0005-0000-0000-0000B6280000}"/>
    <cellStyle name="20% - Accent6 7 2 7 2" xfId="34118" xr:uid="{BDB68C51-2B11-4F64-960C-1B106D8E2BFF}"/>
    <cellStyle name="20% - Accent6 7 2 8" xfId="18223" xr:uid="{00000000-0005-0000-0000-0000B7280000}"/>
    <cellStyle name="20% - Accent6 7 2 8 2" xfId="42056" xr:uid="{7D090889-914F-46BD-9A78-9629305B49AE}"/>
    <cellStyle name="20% - Accent6 7 2 9" xfId="26176" xr:uid="{D13DCC81-4888-4394-B286-57C4BFB159B8}"/>
    <cellStyle name="20% - Accent6 7 2_Exh G" xfId="2656" xr:uid="{00000000-0005-0000-0000-0000B8280000}"/>
    <cellStyle name="20% - Accent6 7 3" xfId="322" xr:uid="{00000000-0005-0000-0000-0000B9280000}"/>
    <cellStyle name="20% - Accent6 7 3 2" xfId="1350" xr:uid="{00000000-0005-0000-0000-0000BA280000}"/>
    <cellStyle name="20% - Accent6 7 3 2 2" xfId="4880" xr:uid="{00000000-0005-0000-0000-0000BB280000}"/>
    <cellStyle name="20% - Accent6 7 3 2 2 2" xfId="8471" xr:uid="{00000000-0005-0000-0000-0000BC280000}"/>
    <cellStyle name="20% - Accent6 7 3 2 2 2 2" xfId="16442" xr:uid="{00000000-0005-0000-0000-0000BD280000}"/>
    <cellStyle name="20% - Accent6 7 3 2 2 2 2 2" xfId="40285" xr:uid="{F474887F-F0E7-42E9-ADE8-1C5D3807758B}"/>
    <cellStyle name="20% - Accent6 7 3 2 2 2 3" xfId="24388" xr:uid="{00000000-0005-0000-0000-0000BE280000}"/>
    <cellStyle name="20% - Accent6 7 3 2 2 2 3 2" xfId="48221" xr:uid="{29CD1BE8-524D-4DE8-A80C-79620198A036}"/>
    <cellStyle name="20% - Accent6 7 3 2 2 2 4" xfId="32344" xr:uid="{7C85E2A3-7648-48FC-B6E9-E7C20F1123AB}"/>
    <cellStyle name="20% - Accent6 7 3 2 2 3" xfId="12904" xr:uid="{00000000-0005-0000-0000-0000BF280000}"/>
    <cellStyle name="20% - Accent6 7 3 2 2 3 2" xfId="36754" xr:uid="{F3351540-679F-4024-B002-0C3E3950B158}"/>
    <cellStyle name="20% - Accent6 7 3 2 2 4" xfId="20859" xr:uid="{00000000-0005-0000-0000-0000C0280000}"/>
    <cellStyle name="20% - Accent6 7 3 2 2 4 2" xfId="44692" xr:uid="{6B5E7932-EDFC-4720-B4A7-7D9314923CF2}"/>
    <cellStyle name="20% - Accent6 7 3 2 2 5" xfId="28813" xr:uid="{2328B539-1B44-40EC-AF98-64B4130AB097}"/>
    <cellStyle name="20% - Accent6 7 3 2 3" xfId="6712" xr:uid="{00000000-0005-0000-0000-0000C1280000}"/>
    <cellStyle name="20% - Accent6 7 3 2 3 2" xfId="14684" xr:uid="{00000000-0005-0000-0000-0000C2280000}"/>
    <cellStyle name="20% - Accent6 7 3 2 3 2 2" xfId="38527" xr:uid="{DC30BBBE-4275-43FA-A0AC-02DA05BA903E}"/>
    <cellStyle name="20% - Accent6 7 3 2 3 3" xfId="22631" xr:uid="{00000000-0005-0000-0000-0000C3280000}"/>
    <cellStyle name="20% - Accent6 7 3 2 3 3 2" xfId="46464" xr:uid="{ED253D93-131A-4C7B-B395-3BD88F808C56}"/>
    <cellStyle name="20% - Accent6 7 3 2 3 4" xfId="30586" xr:uid="{8C9CB47A-12BB-4D1E-BEC9-5E654E688CC8}"/>
    <cellStyle name="20% - Accent6 7 3 2 4" xfId="11148" xr:uid="{00000000-0005-0000-0000-0000C4280000}"/>
    <cellStyle name="20% - Accent6 7 3 2 4 2" xfId="34998" xr:uid="{E272F6C7-1CEA-4B4F-B13B-2231F6E55994}"/>
    <cellStyle name="20% - Accent6 7 3 2 5" xfId="19103" xr:uid="{00000000-0005-0000-0000-0000C5280000}"/>
    <cellStyle name="20% - Accent6 7 3 2 5 2" xfId="42936" xr:uid="{7E2A9F9C-47CE-45C1-A91A-AC3E5EAAFD1A}"/>
    <cellStyle name="20% - Accent6 7 3 2 6" xfId="27056" xr:uid="{2669D4FE-D49E-4C8E-9890-9D750C0B4A95}"/>
    <cellStyle name="20% - Accent6 7 3 2_Exh G" xfId="2661" xr:uid="{00000000-0005-0000-0000-0000C6280000}"/>
    <cellStyle name="20% - Accent6 7 3 3" xfId="4001" xr:uid="{00000000-0005-0000-0000-0000C7280000}"/>
    <cellStyle name="20% - Accent6 7 3 3 2" xfId="7593" xr:uid="{00000000-0005-0000-0000-0000C8280000}"/>
    <cellStyle name="20% - Accent6 7 3 3 2 2" xfId="15564" xr:uid="{00000000-0005-0000-0000-0000C9280000}"/>
    <cellStyle name="20% - Accent6 7 3 3 2 2 2" xfId="39407" xr:uid="{1E8A0A09-04AE-4022-AFAE-A38D94F94EDF}"/>
    <cellStyle name="20% - Accent6 7 3 3 2 3" xfId="23510" xr:uid="{00000000-0005-0000-0000-0000CA280000}"/>
    <cellStyle name="20% - Accent6 7 3 3 2 3 2" xfId="47343" xr:uid="{57C7FC24-1FBC-4630-96DC-C580ECB1FC60}"/>
    <cellStyle name="20% - Accent6 7 3 3 2 4" xfId="31466" xr:uid="{49C503B5-5535-4CCE-9E08-4096E162C6E4}"/>
    <cellStyle name="20% - Accent6 7 3 3 3" xfId="12026" xr:uid="{00000000-0005-0000-0000-0000CB280000}"/>
    <cellStyle name="20% - Accent6 7 3 3 3 2" xfId="35876" xr:uid="{8BA4E9C8-0CAA-45F8-A719-64EC391DAB00}"/>
    <cellStyle name="20% - Accent6 7 3 3 4" xfId="19981" xr:uid="{00000000-0005-0000-0000-0000CC280000}"/>
    <cellStyle name="20% - Accent6 7 3 3 4 2" xfId="43814" xr:uid="{77EA9729-532A-4F1F-B106-71494B6C5766}"/>
    <cellStyle name="20% - Accent6 7 3 3 5" xfId="27935" xr:uid="{02E80A45-D7D8-4385-ABCC-ACE7A213BF48}"/>
    <cellStyle name="20% - Accent6 7 3 4" xfId="5821" xr:uid="{00000000-0005-0000-0000-0000CD280000}"/>
    <cellStyle name="20% - Accent6 7 3 4 2" xfId="13805" xr:uid="{00000000-0005-0000-0000-0000CE280000}"/>
    <cellStyle name="20% - Accent6 7 3 4 2 2" xfId="37649" xr:uid="{F0D9BF1C-D614-41EE-A3F1-3288A3620E60}"/>
    <cellStyle name="20% - Accent6 7 3 4 3" xfId="21753" xr:uid="{00000000-0005-0000-0000-0000CF280000}"/>
    <cellStyle name="20% - Accent6 7 3 4 3 2" xfId="45586" xr:uid="{07B2BD80-E9C6-4AED-935E-E1C485882070}"/>
    <cellStyle name="20% - Accent6 7 3 4 4" xfId="29708" xr:uid="{72B898FC-7A29-435F-8840-01D12D73BBAC}"/>
    <cellStyle name="20% - Accent6 7 3 5" xfId="9374" xr:uid="{00000000-0005-0000-0000-0000D0280000}"/>
    <cellStyle name="20% - Accent6 7 3 5 2" xfId="17332" xr:uid="{00000000-0005-0000-0000-0000D1280000}"/>
    <cellStyle name="20% - Accent6 7 3 5 2 2" xfId="41173" xr:uid="{ACC0B1B7-B5A4-4E32-AB8A-ABAF719DE52F}"/>
    <cellStyle name="20% - Accent6 7 3 5 3" xfId="25276" xr:uid="{00000000-0005-0000-0000-0000D2280000}"/>
    <cellStyle name="20% - Accent6 7 3 5 3 2" xfId="49109" xr:uid="{11CD2BF7-3B92-45BF-B3DA-81B3826526F3}"/>
    <cellStyle name="20% - Accent6 7 3 5 4" xfId="33232" xr:uid="{321CB9A7-E20A-4648-86B9-C952CCFA5500}"/>
    <cellStyle name="20% - Accent6 7 3 6" xfId="10270" xr:uid="{00000000-0005-0000-0000-0000D3280000}"/>
    <cellStyle name="20% - Accent6 7 3 6 2" xfId="34120" xr:uid="{BD4B0731-84D6-4C01-AC1B-E948E3CADD4F}"/>
    <cellStyle name="20% - Accent6 7 3 7" xfId="18225" xr:uid="{00000000-0005-0000-0000-0000D4280000}"/>
    <cellStyle name="20% - Accent6 7 3 7 2" xfId="42058" xr:uid="{36BD34A0-2D89-4341-9A87-163D621E36FC}"/>
    <cellStyle name="20% - Accent6 7 3 8" xfId="26178" xr:uid="{A620B479-E1FA-4643-9D0C-D784E6D27A33}"/>
    <cellStyle name="20% - Accent6 7 3_Exh G" xfId="2660" xr:uid="{00000000-0005-0000-0000-0000D5280000}"/>
    <cellStyle name="20% - Accent6 7 4" xfId="931" xr:uid="{00000000-0005-0000-0000-0000D6280000}"/>
    <cellStyle name="20% - Accent6 7 4 2" xfId="1856" xr:uid="{00000000-0005-0000-0000-0000D7280000}"/>
    <cellStyle name="20% - Accent6 7 4 2 2" xfId="5374" xr:uid="{00000000-0005-0000-0000-0000D8280000}"/>
    <cellStyle name="20% - Accent6 7 4 2 2 2" xfId="8965" xr:uid="{00000000-0005-0000-0000-0000D9280000}"/>
    <cellStyle name="20% - Accent6 7 4 2 2 2 2" xfId="16936" xr:uid="{00000000-0005-0000-0000-0000DA280000}"/>
    <cellStyle name="20% - Accent6 7 4 2 2 2 2 2" xfId="40779" xr:uid="{CAFA7AE9-0942-4FFD-98EB-0FA519F2E9B9}"/>
    <cellStyle name="20% - Accent6 7 4 2 2 2 3" xfId="24882" xr:uid="{00000000-0005-0000-0000-0000DB280000}"/>
    <cellStyle name="20% - Accent6 7 4 2 2 2 3 2" xfId="48715" xr:uid="{888805E9-75FD-4862-B813-F0088B5635E3}"/>
    <cellStyle name="20% - Accent6 7 4 2 2 2 4" xfId="32838" xr:uid="{A9E56E5A-2FFA-4749-BB7B-AED0497A24F5}"/>
    <cellStyle name="20% - Accent6 7 4 2 2 3" xfId="13398" xr:uid="{00000000-0005-0000-0000-0000DC280000}"/>
    <cellStyle name="20% - Accent6 7 4 2 2 3 2" xfId="37248" xr:uid="{D3BB89AD-0DF0-4DC0-8FCE-FD270FFF2A73}"/>
    <cellStyle name="20% - Accent6 7 4 2 2 4" xfId="21353" xr:uid="{00000000-0005-0000-0000-0000DD280000}"/>
    <cellStyle name="20% - Accent6 7 4 2 2 4 2" xfId="45186" xr:uid="{6E795D1F-89B5-4D51-BFF9-3910E80C1E31}"/>
    <cellStyle name="20% - Accent6 7 4 2 2 5" xfId="29307" xr:uid="{392BFA1A-A7E5-4CB8-B79B-8E868001FC4F}"/>
    <cellStyle name="20% - Accent6 7 4 2 3" xfId="7206" xr:uid="{00000000-0005-0000-0000-0000DE280000}"/>
    <cellStyle name="20% - Accent6 7 4 2 3 2" xfId="15178" xr:uid="{00000000-0005-0000-0000-0000DF280000}"/>
    <cellStyle name="20% - Accent6 7 4 2 3 2 2" xfId="39021" xr:uid="{1741F10F-77D6-4653-BC2B-3C77CF672D42}"/>
    <cellStyle name="20% - Accent6 7 4 2 3 3" xfId="23125" xr:uid="{00000000-0005-0000-0000-0000E0280000}"/>
    <cellStyle name="20% - Accent6 7 4 2 3 3 2" xfId="46958" xr:uid="{CD07827D-F440-4B91-B5D3-F45A686AFE8D}"/>
    <cellStyle name="20% - Accent6 7 4 2 3 4" xfId="31080" xr:uid="{D04114AF-A1DE-4733-80FD-6C62F6BE6B1A}"/>
    <cellStyle name="20% - Accent6 7 4 2 4" xfId="11642" xr:uid="{00000000-0005-0000-0000-0000E1280000}"/>
    <cellStyle name="20% - Accent6 7 4 2 4 2" xfId="35492" xr:uid="{EEEEA251-4ABE-4BA4-A4C6-2C36C9D68E37}"/>
    <cellStyle name="20% - Accent6 7 4 2 5" xfId="19597" xr:uid="{00000000-0005-0000-0000-0000E2280000}"/>
    <cellStyle name="20% - Accent6 7 4 2 5 2" xfId="43430" xr:uid="{EA3124EF-8707-481C-9CBE-C0893423752E}"/>
    <cellStyle name="20% - Accent6 7 4 2 6" xfId="27550" xr:uid="{53F2FD14-40D3-429F-B4EB-6C9C041767AD}"/>
    <cellStyle name="20% - Accent6 7 4 2_Exh G" xfId="2663" xr:uid="{00000000-0005-0000-0000-0000E3280000}"/>
    <cellStyle name="20% - Accent6 7 4 3" xfId="4495" xr:uid="{00000000-0005-0000-0000-0000E4280000}"/>
    <cellStyle name="20% - Accent6 7 4 3 2" xfId="8087" xr:uid="{00000000-0005-0000-0000-0000E5280000}"/>
    <cellStyle name="20% - Accent6 7 4 3 2 2" xfId="16058" xr:uid="{00000000-0005-0000-0000-0000E6280000}"/>
    <cellStyle name="20% - Accent6 7 4 3 2 2 2" xfId="39901" xr:uid="{F6AE1FC9-CD0A-431B-B6A0-60A84B3BED98}"/>
    <cellStyle name="20% - Accent6 7 4 3 2 3" xfId="24004" xr:uid="{00000000-0005-0000-0000-0000E7280000}"/>
    <cellStyle name="20% - Accent6 7 4 3 2 3 2" xfId="47837" xr:uid="{07FBC122-439F-4DFB-A6FE-DB905FBC3B6A}"/>
    <cellStyle name="20% - Accent6 7 4 3 2 4" xfId="31960" xr:uid="{B6ABD5D6-45FE-4498-B432-D202A16A46A1}"/>
    <cellStyle name="20% - Accent6 7 4 3 3" xfId="12520" xr:uid="{00000000-0005-0000-0000-0000E8280000}"/>
    <cellStyle name="20% - Accent6 7 4 3 3 2" xfId="36370" xr:uid="{C37A7881-79F1-4F36-93CC-36F3C16D1E39}"/>
    <cellStyle name="20% - Accent6 7 4 3 4" xfId="20475" xr:uid="{00000000-0005-0000-0000-0000E9280000}"/>
    <cellStyle name="20% - Accent6 7 4 3 4 2" xfId="44308" xr:uid="{8C3C78C9-95F4-4D65-A559-48E20D5913ED}"/>
    <cellStyle name="20% - Accent6 7 4 3 5" xfId="28429" xr:uid="{83A23E5E-B19F-40E3-92FB-E632B7502D3E}"/>
    <cellStyle name="20% - Accent6 7 4 4" xfId="6325" xr:uid="{00000000-0005-0000-0000-0000EA280000}"/>
    <cellStyle name="20% - Accent6 7 4 4 2" xfId="14300" xr:uid="{00000000-0005-0000-0000-0000EB280000}"/>
    <cellStyle name="20% - Accent6 7 4 4 2 2" xfId="38143" xr:uid="{00049783-B50C-4BA5-9EB7-BBD762FFB80D}"/>
    <cellStyle name="20% - Accent6 7 4 4 3" xfId="22247" xr:uid="{00000000-0005-0000-0000-0000EC280000}"/>
    <cellStyle name="20% - Accent6 7 4 4 3 2" xfId="46080" xr:uid="{D47CA4DF-042C-4BF9-AD36-728BB7C364F0}"/>
    <cellStyle name="20% - Accent6 7 4 4 4" xfId="30202" xr:uid="{F193F334-8398-43E0-955B-0A6C4D296DF9}"/>
    <cellStyle name="20% - Accent6 7 4 5" xfId="9868" xr:uid="{00000000-0005-0000-0000-0000ED280000}"/>
    <cellStyle name="20% - Accent6 7 4 5 2" xfId="17826" xr:uid="{00000000-0005-0000-0000-0000EE280000}"/>
    <cellStyle name="20% - Accent6 7 4 5 2 2" xfId="41667" xr:uid="{BB39DD78-FA62-44A1-83BD-5443262AC1F0}"/>
    <cellStyle name="20% - Accent6 7 4 5 3" xfId="25770" xr:uid="{00000000-0005-0000-0000-0000EF280000}"/>
    <cellStyle name="20% - Accent6 7 4 5 3 2" xfId="49603" xr:uid="{6E513686-0897-476A-B0F6-813A009E7AD5}"/>
    <cellStyle name="20% - Accent6 7 4 5 4" xfId="33726" xr:uid="{981DCE9C-58D3-4C21-9FD4-27D15E22A9B9}"/>
    <cellStyle name="20% - Accent6 7 4 6" xfId="10764" xr:uid="{00000000-0005-0000-0000-0000F0280000}"/>
    <cellStyle name="20% - Accent6 7 4 6 2" xfId="34614" xr:uid="{484D3CF9-2C17-4F92-B581-A493936C918A}"/>
    <cellStyle name="20% - Accent6 7 4 7" xfId="18719" xr:uid="{00000000-0005-0000-0000-0000F1280000}"/>
    <cellStyle name="20% - Accent6 7 4 7 2" xfId="42552" xr:uid="{2BD212D9-960B-425D-9BCD-7428E7443E57}"/>
    <cellStyle name="20% - Accent6 7 4 8" xfId="26672" xr:uid="{606ED111-F808-4284-B026-2C7FA87E66DA}"/>
    <cellStyle name="20% - Accent6 7 4_Exh G" xfId="2662" xr:uid="{00000000-0005-0000-0000-0000F2280000}"/>
    <cellStyle name="20% - Accent6 7 5" xfId="1347" xr:uid="{00000000-0005-0000-0000-0000F3280000}"/>
    <cellStyle name="20% - Accent6 7 5 2" xfId="4877" xr:uid="{00000000-0005-0000-0000-0000F4280000}"/>
    <cellStyle name="20% - Accent6 7 5 2 2" xfId="8468" xr:uid="{00000000-0005-0000-0000-0000F5280000}"/>
    <cellStyle name="20% - Accent6 7 5 2 2 2" xfId="16439" xr:uid="{00000000-0005-0000-0000-0000F6280000}"/>
    <cellStyle name="20% - Accent6 7 5 2 2 2 2" xfId="40282" xr:uid="{15C172F9-205C-4D1D-9A6A-1051885EBA51}"/>
    <cellStyle name="20% - Accent6 7 5 2 2 3" xfId="24385" xr:uid="{00000000-0005-0000-0000-0000F7280000}"/>
    <cellStyle name="20% - Accent6 7 5 2 2 3 2" xfId="48218" xr:uid="{418D1DB5-A7E5-49EF-9E03-2DC2EFD5207A}"/>
    <cellStyle name="20% - Accent6 7 5 2 2 4" xfId="32341" xr:uid="{85112CD6-0932-46EA-8773-E35CE4D36D06}"/>
    <cellStyle name="20% - Accent6 7 5 2 3" xfId="12901" xr:uid="{00000000-0005-0000-0000-0000F8280000}"/>
    <cellStyle name="20% - Accent6 7 5 2 3 2" xfId="36751" xr:uid="{00538702-7B4D-4151-9F2D-6DD569BB3C89}"/>
    <cellStyle name="20% - Accent6 7 5 2 4" xfId="20856" xr:uid="{00000000-0005-0000-0000-0000F9280000}"/>
    <cellStyle name="20% - Accent6 7 5 2 4 2" xfId="44689" xr:uid="{DDE079C1-6AC7-4E75-AB1B-EF41898F7084}"/>
    <cellStyle name="20% - Accent6 7 5 2 5" xfId="28810" xr:uid="{35591EED-69C2-4534-8243-C51628B53F19}"/>
    <cellStyle name="20% - Accent6 7 5 3" xfId="6709" xr:uid="{00000000-0005-0000-0000-0000FA280000}"/>
    <cellStyle name="20% - Accent6 7 5 3 2" xfId="14681" xr:uid="{00000000-0005-0000-0000-0000FB280000}"/>
    <cellStyle name="20% - Accent6 7 5 3 2 2" xfId="38524" xr:uid="{4EBE5595-88BF-4D9C-9426-D3C8FD9B2A6B}"/>
    <cellStyle name="20% - Accent6 7 5 3 3" xfId="22628" xr:uid="{00000000-0005-0000-0000-0000FC280000}"/>
    <cellStyle name="20% - Accent6 7 5 3 3 2" xfId="46461" xr:uid="{9083F2E8-A051-4282-9502-7F65D25A311B}"/>
    <cellStyle name="20% - Accent6 7 5 3 4" xfId="30583" xr:uid="{F67CA743-EE00-4757-8F0E-9D1FE51BDAA5}"/>
    <cellStyle name="20% - Accent6 7 5 4" xfId="11145" xr:uid="{00000000-0005-0000-0000-0000FD280000}"/>
    <cellStyle name="20% - Accent6 7 5 4 2" xfId="34995" xr:uid="{0310B885-0CC7-4FFE-96B5-20BCCF9856BA}"/>
    <cellStyle name="20% - Accent6 7 5 5" xfId="19100" xr:uid="{00000000-0005-0000-0000-0000FE280000}"/>
    <cellStyle name="20% - Accent6 7 5 5 2" xfId="42933" xr:uid="{78B13E85-9272-40E1-86F6-447C2FB9859E}"/>
    <cellStyle name="20% - Accent6 7 5 6" xfId="27053" xr:uid="{45F47A4B-25A4-4050-A440-D5157E871E5F}"/>
    <cellStyle name="20% - Accent6 7 5_Exh G" xfId="2664" xr:uid="{00000000-0005-0000-0000-0000FF280000}"/>
    <cellStyle name="20% - Accent6 7 6" xfId="3998" xr:uid="{00000000-0005-0000-0000-000000290000}"/>
    <cellStyle name="20% - Accent6 7 6 2" xfId="7590" xr:uid="{00000000-0005-0000-0000-000001290000}"/>
    <cellStyle name="20% - Accent6 7 6 2 2" xfId="15561" xr:uid="{00000000-0005-0000-0000-000002290000}"/>
    <cellStyle name="20% - Accent6 7 6 2 2 2" xfId="39404" xr:uid="{06F9E3D4-A35A-402A-B17B-14EC88D8EE11}"/>
    <cellStyle name="20% - Accent6 7 6 2 3" xfId="23507" xr:uid="{00000000-0005-0000-0000-000003290000}"/>
    <cellStyle name="20% - Accent6 7 6 2 3 2" xfId="47340" xr:uid="{DBBE33CB-DFE2-48C5-9226-26304776B1C7}"/>
    <cellStyle name="20% - Accent6 7 6 2 4" xfId="31463" xr:uid="{CDB8FBBD-24BB-4B25-B737-23AE26C1FECD}"/>
    <cellStyle name="20% - Accent6 7 6 3" xfId="12023" xr:uid="{00000000-0005-0000-0000-000004290000}"/>
    <cellStyle name="20% - Accent6 7 6 3 2" xfId="35873" xr:uid="{36295A84-0214-48A2-B905-B3E8C2313688}"/>
    <cellStyle name="20% - Accent6 7 6 4" xfId="19978" xr:uid="{00000000-0005-0000-0000-000005290000}"/>
    <cellStyle name="20% - Accent6 7 6 4 2" xfId="43811" xr:uid="{A1AF2D87-2559-49AC-A55C-31242B3D050D}"/>
    <cellStyle name="20% - Accent6 7 6 5" xfId="27932" xr:uid="{4B3B04BD-FA77-468F-A661-ED053CB9F4ED}"/>
    <cellStyle name="20% - Accent6 7 7" xfId="5818" xr:uid="{00000000-0005-0000-0000-000006290000}"/>
    <cellStyle name="20% - Accent6 7 7 2" xfId="13802" xr:uid="{00000000-0005-0000-0000-000007290000}"/>
    <cellStyle name="20% - Accent6 7 7 2 2" xfId="37646" xr:uid="{5F6BF118-BC68-414E-8CDF-0259E29CB178}"/>
    <cellStyle name="20% - Accent6 7 7 3" xfId="21750" xr:uid="{00000000-0005-0000-0000-000008290000}"/>
    <cellStyle name="20% - Accent6 7 7 3 2" xfId="45583" xr:uid="{273273AF-889D-435D-9F02-FA27BBDD6945}"/>
    <cellStyle name="20% - Accent6 7 7 4" xfId="29705" xr:uid="{A56FF251-0DED-4E7A-948D-8F3AD85FADDF}"/>
    <cellStyle name="20% - Accent6 7 8" xfId="9371" xr:uid="{00000000-0005-0000-0000-000009290000}"/>
    <cellStyle name="20% - Accent6 7 8 2" xfId="17329" xr:uid="{00000000-0005-0000-0000-00000A290000}"/>
    <cellStyle name="20% - Accent6 7 8 2 2" xfId="41170" xr:uid="{4BE0F2DA-2B62-4C2C-A28F-A134620AFAF6}"/>
    <cellStyle name="20% - Accent6 7 8 3" xfId="25273" xr:uid="{00000000-0005-0000-0000-00000B290000}"/>
    <cellStyle name="20% - Accent6 7 8 3 2" xfId="49106" xr:uid="{9D7D8F46-D731-46BD-978D-FA1386B36031}"/>
    <cellStyle name="20% - Accent6 7 8 4" xfId="33229" xr:uid="{AA4F169F-070B-4064-A803-E72A1964EBD8}"/>
    <cellStyle name="20% - Accent6 7 9" xfId="10267" xr:uid="{00000000-0005-0000-0000-00000C290000}"/>
    <cellStyle name="20% - Accent6 7 9 2" xfId="34117" xr:uid="{5177B7FC-D4AE-4A4A-9D2D-E789DC610B09}"/>
    <cellStyle name="20% - Accent6 7_Exh G" xfId="2655" xr:uid="{00000000-0005-0000-0000-00000D290000}"/>
    <cellStyle name="20% - Accent6 8" xfId="323" xr:uid="{00000000-0005-0000-0000-00000E290000}"/>
    <cellStyle name="20% - Accent6 8 10" xfId="18226" xr:uid="{00000000-0005-0000-0000-00000F290000}"/>
    <cellStyle name="20% - Accent6 8 10 2" xfId="42059" xr:uid="{1A24EECB-5E2D-4F62-8534-CBD6EAE0BAFD}"/>
    <cellStyle name="20% - Accent6 8 11" xfId="26179" xr:uid="{24524BB6-F7A1-42D8-9771-4DCC85BEC64F}"/>
    <cellStyle name="20% - Accent6 8 2" xfId="324" xr:uid="{00000000-0005-0000-0000-000010290000}"/>
    <cellStyle name="20% - Accent6 8 2 2" xfId="325" xr:uid="{00000000-0005-0000-0000-000011290000}"/>
    <cellStyle name="20% - Accent6 8 2 2 2" xfId="1353" xr:uid="{00000000-0005-0000-0000-000012290000}"/>
    <cellStyle name="20% - Accent6 8 2 2 2 2" xfId="4883" xr:uid="{00000000-0005-0000-0000-000013290000}"/>
    <cellStyle name="20% - Accent6 8 2 2 2 2 2" xfId="8474" xr:uid="{00000000-0005-0000-0000-000014290000}"/>
    <cellStyle name="20% - Accent6 8 2 2 2 2 2 2" xfId="16445" xr:uid="{00000000-0005-0000-0000-000015290000}"/>
    <cellStyle name="20% - Accent6 8 2 2 2 2 2 2 2" xfId="40288" xr:uid="{F11E175F-8878-4F0C-B442-975FC8212BBB}"/>
    <cellStyle name="20% - Accent6 8 2 2 2 2 2 3" xfId="24391" xr:uid="{00000000-0005-0000-0000-000016290000}"/>
    <cellStyle name="20% - Accent6 8 2 2 2 2 2 3 2" xfId="48224" xr:uid="{AE7F4E29-8254-4693-B2F7-7A97E14FDBA7}"/>
    <cellStyle name="20% - Accent6 8 2 2 2 2 2 4" xfId="32347" xr:uid="{AA13AB8E-5937-4B28-BE1B-DB35C5EA163F}"/>
    <cellStyle name="20% - Accent6 8 2 2 2 2 3" xfId="12907" xr:uid="{00000000-0005-0000-0000-000017290000}"/>
    <cellStyle name="20% - Accent6 8 2 2 2 2 3 2" xfId="36757" xr:uid="{11AE2DB7-ABF4-4573-B77D-3E970A0ABDD3}"/>
    <cellStyle name="20% - Accent6 8 2 2 2 2 4" xfId="20862" xr:uid="{00000000-0005-0000-0000-000018290000}"/>
    <cellStyle name="20% - Accent6 8 2 2 2 2 4 2" xfId="44695" xr:uid="{E077AEF4-940F-4557-9A92-777AB419F516}"/>
    <cellStyle name="20% - Accent6 8 2 2 2 2 5" xfId="28816" xr:uid="{3F2CF759-50B2-4D99-AF34-A35C252D460C}"/>
    <cellStyle name="20% - Accent6 8 2 2 2 3" xfId="6715" xr:uid="{00000000-0005-0000-0000-000019290000}"/>
    <cellStyle name="20% - Accent6 8 2 2 2 3 2" xfId="14687" xr:uid="{00000000-0005-0000-0000-00001A290000}"/>
    <cellStyle name="20% - Accent6 8 2 2 2 3 2 2" xfId="38530" xr:uid="{038C997F-0C87-4545-880B-75C1FA5512D8}"/>
    <cellStyle name="20% - Accent6 8 2 2 2 3 3" xfId="22634" xr:uid="{00000000-0005-0000-0000-00001B290000}"/>
    <cellStyle name="20% - Accent6 8 2 2 2 3 3 2" xfId="46467" xr:uid="{E466BB94-F1F1-4962-BA09-AC5DCD5D35FF}"/>
    <cellStyle name="20% - Accent6 8 2 2 2 3 4" xfId="30589" xr:uid="{5D1FB1A8-4EB8-49FA-919F-9423B2B802CC}"/>
    <cellStyle name="20% - Accent6 8 2 2 2 4" xfId="11151" xr:uid="{00000000-0005-0000-0000-00001C290000}"/>
    <cellStyle name="20% - Accent6 8 2 2 2 4 2" xfId="35001" xr:uid="{C26681CD-D5E4-46C2-8044-5E4DF2571708}"/>
    <cellStyle name="20% - Accent6 8 2 2 2 5" xfId="19106" xr:uid="{00000000-0005-0000-0000-00001D290000}"/>
    <cellStyle name="20% - Accent6 8 2 2 2 5 2" xfId="42939" xr:uid="{910BE146-12EA-4E90-8D88-C1D078D0F6BD}"/>
    <cellStyle name="20% - Accent6 8 2 2 2 6" xfId="27059" xr:uid="{79ED6891-57E3-4CB1-9404-79FADC6D8C95}"/>
    <cellStyle name="20% - Accent6 8 2 2 2_Exh G" xfId="2668" xr:uid="{00000000-0005-0000-0000-00001E290000}"/>
    <cellStyle name="20% - Accent6 8 2 2 3" xfId="4004" xr:uid="{00000000-0005-0000-0000-00001F290000}"/>
    <cellStyle name="20% - Accent6 8 2 2 3 2" xfId="7596" xr:uid="{00000000-0005-0000-0000-000020290000}"/>
    <cellStyle name="20% - Accent6 8 2 2 3 2 2" xfId="15567" xr:uid="{00000000-0005-0000-0000-000021290000}"/>
    <cellStyle name="20% - Accent6 8 2 2 3 2 2 2" xfId="39410" xr:uid="{C95C5278-E91F-4D80-99EF-DDE87C0E04F0}"/>
    <cellStyle name="20% - Accent6 8 2 2 3 2 3" xfId="23513" xr:uid="{00000000-0005-0000-0000-000022290000}"/>
    <cellStyle name="20% - Accent6 8 2 2 3 2 3 2" xfId="47346" xr:uid="{A78341E1-037C-49FB-A790-765FECE6E411}"/>
    <cellStyle name="20% - Accent6 8 2 2 3 2 4" xfId="31469" xr:uid="{EE8CEEAF-0997-49B6-A10F-962C9280A158}"/>
    <cellStyle name="20% - Accent6 8 2 2 3 3" xfId="12029" xr:uid="{00000000-0005-0000-0000-000023290000}"/>
    <cellStyle name="20% - Accent6 8 2 2 3 3 2" xfId="35879" xr:uid="{58C31241-1C5B-455A-B4D5-4FF33250543F}"/>
    <cellStyle name="20% - Accent6 8 2 2 3 4" xfId="19984" xr:uid="{00000000-0005-0000-0000-000024290000}"/>
    <cellStyle name="20% - Accent6 8 2 2 3 4 2" xfId="43817" xr:uid="{75F696F2-8B29-4EDC-B1C7-C56CFCC5387B}"/>
    <cellStyle name="20% - Accent6 8 2 2 3 5" xfId="27938" xr:uid="{B4F668E4-6920-46F2-BAB6-DE4703A21B3F}"/>
    <cellStyle name="20% - Accent6 8 2 2 4" xfId="5824" xr:uid="{00000000-0005-0000-0000-000025290000}"/>
    <cellStyle name="20% - Accent6 8 2 2 4 2" xfId="13808" xr:uid="{00000000-0005-0000-0000-000026290000}"/>
    <cellStyle name="20% - Accent6 8 2 2 4 2 2" xfId="37652" xr:uid="{E7696333-B660-4403-80F9-ABB21D170AD5}"/>
    <cellStyle name="20% - Accent6 8 2 2 4 3" xfId="21756" xr:uid="{00000000-0005-0000-0000-000027290000}"/>
    <cellStyle name="20% - Accent6 8 2 2 4 3 2" xfId="45589" xr:uid="{26162AFF-894C-43B9-B908-AA0C72772EF4}"/>
    <cellStyle name="20% - Accent6 8 2 2 4 4" xfId="29711" xr:uid="{42B131A7-10E1-4525-84E7-8C93A7E24AF6}"/>
    <cellStyle name="20% - Accent6 8 2 2 5" xfId="9377" xr:uid="{00000000-0005-0000-0000-000028290000}"/>
    <cellStyle name="20% - Accent6 8 2 2 5 2" xfId="17335" xr:uid="{00000000-0005-0000-0000-000029290000}"/>
    <cellStyle name="20% - Accent6 8 2 2 5 2 2" xfId="41176" xr:uid="{4FEB9DEE-D844-4E0A-9EEF-834B21EEFE45}"/>
    <cellStyle name="20% - Accent6 8 2 2 5 3" xfId="25279" xr:uid="{00000000-0005-0000-0000-00002A290000}"/>
    <cellStyle name="20% - Accent6 8 2 2 5 3 2" xfId="49112" xr:uid="{2B7A00C9-C558-43C4-95A1-554F5DA0A91F}"/>
    <cellStyle name="20% - Accent6 8 2 2 5 4" xfId="33235" xr:uid="{0C24055C-A14C-480C-A265-839FBC88B8FB}"/>
    <cellStyle name="20% - Accent6 8 2 2 6" xfId="10273" xr:uid="{00000000-0005-0000-0000-00002B290000}"/>
    <cellStyle name="20% - Accent6 8 2 2 6 2" xfId="34123" xr:uid="{2E69F190-D64B-4BFC-82F0-0672AB3260C1}"/>
    <cellStyle name="20% - Accent6 8 2 2 7" xfId="18228" xr:uid="{00000000-0005-0000-0000-00002C290000}"/>
    <cellStyle name="20% - Accent6 8 2 2 7 2" xfId="42061" xr:uid="{0A843CB8-2886-4C2D-861E-2142998FA820}"/>
    <cellStyle name="20% - Accent6 8 2 2 8" xfId="26181" xr:uid="{D5A3BE5E-0045-4936-9DD1-ADE192AFEDA8}"/>
    <cellStyle name="20% - Accent6 8 2 2_Exh G" xfId="2667" xr:uid="{00000000-0005-0000-0000-00002D290000}"/>
    <cellStyle name="20% - Accent6 8 2 3" xfId="1352" xr:uid="{00000000-0005-0000-0000-00002E290000}"/>
    <cellStyle name="20% - Accent6 8 2 3 2" xfId="4882" xr:uid="{00000000-0005-0000-0000-00002F290000}"/>
    <cellStyle name="20% - Accent6 8 2 3 2 2" xfId="8473" xr:uid="{00000000-0005-0000-0000-000030290000}"/>
    <cellStyle name="20% - Accent6 8 2 3 2 2 2" xfId="16444" xr:uid="{00000000-0005-0000-0000-000031290000}"/>
    <cellStyle name="20% - Accent6 8 2 3 2 2 2 2" xfId="40287" xr:uid="{5898BD21-F9F9-40EC-82E1-1A9FB6ACBB68}"/>
    <cellStyle name="20% - Accent6 8 2 3 2 2 3" xfId="24390" xr:uid="{00000000-0005-0000-0000-000032290000}"/>
    <cellStyle name="20% - Accent6 8 2 3 2 2 3 2" xfId="48223" xr:uid="{BFB6C5D8-9686-4599-A169-97A6E1F2C912}"/>
    <cellStyle name="20% - Accent6 8 2 3 2 2 4" xfId="32346" xr:uid="{843931DF-CB1B-4946-A107-759F60F494D9}"/>
    <cellStyle name="20% - Accent6 8 2 3 2 3" xfId="12906" xr:uid="{00000000-0005-0000-0000-000033290000}"/>
    <cellStyle name="20% - Accent6 8 2 3 2 3 2" xfId="36756" xr:uid="{56D46679-D543-48EC-81D0-D21727F96B0E}"/>
    <cellStyle name="20% - Accent6 8 2 3 2 4" xfId="20861" xr:uid="{00000000-0005-0000-0000-000034290000}"/>
    <cellStyle name="20% - Accent6 8 2 3 2 4 2" xfId="44694" xr:uid="{42C51098-9D66-4AD2-8B62-8F7263982FC3}"/>
    <cellStyle name="20% - Accent6 8 2 3 2 5" xfId="28815" xr:uid="{F4FD30D1-DAD1-47C7-A11D-7B28BC17D878}"/>
    <cellStyle name="20% - Accent6 8 2 3 3" xfId="6714" xr:uid="{00000000-0005-0000-0000-000035290000}"/>
    <cellStyle name="20% - Accent6 8 2 3 3 2" xfId="14686" xr:uid="{00000000-0005-0000-0000-000036290000}"/>
    <cellStyle name="20% - Accent6 8 2 3 3 2 2" xfId="38529" xr:uid="{2772E8FD-E771-479E-82A6-D8941326C7DE}"/>
    <cellStyle name="20% - Accent6 8 2 3 3 3" xfId="22633" xr:uid="{00000000-0005-0000-0000-000037290000}"/>
    <cellStyle name="20% - Accent6 8 2 3 3 3 2" xfId="46466" xr:uid="{581482F9-8C6B-487C-9822-957A53BC91A1}"/>
    <cellStyle name="20% - Accent6 8 2 3 3 4" xfId="30588" xr:uid="{A392503D-2016-42D2-8DE5-63E0BD0028C3}"/>
    <cellStyle name="20% - Accent6 8 2 3 4" xfId="11150" xr:uid="{00000000-0005-0000-0000-000038290000}"/>
    <cellStyle name="20% - Accent6 8 2 3 4 2" xfId="35000" xr:uid="{5A49FE9C-6689-43A0-A607-0A2A87C265BD}"/>
    <cellStyle name="20% - Accent6 8 2 3 5" xfId="19105" xr:uid="{00000000-0005-0000-0000-000039290000}"/>
    <cellStyle name="20% - Accent6 8 2 3 5 2" xfId="42938" xr:uid="{865B6252-4E25-43A4-BD9F-0B037E72A1E4}"/>
    <cellStyle name="20% - Accent6 8 2 3 6" xfId="27058" xr:uid="{51298DAE-5C0C-4D10-BDCA-65602B4D221E}"/>
    <cellStyle name="20% - Accent6 8 2 3_Exh G" xfId="2669" xr:uid="{00000000-0005-0000-0000-00003A290000}"/>
    <cellStyle name="20% - Accent6 8 2 4" xfId="4003" xr:uid="{00000000-0005-0000-0000-00003B290000}"/>
    <cellStyle name="20% - Accent6 8 2 4 2" xfId="7595" xr:uid="{00000000-0005-0000-0000-00003C290000}"/>
    <cellStyle name="20% - Accent6 8 2 4 2 2" xfId="15566" xr:uid="{00000000-0005-0000-0000-00003D290000}"/>
    <cellStyle name="20% - Accent6 8 2 4 2 2 2" xfId="39409" xr:uid="{D5B91A83-9201-4C1D-AFD0-9FBBDEA05367}"/>
    <cellStyle name="20% - Accent6 8 2 4 2 3" xfId="23512" xr:uid="{00000000-0005-0000-0000-00003E290000}"/>
    <cellStyle name="20% - Accent6 8 2 4 2 3 2" xfId="47345" xr:uid="{989ABABC-0123-440D-93DE-24791A96E8EA}"/>
    <cellStyle name="20% - Accent6 8 2 4 2 4" xfId="31468" xr:uid="{83BB3750-1077-45C0-A0EA-D0FA847C7B2A}"/>
    <cellStyle name="20% - Accent6 8 2 4 3" xfId="12028" xr:uid="{00000000-0005-0000-0000-00003F290000}"/>
    <cellStyle name="20% - Accent6 8 2 4 3 2" xfId="35878" xr:uid="{69220A07-C4C4-4B80-8082-3A0CBC2D156E}"/>
    <cellStyle name="20% - Accent6 8 2 4 4" xfId="19983" xr:uid="{00000000-0005-0000-0000-000040290000}"/>
    <cellStyle name="20% - Accent6 8 2 4 4 2" xfId="43816" xr:uid="{49B54F41-363C-45F2-8074-11B2A58DD88A}"/>
    <cellStyle name="20% - Accent6 8 2 4 5" xfId="27937" xr:uid="{05A655C1-2818-4656-B2AA-4F9F843D590E}"/>
    <cellStyle name="20% - Accent6 8 2 5" xfId="5823" xr:uid="{00000000-0005-0000-0000-000041290000}"/>
    <cellStyle name="20% - Accent6 8 2 5 2" xfId="13807" xr:uid="{00000000-0005-0000-0000-000042290000}"/>
    <cellStyle name="20% - Accent6 8 2 5 2 2" xfId="37651" xr:uid="{E4D6B3D3-3E01-4800-8177-DF002C25688C}"/>
    <cellStyle name="20% - Accent6 8 2 5 3" xfId="21755" xr:uid="{00000000-0005-0000-0000-000043290000}"/>
    <cellStyle name="20% - Accent6 8 2 5 3 2" xfId="45588" xr:uid="{F84DAB44-E846-4572-AF00-944F7BBB9070}"/>
    <cellStyle name="20% - Accent6 8 2 5 4" xfId="29710" xr:uid="{E9197CB5-752B-4116-A17C-123A683A7B9D}"/>
    <cellStyle name="20% - Accent6 8 2 6" xfId="9376" xr:uid="{00000000-0005-0000-0000-000044290000}"/>
    <cellStyle name="20% - Accent6 8 2 6 2" xfId="17334" xr:uid="{00000000-0005-0000-0000-000045290000}"/>
    <cellStyle name="20% - Accent6 8 2 6 2 2" xfId="41175" xr:uid="{C352D2F5-25E6-477F-B06A-1FA5A73DB0F6}"/>
    <cellStyle name="20% - Accent6 8 2 6 3" xfId="25278" xr:uid="{00000000-0005-0000-0000-000046290000}"/>
    <cellStyle name="20% - Accent6 8 2 6 3 2" xfId="49111" xr:uid="{43324B60-ADE0-46CD-BC27-6F4B9667C185}"/>
    <cellStyle name="20% - Accent6 8 2 6 4" xfId="33234" xr:uid="{CF5FA0FD-9BDC-4D75-9B2B-D4C4F6623961}"/>
    <cellStyle name="20% - Accent6 8 2 7" xfId="10272" xr:uid="{00000000-0005-0000-0000-000047290000}"/>
    <cellStyle name="20% - Accent6 8 2 7 2" xfId="34122" xr:uid="{02CB153C-6AB4-4C0D-B406-6C6B5A989CB6}"/>
    <cellStyle name="20% - Accent6 8 2 8" xfId="18227" xr:uid="{00000000-0005-0000-0000-000048290000}"/>
    <cellStyle name="20% - Accent6 8 2 8 2" xfId="42060" xr:uid="{FAC3077A-6046-49FE-9320-20A6AAA04F31}"/>
    <cellStyle name="20% - Accent6 8 2 9" xfId="26180" xr:uid="{47F52BB4-A0AC-4E0E-84A6-63D492F74EA6}"/>
    <cellStyle name="20% - Accent6 8 2_Exh G" xfId="2666" xr:uid="{00000000-0005-0000-0000-000049290000}"/>
    <cellStyle name="20% - Accent6 8 3" xfId="326" xr:uid="{00000000-0005-0000-0000-00004A290000}"/>
    <cellStyle name="20% - Accent6 8 3 2" xfId="1354" xr:uid="{00000000-0005-0000-0000-00004B290000}"/>
    <cellStyle name="20% - Accent6 8 3 2 2" xfId="4884" xr:uid="{00000000-0005-0000-0000-00004C290000}"/>
    <cellStyle name="20% - Accent6 8 3 2 2 2" xfId="8475" xr:uid="{00000000-0005-0000-0000-00004D290000}"/>
    <cellStyle name="20% - Accent6 8 3 2 2 2 2" xfId="16446" xr:uid="{00000000-0005-0000-0000-00004E290000}"/>
    <cellStyle name="20% - Accent6 8 3 2 2 2 2 2" xfId="40289" xr:uid="{3874C6EE-4E23-4B99-A606-1E1A3D0BDE9C}"/>
    <cellStyle name="20% - Accent6 8 3 2 2 2 3" xfId="24392" xr:uid="{00000000-0005-0000-0000-00004F290000}"/>
    <cellStyle name="20% - Accent6 8 3 2 2 2 3 2" xfId="48225" xr:uid="{75068DDC-D657-4DC1-A496-FE843B8D6EBE}"/>
    <cellStyle name="20% - Accent6 8 3 2 2 2 4" xfId="32348" xr:uid="{C6624E82-9146-4380-8C9B-79721CC5A814}"/>
    <cellStyle name="20% - Accent6 8 3 2 2 3" xfId="12908" xr:uid="{00000000-0005-0000-0000-000050290000}"/>
    <cellStyle name="20% - Accent6 8 3 2 2 3 2" xfId="36758" xr:uid="{6B959BFD-C1CB-432E-B10C-D88D984594B2}"/>
    <cellStyle name="20% - Accent6 8 3 2 2 4" xfId="20863" xr:uid="{00000000-0005-0000-0000-000051290000}"/>
    <cellStyle name="20% - Accent6 8 3 2 2 4 2" xfId="44696" xr:uid="{5E38EB53-86F2-473A-B080-ACAEE9CB8082}"/>
    <cellStyle name="20% - Accent6 8 3 2 2 5" xfId="28817" xr:uid="{2D24A2AF-6105-41FB-AF39-28069A2134C8}"/>
    <cellStyle name="20% - Accent6 8 3 2 3" xfId="6716" xr:uid="{00000000-0005-0000-0000-000052290000}"/>
    <cellStyle name="20% - Accent6 8 3 2 3 2" xfId="14688" xr:uid="{00000000-0005-0000-0000-000053290000}"/>
    <cellStyle name="20% - Accent6 8 3 2 3 2 2" xfId="38531" xr:uid="{786A5A08-985A-4267-8FBD-CFA5F676148D}"/>
    <cellStyle name="20% - Accent6 8 3 2 3 3" xfId="22635" xr:uid="{00000000-0005-0000-0000-000054290000}"/>
    <cellStyle name="20% - Accent6 8 3 2 3 3 2" xfId="46468" xr:uid="{8079A31D-6B77-47FE-80AA-1E453A164F17}"/>
    <cellStyle name="20% - Accent6 8 3 2 3 4" xfId="30590" xr:uid="{5E69085D-D297-424B-B15B-114506751F76}"/>
    <cellStyle name="20% - Accent6 8 3 2 4" xfId="11152" xr:uid="{00000000-0005-0000-0000-000055290000}"/>
    <cellStyle name="20% - Accent6 8 3 2 4 2" xfId="35002" xr:uid="{CC8E36F9-AAAF-4301-85C1-4ABAA0E14F5D}"/>
    <cellStyle name="20% - Accent6 8 3 2 5" xfId="19107" xr:uid="{00000000-0005-0000-0000-000056290000}"/>
    <cellStyle name="20% - Accent6 8 3 2 5 2" xfId="42940" xr:uid="{6371AA52-FEC1-4442-B4FC-6B894F55135A}"/>
    <cellStyle name="20% - Accent6 8 3 2 6" xfId="27060" xr:uid="{D775896B-CB0F-4851-863D-91973F61C922}"/>
    <cellStyle name="20% - Accent6 8 3 2_Exh G" xfId="2671" xr:uid="{00000000-0005-0000-0000-000057290000}"/>
    <cellStyle name="20% - Accent6 8 3 3" xfId="4005" xr:uid="{00000000-0005-0000-0000-000058290000}"/>
    <cellStyle name="20% - Accent6 8 3 3 2" xfId="7597" xr:uid="{00000000-0005-0000-0000-000059290000}"/>
    <cellStyle name="20% - Accent6 8 3 3 2 2" xfId="15568" xr:uid="{00000000-0005-0000-0000-00005A290000}"/>
    <cellStyle name="20% - Accent6 8 3 3 2 2 2" xfId="39411" xr:uid="{B8BE1FA2-9884-4545-9E52-A6069B0B8CFC}"/>
    <cellStyle name="20% - Accent6 8 3 3 2 3" xfId="23514" xr:uid="{00000000-0005-0000-0000-00005B290000}"/>
    <cellStyle name="20% - Accent6 8 3 3 2 3 2" xfId="47347" xr:uid="{07F6784A-BC84-4DDF-9464-A4C789283BBB}"/>
    <cellStyle name="20% - Accent6 8 3 3 2 4" xfId="31470" xr:uid="{C0DFECBE-96ED-4859-87F7-F6B4B40D7B5F}"/>
    <cellStyle name="20% - Accent6 8 3 3 3" xfId="12030" xr:uid="{00000000-0005-0000-0000-00005C290000}"/>
    <cellStyle name="20% - Accent6 8 3 3 3 2" xfId="35880" xr:uid="{48115AF9-9F8C-4409-BF57-4CD8FC7AC103}"/>
    <cellStyle name="20% - Accent6 8 3 3 4" xfId="19985" xr:uid="{00000000-0005-0000-0000-00005D290000}"/>
    <cellStyle name="20% - Accent6 8 3 3 4 2" xfId="43818" xr:uid="{3E525E80-F513-4118-B831-D11A86F68105}"/>
    <cellStyle name="20% - Accent6 8 3 3 5" xfId="27939" xr:uid="{C72F2C30-7A4E-4E17-B1DB-ED9707B018E5}"/>
    <cellStyle name="20% - Accent6 8 3 4" xfId="5825" xr:uid="{00000000-0005-0000-0000-00005E290000}"/>
    <cellStyle name="20% - Accent6 8 3 4 2" xfId="13809" xr:uid="{00000000-0005-0000-0000-00005F290000}"/>
    <cellStyle name="20% - Accent6 8 3 4 2 2" xfId="37653" xr:uid="{3DDC7AAA-B8E3-48C5-83E4-DDA0CDF3CA61}"/>
    <cellStyle name="20% - Accent6 8 3 4 3" xfId="21757" xr:uid="{00000000-0005-0000-0000-000060290000}"/>
    <cellStyle name="20% - Accent6 8 3 4 3 2" xfId="45590" xr:uid="{FEF70576-C22F-4421-B861-7ECAA2DF288B}"/>
    <cellStyle name="20% - Accent6 8 3 4 4" xfId="29712" xr:uid="{60F48A40-AE09-4D3A-8B73-11B59FD95B1F}"/>
    <cellStyle name="20% - Accent6 8 3 5" xfId="9378" xr:uid="{00000000-0005-0000-0000-000061290000}"/>
    <cellStyle name="20% - Accent6 8 3 5 2" xfId="17336" xr:uid="{00000000-0005-0000-0000-000062290000}"/>
    <cellStyle name="20% - Accent6 8 3 5 2 2" xfId="41177" xr:uid="{287544FC-1DBE-4280-B61B-782D8E8DA7F2}"/>
    <cellStyle name="20% - Accent6 8 3 5 3" xfId="25280" xr:uid="{00000000-0005-0000-0000-000063290000}"/>
    <cellStyle name="20% - Accent6 8 3 5 3 2" xfId="49113" xr:uid="{A35C0C3B-6C16-4111-BDED-45E857C65F47}"/>
    <cellStyle name="20% - Accent6 8 3 5 4" xfId="33236" xr:uid="{A1A78C7F-E3E1-423E-BA66-BDFE89F25E01}"/>
    <cellStyle name="20% - Accent6 8 3 6" xfId="10274" xr:uid="{00000000-0005-0000-0000-000064290000}"/>
    <cellStyle name="20% - Accent6 8 3 6 2" xfId="34124" xr:uid="{13C3C3CF-CF7D-4E57-B95D-5B9E397D0B14}"/>
    <cellStyle name="20% - Accent6 8 3 7" xfId="18229" xr:uid="{00000000-0005-0000-0000-000065290000}"/>
    <cellStyle name="20% - Accent6 8 3 7 2" xfId="42062" xr:uid="{067C05DE-CBAD-4949-A26D-06067930F516}"/>
    <cellStyle name="20% - Accent6 8 3 8" xfId="26182" xr:uid="{94E8BD46-8255-45EC-BF93-E6DCD87F5666}"/>
    <cellStyle name="20% - Accent6 8 3_Exh G" xfId="2670" xr:uid="{00000000-0005-0000-0000-000066290000}"/>
    <cellStyle name="20% - Accent6 8 4" xfId="932" xr:uid="{00000000-0005-0000-0000-000067290000}"/>
    <cellStyle name="20% - Accent6 8 4 2" xfId="1857" xr:uid="{00000000-0005-0000-0000-000068290000}"/>
    <cellStyle name="20% - Accent6 8 4 2 2" xfId="5375" xr:uid="{00000000-0005-0000-0000-000069290000}"/>
    <cellStyle name="20% - Accent6 8 4 2 2 2" xfId="8966" xr:uid="{00000000-0005-0000-0000-00006A290000}"/>
    <cellStyle name="20% - Accent6 8 4 2 2 2 2" xfId="16937" xr:uid="{00000000-0005-0000-0000-00006B290000}"/>
    <cellStyle name="20% - Accent6 8 4 2 2 2 2 2" xfId="40780" xr:uid="{A795062D-5B36-4698-B008-8AE1F1F40619}"/>
    <cellStyle name="20% - Accent6 8 4 2 2 2 3" xfId="24883" xr:uid="{00000000-0005-0000-0000-00006C290000}"/>
    <cellStyle name="20% - Accent6 8 4 2 2 2 3 2" xfId="48716" xr:uid="{6A5AA2B8-0A6F-4486-9EF1-8E03B2CA3F71}"/>
    <cellStyle name="20% - Accent6 8 4 2 2 2 4" xfId="32839" xr:uid="{6E704886-E9C3-4626-90EB-9EB3A48FDE52}"/>
    <cellStyle name="20% - Accent6 8 4 2 2 3" xfId="13399" xr:uid="{00000000-0005-0000-0000-00006D290000}"/>
    <cellStyle name="20% - Accent6 8 4 2 2 3 2" xfId="37249" xr:uid="{A72A45FE-A256-4384-ACB7-1D45C3E4A93C}"/>
    <cellStyle name="20% - Accent6 8 4 2 2 4" xfId="21354" xr:uid="{00000000-0005-0000-0000-00006E290000}"/>
    <cellStyle name="20% - Accent6 8 4 2 2 4 2" xfId="45187" xr:uid="{ACC4F4CD-3442-497E-8364-7EA074E28F74}"/>
    <cellStyle name="20% - Accent6 8 4 2 2 5" xfId="29308" xr:uid="{6E00E035-7579-43FC-B974-A30C5CB71055}"/>
    <cellStyle name="20% - Accent6 8 4 2 3" xfId="7207" xr:uid="{00000000-0005-0000-0000-00006F290000}"/>
    <cellStyle name="20% - Accent6 8 4 2 3 2" xfId="15179" xr:uid="{00000000-0005-0000-0000-000070290000}"/>
    <cellStyle name="20% - Accent6 8 4 2 3 2 2" xfId="39022" xr:uid="{4F8262AC-55A3-491F-B4A3-D6101E5CA6DB}"/>
    <cellStyle name="20% - Accent6 8 4 2 3 3" xfId="23126" xr:uid="{00000000-0005-0000-0000-000071290000}"/>
    <cellStyle name="20% - Accent6 8 4 2 3 3 2" xfId="46959" xr:uid="{7B2ACD8A-FDF0-4283-8196-0FDDBA93CDF4}"/>
    <cellStyle name="20% - Accent6 8 4 2 3 4" xfId="31081" xr:uid="{56D5B238-E49B-4FA4-BA8D-DD1F64BCA674}"/>
    <cellStyle name="20% - Accent6 8 4 2 4" xfId="11643" xr:uid="{00000000-0005-0000-0000-000072290000}"/>
    <cellStyle name="20% - Accent6 8 4 2 4 2" xfId="35493" xr:uid="{BB5641CA-3AAA-421D-BE8B-23F69A93AD09}"/>
    <cellStyle name="20% - Accent6 8 4 2 5" xfId="19598" xr:uid="{00000000-0005-0000-0000-000073290000}"/>
    <cellStyle name="20% - Accent6 8 4 2 5 2" xfId="43431" xr:uid="{5E049B0B-D46C-4752-9950-2574862ADB71}"/>
    <cellStyle name="20% - Accent6 8 4 2 6" xfId="27551" xr:uid="{CD17644C-FC29-4B01-AF1A-B2274B14E5BC}"/>
    <cellStyle name="20% - Accent6 8 4 2_Exh G" xfId="2673" xr:uid="{00000000-0005-0000-0000-000074290000}"/>
    <cellStyle name="20% - Accent6 8 4 3" xfId="4496" xr:uid="{00000000-0005-0000-0000-000075290000}"/>
    <cellStyle name="20% - Accent6 8 4 3 2" xfId="8088" xr:uid="{00000000-0005-0000-0000-000076290000}"/>
    <cellStyle name="20% - Accent6 8 4 3 2 2" xfId="16059" xr:uid="{00000000-0005-0000-0000-000077290000}"/>
    <cellStyle name="20% - Accent6 8 4 3 2 2 2" xfId="39902" xr:uid="{371B40C7-2CB7-47FB-80A2-D237F04A868A}"/>
    <cellStyle name="20% - Accent6 8 4 3 2 3" xfId="24005" xr:uid="{00000000-0005-0000-0000-000078290000}"/>
    <cellStyle name="20% - Accent6 8 4 3 2 3 2" xfId="47838" xr:uid="{BE31C0B2-FF87-4D6A-BB48-05032CEB743E}"/>
    <cellStyle name="20% - Accent6 8 4 3 2 4" xfId="31961" xr:uid="{5B8F2199-2E2F-42C7-A298-5DA90EFC7A88}"/>
    <cellStyle name="20% - Accent6 8 4 3 3" xfId="12521" xr:uid="{00000000-0005-0000-0000-000079290000}"/>
    <cellStyle name="20% - Accent6 8 4 3 3 2" xfId="36371" xr:uid="{775ADD57-5E73-46E0-8A80-643163900D50}"/>
    <cellStyle name="20% - Accent6 8 4 3 4" xfId="20476" xr:uid="{00000000-0005-0000-0000-00007A290000}"/>
    <cellStyle name="20% - Accent6 8 4 3 4 2" xfId="44309" xr:uid="{9218FB86-7B1F-462C-B22C-B8B447A78005}"/>
    <cellStyle name="20% - Accent6 8 4 3 5" xfId="28430" xr:uid="{4C6491F3-2B79-4CB9-BBA7-CF0068A8A83D}"/>
    <cellStyle name="20% - Accent6 8 4 4" xfId="6326" xr:uid="{00000000-0005-0000-0000-00007B290000}"/>
    <cellStyle name="20% - Accent6 8 4 4 2" xfId="14301" xr:uid="{00000000-0005-0000-0000-00007C290000}"/>
    <cellStyle name="20% - Accent6 8 4 4 2 2" xfId="38144" xr:uid="{2D0623FD-58A8-4091-8CA0-7D4F0863DF8D}"/>
    <cellStyle name="20% - Accent6 8 4 4 3" xfId="22248" xr:uid="{00000000-0005-0000-0000-00007D290000}"/>
    <cellStyle name="20% - Accent6 8 4 4 3 2" xfId="46081" xr:uid="{5F052741-1DD9-4E62-8BC9-8F9AEF0BFBF7}"/>
    <cellStyle name="20% - Accent6 8 4 4 4" xfId="30203" xr:uid="{2AB10E2B-7AA0-4536-AA0F-B738A17DD4A7}"/>
    <cellStyle name="20% - Accent6 8 4 5" xfId="9869" xr:uid="{00000000-0005-0000-0000-00007E290000}"/>
    <cellStyle name="20% - Accent6 8 4 5 2" xfId="17827" xr:uid="{00000000-0005-0000-0000-00007F290000}"/>
    <cellStyle name="20% - Accent6 8 4 5 2 2" xfId="41668" xr:uid="{3B523C48-9CF4-4D3A-93BC-FBBB05E964E4}"/>
    <cellStyle name="20% - Accent6 8 4 5 3" xfId="25771" xr:uid="{00000000-0005-0000-0000-000080290000}"/>
    <cellStyle name="20% - Accent6 8 4 5 3 2" xfId="49604" xr:uid="{5E566F85-BB1A-47FB-8129-B1A5BAD397DB}"/>
    <cellStyle name="20% - Accent6 8 4 5 4" xfId="33727" xr:uid="{FE642FF0-043D-4EEC-BBA4-32DD4796F8E8}"/>
    <cellStyle name="20% - Accent6 8 4 6" xfId="10765" xr:uid="{00000000-0005-0000-0000-000081290000}"/>
    <cellStyle name="20% - Accent6 8 4 6 2" xfId="34615" xr:uid="{C536A256-C9D7-4589-BCD7-02DC07BE5824}"/>
    <cellStyle name="20% - Accent6 8 4 7" xfId="18720" xr:uid="{00000000-0005-0000-0000-000082290000}"/>
    <cellStyle name="20% - Accent6 8 4 7 2" xfId="42553" xr:uid="{604AC49F-D181-4A13-B2CB-8F79CD53DA2C}"/>
    <cellStyle name="20% - Accent6 8 4 8" xfId="26673" xr:uid="{C778AB9E-4437-4DDD-A00E-B815BF09C6E5}"/>
    <cellStyle name="20% - Accent6 8 4_Exh G" xfId="2672" xr:uid="{00000000-0005-0000-0000-000083290000}"/>
    <cellStyle name="20% - Accent6 8 5" xfId="1351" xr:uid="{00000000-0005-0000-0000-000084290000}"/>
    <cellStyle name="20% - Accent6 8 5 2" xfId="4881" xr:uid="{00000000-0005-0000-0000-000085290000}"/>
    <cellStyle name="20% - Accent6 8 5 2 2" xfId="8472" xr:uid="{00000000-0005-0000-0000-000086290000}"/>
    <cellStyle name="20% - Accent6 8 5 2 2 2" xfId="16443" xr:uid="{00000000-0005-0000-0000-000087290000}"/>
    <cellStyle name="20% - Accent6 8 5 2 2 2 2" xfId="40286" xr:uid="{863E250E-F063-45E6-90F0-DDF4C8031BD1}"/>
    <cellStyle name="20% - Accent6 8 5 2 2 3" xfId="24389" xr:uid="{00000000-0005-0000-0000-000088290000}"/>
    <cellStyle name="20% - Accent6 8 5 2 2 3 2" xfId="48222" xr:uid="{B0F08554-8EA9-4C3C-82DA-A054FFCD3719}"/>
    <cellStyle name="20% - Accent6 8 5 2 2 4" xfId="32345" xr:uid="{BC6E2BDB-C42F-47D6-8B60-BD2EED6251CA}"/>
    <cellStyle name="20% - Accent6 8 5 2 3" xfId="12905" xr:uid="{00000000-0005-0000-0000-000089290000}"/>
    <cellStyle name="20% - Accent6 8 5 2 3 2" xfId="36755" xr:uid="{2A28F8A9-AD6A-4A68-9E1A-A0E3F6E365EE}"/>
    <cellStyle name="20% - Accent6 8 5 2 4" xfId="20860" xr:uid="{00000000-0005-0000-0000-00008A290000}"/>
    <cellStyle name="20% - Accent6 8 5 2 4 2" xfId="44693" xr:uid="{AED07D48-2CA0-42C0-B1C7-F80352FAC672}"/>
    <cellStyle name="20% - Accent6 8 5 2 5" xfId="28814" xr:uid="{B3330B2D-7DAB-4675-9C6F-4E8A3F99040A}"/>
    <cellStyle name="20% - Accent6 8 5 3" xfId="6713" xr:uid="{00000000-0005-0000-0000-00008B290000}"/>
    <cellStyle name="20% - Accent6 8 5 3 2" xfId="14685" xr:uid="{00000000-0005-0000-0000-00008C290000}"/>
    <cellStyle name="20% - Accent6 8 5 3 2 2" xfId="38528" xr:uid="{E5CF5983-8241-471F-BB04-1C0CD9DEB306}"/>
    <cellStyle name="20% - Accent6 8 5 3 3" xfId="22632" xr:uid="{00000000-0005-0000-0000-00008D290000}"/>
    <cellStyle name="20% - Accent6 8 5 3 3 2" xfId="46465" xr:uid="{8F0E2FA4-93EA-41D8-8ECB-05A1B7ED8435}"/>
    <cellStyle name="20% - Accent6 8 5 3 4" xfId="30587" xr:uid="{010A0E4F-ED15-4857-BA19-6559D7B1EA18}"/>
    <cellStyle name="20% - Accent6 8 5 4" xfId="11149" xr:uid="{00000000-0005-0000-0000-00008E290000}"/>
    <cellStyle name="20% - Accent6 8 5 4 2" xfId="34999" xr:uid="{CB52A166-2061-41C0-9E15-CF738B09B70C}"/>
    <cellStyle name="20% - Accent6 8 5 5" xfId="19104" xr:uid="{00000000-0005-0000-0000-00008F290000}"/>
    <cellStyle name="20% - Accent6 8 5 5 2" xfId="42937" xr:uid="{DB7296FD-82BC-48F1-AD37-1C4EDF63E87A}"/>
    <cellStyle name="20% - Accent6 8 5 6" xfId="27057" xr:uid="{E1092831-BAA6-4265-B7F7-9ED3B889E657}"/>
    <cellStyle name="20% - Accent6 8 5_Exh G" xfId="2674" xr:uid="{00000000-0005-0000-0000-000090290000}"/>
    <cellStyle name="20% - Accent6 8 6" xfId="4002" xr:uid="{00000000-0005-0000-0000-000091290000}"/>
    <cellStyle name="20% - Accent6 8 6 2" xfId="7594" xr:uid="{00000000-0005-0000-0000-000092290000}"/>
    <cellStyle name="20% - Accent6 8 6 2 2" xfId="15565" xr:uid="{00000000-0005-0000-0000-000093290000}"/>
    <cellStyle name="20% - Accent6 8 6 2 2 2" xfId="39408" xr:uid="{0CC1C870-FE10-4065-8615-6F886DE3D94B}"/>
    <cellStyle name="20% - Accent6 8 6 2 3" xfId="23511" xr:uid="{00000000-0005-0000-0000-000094290000}"/>
    <cellStyle name="20% - Accent6 8 6 2 3 2" xfId="47344" xr:uid="{0FD7BD71-5B82-4DAE-AC54-E334557EADD5}"/>
    <cellStyle name="20% - Accent6 8 6 2 4" xfId="31467" xr:uid="{A9B472AF-E4FA-48F0-95CD-7902538A23F7}"/>
    <cellStyle name="20% - Accent6 8 6 3" xfId="12027" xr:uid="{00000000-0005-0000-0000-000095290000}"/>
    <cellStyle name="20% - Accent6 8 6 3 2" xfId="35877" xr:uid="{6C23E30A-4878-4D52-9230-37EB23FF7A27}"/>
    <cellStyle name="20% - Accent6 8 6 4" xfId="19982" xr:uid="{00000000-0005-0000-0000-000096290000}"/>
    <cellStyle name="20% - Accent6 8 6 4 2" xfId="43815" xr:uid="{07FD5142-982A-48AB-AF97-83C0E7E52E6F}"/>
    <cellStyle name="20% - Accent6 8 6 5" xfId="27936" xr:uid="{ADE487E7-D4E2-4F3C-8F8F-3B2C93BF94AB}"/>
    <cellStyle name="20% - Accent6 8 7" xfId="5822" xr:uid="{00000000-0005-0000-0000-000097290000}"/>
    <cellStyle name="20% - Accent6 8 7 2" xfId="13806" xr:uid="{00000000-0005-0000-0000-000098290000}"/>
    <cellStyle name="20% - Accent6 8 7 2 2" xfId="37650" xr:uid="{ADABB26F-AC47-487C-986E-E4855815B5A6}"/>
    <cellStyle name="20% - Accent6 8 7 3" xfId="21754" xr:uid="{00000000-0005-0000-0000-000099290000}"/>
    <cellStyle name="20% - Accent6 8 7 3 2" xfId="45587" xr:uid="{EC9E68F5-B6E0-4952-9A69-069F25552A54}"/>
    <cellStyle name="20% - Accent6 8 7 4" xfId="29709" xr:uid="{DC48FC1A-C037-4BE8-AC9D-BB96DA15741F}"/>
    <cellStyle name="20% - Accent6 8 8" xfId="9375" xr:uid="{00000000-0005-0000-0000-00009A290000}"/>
    <cellStyle name="20% - Accent6 8 8 2" xfId="17333" xr:uid="{00000000-0005-0000-0000-00009B290000}"/>
    <cellStyle name="20% - Accent6 8 8 2 2" xfId="41174" xr:uid="{623EBEE1-53D3-4BAF-B857-10AE858D6364}"/>
    <cellStyle name="20% - Accent6 8 8 3" xfId="25277" xr:uid="{00000000-0005-0000-0000-00009C290000}"/>
    <cellStyle name="20% - Accent6 8 8 3 2" xfId="49110" xr:uid="{8B062286-A56B-493F-8FA9-91794A95225F}"/>
    <cellStyle name="20% - Accent6 8 8 4" xfId="33233" xr:uid="{761A777A-EF44-4DFA-94FB-12AD60B937D9}"/>
    <cellStyle name="20% - Accent6 8 9" xfId="10271" xr:uid="{00000000-0005-0000-0000-00009D290000}"/>
    <cellStyle name="20% - Accent6 8 9 2" xfId="34121" xr:uid="{EA8928CC-6124-4410-AEE7-CEE430368588}"/>
    <cellStyle name="20% - Accent6 8_Exh G" xfId="2665" xr:uid="{00000000-0005-0000-0000-00009E290000}"/>
    <cellStyle name="20% - Accent6 9" xfId="327" xr:uid="{00000000-0005-0000-0000-00009F290000}"/>
    <cellStyle name="20% - Accent6 9 10" xfId="18230" xr:uid="{00000000-0005-0000-0000-0000A0290000}"/>
    <cellStyle name="20% - Accent6 9 10 2" xfId="42063" xr:uid="{07B711DD-F471-44AE-B927-B27A562CA77F}"/>
    <cellStyle name="20% - Accent6 9 11" xfId="26183" xr:uid="{440F93B8-25DA-4535-A0C2-DF6BEA6E526D}"/>
    <cellStyle name="20% - Accent6 9 2" xfId="328" xr:uid="{00000000-0005-0000-0000-0000A1290000}"/>
    <cellStyle name="20% - Accent6 9 2 2" xfId="329" xr:uid="{00000000-0005-0000-0000-0000A2290000}"/>
    <cellStyle name="20% - Accent6 9 2 2 2" xfId="1357" xr:uid="{00000000-0005-0000-0000-0000A3290000}"/>
    <cellStyle name="20% - Accent6 9 2 2 2 2" xfId="4887" xr:uid="{00000000-0005-0000-0000-0000A4290000}"/>
    <cellStyle name="20% - Accent6 9 2 2 2 2 2" xfId="8478" xr:uid="{00000000-0005-0000-0000-0000A5290000}"/>
    <cellStyle name="20% - Accent6 9 2 2 2 2 2 2" xfId="16449" xr:uid="{00000000-0005-0000-0000-0000A6290000}"/>
    <cellStyle name="20% - Accent6 9 2 2 2 2 2 2 2" xfId="40292" xr:uid="{CF431C2F-66B1-4BD6-BE1A-297E2DBAE01F}"/>
    <cellStyle name="20% - Accent6 9 2 2 2 2 2 3" xfId="24395" xr:uid="{00000000-0005-0000-0000-0000A7290000}"/>
    <cellStyle name="20% - Accent6 9 2 2 2 2 2 3 2" xfId="48228" xr:uid="{421F58E2-60B2-43AB-B390-11D5586926B4}"/>
    <cellStyle name="20% - Accent6 9 2 2 2 2 2 4" xfId="32351" xr:uid="{774A89CF-157B-4D5B-9B59-B8B8A9D0702F}"/>
    <cellStyle name="20% - Accent6 9 2 2 2 2 3" xfId="12911" xr:uid="{00000000-0005-0000-0000-0000A8290000}"/>
    <cellStyle name="20% - Accent6 9 2 2 2 2 3 2" xfId="36761" xr:uid="{DA3324D1-1D14-488F-B40B-3A8FA04893F2}"/>
    <cellStyle name="20% - Accent6 9 2 2 2 2 4" xfId="20866" xr:uid="{00000000-0005-0000-0000-0000A9290000}"/>
    <cellStyle name="20% - Accent6 9 2 2 2 2 4 2" xfId="44699" xr:uid="{24E94F77-74B9-45C8-AED9-615D1B311BCD}"/>
    <cellStyle name="20% - Accent6 9 2 2 2 2 5" xfId="28820" xr:uid="{4482EB7B-5388-442E-9A2E-8BBF03F23075}"/>
    <cellStyle name="20% - Accent6 9 2 2 2 3" xfId="6719" xr:uid="{00000000-0005-0000-0000-0000AA290000}"/>
    <cellStyle name="20% - Accent6 9 2 2 2 3 2" xfId="14691" xr:uid="{00000000-0005-0000-0000-0000AB290000}"/>
    <cellStyle name="20% - Accent6 9 2 2 2 3 2 2" xfId="38534" xr:uid="{B664F8AA-169F-416E-84A1-B814BB528326}"/>
    <cellStyle name="20% - Accent6 9 2 2 2 3 3" xfId="22638" xr:uid="{00000000-0005-0000-0000-0000AC290000}"/>
    <cellStyle name="20% - Accent6 9 2 2 2 3 3 2" xfId="46471" xr:uid="{0BA9917F-F5A7-4E73-A7CF-914BAAAD1C74}"/>
    <cellStyle name="20% - Accent6 9 2 2 2 3 4" xfId="30593" xr:uid="{ADEEB1D2-62EF-44DC-924E-3352FCC112BE}"/>
    <cellStyle name="20% - Accent6 9 2 2 2 4" xfId="11155" xr:uid="{00000000-0005-0000-0000-0000AD290000}"/>
    <cellStyle name="20% - Accent6 9 2 2 2 4 2" xfId="35005" xr:uid="{5C6CBDC5-41E2-4AA8-960E-E3581A67DF62}"/>
    <cellStyle name="20% - Accent6 9 2 2 2 5" xfId="19110" xr:uid="{00000000-0005-0000-0000-0000AE290000}"/>
    <cellStyle name="20% - Accent6 9 2 2 2 5 2" xfId="42943" xr:uid="{7421C260-6D15-4D66-A9AF-0317B650EBDC}"/>
    <cellStyle name="20% - Accent6 9 2 2 2 6" xfId="27063" xr:uid="{93779A20-99AD-46C4-A782-9640CE0D660C}"/>
    <cellStyle name="20% - Accent6 9 2 2 2_Exh G" xfId="2678" xr:uid="{00000000-0005-0000-0000-0000AF290000}"/>
    <cellStyle name="20% - Accent6 9 2 2 3" xfId="4008" xr:uid="{00000000-0005-0000-0000-0000B0290000}"/>
    <cellStyle name="20% - Accent6 9 2 2 3 2" xfId="7600" xr:uid="{00000000-0005-0000-0000-0000B1290000}"/>
    <cellStyle name="20% - Accent6 9 2 2 3 2 2" xfId="15571" xr:uid="{00000000-0005-0000-0000-0000B2290000}"/>
    <cellStyle name="20% - Accent6 9 2 2 3 2 2 2" xfId="39414" xr:uid="{5550A056-AEFF-4999-9414-5E67A1D32940}"/>
    <cellStyle name="20% - Accent6 9 2 2 3 2 3" xfId="23517" xr:uid="{00000000-0005-0000-0000-0000B3290000}"/>
    <cellStyle name="20% - Accent6 9 2 2 3 2 3 2" xfId="47350" xr:uid="{DEDA5DFA-7C3E-45AC-868A-F312394208A5}"/>
    <cellStyle name="20% - Accent6 9 2 2 3 2 4" xfId="31473" xr:uid="{9B9A9372-80B4-4D23-A1A1-EA89A0D61D24}"/>
    <cellStyle name="20% - Accent6 9 2 2 3 3" xfId="12033" xr:uid="{00000000-0005-0000-0000-0000B4290000}"/>
    <cellStyle name="20% - Accent6 9 2 2 3 3 2" xfId="35883" xr:uid="{162E4526-6847-444D-990D-3253E6DEE5FF}"/>
    <cellStyle name="20% - Accent6 9 2 2 3 4" xfId="19988" xr:uid="{00000000-0005-0000-0000-0000B5290000}"/>
    <cellStyle name="20% - Accent6 9 2 2 3 4 2" xfId="43821" xr:uid="{E5879328-7F79-4B7C-8677-43B13BE54A2A}"/>
    <cellStyle name="20% - Accent6 9 2 2 3 5" xfId="27942" xr:uid="{FA2A9C7A-9A01-4B5B-9611-05685F179476}"/>
    <cellStyle name="20% - Accent6 9 2 2 4" xfId="5828" xr:uid="{00000000-0005-0000-0000-0000B6290000}"/>
    <cellStyle name="20% - Accent6 9 2 2 4 2" xfId="13812" xr:uid="{00000000-0005-0000-0000-0000B7290000}"/>
    <cellStyle name="20% - Accent6 9 2 2 4 2 2" xfId="37656" xr:uid="{58717435-6E6F-4291-A654-563C020BCBF8}"/>
    <cellStyle name="20% - Accent6 9 2 2 4 3" xfId="21760" xr:uid="{00000000-0005-0000-0000-0000B8290000}"/>
    <cellStyle name="20% - Accent6 9 2 2 4 3 2" xfId="45593" xr:uid="{6D17BF1D-4B4E-4619-9544-F7D445000B9B}"/>
    <cellStyle name="20% - Accent6 9 2 2 4 4" xfId="29715" xr:uid="{3841EF33-9BEE-4EF2-A976-0E8DD71A0201}"/>
    <cellStyle name="20% - Accent6 9 2 2 5" xfId="9381" xr:uid="{00000000-0005-0000-0000-0000B9290000}"/>
    <cellStyle name="20% - Accent6 9 2 2 5 2" xfId="17339" xr:uid="{00000000-0005-0000-0000-0000BA290000}"/>
    <cellStyle name="20% - Accent6 9 2 2 5 2 2" xfId="41180" xr:uid="{02D41323-EC54-4ABA-A23A-114AAF531854}"/>
    <cellStyle name="20% - Accent6 9 2 2 5 3" xfId="25283" xr:uid="{00000000-0005-0000-0000-0000BB290000}"/>
    <cellStyle name="20% - Accent6 9 2 2 5 3 2" xfId="49116" xr:uid="{7E3318B7-7D8E-495C-B9C9-C16FFB91C4C9}"/>
    <cellStyle name="20% - Accent6 9 2 2 5 4" xfId="33239" xr:uid="{9169AF25-2AD0-4D98-83DF-83FEA21BB737}"/>
    <cellStyle name="20% - Accent6 9 2 2 6" xfId="10277" xr:uid="{00000000-0005-0000-0000-0000BC290000}"/>
    <cellStyle name="20% - Accent6 9 2 2 6 2" xfId="34127" xr:uid="{9503A846-1BD0-45DC-8B24-92EB431C018D}"/>
    <cellStyle name="20% - Accent6 9 2 2 7" xfId="18232" xr:uid="{00000000-0005-0000-0000-0000BD290000}"/>
    <cellStyle name="20% - Accent6 9 2 2 7 2" xfId="42065" xr:uid="{F687A2F9-319B-4F0A-B9CD-75EFBB24AABC}"/>
    <cellStyle name="20% - Accent6 9 2 2 8" xfId="26185" xr:uid="{D0EAA11A-C39F-47CF-B245-80EDDA67E0B1}"/>
    <cellStyle name="20% - Accent6 9 2 2_Exh G" xfId="2677" xr:uid="{00000000-0005-0000-0000-0000BE290000}"/>
    <cellStyle name="20% - Accent6 9 2 3" xfId="1356" xr:uid="{00000000-0005-0000-0000-0000BF290000}"/>
    <cellStyle name="20% - Accent6 9 2 3 2" xfId="4886" xr:uid="{00000000-0005-0000-0000-0000C0290000}"/>
    <cellStyle name="20% - Accent6 9 2 3 2 2" xfId="8477" xr:uid="{00000000-0005-0000-0000-0000C1290000}"/>
    <cellStyle name="20% - Accent6 9 2 3 2 2 2" xfId="16448" xr:uid="{00000000-0005-0000-0000-0000C2290000}"/>
    <cellStyle name="20% - Accent6 9 2 3 2 2 2 2" xfId="40291" xr:uid="{6FC55A4D-010E-490D-BE4D-7CFAE8982DA6}"/>
    <cellStyle name="20% - Accent6 9 2 3 2 2 3" xfId="24394" xr:uid="{00000000-0005-0000-0000-0000C3290000}"/>
    <cellStyle name="20% - Accent6 9 2 3 2 2 3 2" xfId="48227" xr:uid="{C551A3C5-01C2-49EA-8367-39DAD050B348}"/>
    <cellStyle name="20% - Accent6 9 2 3 2 2 4" xfId="32350" xr:uid="{C7D1F7F4-12A9-44F6-8918-6100066123E1}"/>
    <cellStyle name="20% - Accent6 9 2 3 2 3" xfId="12910" xr:uid="{00000000-0005-0000-0000-0000C4290000}"/>
    <cellStyle name="20% - Accent6 9 2 3 2 3 2" xfId="36760" xr:uid="{1A494AA0-09AA-4051-8177-B3E35D75770D}"/>
    <cellStyle name="20% - Accent6 9 2 3 2 4" xfId="20865" xr:uid="{00000000-0005-0000-0000-0000C5290000}"/>
    <cellStyle name="20% - Accent6 9 2 3 2 4 2" xfId="44698" xr:uid="{EA124719-59AA-4E9A-84FA-6764F3475A82}"/>
    <cellStyle name="20% - Accent6 9 2 3 2 5" xfId="28819" xr:uid="{828F693F-BE36-4603-AB43-AE331F42F73F}"/>
    <cellStyle name="20% - Accent6 9 2 3 3" xfId="6718" xr:uid="{00000000-0005-0000-0000-0000C6290000}"/>
    <cellStyle name="20% - Accent6 9 2 3 3 2" xfId="14690" xr:uid="{00000000-0005-0000-0000-0000C7290000}"/>
    <cellStyle name="20% - Accent6 9 2 3 3 2 2" xfId="38533" xr:uid="{4EDE8E8A-1FD4-485C-AC69-C955C9DF3792}"/>
    <cellStyle name="20% - Accent6 9 2 3 3 3" xfId="22637" xr:uid="{00000000-0005-0000-0000-0000C8290000}"/>
    <cellStyle name="20% - Accent6 9 2 3 3 3 2" xfId="46470" xr:uid="{094DBA77-5BD0-4208-8221-0334D3F5603F}"/>
    <cellStyle name="20% - Accent6 9 2 3 3 4" xfId="30592" xr:uid="{FA198740-3449-4633-9C9E-3617E6CDB4C5}"/>
    <cellStyle name="20% - Accent6 9 2 3 4" xfId="11154" xr:uid="{00000000-0005-0000-0000-0000C9290000}"/>
    <cellStyle name="20% - Accent6 9 2 3 4 2" xfId="35004" xr:uid="{2E1CD2DD-F7A4-4DD3-A099-2FF8F0FA95E9}"/>
    <cellStyle name="20% - Accent6 9 2 3 5" xfId="19109" xr:uid="{00000000-0005-0000-0000-0000CA290000}"/>
    <cellStyle name="20% - Accent6 9 2 3 5 2" xfId="42942" xr:uid="{EF0D768B-4F56-409B-A223-CAD39E78CF7C}"/>
    <cellStyle name="20% - Accent6 9 2 3 6" xfId="27062" xr:uid="{0A9AF63F-1511-47A1-809D-EF1078A1CB06}"/>
    <cellStyle name="20% - Accent6 9 2 3_Exh G" xfId="2679" xr:uid="{00000000-0005-0000-0000-0000CB290000}"/>
    <cellStyle name="20% - Accent6 9 2 4" xfId="4007" xr:uid="{00000000-0005-0000-0000-0000CC290000}"/>
    <cellStyle name="20% - Accent6 9 2 4 2" xfId="7599" xr:uid="{00000000-0005-0000-0000-0000CD290000}"/>
    <cellStyle name="20% - Accent6 9 2 4 2 2" xfId="15570" xr:uid="{00000000-0005-0000-0000-0000CE290000}"/>
    <cellStyle name="20% - Accent6 9 2 4 2 2 2" xfId="39413" xr:uid="{202166E5-737B-4254-A329-943BF6ED310F}"/>
    <cellStyle name="20% - Accent6 9 2 4 2 3" xfId="23516" xr:uid="{00000000-0005-0000-0000-0000CF290000}"/>
    <cellStyle name="20% - Accent6 9 2 4 2 3 2" xfId="47349" xr:uid="{8E8B5F39-1C26-41F2-A95D-7518ACE9AF6F}"/>
    <cellStyle name="20% - Accent6 9 2 4 2 4" xfId="31472" xr:uid="{86277AA3-435C-46AA-93A8-26385CB230E1}"/>
    <cellStyle name="20% - Accent6 9 2 4 3" xfId="12032" xr:uid="{00000000-0005-0000-0000-0000D0290000}"/>
    <cellStyle name="20% - Accent6 9 2 4 3 2" xfId="35882" xr:uid="{28B85CF4-5B8D-4047-BD75-E616257CF066}"/>
    <cellStyle name="20% - Accent6 9 2 4 4" xfId="19987" xr:uid="{00000000-0005-0000-0000-0000D1290000}"/>
    <cellStyle name="20% - Accent6 9 2 4 4 2" xfId="43820" xr:uid="{2CDFD715-85E6-46FE-878E-BF16707D15C0}"/>
    <cellStyle name="20% - Accent6 9 2 4 5" xfId="27941" xr:uid="{4915B386-67A3-4414-87BB-3128E135A029}"/>
    <cellStyle name="20% - Accent6 9 2 5" xfId="5827" xr:uid="{00000000-0005-0000-0000-0000D2290000}"/>
    <cellStyle name="20% - Accent6 9 2 5 2" xfId="13811" xr:uid="{00000000-0005-0000-0000-0000D3290000}"/>
    <cellStyle name="20% - Accent6 9 2 5 2 2" xfId="37655" xr:uid="{2A4FCE53-CD3D-40A7-8387-E5D9EB3CB764}"/>
    <cellStyle name="20% - Accent6 9 2 5 3" xfId="21759" xr:uid="{00000000-0005-0000-0000-0000D4290000}"/>
    <cellStyle name="20% - Accent6 9 2 5 3 2" xfId="45592" xr:uid="{27613FFF-33E7-49DF-985A-7468BC4624CF}"/>
    <cellStyle name="20% - Accent6 9 2 5 4" xfId="29714" xr:uid="{F48433D2-A82A-4B27-AC18-721540D11F85}"/>
    <cellStyle name="20% - Accent6 9 2 6" xfId="9380" xr:uid="{00000000-0005-0000-0000-0000D5290000}"/>
    <cellStyle name="20% - Accent6 9 2 6 2" xfId="17338" xr:uid="{00000000-0005-0000-0000-0000D6290000}"/>
    <cellStyle name="20% - Accent6 9 2 6 2 2" xfId="41179" xr:uid="{B077006E-6C30-4873-AB57-5EEE711617AA}"/>
    <cellStyle name="20% - Accent6 9 2 6 3" xfId="25282" xr:uid="{00000000-0005-0000-0000-0000D7290000}"/>
    <cellStyle name="20% - Accent6 9 2 6 3 2" xfId="49115" xr:uid="{1E5C32F0-8ED5-4DCD-BFD4-6CCD4F282A92}"/>
    <cellStyle name="20% - Accent6 9 2 6 4" xfId="33238" xr:uid="{040AB1D7-E4A0-45FD-8A85-D8CD9C285752}"/>
    <cellStyle name="20% - Accent6 9 2 7" xfId="10276" xr:uid="{00000000-0005-0000-0000-0000D8290000}"/>
    <cellStyle name="20% - Accent6 9 2 7 2" xfId="34126" xr:uid="{EF933F14-33FC-4158-9172-BC8C5378C4A1}"/>
    <cellStyle name="20% - Accent6 9 2 8" xfId="18231" xr:uid="{00000000-0005-0000-0000-0000D9290000}"/>
    <cellStyle name="20% - Accent6 9 2 8 2" xfId="42064" xr:uid="{F4D28DC1-6701-4213-9670-C27DC9F5B9FD}"/>
    <cellStyle name="20% - Accent6 9 2 9" xfId="26184" xr:uid="{F002D7BB-452B-4CD5-8365-38E8F4746DD8}"/>
    <cellStyle name="20% - Accent6 9 2_Exh G" xfId="2676" xr:uid="{00000000-0005-0000-0000-0000DA290000}"/>
    <cellStyle name="20% - Accent6 9 3" xfId="330" xr:uid="{00000000-0005-0000-0000-0000DB290000}"/>
    <cellStyle name="20% - Accent6 9 3 2" xfId="1358" xr:uid="{00000000-0005-0000-0000-0000DC290000}"/>
    <cellStyle name="20% - Accent6 9 3 2 2" xfId="4888" xr:uid="{00000000-0005-0000-0000-0000DD290000}"/>
    <cellStyle name="20% - Accent6 9 3 2 2 2" xfId="8479" xr:uid="{00000000-0005-0000-0000-0000DE290000}"/>
    <cellStyle name="20% - Accent6 9 3 2 2 2 2" xfId="16450" xr:uid="{00000000-0005-0000-0000-0000DF290000}"/>
    <cellStyle name="20% - Accent6 9 3 2 2 2 2 2" xfId="40293" xr:uid="{ADDAB578-268D-46EE-A315-CEE8517889E3}"/>
    <cellStyle name="20% - Accent6 9 3 2 2 2 3" xfId="24396" xr:uid="{00000000-0005-0000-0000-0000E0290000}"/>
    <cellStyle name="20% - Accent6 9 3 2 2 2 3 2" xfId="48229" xr:uid="{AE7CC458-5798-4C4E-ABBB-77AE84073C09}"/>
    <cellStyle name="20% - Accent6 9 3 2 2 2 4" xfId="32352" xr:uid="{A47CE12C-5A6E-4A86-B064-847180A23CF4}"/>
    <cellStyle name="20% - Accent6 9 3 2 2 3" xfId="12912" xr:uid="{00000000-0005-0000-0000-0000E1290000}"/>
    <cellStyle name="20% - Accent6 9 3 2 2 3 2" xfId="36762" xr:uid="{1AC15083-5A1A-49D8-921F-8A823FAAF63E}"/>
    <cellStyle name="20% - Accent6 9 3 2 2 4" xfId="20867" xr:uid="{00000000-0005-0000-0000-0000E2290000}"/>
    <cellStyle name="20% - Accent6 9 3 2 2 4 2" xfId="44700" xr:uid="{2ECA3BFF-521D-4835-BD76-422C71EA8CD2}"/>
    <cellStyle name="20% - Accent6 9 3 2 2 5" xfId="28821" xr:uid="{5150EC6F-9365-4517-B79C-49BB036A1EE4}"/>
    <cellStyle name="20% - Accent6 9 3 2 3" xfId="6720" xr:uid="{00000000-0005-0000-0000-0000E3290000}"/>
    <cellStyle name="20% - Accent6 9 3 2 3 2" xfId="14692" xr:uid="{00000000-0005-0000-0000-0000E4290000}"/>
    <cellStyle name="20% - Accent6 9 3 2 3 2 2" xfId="38535" xr:uid="{ACAF6DAB-5AFB-4040-B3BA-1854EA1153CE}"/>
    <cellStyle name="20% - Accent6 9 3 2 3 3" xfId="22639" xr:uid="{00000000-0005-0000-0000-0000E5290000}"/>
    <cellStyle name="20% - Accent6 9 3 2 3 3 2" xfId="46472" xr:uid="{B9062407-3E18-4B51-8A1C-425584D24286}"/>
    <cellStyle name="20% - Accent6 9 3 2 3 4" xfId="30594" xr:uid="{FB75CF14-F4DC-4D62-9EBD-FEB877B62A11}"/>
    <cellStyle name="20% - Accent6 9 3 2 4" xfId="11156" xr:uid="{00000000-0005-0000-0000-0000E6290000}"/>
    <cellStyle name="20% - Accent6 9 3 2 4 2" xfId="35006" xr:uid="{9783EAC3-6B26-45A2-8FF4-AF9F69BE714F}"/>
    <cellStyle name="20% - Accent6 9 3 2 5" xfId="19111" xr:uid="{00000000-0005-0000-0000-0000E7290000}"/>
    <cellStyle name="20% - Accent6 9 3 2 5 2" xfId="42944" xr:uid="{E98D5653-FFC6-4B98-BFAE-609237CD998F}"/>
    <cellStyle name="20% - Accent6 9 3 2 6" xfId="27064" xr:uid="{E0A96505-A1B8-475C-A2AC-C807FDB90456}"/>
    <cellStyle name="20% - Accent6 9 3 2_Exh G" xfId="2681" xr:uid="{00000000-0005-0000-0000-0000E8290000}"/>
    <cellStyle name="20% - Accent6 9 3 3" xfId="4009" xr:uid="{00000000-0005-0000-0000-0000E9290000}"/>
    <cellStyle name="20% - Accent6 9 3 3 2" xfId="7601" xr:uid="{00000000-0005-0000-0000-0000EA290000}"/>
    <cellStyle name="20% - Accent6 9 3 3 2 2" xfId="15572" xr:uid="{00000000-0005-0000-0000-0000EB290000}"/>
    <cellStyle name="20% - Accent6 9 3 3 2 2 2" xfId="39415" xr:uid="{9092EC9C-F1CD-427C-B270-56BB09C68D56}"/>
    <cellStyle name="20% - Accent6 9 3 3 2 3" xfId="23518" xr:uid="{00000000-0005-0000-0000-0000EC290000}"/>
    <cellStyle name="20% - Accent6 9 3 3 2 3 2" xfId="47351" xr:uid="{E45C872C-9204-4055-AE78-B85EA45A9091}"/>
    <cellStyle name="20% - Accent6 9 3 3 2 4" xfId="31474" xr:uid="{72758B65-1D2C-4948-80C6-391D571784DF}"/>
    <cellStyle name="20% - Accent6 9 3 3 3" xfId="12034" xr:uid="{00000000-0005-0000-0000-0000ED290000}"/>
    <cellStyle name="20% - Accent6 9 3 3 3 2" xfId="35884" xr:uid="{72BCD302-8D41-4D71-A5D1-3CF06A564D51}"/>
    <cellStyle name="20% - Accent6 9 3 3 4" xfId="19989" xr:uid="{00000000-0005-0000-0000-0000EE290000}"/>
    <cellStyle name="20% - Accent6 9 3 3 4 2" xfId="43822" xr:uid="{BF24B47C-E37A-4015-9FA4-3364B23E5A29}"/>
    <cellStyle name="20% - Accent6 9 3 3 5" xfId="27943" xr:uid="{BA3607E0-A2D6-4349-9407-BB81D82FE17F}"/>
    <cellStyle name="20% - Accent6 9 3 4" xfId="5829" xr:uid="{00000000-0005-0000-0000-0000EF290000}"/>
    <cellStyle name="20% - Accent6 9 3 4 2" xfId="13813" xr:uid="{00000000-0005-0000-0000-0000F0290000}"/>
    <cellStyle name="20% - Accent6 9 3 4 2 2" xfId="37657" xr:uid="{CC6B5CF9-8D10-4A41-A975-2FDB6D271E8B}"/>
    <cellStyle name="20% - Accent6 9 3 4 3" xfId="21761" xr:uid="{00000000-0005-0000-0000-0000F1290000}"/>
    <cellStyle name="20% - Accent6 9 3 4 3 2" xfId="45594" xr:uid="{09A9C751-387A-46A2-8311-ADCB3A6F8BD3}"/>
    <cellStyle name="20% - Accent6 9 3 4 4" xfId="29716" xr:uid="{7A936FF6-0E16-4DAB-850F-A2845B24D4D6}"/>
    <cellStyle name="20% - Accent6 9 3 5" xfId="9382" xr:uid="{00000000-0005-0000-0000-0000F2290000}"/>
    <cellStyle name="20% - Accent6 9 3 5 2" xfId="17340" xr:uid="{00000000-0005-0000-0000-0000F3290000}"/>
    <cellStyle name="20% - Accent6 9 3 5 2 2" xfId="41181" xr:uid="{8C585134-F278-47DC-BC00-384F585D36EB}"/>
    <cellStyle name="20% - Accent6 9 3 5 3" xfId="25284" xr:uid="{00000000-0005-0000-0000-0000F4290000}"/>
    <cellStyle name="20% - Accent6 9 3 5 3 2" xfId="49117" xr:uid="{D5AB252D-B64D-49C8-BA05-89FE69C00457}"/>
    <cellStyle name="20% - Accent6 9 3 5 4" xfId="33240" xr:uid="{5BD07F98-085A-4FB5-928A-2473DDAA8F26}"/>
    <cellStyle name="20% - Accent6 9 3 6" xfId="10278" xr:uid="{00000000-0005-0000-0000-0000F5290000}"/>
    <cellStyle name="20% - Accent6 9 3 6 2" xfId="34128" xr:uid="{2431E65C-EE58-4D64-86E1-630B79196C8A}"/>
    <cellStyle name="20% - Accent6 9 3 7" xfId="18233" xr:uid="{00000000-0005-0000-0000-0000F6290000}"/>
    <cellStyle name="20% - Accent6 9 3 7 2" xfId="42066" xr:uid="{E9EC75B8-AAE5-4787-AEC6-8A0D560465AA}"/>
    <cellStyle name="20% - Accent6 9 3 8" xfId="26186" xr:uid="{6D99CFA3-2D4E-4A86-96EF-2552EFDDC2E2}"/>
    <cellStyle name="20% - Accent6 9 3_Exh G" xfId="2680" xr:uid="{00000000-0005-0000-0000-0000F7290000}"/>
    <cellStyle name="20% - Accent6 9 4" xfId="933" xr:uid="{00000000-0005-0000-0000-0000F8290000}"/>
    <cellStyle name="20% - Accent6 9 4 2" xfId="1858" xr:uid="{00000000-0005-0000-0000-0000F9290000}"/>
    <cellStyle name="20% - Accent6 9 4 2 2" xfId="5376" xr:uid="{00000000-0005-0000-0000-0000FA290000}"/>
    <cellStyle name="20% - Accent6 9 4 2 2 2" xfId="8967" xr:uid="{00000000-0005-0000-0000-0000FB290000}"/>
    <cellStyle name="20% - Accent6 9 4 2 2 2 2" xfId="16938" xr:uid="{00000000-0005-0000-0000-0000FC290000}"/>
    <cellStyle name="20% - Accent6 9 4 2 2 2 2 2" xfId="40781" xr:uid="{88041285-D4E4-4D80-A154-3F18CA9D1E3A}"/>
    <cellStyle name="20% - Accent6 9 4 2 2 2 3" xfId="24884" xr:uid="{00000000-0005-0000-0000-0000FD290000}"/>
    <cellStyle name="20% - Accent6 9 4 2 2 2 3 2" xfId="48717" xr:uid="{031131AC-C1F7-4165-9BE9-DEEE19531EBD}"/>
    <cellStyle name="20% - Accent6 9 4 2 2 2 4" xfId="32840" xr:uid="{D4E04E9B-7D92-4CBD-B357-D27FA74F6BB5}"/>
    <cellStyle name="20% - Accent6 9 4 2 2 3" xfId="13400" xr:uid="{00000000-0005-0000-0000-0000FE290000}"/>
    <cellStyle name="20% - Accent6 9 4 2 2 3 2" xfId="37250" xr:uid="{8FE5D469-CB45-4E7C-A956-4B11A971D58D}"/>
    <cellStyle name="20% - Accent6 9 4 2 2 4" xfId="21355" xr:uid="{00000000-0005-0000-0000-0000FF290000}"/>
    <cellStyle name="20% - Accent6 9 4 2 2 4 2" xfId="45188" xr:uid="{1D79AFB7-1314-4EE5-BC46-EFFB39E02351}"/>
    <cellStyle name="20% - Accent6 9 4 2 2 5" xfId="29309" xr:uid="{B8EA3669-6603-47B1-9CEA-D0EFB732A91B}"/>
    <cellStyle name="20% - Accent6 9 4 2 3" xfId="7208" xr:uid="{00000000-0005-0000-0000-0000002A0000}"/>
    <cellStyle name="20% - Accent6 9 4 2 3 2" xfId="15180" xr:uid="{00000000-0005-0000-0000-0000012A0000}"/>
    <cellStyle name="20% - Accent6 9 4 2 3 2 2" xfId="39023" xr:uid="{92F6E39A-4594-42BE-9DC0-F2C15DA8A86D}"/>
    <cellStyle name="20% - Accent6 9 4 2 3 3" xfId="23127" xr:uid="{00000000-0005-0000-0000-0000022A0000}"/>
    <cellStyle name="20% - Accent6 9 4 2 3 3 2" xfId="46960" xr:uid="{BF6A985D-3590-4DE2-B92E-D5EAB00C0F3D}"/>
    <cellStyle name="20% - Accent6 9 4 2 3 4" xfId="31082" xr:uid="{47498440-C083-478C-91EC-8EC099214E16}"/>
    <cellStyle name="20% - Accent6 9 4 2 4" xfId="11644" xr:uid="{00000000-0005-0000-0000-0000032A0000}"/>
    <cellStyle name="20% - Accent6 9 4 2 4 2" xfId="35494" xr:uid="{C5D435D1-E24A-4119-86EA-9ED2F6FCF8C3}"/>
    <cellStyle name="20% - Accent6 9 4 2 5" xfId="19599" xr:uid="{00000000-0005-0000-0000-0000042A0000}"/>
    <cellStyle name="20% - Accent6 9 4 2 5 2" xfId="43432" xr:uid="{4CF7263C-406F-4E76-B9FB-66C671592BE5}"/>
    <cellStyle name="20% - Accent6 9 4 2 6" xfId="27552" xr:uid="{0A61BE15-1F82-4203-B283-A10653620B4F}"/>
    <cellStyle name="20% - Accent6 9 4 2_Exh G" xfId="2683" xr:uid="{00000000-0005-0000-0000-0000052A0000}"/>
    <cellStyle name="20% - Accent6 9 4 3" xfId="4497" xr:uid="{00000000-0005-0000-0000-0000062A0000}"/>
    <cellStyle name="20% - Accent6 9 4 3 2" xfId="8089" xr:uid="{00000000-0005-0000-0000-0000072A0000}"/>
    <cellStyle name="20% - Accent6 9 4 3 2 2" xfId="16060" xr:uid="{00000000-0005-0000-0000-0000082A0000}"/>
    <cellStyle name="20% - Accent6 9 4 3 2 2 2" xfId="39903" xr:uid="{9B0F840C-0F01-439F-B1AB-D3470FA466AF}"/>
    <cellStyle name="20% - Accent6 9 4 3 2 3" xfId="24006" xr:uid="{00000000-0005-0000-0000-0000092A0000}"/>
    <cellStyle name="20% - Accent6 9 4 3 2 3 2" xfId="47839" xr:uid="{7A91D6B0-3B8C-4AA3-9938-B9C475D8A642}"/>
    <cellStyle name="20% - Accent6 9 4 3 2 4" xfId="31962" xr:uid="{82DCCD54-D276-42E6-9A8A-61F20C307F8D}"/>
    <cellStyle name="20% - Accent6 9 4 3 3" xfId="12522" xr:uid="{00000000-0005-0000-0000-00000A2A0000}"/>
    <cellStyle name="20% - Accent6 9 4 3 3 2" xfId="36372" xr:uid="{11FB1A87-6B97-4345-9460-845EE7498DD6}"/>
    <cellStyle name="20% - Accent6 9 4 3 4" xfId="20477" xr:uid="{00000000-0005-0000-0000-00000B2A0000}"/>
    <cellStyle name="20% - Accent6 9 4 3 4 2" xfId="44310" xr:uid="{321378C2-BACD-4B5E-B2D3-0E1C454875FD}"/>
    <cellStyle name="20% - Accent6 9 4 3 5" xfId="28431" xr:uid="{AB09F500-D65A-405B-9A4C-42CE1F7E7F40}"/>
    <cellStyle name="20% - Accent6 9 4 4" xfId="6327" xr:uid="{00000000-0005-0000-0000-00000C2A0000}"/>
    <cellStyle name="20% - Accent6 9 4 4 2" xfId="14302" xr:uid="{00000000-0005-0000-0000-00000D2A0000}"/>
    <cellStyle name="20% - Accent6 9 4 4 2 2" xfId="38145" xr:uid="{02CF6845-491F-4C9A-967B-2931E24915C2}"/>
    <cellStyle name="20% - Accent6 9 4 4 3" xfId="22249" xr:uid="{00000000-0005-0000-0000-00000E2A0000}"/>
    <cellStyle name="20% - Accent6 9 4 4 3 2" xfId="46082" xr:uid="{36992736-6407-496C-A53E-5A4116F6BB95}"/>
    <cellStyle name="20% - Accent6 9 4 4 4" xfId="30204" xr:uid="{B1D5D57D-4670-4E1F-9E02-90B3AF86F2F4}"/>
    <cellStyle name="20% - Accent6 9 4 5" xfId="9870" xr:uid="{00000000-0005-0000-0000-00000F2A0000}"/>
    <cellStyle name="20% - Accent6 9 4 5 2" xfId="17828" xr:uid="{00000000-0005-0000-0000-0000102A0000}"/>
    <cellStyle name="20% - Accent6 9 4 5 2 2" xfId="41669" xr:uid="{CF6707E5-046B-4708-BB0C-343145EE8C93}"/>
    <cellStyle name="20% - Accent6 9 4 5 3" xfId="25772" xr:uid="{00000000-0005-0000-0000-0000112A0000}"/>
    <cellStyle name="20% - Accent6 9 4 5 3 2" xfId="49605" xr:uid="{65208568-11E7-494E-95A4-D4E2326BF300}"/>
    <cellStyle name="20% - Accent6 9 4 5 4" xfId="33728" xr:uid="{2BF80B22-7DEE-45EE-A94A-FBD06AE1AE46}"/>
    <cellStyle name="20% - Accent6 9 4 6" xfId="10766" xr:uid="{00000000-0005-0000-0000-0000122A0000}"/>
    <cellStyle name="20% - Accent6 9 4 6 2" xfId="34616" xr:uid="{A41D14C0-3052-4A11-A055-31C5929A9230}"/>
    <cellStyle name="20% - Accent6 9 4 7" xfId="18721" xr:uid="{00000000-0005-0000-0000-0000132A0000}"/>
    <cellStyle name="20% - Accent6 9 4 7 2" xfId="42554" xr:uid="{741CA862-DFC9-467F-A10E-DB2C689598C5}"/>
    <cellStyle name="20% - Accent6 9 4 8" xfId="26674" xr:uid="{94037552-F7C9-432B-9872-A4D985AF57C2}"/>
    <cellStyle name="20% - Accent6 9 4_Exh G" xfId="2682" xr:uid="{00000000-0005-0000-0000-0000142A0000}"/>
    <cellStyle name="20% - Accent6 9 5" xfId="1355" xr:uid="{00000000-0005-0000-0000-0000152A0000}"/>
    <cellStyle name="20% - Accent6 9 5 2" xfId="4885" xr:uid="{00000000-0005-0000-0000-0000162A0000}"/>
    <cellStyle name="20% - Accent6 9 5 2 2" xfId="8476" xr:uid="{00000000-0005-0000-0000-0000172A0000}"/>
    <cellStyle name="20% - Accent6 9 5 2 2 2" xfId="16447" xr:uid="{00000000-0005-0000-0000-0000182A0000}"/>
    <cellStyle name="20% - Accent6 9 5 2 2 2 2" xfId="40290" xr:uid="{6F04E7B3-7905-482A-A472-C93F8EC7AC3F}"/>
    <cellStyle name="20% - Accent6 9 5 2 2 3" xfId="24393" xr:uid="{00000000-0005-0000-0000-0000192A0000}"/>
    <cellStyle name="20% - Accent6 9 5 2 2 3 2" xfId="48226" xr:uid="{41B20C4B-4599-409F-AE16-FA4821B25B9C}"/>
    <cellStyle name="20% - Accent6 9 5 2 2 4" xfId="32349" xr:uid="{C129F8FA-B49F-4AA7-958E-62E44691F723}"/>
    <cellStyle name="20% - Accent6 9 5 2 3" xfId="12909" xr:uid="{00000000-0005-0000-0000-00001A2A0000}"/>
    <cellStyle name="20% - Accent6 9 5 2 3 2" xfId="36759" xr:uid="{B54151B0-D50F-4B99-A66D-3A721EC2FF3F}"/>
    <cellStyle name="20% - Accent6 9 5 2 4" xfId="20864" xr:uid="{00000000-0005-0000-0000-00001B2A0000}"/>
    <cellStyle name="20% - Accent6 9 5 2 4 2" xfId="44697" xr:uid="{C3F50FED-9A0E-438C-A680-63276012CEB0}"/>
    <cellStyle name="20% - Accent6 9 5 2 5" xfId="28818" xr:uid="{F5094381-CB73-4E7F-B2D5-20ECEEEB3983}"/>
    <cellStyle name="20% - Accent6 9 5 3" xfId="6717" xr:uid="{00000000-0005-0000-0000-00001C2A0000}"/>
    <cellStyle name="20% - Accent6 9 5 3 2" xfId="14689" xr:uid="{00000000-0005-0000-0000-00001D2A0000}"/>
    <cellStyle name="20% - Accent6 9 5 3 2 2" xfId="38532" xr:uid="{89F3B2F8-485D-4D5A-AE9E-027C13BF6EDE}"/>
    <cellStyle name="20% - Accent6 9 5 3 3" xfId="22636" xr:uid="{00000000-0005-0000-0000-00001E2A0000}"/>
    <cellStyle name="20% - Accent6 9 5 3 3 2" xfId="46469" xr:uid="{6BBFCA72-3FBD-4723-98CA-87FB0E076DCA}"/>
    <cellStyle name="20% - Accent6 9 5 3 4" xfId="30591" xr:uid="{BF4EE317-CF5B-4714-8D7D-FA239DCAC005}"/>
    <cellStyle name="20% - Accent6 9 5 4" xfId="11153" xr:uid="{00000000-0005-0000-0000-00001F2A0000}"/>
    <cellStyle name="20% - Accent6 9 5 4 2" xfId="35003" xr:uid="{3FCA5F2C-19DE-4D65-BDA7-4F07201E1558}"/>
    <cellStyle name="20% - Accent6 9 5 5" xfId="19108" xr:uid="{00000000-0005-0000-0000-0000202A0000}"/>
    <cellStyle name="20% - Accent6 9 5 5 2" xfId="42941" xr:uid="{C7D0F261-EFC3-46DA-B770-5550E8BA2529}"/>
    <cellStyle name="20% - Accent6 9 5 6" xfId="27061" xr:uid="{39BBC64C-2851-48A5-8B7A-D8A628C947E8}"/>
    <cellStyle name="20% - Accent6 9 5_Exh G" xfId="2684" xr:uid="{00000000-0005-0000-0000-0000212A0000}"/>
    <cellStyle name="20% - Accent6 9 6" xfId="4006" xr:uid="{00000000-0005-0000-0000-0000222A0000}"/>
    <cellStyle name="20% - Accent6 9 6 2" xfId="7598" xr:uid="{00000000-0005-0000-0000-0000232A0000}"/>
    <cellStyle name="20% - Accent6 9 6 2 2" xfId="15569" xr:uid="{00000000-0005-0000-0000-0000242A0000}"/>
    <cellStyle name="20% - Accent6 9 6 2 2 2" xfId="39412" xr:uid="{98AC20B5-4AA7-4A75-9051-29A035A1569B}"/>
    <cellStyle name="20% - Accent6 9 6 2 3" xfId="23515" xr:uid="{00000000-0005-0000-0000-0000252A0000}"/>
    <cellStyle name="20% - Accent6 9 6 2 3 2" xfId="47348" xr:uid="{4713F0E6-71DA-4270-ADDF-9BBB7F8620A6}"/>
    <cellStyle name="20% - Accent6 9 6 2 4" xfId="31471" xr:uid="{5A4DEF15-C826-48E6-9C4A-5360E354B716}"/>
    <cellStyle name="20% - Accent6 9 6 3" xfId="12031" xr:uid="{00000000-0005-0000-0000-0000262A0000}"/>
    <cellStyle name="20% - Accent6 9 6 3 2" xfId="35881" xr:uid="{0913DBEC-E0A9-4734-A9BF-D0E2FE7E5CFE}"/>
    <cellStyle name="20% - Accent6 9 6 4" xfId="19986" xr:uid="{00000000-0005-0000-0000-0000272A0000}"/>
    <cellStyle name="20% - Accent6 9 6 4 2" xfId="43819" xr:uid="{CB4C5A52-2F42-4934-BB76-D4B31E51794B}"/>
    <cellStyle name="20% - Accent6 9 6 5" xfId="27940" xr:uid="{12FC6B05-1F83-4ECA-8DBD-DC07202FFB2D}"/>
    <cellStyle name="20% - Accent6 9 7" xfId="5826" xr:uid="{00000000-0005-0000-0000-0000282A0000}"/>
    <cellStyle name="20% - Accent6 9 7 2" xfId="13810" xr:uid="{00000000-0005-0000-0000-0000292A0000}"/>
    <cellStyle name="20% - Accent6 9 7 2 2" xfId="37654" xr:uid="{2D66A775-761F-431C-9913-9596AA402D13}"/>
    <cellStyle name="20% - Accent6 9 7 3" xfId="21758" xr:uid="{00000000-0005-0000-0000-00002A2A0000}"/>
    <cellStyle name="20% - Accent6 9 7 3 2" xfId="45591" xr:uid="{893F1042-A737-4F1D-ADEA-B99A401CB32E}"/>
    <cellStyle name="20% - Accent6 9 7 4" xfId="29713" xr:uid="{CC8F3B63-6B80-466E-A4AD-AEC07D382512}"/>
    <cellStyle name="20% - Accent6 9 8" xfId="9379" xr:uid="{00000000-0005-0000-0000-00002B2A0000}"/>
    <cellStyle name="20% - Accent6 9 8 2" xfId="17337" xr:uid="{00000000-0005-0000-0000-00002C2A0000}"/>
    <cellStyle name="20% - Accent6 9 8 2 2" xfId="41178" xr:uid="{6D2826E4-B9E3-4E16-BB36-E05C61F3AD49}"/>
    <cellStyle name="20% - Accent6 9 8 3" xfId="25281" xr:uid="{00000000-0005-0000-0000-00002D2A0000}"/>
    <cellStyle name="20% - Accent6 9 8 3 2" xfId="49114" xr:uid="{944569E7-BFF9-43AF-97AD-4B61BF382C05}"/>
    <cellStyle name="20% - Accent6 9 8 4" xfId="33237" xr:uid="{74252DEE-D202-45F8-B97C-B75A3BEAA671}"/>
    <cellStyle name="20% - Accent6 9 9" xfId="10275" xr:uid="{00000000-0005-0000-0000-00002E2A0000}"/>
    <cellStyle name="20% - Accent6 9 9 2" xfId="34125" xr:uid="{8DEF2938-475A-4FEF-9FD2-A861A3DBC31B}"/>
    <cellStyle name="20% - Accent6 9_Exh G" xfId="2675" xr:uid="{00000000-0005-0000-0000-00002F2A0000}"/>
    <cellStyle name="40% - Accent1" xfId="49698" builtinId="31" customBuiltin="1"/>
    <cellStyle name="40% - Accent1 10" xfId="331" xr:uid="{00000000-0005-0000-0000-0000302A0000}"/>
    <cellStyle name="40% - Accent1 10 10" xfId="18234" xr:uid="{00000000-0005-0000-0000-0000312A0000}"/>
    <cellStyle name="40% - Accent1 10 10 2" xfId="42067" xr:uid="{D2D3C89F-08AC-486C-9FB6-B118ED925DE4}"/>
    <cellStyle name="40% - Accent1 10 11" xfId="26187" xr:uid="{6D4E807B-36E5-4E81-9371-D1E051F2EDD4}"/>
    <cellStyle name="40% - Accent1 10 2" xfId="332" xr:uid="{00000000-0005-0000-0000-0000322A0000}"/>
    <cellStyle name="40% - Accent1 10 2 2" xfId="333" xr:uid="{00000000-0005-0000-0000-0000332A0000}"/>
    <cellStyle name="40% - Accent1 10 2 2 2" xfId="1361" xr:uid="{00000000-0005-0000-0000-0000342A0000}"/>
    <cellStyle name="40% - Accent1 10 2 2 2 2" xfId="4891" xr:uid="{00000000-0005-0000-0000-0000352A0000}"/>
    <cellStyle name="40% - Accent1 10 2 2 2 2 2" xfId="8482" xr:uid="{00000000-0005-0000-0000-0000362A0000}"/>
    <cellStyle name="40% - Accent1 10 2 2 2 2 2 2" xfId="16453" xr:uid="{00000000-0005-0000-0000-0000372A0000}"/>
    <cellStyle name="40% - Accent1 10 2 2 2 2 2 2 2" xfId="40296" xr:uid="{890A5A17-8BE3-46D7-9F0E-779990957878}"/>
    <cellStyle name="40% - Accent1 10 2 2 2 2 2 3" xfId="24399" xr:uid="{00000000-0005-0000-0000-0000382A0000}"/>
    <cellStyle name="40% - Accent1 10 2 2 2 2 2 3 2" xfId="48232" xr:uid="{D461570F-4F81-4130-A2FE-66034498463B}"/>
    <cellStyle name="40% - Accent1 10 2 2 2 2 2 4" xfId="32355" xr:uid="{12A040F3-1870-4880-BE50-BAD8846A1018}"/>
    <cellStyle name="40% - Accent1 10 2 2 2 2 3" xfId="12915" xr:uid="{00000000-0005-0000-0000-0000392A0000}"/>
    <cellStyle name="40% - Accent1 10 2 2 2 2 3 2" xfId="36765" xr:uid="{C1981C7C-9835-4C20-ACB5-3F20EECC5EB8}"/>
    <cellStyle name="40% - Accent1 10 2 2 2 2 4" xfId="20870" xr:uid="{00000000-0005-0000-0000-00003A2A0000}"/>
    <cellStyle name="40% - Accent1 10 2 2 2 2 4 2" xfId="44703" xr:uid="{A3E333A0-0ED8-42CA-BF73-37701713D880}"/>
    <cellStyle name="40% - Accent1 10 2 2 2 2 5" xfId="28824" xr:uid="{8BAEE4E2-23F2-41DF-9847-A3B0EE8283D8}"/>
    <cellStyle name="40% - Accent1 10 2 2 2 3" xfId="6723" xr:uid="{00000000-0005-0000-0000-00003B2A0000}"/>
    <cellStyle name="40% - Accent1 10 2 2 2 3 2" xfId="14695" xr:uid="{00000000-0005-0000-0000-00003C2A0000}"/>
    <cellStyle name="40% - Accent1 10 2 2 2 3 2 2" xfId="38538" xr:uid="{F210CBB0-B67B-470D-99B0-76DBCD7AF074}"/>
    <cellStyle name="40% - Accent1 10 2 2 2 3 3" xfId="22642" xr:uid="{00000000-0005-0000-0000-00003D2A0000}"/>
    <cellStyle name="40% - Accent1 10 2 2 2 3 3 2" xfId="46475" xr:uid="{88B30EF6-AB27-43A5-ACCB-3ED4F9CE9360}"/>
    <cellStyle name="40% - Accent1 10 2 2 2 3 4" xfId="30597" xr:uid="{0A8E968F-3318-4BC4-A9C5-7588DE3F24DE}"/>
    <cellStyle name="40% - Accent1 10 2 2 2 4" xfId="11159" xr:uid="{00000000-0005-0000-0000-00003E2A0000}"/>
    <cellStyle name="40% - Accent1 10 2 2 2 4 2" xfId="35009" xr:uid="{2FFB4D79-5E66-4094-ADEC-C4E4B0D9A281}"/>
    <cellStyle name="40% - Accent1 10 2 2 2 5" xfId="19114" xr:uid="{00000000-0005-0000-0000-00003F2A0000}"/>
    <cellStyle name="40% - Accent1 10 2 2 2 5 2" xfId="42947" xr:uid="{B5581DC6-2DF3-414A-956F-E7CA66196632}"/>
    <cellStyle name="40% - Accent1 10 2 2 2 6" xfId="27067" xr:uid="{E201200A-49BF-4103-905D-876A10B5FBDA}"/>
    <cellStyle name="40% - Accent1 10 2 2 2_Exh G" xfId="2688" xr:uid="{00000000-0005-0000-0000-0000402A0000}"/>
    <cellStyle name="40% - Accent1 10 2 2 3" xfId="4012" xr:uid="{00000000-0005-0000-0000-0000412A0000}"/>
    <cellStyle name="40% - Accent1 10 2 2 3 2" xfId="7604" xr:uid="{00000000-0005-0000-0000-0000422A0000}"/>
    <cellStyle name="40% - Accent1 10 2 2 3 2 2" xfId="15575" xr:uid="{00000000-0005-0000-0000-0000432A0000}"/>
    <cellStyle name="40% - Accent1 10 2 2 3 2 2 2" xfId="39418" xr:uid="{8594B7DD-4B4B-4C62-84B7-D3D9975A18CA}"/>
    <cellStyle name="40% - Accent1 10 2 2 3 2 3" xfId="23521" xr:uid="{00000000-0005-0000-0000-0000442A0000}"/>
    <cellStyle name="40% - Accent1 10 2 2 3 2 3 2" xfId="47354" xr:uid="{4064FD0E-4D2F-4C90-9DDA-C7B24AE5C383}"/>
    <cellStyle name="40% - Accent1 10 2 2 3 2 4" xfId="31477" xr:uid="{DBD9DA3C-0139-4D67-9718-781ADADF02CA}"/>
    <cellStyle name="40% - Accent1 10 2 2 3 3" xfId="12037" xr:uid="{00000000-0005-0000-0000-0000452A0000}"/>
    <cellStyle name="40% - Accent1 10 2 2 3 3 2" xfId="35887" xr:uid="{9E5EDE6B-3FB3-4C1C-AF73-A496644AD86A}"/>
    <cellStyle name="40% - Accent1 10 2 2 3 4" xfId="19992" xr:uid="{00000000-0005-0000-0000-0000462A0000}"/>
    <cellStyle name="40% - Accent1 10 2 2 3 4 2" xfId="43825" xr:uid="{26EA243B-F6A9-49F1-87C5-72147A3ACC19}"/>
    <cellStyle name="40% - Accent1 10 2 2 3 5" xfId="27946" xr:uid="{40F890F6-4AF0-435C-A4B3-912151588E30}"/>
    <cellStyle name="40% - Accent1 10 2 2 4" xfId="5832" xr:uid="{00000000-0005-0000-0000-0000472A0000}"/>
    <cellStyle name="40% - Accent1 10 2 2 4 2" xfId="13816" xr:uid="{00000000-0005-0000-0000-0000482A0000}"/>
    <cellStyle name="40% - Accent1 10 2 2 4 2 2" xfId="37660" xr:uid="{B039E9E2-7CC2-4CAC-A823-CA72EC371DE4}"/>
    <cellStyle name="40% - Accent1 10 2 2 4 3" xfId="21764" xr:uid="{00000000-0005-0000-0000-0000492A0000}"/>
    <cellStyle name="40% - Accent1 10 2 2 4 3 2" xfId="45597" xr:uid="{C3497654-A512-49F1-A481-2518C4E5EF55}"/>
    <cellStyle name="40% - Accent1 10 2 2 4 4" xfId="29719" xr:uid="{B5E49171-9369-4EBF-8F17-D6E42FA8B64E}"/>
    <cellStyle name="40% - Accent1 10 2 2 5" xfId="9385" xr:uid="{00000000-0005-0000-0000-00004A2A0000}"/>
    <cellStyle name="40% - Accent1 10 2 2 5 2" xfId="17343" xr:uid="{00000000-0005-0000-0000-00004B2A0000}"/>
    <cellStyle name="40% - Accent1 10 2 2 5 2 2" xfId="41184" xr:uid="{6C9F5366-E3A4-46FD-A398-1835C6D5F93C}"/>
    <cellStyle name="40% - Accent1 10 2 2 5 3" xfId="25287" xr:uid="{00000000-0005-0000-0000-00004C2A0000}"/>
    <cellStyle name="40% - Accent1 10 2 2 5 3 2" xfId="49120" xr:uid="{B2714C42-7FC4-4846-9CF2-B6A6A826BCE6}"/>
    <cellStyle name="40% - Accent1 10 2 2 5 4" xfId="33243" xr:uid="{5ED24104-C53A-4D93-BD63-92E12054482C}"/>
    <cellStyle name="40% - Accent1 10 2 2 6" xfId="10281" xr:uid="{00000000-0005-0000-0000-00004D2A0000}"/>
    <cellStyle name="40% - Accent1 10 2 2 6 2" xfId="34131" xr:uid="{0389CB84-42AA-438D-B0A5-42B504051AF8}"/>
    <cellStyle name="40% - Accent1 10 2 2 7" xfId="18236" xr:uid="{00000000-0005-0000-0000-00004E2A0000}"/>
    <cellStyle name="40% - Accent1 10 2 2 7 2" xfId="42069" xr:uid="{69191B4D-EAE3-4F7D-9DCA-ADEC9A9DBDCD}"/>
    <cellStyle name="40% - Accent1 10 2 2 8" xfId="26189" xr:uid="{AD070066-5BDA-4861-B968-FD31EDE6291E}"/>
    <cellStyle name="40% - Accent1 10 2 2_Exh G" xfId="2687" xr:uid="{00000000-0005-0000-0000-00004F2A0000}"/>
    <cellStyle name="40% - Accent1 10 2 3" xfId="1360" xr:uid="{00000000-0005-0000-0000-0000502A0000}"/>
    <cellStyle name="40% - Accent1 10 2 3 2" xfId="4890" xr:uid="{00000000-0005-0000-0000-0000512A0000}"/>
    <cellStyle name="40% - Accent1 10 2 3 2 2" xfId="8481" xr:uid="{00000000-0005-0000-0000-0000522A0000}"/>
    <cellStyle name="40% - Accent1 10 2 3 2 2 2" xfId="16452" xr:uid="{00000000-0005-0000-0000-0000532A0000}"/>
    <cellStyle name="40% - Accent1 10 2 3 2 2 2 2" xfId="40295" xr:uid="{EDA9DDAE-4ABE-43DB-B0A7-4B6725CB7834}"/>
    <cellStyle name="40% - Accent1 10 2 3 2 2 3" xfId="24398" xr:uid="{00000000-0005-0000-0000-0000542A0000}"/>
    <cellStyle name="40% - Accent1 10 2 3 2 2 3 2" xfId="48231" xr:uid="{4BD6E3EF-9492-4FA6-9FB1-85B995915307}"/>
    <cellStyle name="40% - Accent1 10 2 3 2 2 4" xfId="32354" xr:uid="{702D06D6-2134-4F4A-92EC-C32DAB3F9F9E}"/>
    <cellStyle name="40% - Accent1 10 2 3 2 3" xfId="12914" xr:uid="{00000000-0005-0000-0000-0000552A0000}"/>
    <cellStyle name="40% - Accent1 10 2 3 2 3 2" xfId="36764" xr:uid="{C45B9AE9-9356-48A6-9871-65CFBF863762}"/>
    <cellStyle name="40% - Accent1 10 2 3 2 4" xfId="20869" xr:uid="{00000000-0005-0000-0000-0000562A0000}"/>
    <cellStyle name="40% - Accent1 10 2 3 2 4 2" xfId="44702" xr:uid="{EF0BC9A0-DCE0-44E6-BFD3-8AC2077711BF}"/>
    <cellStyle name="40% - Accent1 10 2 3 2 5" xfId="28823" xr:uid="{9A49167D-AC9D-4356-9ECC-205B00E1E332}"/>
    <cellStyle name="40% - Accent1 10 2 3 3" xfId="6722" xr:uid="{00000000-0005-0000-0000-0000572A0000}"/>
    <cellStyle name="40% - Accent1 10 2 3 3 2" xfId="14694" xr:uid="{00000000-0005-0000-0000-0000582A0000}"/>
    <cellStyle name="40% - Accent1 10 2 3 3 2 2" xfId="38537" xr:uid="{C34370CE-DD37-4D17-ACF0-EEAAFBBE87DB}"/>
    <cellStyle name="40% - Accent1 10 2 3 3 3" xfId="22641" xr:uid="{00000000-0005-0000-0000-0000592A0000}"/>
    <cellStyle name="40% - Accent1 10 2 3 3 3 2" xfId="46474" xr:uid="{32692ED4-18A9-4503-B9D5-9F68C91D1F41}"/>
    <cellStyle name="40% - Accent1 10 2 3 3 4" xfId="30596" xr:uid="{9F05B0E6-1514-4C24-8566-655671C37DBD}"/>
    <cellStyle name="40% - Accent1 10 2 3 4" xfId="11158" xr:uid="{00000000-0005-0000-0000-00005A2A0000}"/>
    <cellStyle name="40% - Accent1 10 2 3 4 2" xfId="35008" xr:uid="{5C1C1A38-BA5A-43C6-B8F8-5018A4DC75AC}"/>
    <cellStyle name="40% - Accent1 10 2 3 5" xfId="19113" xr:uid="{00000000-0005-0000-0000-00005B2A0000}"/>
    <cellStyle name="40% - Accent1 10 2 3 5 2" xfId="42946" xr:uid="{8B006678-082A-431E-AA28-0D8301C7C2E1}"/>
    <cellStyle name="40% - Accent1 10 2 3 6" xfId="27066" xr:uid="{8711210B-8BDF-41F0-BAEF-BD3C12CAA0C8}"/>
    <cellStyle name="40% - Accent1 10 2 3_Exh G" xfId="2689" xr:uid="{00000000-0005-0000-0000-00005C2A0000}"/>
    <cellStyle name="40% - Accent1 10 2 4" xfId="4011" xr:uid="{00000000-0005-0000-0000-00005D2A0000}"/>
    <cellStyle name="40% - Accent1 10 2 4 2" xfId="7603" xr:uid="{00000000-0005-0000-0000-00005E2A0000}"/>
    <cellStyle name="40% - Accent1 10 2 4 2 2" xfId="15574" xr:uid="{00000000-0005-0000-0000-00005F2A0000}"/>
    <cellStyle name="40% - Accent1 10 2 4 2 2 2" xfId="39417" xr:uid="{C66F56F0-13B0-4173-8CC2-DED1D4B6D005}"/>
    <cellStyle name="40% - Accent1 10 2 4 2 3" xfId="23520" xr:uid="{00000000-0005-0000-0000-0000602A0000}"/>
    <cellStyle name="40% - Accent1 10 2 4 2 3 2" xfId="47353" xr:uid="{D0744742-8B69-4DDB-9B3A-C61BC6B9D817}"/>
    <cellStyle name="40% - Accent1 10 2 4 2 4" xfId="31476" xr:uid="{B5EE781C-DEC1-4FBF-8320-7089CD9593BA}"/>
    <cellStyle name="40% - Accent1 10 2 4 3" xfId="12036" xr:uid="{00000000-0005-0000-0000-0000612A0000}"/>
    <cellStyle name="40% - Accent1 10 2 4 3 2" xfId="35886" xr:uid="{BBD36367-B2BD-4186-8A16-C0FED8B77A52}"/>
    <cellStyle name="40% - Accent1 10 2 4 4" xfId="19991" xr:uid="{00000000-0005-0000-0000-0000622A0000}"/>
    <cellStyle name="40% - Accent1 10 2 4 4 2" xfId="43824" xr:uid="{192AE36B-7227-49E1-AD72-589B536E901B}"/>
    <cellStyle name="40% - Accent1 10 2 4 5" xfId="27945" xr:uid="{B8533D43-D8B9-4E4E-BB1A-07ABC30F7686}"/>
    <cellStyle name="40% - Accent1 10 2 5" xfId="5831" xr:uid="{00000000-0005-0000-0000-0000632A0000}"/>
    <cellStyle name="40% - Accent1 10 2 5 2" xfId="13815" xr:uid="{00000000-0005-0000-0000-0000642A0000}"/>
    <cellStyle name="40% - Accent1 10 2 5 2 2" xfId="37659" xr:uid="{44BC2C71-3DEC-4AD0-85E5-C76DC051D724}"/>
    <cellStyle name="40% - Accent1 10 2 5 3" xfId="21763" xr:uid="{00000000-0005-0000-0000-0000652A0000}"/>
    <cellStyle name="40% - Accent1 10 2 5 3 2" xfId="45596" xr:uid="{B60179AF-C61B-4B28-9EA2-5BA3C545DD3D}"/>
    <cellStyle name="40% - Accent1 10 2 5 4" xfId="29718" xr:uid="{7102A232-BB6E-4012-8955-B20EDCE617A1}"/>
    <cellStyle name="40% - Accent1 10 2 6" xfId="9384" xr:uid="{00000000-0005-0000-0000-0000662A0000}"/>
    <cellStyle name="40% - Accent1 10 2 6 2" xfId="17342" xr:uid="{00000000-0005-0000-0000-0000672A0000}"/>
    <cellStyle name="40% - Accent1 10 2 6 2 2" xfId="41183" xr:uid="{1648D1FC-FD08-413C-A73B-57A1367D9C26}"/>
    <cellStyle name="40% - Accent1 10 2 6 3" xfId="25286" xr:uid="{00000000-0005-0000-0000-0000682A0000}"/>
    <cellStyle name="40% - Accent1 10 2 6 3 2" xfId="49119" xr:uid="{B9D48AF7-DC9C-4045-9F7D-477744BC2617}"/>
    <cellStyle name="40% - Accent1 10 2 6 4" xfId="33242" xr:uid="{D4F60164-4E02-4F87-A348-33BBBB2636C0}"/>
    <cellStyle name="40% - Accent1 10 2 7" xfId="10280" xr:uid="{00000000-0005-0000-0000-0000692A0000}"/>
    <cellStyle name="40% - Accent1 10 2 7 2" xfId="34130" xr:uid="{85A8C066-15D7-4269-8759-A390C2F6E647}"/>
    <cellStyle name="40% - Accent1 10 2 8" xfId="18235" xr:uid="{00000000-0005-0000-0000-00006A2A0000}"/>
    <cellStyle name="40% - Accent1 10 2 8 2" xfId="42068" xr:uid="{9DD60AA5-0218-4FCA-999A-504A4A494711}"/>
    <cellStyle name="40% - Accent1 10 2 9" xfId="26188" xr:uid="{759FF138-F78A-4494-ACE5-8FAD47AED39C}"/>
    <cellStyle name="40% - Accent1 10 2_Exh G" xfId="2686" xr:uid="{00000000-0005-0000-0000-00006B2A0000}"/>
    <cellStyle name="40% - Accent1 10 3" xfId="334" xr:uid="{00000000-0005-0000-0000-00006C2A0000}"/>
    <cellStyle name="40% - Accent1 10 3 2" xfId="1362" xr:uid="{00000000-0005-0000-0000-00006D2A0000}"/>
    <cellStyle name="40% - Accent1 10 3 2 2" xfId="4892" xr:uid="{00000000-0005-0000-0000-00006E2A0000}"/>
    <cellStyle name="40% - Accent1 10 3 2 2 2" xfId="8483" xr:uid="{00000000-0005-0000-0000-00006F2A0000}"/>
    <cellStyle name="40% - Accent1 10 3 2 2 2 2" xfId="16454" xr:uid="{00000000-0005-0000-0000-0000702A0000}"/>
    <cellStyle name="40% - Accent1 10 3 2 2 2 2 2" xfId="40297" xr:uid="{B61859F5-6A8B-4365-ADAA-0A733FE42EDA}"/>
    <cellStyle name="40% - Accent1 10 3 2 2 2 3" xfId="24400" xr:uid="{00000000-0005-0000-0000-0000712A0000}"/>
    <cellStyle name="40% - Accent1 10 3 2 2 2 3 2" xfId="48233" xr:uid="{70DC1FDE-8020-4B52-A97E-1678FA47FEBC}"/>
    <cellStyle name="40% - Accent1 10 3 2 2 2 4" xfId="32356" xr:uid="{E3532366-4864-4853-A984-40AF5A1D315A}"/>
    <cellStyle name="40% - Accent1 10 3 2 2 3" xfId="12916" xr:uid="{00000000-0005-0000-0000-0000722A0000}"/>
    <cellStyle name="40% - Accent1 10 3 2 2 3 2" xfId="36766" xr:uid="{018CB71D-B9E6-4FDD-8200-BCBF507A0E88}"/>
    <cellStyle name="40% - Accent1 10 3 2 2 4" xfId="20871" xr:uid="{00000000-0005-0000-0000-0000732A0000}"/>
    <cellStyle name="40% - Accent1 10 3 2 2 4 2" xfId="44704" xr:uid="{6E11E6E6-ADC3-4F99-A5A5-30A416EF9E0D}"/>
    <cellStyle name="40% - Accent1 10 3 2 2 5" xfId="28825" xr:uid="{E4435784-9A98-4933-849F-BECEBE98A6C5}"/>
    <cellStyle name="40% - Accent1 10 3 2 3" xfId="6724" xr:uid="{00000000-0005-0000-0000-0000742A0000}"/>
    <cellStyle name="40% - Accent1 10 3 2 3 2" xfId="14696" xr:uid="{00000000-0005-0000-0000-0000752A0000}"/>
    <cellStyle name="40% - Accent1 10 3 2 3 2 2" xfId="38539" xr:uid="{50994E66-75C6-42EB-B53A-017E8C1D3E20}"/>
    <cellStyle name="40% - Accent1 10 3 2 3 3" xfId="22643" xr:uid="{00000000-0005-0000-0000-0000762A0000}"/>
    <cellStyle name="40% - Accent1 10 3 2 3 3 2" xfId="46476" xr:uid="{94DCABCD-FC60-4A05-9121-791F5AF025EF}"/>
    <cellStyle name="40% - Accent1 10 3 2 3 4" xfId="30598" xr:uid="{8CA1A5C0-A76A-46D5-A8C2-F51D25FC7CF5}"/>
    <cellStyle name="40% - Accent1 10 3 2 4" xfId="11160" xr:uid="{00000000-0005-0000-0000-0000772A0000}"/>
    <cellStyle name="40% - Accent1 10 3 2 4 2" xfId="35010" xr:uid="{A03DA389-01B8-46F6-A2CD-E6B9527387D1}"/>
    <cellStyle name="40% - Accent1 10 3 2 5" xfId="19115" xr:uid="{00000000-0005-0000-0000-0000782A0000}"/>
    <cellStyle name="40% - Accent1 10 3 2 5 2" xfId="42948" xr:uid="{19B530C7-E41A-4943-8CC9-789B31B88078}"/>
    <cellStyle name="40% - Accent1 10 3 2 6" xfId="27068" xr:uid="{0BBEFD6B-9971-41A1-B80A-A26743E77023}"/>
    <cellStyle name="40% - Accent1 10 3 2_Exh G" xfId="2691" xr:uid="{00000000-0005-0000-0000-0000792A0000}"/>
    <cellStyle name="40% - Accent1 10 3 3" xfId="4013" xr:uid="{00000000-0005-0000-0000-00007A2A0000}"/>
    <cellStyle name="40% - Accent1 10 3 3 2" xfId="7605" xr:uid="{00000000-0005-0000-0000-00007B2A0000}"/>
    <cellStyle name="40% - Accent1 10 3 3 2 2" xfId="15576" xr:uid="{00000000-0005-0000-0000-00007C2A0000}"/>
    <cellStyle name="40% - Accent1 10 3 3 2 2 2" xfId="39419" xr:uid="{3C7C0880-0F03-4F8D-AB9F-1E24AAA83F22}"/>
    <cellStyle name="40% - Accent1 10 3 3 2 3" xfId="23522" xr:uid="{00000000-0005-0000-0000-00007D2A0000}"/>
    <cellStyle name="40% - Accent1 10 3 3 2 3 2" xfId="47355" xr:uid="{D3522E51-82DE-4C45-AD2D-AB98B1D05F92}"/>
    <cellStyle name="40% - Accent1 10 3 3 2 4" xfId="31478" xr:uid="{DE028ACD-FEBF-487A-9EFD-B6E217B791D8}"/>
    <cellStyle name="40% - Accent1 10 3 3 3" xfId="12038" xr:uid="{00000000-0005-0000-0000-00007E2A0000}"/>
    <cellStyle name="40% - Accent1 10 3 3 3 2" xfId="35888" xr:uid="{F117C190-CB44-4DCA-B843-46E8F6FA9931}"/>
    <cellStyle name="40% - Accent1 10 3 3 4" xfId="19993" xr:uid="{00000000-0005-0000-0000-00007F2A0000}"/>
    <cellStyle name="40% - Accent1 10 3 3 4 2" xfId="43826" xr:uid="{0E562905-9F82-4E96-9F8C-8E9C4E1F9BEC}"/>
    <cellStyle name="40% - Accent1 10 3 3 5" xfId="27947" xr:uid="{7C9A8455-3FAF-4E81-8F15-C8F7CB2070CC}"/>
    <cellStyle name="40% - Accent1 10 3 4" xfId="5833" xr:uid="{00000000-0005-0000-0000-0000802A0000}"/>
    <cellStyle name="40% - Accent1 10 3 4 2" xfId="13817" xr:uid="{00000000-0005-0000-0000-0000812A0000}"/>
    <cellStyle name="40% - Accent1 10 3 4 2 2" xfId="37661" xr:uid="{42E2976A-8FD5-43DD-8A79-347AF6B36605}"/>
    <cellStyle name="40% - Accent1 10 3 4 3" xfId="21765" xr:uid="{00000000-0005-0000-0000-0000822A0000}"/>
    <cellStyle name="40% - Accent1 10 3 4 3 2" xfId="45598" xr:uid="{B7726297-D2C0-4772-BAC2-7F5645F4981F}"/>
    <cellStyle name="40% - Accent1 10 3 4 4" xfId="29720" xr:uid="{51FE0D52-57F1-4057-9EE8-CFCDEC28D41B}"/>
    <cellStyle name="40% - Accent1 10 3 5" xfId="9386" xr:uid="{00000000-0005-0000-0000-0000832A0000}"/>
    <cellStyle name="40% - Accent1 10 3 5 2" xfId="17344" xr:uid="{00000000-0005-0000-0000-0000842A0000}"/>
    <cellStyle name="40% - Accent1 10 3 5 2 2" xfId="41185" xr:uid="{5D83967E-267E-4DA2-B468-BE564C65D03C}"/>
    <cellStyle name="40% - Accent1 10 3 5 3" xfId="25288" xr:uid="{00000000-0005-0000-0000-0000852A0000}"/>
    <cellStyle name="40% - Accent1 10 3 5 3 2" xfId="49121" xr:uid="{FF098BED-2F22-41CE-AC6E-B5CEDAC11827}"/>
    <cellStyle name="40% - Accent1 10 3 5 4" xfId="33244" xr:uid="{D2FBFFDE-7101-4085-A8EE-80EE5B52033A}"/>
    <cellStyle name="40% - Accent1 10 3 6" xfId="10282" xr:uid="{00000000-0005-0000-0000-0000862A0000}"/>
    <cellStyle name="40% - Accent1 10 3 6 2" xfId="34132" xr:uid="{EF22C09B-59B9-4AB5-94A3-2F2435A8D79E}"/>
    <cellStyle name="40% - Accent1 10 3 7" xfId="18237" xr:uid="{00000000-0005-0000-0000-0000872A0000}"/>
    <cellStyle name="40% - Accent1 10 3 7 2" xfId="42070" xr:uid="{B6E37A5C-98C3-428E-A347-D883B928ACCF}"/>
    <cellStyle name="40% - Accent1 10 3 8" xfId="26190" xr:uid="{06AC06AB-7D4E-4AC5-B692-DD5E32CDE298}"/>
    <cellStyle name="40% - Accent1 10 3_Exh G" xfId="2690" xr:uid="{00000000-0005-0000-0000-0000882A0000}"/>
    <cellStyle name="40% - Accent1 10 4" xfId="934" xr:uid="{00000000-0005-0000-0000-0000892A0000}"/>
    <cellStyle name="40% - Accent1 10 5" xfId="1359" xr:uid="{00000000-0005-0000-0000-00008A2A0000}"/>
    <cellStyle name="40% - Accent1 10 5 2" xfId="4889" xr:uid="{00000000-0005-0000-0000-00008B2A0000}"/>
    <cellStyle name="40% - Accent1 10 5 2 2" xfId="8480" xr:uid="{00000000-0005-0000-0000-00008C2A0000}"/>
    <cellStyle name="40% - Accent1 10 5 2 2 2" xfId="16451" xr:uid="{00000000-0005-0000-0000-00008D2A0000}"/>
    <cellStyle name="40% - Accent1 10 5 2 2 2 2" xfId="40294" xr:uid="{2C5580CC-649A-4B05-9F2B-07CACA81F705}"/>
    <cellStyle name="40% - Accent1 10 5 2 2 3" xfId="24397" xr:uid="{00000000-0005-0000-0000-00008E2A0000}"/>
    <cellStyle name="40% - Accent1 10 5 2 2 3 2" xfId="48230" xr:uid="{F44DA05A-BC1B-4D49-A505-870038A4A627}"/>
    <cellStyle name="40% - Accent1 10 5 2 2 4" xfId="32353" xr:uid="{A3253FFA-BB2F-4380-8EC6-734863F4A48E}"/>
    <cellStyle name="40% - Accent1 10 5 2 3" xfId="12913" xr:uid="{00000000-0005-0000-0000-00008F2A0000}"/>
    <cellStyle name="40% - Accent1 10 5 2 3 2" xfId="36763" xr:uid="{87D80B58-E288-4508-BC05-D91112A69FBE}"/>
    <cellStyle name="40% - Accent1 10 5 2 4" xfId="20868" xr:uid="{00000000-0005-0000-0000-0000902A0000}"/>
    <cellStyle name="40% - Accent1 10 5 2 4 2" xfId="44701" xr:uid="{3FA75D94-AE41-437E-A3F9-0BCC095906F8}"/>
    <cellStyle name="40% - Accent1 10 5 2 5" xfId="28822" xr:uid="{0480C8FF-FE0A-41E8-B53D-6AEF79A87C7B}"/>
    <cellStyle name="40% - Accent1 10 5 3" xfId="6721" xr:uid="{00000000-0005-0000-0000-0000912A0000}"/>
    <cellStyle name="40% - Accent1 10 5 3 2" xfId="14693" xr:uid="{00000000-0005-0000-0000-0000922A0000}"/>
    <cellStyle name="40% - Accent1 10 5 3 2 2" xfId="38536" xr:uid="{4F5D4EE5-3666-444F-856F-A566904EFC33}"/>
    <cellStyle name="40% - Accent1 10 5 3 3" xfId="22640" xr:uid="{00000000-0005-0000-0000-0000932A0000}"/>
    <cellStyle name="40% - Accent1 10 5 3 3 2" xfId="46473" xr:uid="{55077A27-A719-4CB7-A369-E9DCA4B0D7B9}"/>
    <cellStyle name="40% - Accent1 10 5 3 4" xfId="30595" xr:uid="{78BDA80F-57CB-4B70-BF3F-9C305CFB1F9C}"/>
    <cellStyle name="40% - Accent1 10 5 4" xfId="11157" xr:uid="{00000000-0005-0000-0000-0000942A0000}"/>
    <cellStyle name="40% - Accent1 10 5 4 2" xfId="35007" xr:uid="{163CC2EC-37D6-4308-BDEF-CBFB464ED21E}"/>
    <cellStyle name="40% - Accent1 10 5 5" xfId="19112" xr:uid="{00000000-0005-0000-0000-0000952A0000}"/>
    <cellStyle name="40% - Accent1 10 5 5 2" xfId="42945" xr:uid="{22C52C22-C67A-42A2-B2A2-679DAF72D0FB}"/>
    <cellStyle name="40% - Accent1 10 5 6" xfId="27065" xr:uid="{865E9EC9-F171-4971-9E10-E3F606DA37AA}"/>
    <cellStyle name="40% - Accent1 10 5_Exh G" xfId="2692" xr:uid="{00000000-0005-0000-0000-0000962A0000}"/>
    <cellStyle name="40% - Accent1 10 6" xfId="4010" xr:uid="{00000000-0005-0000-0000-0000972A0000}"/>
    <cellStyle name="40% - Accent1 10 6 2" xfId="7602" xr:uid="{00000000-0005-0000-0000-0000982A0000}"/>
    <cellStyle name="40% - Accent1 10 6 2 2" xfId="15573" xr:uid="{00000000-0005-0000-0000-0000992A0000}"/>
    <cellStyle name="40% - Accent1 10 6 2 2 2" xfId="39416" xr:uid="{165E1EAD-158C-46E4-BC8A-EBD5C7AEC905}"/>
    <cellStyle name="40% - Accent1 10 6 2 3" xfId="23519" xr:uid="{00000000-0005-0000-0000-00009A2A0000}"/>
    <cellStyle name="40% - Accent1 10 6 2 3 2" xfId="47352" xr:uid="{3FC72C12-E922-488E-814E-E517EB5139B5}"/>
    <cellStyle name="40% - Accent1 10 6 2 4" xfId="31475" xr:uid="{BAC21C14-2F78-46D5-83E5-9920481F8F0C}"/>
    <cellStyle name="40% - Accent1 10 6 3" xfId="12035" xr:uid="{00000000-0005-0000-0000-00009B2A0000}"/>
    <cellStyle name="40% - Accent1 10 6 3 2" xfId="35885" xr:uid="{45488617-D56E-4C0A-9054-F8D7841790D8}"/>
    <cellStyle name="40% - Accent1 10 6 4" xfId="19990" xr:uid="{00000000-0005-0000-0000-00009C2A0000}"/>
    <cellStyle name="40% - Accent1 10 6 4 2" xfId="43823" xr:uid="{6C16FECD-A29C-4721-A3E3-CC2CAA81C996}"/>
    <cellStyle name="40% - Accent1 10 6 5" xfId="27944" xr:uid="{ABE19A2C-9386-47EB-9C14-ACB2FC63BFA2}"/>
    <cellStyle name="40% - Accent1 10 7" xfId="5830" xr:uid="{00000000-0005-0000-0000-00009D2A0000}"/>
    <cellStyle name="40% - Accent1 10 7 2" xfId="13814" xr:uid="{00000000-0005-0000-0000-00009E2A0000}"/>
    <cellStyle name="40% - Accent1 10 7 2 2" xfId="37658" xr:uid="{2CD232CC-4851-4AA5-9FCA-8792B433C713}"/>
    <cellStyle name="40% - Accent1 10 7 3" xfId="21762" xr:uid="{00000000-0005-0000-0000-00009F2A0000}"/>
    <cellStyle name="40% - Accent1 10 7 3 2" xfId="45595" xr:uid="{4F378802-41B6-40DF-AE02-936AF1FEC3CE}"/>
    <cellStyle name="40% - Accent1 10 7 4" xfId="29717" xr:uid="{BFE613BD-7478-45F1-9A53-7AA362A76BC0}"/>
    <cellStyle name="40% - Accent1 10 8" xfId="9383" xr:uid="{00000000-0005-0000-0000-0000A02A0000}"/>
    <cellStyle name="40% - Accent1 10 8 2" xfId="17341" xr:uid="{00000000-0005-0000-0000-0000A12A0000}"/>
    <cellStyle name="40% - Accent1 10 8 2 2" xfId="41182" xr:uid="{F611E3F8-B053-43ED-A1F0-438CFDDEFDAD}"/>
    <cellStyle name="40% - Accent1 10 8 3" xfId="25285" xr:uid="{00000000-0005-0000-0000-0000A22A0000}"/>
    <cellStyle name="40% - Accent1 10 8 3 2" xfId="49118" xr:uid="{8CE0A3B3-534A-4A8F-B292-8D4124585F5B}"/>
    <cellStyle name="40% - Accent1 10 8 4" xfId="33241" xr:uid="{18F2DE9B-A364-4BF1-AD07-A5581BE2674A}"/>
    <cellStyle name="40% - Accent1 10 9" xfId="10279" xr:uid="{00000000-0005-0000-0000-0000A32A0000}"/>
    <cellStyle name="40% - Accent1 10 9 2" xfId="34129" xr:uid="{AE51B6E6-9064-4577-92BD-ED0402EAF437}"/>
    <cellStyle name="40% - Accent1 10_Exh G" xfId="2685" xr:uid="{00000000-0005-0000-0000-0000A42A0000}"/>
    <cellStyle name="40% - Accent1 11" xfId="335" xr:uid="{00000000-0005-0000-0000-0000A52A0000}"/>
    <cellStyle name="40% - Accent1 11 10" xfId="26191" xr:uid="{707C7E89-9EC9-46E5-A4E5-7898A0581BE4}"/>
    <cellStyle name="40% - Accent1 11 2" xfId="336" xr:uid="{00000000-0005-0000-0000-0000A62A0000}"/>
    <cellStyle name="40% - Accent1 11 2 2" xfId="337" xr:uid="{00000000-0005-0000-0000-0000A72A0000}"/>
    <cellStyle name="40% - Accent1 11 2 2 2" xfId="1365" xr:uid="{00000000-0005-0000-0000-0000A82A0000}"/>
    <cellStyle name="40% - Accent1 11 2 2 2 2" xfId="4895" xr:uid="{00000000-0005-0000-0000-0000A92A0000}"/>
    <cellStyle name="40% - Accent1 11 2 2 2 2 2" xfId="8486" xr:uid="{00000000-0005-0000-0000-0000AA2A0000}"/>
    <cellStyle name="40% - Accent1 11 2 2 2 2 2 2" xfId="16457" xr:uid="{00000000-0005-0000-0000-0000AB2A0000}"/>
    <cellStyle name="40% - Accent1 11 2 2 2 2 2 2 2" xfId="40300" xr:uid="{BE9F2B70-4DB5-4F9A-819F-E3CAF15A2A8E}"/>
    <cellStyle name="40% - Accent1 11 2 2 2 2 2 3" xfId="24403" xr:uid="{00000000-0005-0000-0000-0000AC2A0000}"/>
    <cellStyle name="40% - Accent1 11 2 2 2 2 2 3 2" xfId="48236" xr:uid="{24772238-51E1-4233-87C2-EE9CBF9B4584}"/>
    <cellStyle name="40% - Accent1 11 2 2 2 2 2 4" xfId="32359" xr:uid="{8C6A8F18-140F-4745-93F1-A86096DCC4EF}"/>
    <cellStyle name="40% - Accent1 11 2 2 2 2 3" xfId="12919" xr:uid="{00000000-0005-0000-0000-0000AD2A0000}"/>
    <cellStyle name="40% - Accent1 11 2 2 2 2 3 2" xfId="36769" xr:uid="{4D31B718-7C59-4CDD-8D4A-80965780EAF2}"/>
    <cellStyle name="40% - Accent1 11 2 2 2 2 4" xfId="20874" xr:uid="{00000000-0005-0000-0000-0000AE2A0000}"/>
    <cellStyle name="40% - Accent1 11 2 2 2 2 4 2" xfId="44707" xr:uid="{127E94B9-91BB-41CC-A5E0-E5C68C5380CF}"/>
    <cellStyle name="40% - Accent1 11 2 2 2 2 5" xfId="28828" xr:uid="{1E10C3A7-8EE3-4157-A055-170E4BA4EC53}"/>
    <cellStyle name="40% - Accent1 11 2 2 2 3" xfId="6727" xr:uid="{00000000-0005-0000-0000-0000AF2A0000}"/>
    <cellStyle name="40% - Accent1 11 2 2 2 3 2" xfId="14699" xr:uid="{00000000-0005-0000-0000-0000B02A0000}"/>
    <cellStyle name="40% - Accent1 11 2 2 2 3 2 2" xfId="38542" xr:uid="{6449F2C0-28F9-4816-BB01-CC0E29577EEB}"/>
    <cellStyle name="40% - Accent1 11 2 2 2 3 3" xfId="22646" xr:uid="{00000000-0005-0000-0000-0000B12A0000}"/>
    <cellStyle name="40% - Accent1 11 2 2 2 3 3 2" xfId="46479" xr:uid="{BA52E222-2400-416B-80B8-92F6DA39B220}"/>
    <cellStyle name="40% - Accent1 11 2 2 2 3 4" xfId="30601" xr:uid="{A95BBBB1-1BC9-419B-9536-C6B508261E18}"/>
    <cellStyle name="40% - Accent1 11 2 2 2 4" xfId="11163" xr:uid="{00000000-0005-0000-0000-0000B22A0000}"/>
    <cellStyle name="40% - Accent1 11 2 2 2 4 2" xfId="35013" xr:uid="{07D4915C-595B-403F-8EED-294F50909D34}"/>
    <cellStyle name="40% - Accent1 11 2 2 2 5" xfId="19118" xr:uid="{00000000-0005-0000-0000-0000B32A0000}"/>
    <cellStyle name="40% - Accent1 11 2 2 2 5 2" xfId="42951" xr:uid="{D1A33CBB-CF1D-4280-8AB4-4703AD739AC9}"/>
    <cellStyle name="40% - Accent1 11 2 2 2 6" xfId="27071" xr:uid="{5C3A5D69-92A7-428B-B322-56D3B0F18EEC}"/>
    <cellStyle name="40% - Accent1 11 2 2 2_Exh G" xfId="2696" xr:uid="{00000000-0005-0000-0000-0000B42A0000}"/>
    <cellStyle name="40% - Accent1 11 2 2 3" xfId="4016" xr:uid="{00000000-0005-0000-0000-0000B52A0000}"/>
    <cellStyle name="40% - Accent1 11 2 2 3 2" xfId="7608" xr:uid="{00000000-0005-0000-0000-0000B62A0000}"/>
    <cellStyle name="40% - Accent1 11 2 2 3 2 2" xfId="15579" xr:uid="{00000000-0005-0000-0000-0000B72A0000}"/>
    <cellStyle name="40% - Accent1 11 2 2 3 2 2 2" xfId="39422" xr:uid="{31A77995-9B3D-4E47-AD02-C8472CA0377F}"/>
    <cellStyle name="40% - Accent1 11 2 2 3 2 3" xfId="23525" xr:uid="{00000000-0005-0000-0000-0000B82A0000}"/>
    <cellStyle name="40% - Accent1 11 2 2 3 2 3 2" xfId="47358" xr:uid="{A72682EC-91C1-4A64-86BE-533E3D5696BD}"/>
    <cellStyle name="40% - Accent1 11 2 2 3 2 4" xfId="31481" xr:uid="{4688901D-D329-44E2-A777-73A278D9DD11}"/>
    <cellStyle name="40% - Accent1 11 2 2 3 3" xfId="12041" xr:uid="{00000000-0005-0000-0000-0000B92A0000}"/>
    <cellStyle name="40% - Accent1 11 2 2 3 3 2" xfId="35891" xr:uid="{8E8BDD67-44FE-4BC7-B4D2-E1A0A7604222}"/>
    <cellStyle name="40% - Accent1 11 2 2 3 4" xfId="19996" xr:uid="{00000000-0005-0000-0000-0000BA2A0000}"/>
    <cellStyle name="40% - Accent1 11 2 2 3 4 2" xfId="43829" xr:uid="{83A00FE4-42B1-4835-9120-E4E56B2F3324}"/>
    <cellStyle name="40% - Accent1 11 2 2 3 5" xfId="27950" xr:uid="{F93E253F-67DA-4090-9D3D-5B028247D686}"/>
    <cellStyle name="40% - Accent1 11 2 2 4" xfId="5836" xr:uid="{00000000-0005-0000-0000-0000BB2A0000}"/>
    <cellStyle name="40% - Accent1 11 2 2 4 2" xfId="13820" xr:uid="{00000000-0005-0000-0000-0000BC2A0000}"/>
    <cellStyle name="40% - Accent1 11 2 2 4 2 2" xfId="37664" xr:uid="{28952740-A5EF-4296-A6C8-7B3B2C816249}"/>
    <cellStyle name="40% - Accent1 11 2 2 4 3" xfId="21768" xr:uid="{00000000-0005-0000-0000-0000BD2A0000}"/>
    <cellStyle name="40% - Accent1 11 2 2 4 3 2" xfId="45601" xr:uid="{B2DE3F73-124A-431B-9611-79598C9C4122}"/>
    <cellStyle name="40% - Accent1 11 2 2 4 4" xfId="29723" xr:uid="{76ADD984-1828-4811-81FB-DEDAD7B4C13A}"/>
    <cellStyle name="40% - Accent1 11 2 2 5" xfId="9389" xr:uid="{00000000-0005-0000-0000-0000BE2A0000}"/>
    <cellStyle name="40% - Accent1 11 2 2 5 2" xfId="17347" xr:uid="{00000000-0005-0000-0000-0000BF2A0000}"/>
    <cellStyle name="40% - Accent1 11 2 2 5 2 2" xfId="41188" xr:uid="{A4FE704E-2BF1-4B6E-B4BA-B0C1B50A264B}"/>
    <cellStyle name="40% - Accent1 11 2 2 5 3" xfId="25291" xr:uid="{00000000-0005-0000-0000-0000C02A0000}"/>
    <cellStyle name="40% - Accent1 11 2 2 5 3 2" xfId="49124" xr:uid="{08877340-C933-4C00-B39B-5E75815A2C88}"/>
    <cellStyle name="40% - Accent1 11 2 2 5 4" xfId="33247" xr:uid="{F5459CB7-5BCA-442B-8112-D2013C17FFA6}"/>
    <cellStyle name="40% - Accent1 11 2 2 6" xfId="10285" xr:uid="{00000000-0005-0000-0000-0000C12A0000}"/>
    <cellStyle name="40% - Accent1 11 2 2 6 2" xfId="34135" xr:uid="{F17214DC-E98E-4B32-8204-DB8834F8B5F7}"/>
    <cellStyle name="40% - Accent1 11 2 2 7" xfId="18240" xr:uid="{00000000-0005-0000-0000-0000C22A0000}"/>
    <cellStyle name="40% - Accent1 11 2 2 7 2" xfId="42073" xr:uid="{E780428A-6C7F-4D3C-BF55-26DBFD7994C7}"/>
    <cellStyle name="40% - Accent1 11 2 2 8" xfId="26193" xr:uid="{95089F35-D3CB-4B3A-8D64-C32B90730A5D}"/>
    <cellStyle name="40% - Accent1 11 2 2_Exh G" xfId="2695" xr:uid="{00000000-0005-0000-0000-0000C32A0000}"/>
    <cellStyle name="40% - Accent1 11 2 3" xfId="1364" xr:uid="{00000000-0005-0000-0000-0000C42A0000}"/>
    <cellStyle name="40% - Accent1 11 2 3 2" xfId="4894" xr:uid="{00000000-0005-0000-0000-0000C52A0000}"/>
    <cellStyle name="40% - Accent1 11 2 3 2 2" xfId="8485" xr:uid="{00000000-0005-0000-0000-0000C62A0000}"/>
    <cellStyle name="40% - Accent1 11 2 3 2 2 2" xfId="16456" xr:uid="{00000000-0005-0000-0000-0000C72A0000}"/>
    <cellStyle name="40% - Accent1 11 2 3 2 2 2 2" xfId="40299" xr:uid="{374C604E-7CDF-498D-9411-E587330AE201}"/>
    <cellStyle name="40% - Accent1 11 2 3 2 2 3" xfId="24402" xr:uid="{00000000-0005-0000-0000-0000C82A0000}"/>
    <cellStyle name="40% - Accent1 11 2 3 2 2 3 2" xfId="48235" xr:uid="{02F21E66-9D4C-46CA-873F-7534B41D9E0E}"/>
    <cellStyle name="40% - Accent1 11 2 3 2 2 4" xfId="32358" xr:uid="{E010FEEB-659B-420B-AA6D-262E34873074}"/>
    <cellStyle name="40% - Accent1 11 2 3 2 3" xfId="12918" xr:uid="{00000000-0005-0000-0000-0000C92A0000}"/>
    <cellStyle name="40% - Accent1 11 2 3 2 3 2" xfId="36768" xr:uid="{DBC5119A-9828-4830-B6F3-BADCF7E06020}"/>
    <cellStyle name="40% - Accent1 11 2 3 2 4" xfId="20873" xr:uid="{00000000-0005-0000-0000-0000CA2A0000}"/>
    <cellStyle name="40% - Accent1 11 2 3 2 4 2" xfId="44706" xr:uid="{E87C338C-1E3C-4D5B-A1C6-5A1D337A6160}"/>
    <cellStyle name="40% - Accent1 11 2 3 2 5" xfId="28827" xr:uid="{42845891-7D84-4787-8663-0832BA6FB2D5}"/>
    <cellStyle name="40% - Accent1 11 2 3 3" xfId="6726" xr:uid="{00000000-0005-0000-0000-0000CB2A0000}"/>
    <cellStyle name="40% - Accent1 11 2 3 3 2" xfId="14698" xr:uid="{00000000-0005-0000-0000-0000CC2A0000}"/>
    <cellStyle name="40% - Accent1 11 2 3 3 2 2" xfId="38541" xr:uid="{440094FD-2F2D-4DD9-8FAB-44BB014BD4EC}"/>
    <cellStyle name="40% - Accent1 11 2 3 3 3" xfId="22645" xr:uid="{00000000-0005-0000-0000-0000CD2A0000}"/>
    <cellStyle name="40% - Accent1 11 2 3 3 3 2" xfId="46478" xr:uid="{2A621832-52FF-4243-A6F3-6068ABBDB439}"/>
    <cellStyle name="40% - Accent1 11 2 3 3 4" xfId="30600" xr:uid="{216E0D4C-E03F-4713-BBD0-3AAED86E7A1B}"/>
    <cellStyle name="40% - Accent1 11 2 3 4" xfId="11162" xr:uid="{00000000-0005-0000-0000-0000CE2A0000}"/>
    <cellStyle name="40% - Accent1 11 2 3 4 2" xfId="35012" xr:uid="{FA7C729F-DD27-401C-A16C-48F459160E51}"/>
    <cellStyle name="40% - Accent1 11 2 3 5" xfId="19117" xr:uid="{00000000-0005-0000-0000-0000CF2A0000}"/>
    <cellStyle name="40% - Accent1 11 2 3 5 2" xfId="42950" xr:uid="{EE14FC14-C77C-4BA5-9049-8199163FACAF}"/>
    <cellStyle name="40% - Accent1 11 2 3 6" xfId="27070" xr:uid="{E4AFEF46-9829-40B3-86C6-B2F8917BADB8}"/>
    <cellStyle name="40% - Accent1 11 2 3_Exh G" xfId="2697" xr:uid="{00000000-0005-0000-0000-0000D02A0000}"/>
    <cellStyle name="40% - Accent1 11 2 4" xfId="4015" xr:uid="{00000000-0005-0000-0000-0000D12A0000}"/>
    <cellStyle name="40% - Accent1 11 2 4 2" xfId="7607" xr:uid="{00000000-0005-0000-0000-0000D22A0000}"/>
    <cellStyle name="40% - Accent1 11 2 4 2 2" xfId="15578" xr:uid="{00000000-0005-0000-0000-0000D32A0000}"/>
    <cellStyle name="40% - Accent1 11 2 4 2 2 2" xfId="39421" xr:uid="{75A26144-3E7A-44E4-B38D-97DD68BCF4DA}"/>
    <cellStyle name="40% - Accent1 11 2 4 2 3" xfId="23524" xr:uid="{00000000-0005-0000-0000-0000D42A0000}"/>
    <cellStyle name="40% - Accent1 11 2 4 2 3 2" xfId="47357" xr:uid="{25FB0D39-E0E5-4C10-9C17-4231681FEA72}"/>
    <cellStyle name="40% - Accent1 11 2 4 2 4" xfId="31480" xr:uid="{6FBD5F7F-9BB4-4AA2-B01F-B03414F131D1}"/>
    <cellStyle name="40% - Accent1 11 2 4 3" xfId="12040" xr:uid="{00000000-0005-0000-0000-0000D52A0000}"/>
    <cellStyle name="40% - Accent1 11 2 4 3 2" xfId="35890" xr:uid="{023429B0-E14F-41AE-B80D-E19ADAC90070}"/>
    <cellStyle name="40% - Accent1 11 2 4 4" xfId="19995" xr:uid="{00000000-0005-0000-0000-0000D62A0000}"/>
    <cellStyle name="40% - Accent1 11 2 4 4 2" xfId="43828" xr:uid="{CBDE3825-CBF4-4414-812E-A01697482112}"/>
    <cellStyle name="40% - Accent1 11 2 4 5" xfId="27949" xr:uid="{8430C6DD-32F4-4EA3-BD86-09646B646E27}"/>
    <cellStyle name="40% - Accent1 11 2 5" xfId="5835" xr:uid="{00000000-0005-0000-0000-0000D72A0000}"/>
    <cellStyle name="40% - Accent1 11 2 5 2" xfId="13819" xr:uid="{00000000-0005-0000-0000-0000D82A0000}"/>
    <cellStyle name="40% - Accent1 11 2 5 2 2" xfId="37663" xr:uid="{130B1E91-0D42-4DF8-9387-9F3515165533}"/>
    <cellStyle name="40% - Accent1 11 2 5 3" xfId="21767" xr:uid="{00000000-0005-0000-0000-0000D92A0000}"/>
    <cellStyle name="40% - Accent1 11 2 5 3 2" xfId="45600" xr:uid="{0E9F01D6-5536-4BC9-B39F-CA846395F5FD}"/>
    <cellStyle name="40% - Accent1 11 2 5 4" xfId="29722" xr:uid="{5E452932-9EEC-4FBE-9CA2-88D8A2413BCC}"/>
    <cellStyle name="40% - Accent1 11 2 6" xfId="9388" xr:uid="{00000000-0005-0000-0000-0000DA2A0000}"/>
    <cellStyle name="40% - Accent1 11 2 6 2" xfId="17346" xr:uid="{00000000-0005-0000-0000-0000DB2A0000}"/>
    <cellStyle name="40% - Accent1 11 2 6 2 2" xfId="41187" xr:uid="{42958B25-24AE-4CD7-B6D3-18F92EE7D712}"/>
    <cellStyle name="40% - Accent1 11 2 6 3" xfId="25290" xr:uid="{00000000-0005-0000-0000-0000DC2A0000}"/>
    <cellStyle name="40% - Accent1 11 2 6 3 2" xfId="49123" xr:uid="{6C7AB376-06B2-435D-BDED-DA8719BB9590}"/>
    <cellStyle name="40% - Accent1 11 2 6 4" xfId="33246" xr:uid="{DB02A498-C2D4-410C-A372-3962A30B9AD5}"/>
    <cellStyle name="40% - Accent1 11 2 7" xfId="10284" xr:uid="{00000000-0005-0000-0000-0000DD2A0000}"/>
    <cellStyle name="40% - Accent1 11 2 7 2" xfId="34134" xr:uid="{02727727-8AE3-46F2-9B21-F7A54E34C8AC}"/>
    <cellStyle name="40% - Accent1 11 2 8" xfId="18239" xr:uid="{00000000-0005-0000-0000-0000DE2A0000}"/>
    <cellStyle name="40% - Accent1 11 2 8 2" xfId="42072" xr:uid="{C4A43F3D-C6D7-4DF7-B254-3F5FF5B5837C}"/>
    <cellStyle name="40% - Accent1 11 2 9" xfId="26192" xr:uid="{2762D9BF-5300-42A0-862E-E5670F110BB7}"/>
    <cellStyle name="40% - Accent1 11 2_Exh G" xfId="2694" xr:uid="{00000000-0005-0000-0000-0000DF2A0000}"/>
    <cellStyle name="40% - Accent1 11 3" xfId="338" xr:uid="{00000000-0005-0000-0000-0000E02A0000}"/>
    <cellStyle name="40% - Accent1 11 3 2" xfId="1366" xr:uid="{00000000-0005-0000-0000-0000E12A0000}"/>
    <cellStyle name="40% - Accent1 11 3 2 2" xfId="4896" xr:uid="{00000000-0005-0000-0000-0000E22A0000}"/>
    <cellStyle name="40% - Accent1 11 3 2 2 2" xfId="8487" xr:uid="{00000000-0005-0000-0000-0000E32A0000}"/>
    <cellStyle name="40% - Accent1 11 3 2 2 2 2" xfId="16458" xr:uid="{00000000-0005-0000-0000-0000E42A0000}"/>
    <cellStyle name="40% - Accent1 11 3 2 2 2 2 2" xfId="40301" xr:uid="{BCE71A1D-4AAD-4A06-B8BF-BD78CAFF819A}"/>
    <cellStyle name="40% - Accent1 11 3 2 2 2 3" xfId="24404" xr:uid="{00000000-0005-0000-0000-0000E52A0000}"/>
    <cellStyle name="40% - Accent1 11 3 2 2 2 3 2" xfId="48237" xr:uid="{B45E564A-6845-4F8C-A6EB-B13DDC97A90F}"/>
    <cellStyle name="40% - Accent1 11 3 2 2 2 4" xfId="32360" xr:uid="{C4A47BC8-4D0F-45C6-A045-244C090EE000}"/>
    <cellStyle name="40% - Accent1 11 3 2 2 3" xfId="12920" xr:uid="{00000000-0005-0000-0000-0000E62A0000}"/>
    <cellStyle name="40% - Accent1 11 3 2 2 3 2" xfId="36770" xr:uid="{E4170503-3156-4BB0-AA1C-30A94455E12C}"/>
    <cellStyle name="40% - Accent1 11 3 2 2 4" xfId="20875" xr:uid="{00000000-0005-0000-0000-0000E72A0000}"/>
    <cellStyle name="40% - Accent1 11 3 2 2 4 2" xfId="44708" xr:uid="{EF72D5C8-9E48-45F5-AAEC-06B4839957D9}"/>
    <cellStyle name="40% - Accent1 11 3 2 2 5" xfId="28829" xr:uid="{DBF47E12-3838-4714-8894-1D1AC0487152}"/>
    <cellStyle name="40% - Accent1 11 3 2 3" xfId="6728" xr:uid="{00000000-0005-0000-0000-0000E82A0000}"/>
    <cellStyle name="40% - Accent1 11 3 2 3 2" xfId="14700" xr:uid="{00000000-0005-0000-0000-0000E92A0000}"/>
    <cellStyle name="40% - Accent1 11 3 2 3 2 2" xfId="38543" xr:uid="{F07F6A0B-AE09-44A2-95CE-91D8EE286B13}"/>
    <cellStyle name="40% - Accent1 11 3 2 3 3" xfId="22647" xr:uid="{00000000-0005-0000-0000-0000EA2A0000}"/>
    <cellStyle name="40% - Accent1 11 3 2 3 3 2" xfId="46480" xr:uid="{79D7C6E7-8874-4EF6-B903-70B8A2F02F7D}"/>
    <cellStyle name="40% - Accent1 11 3 2 3 4" xfId="30602" xr:uid="{04FD71EE-EE16-445F-8A82-F21B77BD72F7}"/>
    <cellStyle name="40% - Accent1 11 3 2 4" xfId="11164" xr:uid="{00000000-0005-0000-0000-0000EB2A0000}"/>
    <cellStyle name="40% - Accent1 11 3 2 4 2" xfId="35014" xr:uid="{520E3AE5-3A34-4197-BF00-88AEE4F43A81}"/>
    <cellStyle name="40% - Accent1 11 3 2 5" xfId="19119" xr:uid="{00000000-0005-0000-0000-0000EC2A0000}"/>
    <cellStyle name="40% - Accent1 11 3 2 5 2" xfId="42952" xr:uid="{1572D9F8-9F5D-4DCC-9538-B970A86AE810}"/>
    <cellStyle name="40% - Accent1 11 3 2 6" xfId="27072" xr:uid="{7B80A152-CF0D-4ECB-A0EA-386E389CA236}"/>
    <cellStyle name="40% - Accent1 11 3 2_Exh G" xfId="2699" xr:uid="{00000000-0005-0000-0000-0000ED2A0000}"/>
    <cellStyle name="40% - Accent1 11 3 3" xfId="4017" xr:uid="{00000000-0005-0000-0000-0000EE2A0000}"/>
    <cellStyle name="40% - Accent1 11 3 3 2" xfId="7609" xr:uid="{00000000-0005-0000-0000-0000EF2A0000}"/>
    <cellStyle name="40% - Accent1 11 3 3 2 2" xfId="15580" xr:uid="{00000000-0005-0000-0000-0000F02A0000}"/>
    <cellStyle name="40% - Accent1 11 3 3 2 2 2" xfId="39423" xr:uid="{36FDBA56-BBB9-402F-A26C-CABC670A752A}"/>
    <cellStyle name="40% - Accent1 11 3 3 2 3" xfId="23526" xr:uid="{00000000-0005-0000-0000-0000F12A0000}"/>
    <cellStyle name="40% - Accent1 11 3 3 2 3 2" xfId="47359" xr:uid="{6FAE38D1-7962-4C0F-997C-A92A1C658559}"/>
    <cellStyle name="40% - Accent1 11 3 3 2 4" xfId="31482" xr:uid="{BE300F2D-3B2B-47FC-98F9-C6E26F305615}"/>
    <cellStyle name="40% - Accent1 11 3 3 3" xfId="12042" xr:uid="{00000000-0005-0000-0000-0000F22A0000}"/>
    <cellStyle name="40% - Accent1 11 3 3 3 2" xfId="35892" xr:uid="{397B5025-C94A-4570-89B1-507B2906B94F}"/>
    <cellStyle name="40% - Accent1 11 3 3 4" xfId="19997" xr:uid="{00000000-0005-0000-0000-0000F32A0000}"/>
    <cellStyle name="40% - Accent1 11 3 3 4 2" xfId="43830" xr:uid="{AC0CEAFE-EB7F-48C7-BEC1-D91BB1061CC3}"/>
    <cellStyle name="40% - Accent1 11 3 3 5" xfId="27951" xr:uid="{FCE3B681-69EB-4A1F-A528-FB6B9EBB2C1A}"/>
    <cellStyle name="40% - Accent1 11 3 4" xfId="5837" xr:uid="{00000000-0005-0000-0000-0000F42A0000}"/>
    <cellStyle name="40% - Accent1 11 3 4 2" xfId="13821" xr:uid="{00000000-0005-0000-0000-0000F52A0000}"/>
    <cellStyle name="40% - Accent1 11 3 4 2 2" xfId="37665" xr:uid="{5503C350-C35D-430C-A160-F7E2D89D6172}"/>
    <cellStyle name="40% - Accent1 11 3 4 3" xfId="21769" xr:uid="{00000000-0005-0000-0000-0000F62A0000}"/>
    <cellStyle name="40% - Accent1 11 3 4 3 2" xfId="45602" xr:uid="{DBBC121B-9493-4C40-B8AD-10882225C188}"/>
    <cellStyle name="40% - Accent1 11 3 4 4" xfId="29724" xr:uid="{B394561E-ED78-4733-98AC-EB81CEBDA9C0}"/>
    <cellStyle name="40% - Accent1 11 3 5" xfId="9390" xr:uid="{00000000-0005-0000-0000-0000F72A0000}"/>
    <cellStyle name="40% - Accent1 11 3 5 2" xfId="17348" xr:uid="{00000000-0005-0000-0000-0000F82A0000}"/>
    <cellStyle name="40% - Accent1 11 3 5 2 2" xfId="41189" xr:uid="{6F2A8C2B-2C71-47C1-BC46-27CAFBC29480}"/>
    <cellStyle name="40% - Accent1 11 3 5 3" xfId="25292" xr:uid="{00000000-0005-0000-0000-0000F92A0000}"/>
    <cellStyle name="40% - Accent1 11 3 5 3 2" xfId="49125" xr:uid="{7A0A012D-8F19-4445-AB5B-38FBF1830054}"/>
    <cellStyle name="40% - Accent1 11 3 5 4" xfId="33248" xr:uid="{EEBA5583-7166-4AA0-ADD3-6255252FB122}"/>
    <cellStyle name="40% - Accent1 11 3 6" xfId="10286" xr:uid="{00000000-0005-0000-0000-0000FA2A0000}"/>
    <cellStyle name="40% - Accent1 11 3 6 2" xfId="34136" xr:uid="{1BAC233D-5B97-4B8B-B7E0-23609C5F5073}"/>
    <cellStyle name="40% - Accent1 11 3 7" xfId="18241" xr:uid="{00000000-0005-0000-0000-0000FB2A0000}"/>
    <cellStyle name="40% - Accent1 11 3 7 2" xfId="42074" xr:uid="{241179A4-FF57-4375-9033-3A851BD36369}"/>
    <cellStyle name="40% - Accent1 11 3 8" xfId="26194" xr:uid="{72E8ACBA-5A1E-4B67-B14F-FEC108BB4536}"/>
    <cellStyle name="40% - Accent1 11 3_Exh G" xfId="2698" xr:uid="{00000000-0005-0000-0000-0000FC2A0000}"/>
    <cellStyle name="40% - Accent1 11 4" xfId="1363" xr:uid="{00000000-0005-0000-0000-0000FD2A0000}"/>
    <cellStyle name="40% - Accent1 11 4 2" xfId="4893" xr:uid="{00000000-0005-0000-0000-0000FE2A0000}"/>
    <cellStyle name="40% - Accent1 11 4 2 2" xfId="8484" xr:uid="{00000000-0005-0000-0000-0000FF2A0000}"/>
    <cellStyle name="40% - Accent1 11 4 2 2 2" xfId="16455" xr:uid="{00000000-0005-0000-0000-0000002B0000}"/>
    <cellStyle name="40% - Accent1 11 4 2 2 2 2" xfId="40298" xr:uid="{3E8CA59A-F8A6-4A47-85EC-901D88B25490}"/>
    <cellStyle name="40% - Accent1 11 4 2 2 3" xfId="24401" xr:uid="{00000000-0005-0000-0000-0000012B0000}"/>
    <cellStyle name="40% - Accent1 11 4 2 2 3 2" xfId="48234" xr:uid="{B2D3CF5C-0911-4F00-97AF-56726AAE175C}"/>
    <cellStyle name="40% - Accent1 11 4 2 2 4" xfId="32357" xr:uid="{80BB6CB1-9024-4F5A-9521-E0E08C8FACEC}"/>
    <cellStyle name="40% - Accent1 11 4 2 3" xfId="12917" xr:uid="{00000000-0005-0000-0000-0000022B0000}"/>
    <cellStyle name="40% - Accent1 11 4 2 3 2" xfId="36767" xr:uid="{D3A03F60-8274-4CC0-9847-8DFE3CC92307}"/>
    <cellStyle name="40% - Accent1 11 4 2 4" xfId="20872" xr:uid="{00000000-0005-0000-0000-0000032B0000}"/>
    <cellStyle name="40% - Accent1 11 4 2 4 2" xfId="44705" xr:uid="{43BEC236-748B-4A2D-971D-B906482FB834}"/>
    <cellStyle name="40% - Accent1 11 4 2 5" xfId="28826" xr:uid="{5BE80E1D-9392-4315-BEB4-4F7D1367F890}"/>
    <cellStyle name="40% - Accent1 11 4 3" xfId="6725" xr:uid="{00000000-0005-0000-0000-0000042B0000}"/>
    <cellStyle name="40% - Accent1 11 4 3 2" xfId="14697" xr:uid="{00000000-0005-0000-0000-0000052B0000}"/>
    <cellStyle name="40% - Accent1 11 4 3 2 2" xfId="38540" xr:uid="{477E640F-4A94-4A2E-96D9-D56EF6844770}"/>
    <cellStyle name="40% - Accent1 11 4 3 3" xfId="22644" xr:uid="{00000000-0005-0000-0000-0000062B0000}"/>
    <cellStyle name="40% - Accent1 11 4 3 3 2" xfId="46477" xr:uid="{75242EBD-12A6-4C41-8FF9-08850C7955F9}"/>
    <cellStyle name="40% - Accent1 11 4 3 4" xfId="30599" xr:uid="{4EA5B647-0E0B-41D4-B9DC-09FFED78E4D3}"/>
    <cellStyle name="40% - Accent1 11 4 4" xfId="11161" xr:uid="{00000000-0005-0000-0000-0000072B0000}"/>
    <cellStyle name="40% - Accent1 11 4 4 2" xfId="35011" xr:uid="{BA074AB8-4E7D-45BC-B0AF-99B5E4A493B7}"/>
    <cellStyle name="40% - Accent1 11 4 5" xfId="19116" xr:uid="{00000000-0005-0000-0000-0000082B0000}"/>
    <cellStyle name="40% - Accent1 11 4 5 2" xfId="42949" xr:uid="{B94629A7-9C3A-4430-91DA-130077023C30}"/>
    <cellStyle name="40% - Accent1 11 4 6" xfId="27069" xr:uid="{117D656B-DEFB-43D1-BABC-5D438FFA8994}"/>
    <cellStyle name="40% - Accent1 11 4_Exh G" xfId="2700" xr:uid="{00000000-0005-0000-0000-0000092B0000}"/>
    <cellStyle name="40% - Accent1 11 5" xfId="4014" xr:uid="{00000000-0005-0000-0000-00000A2B0000}"/>
    <cellStyle name="40% - Accent1 11 5 2" xfId="7606" xr:uid="{00000000-0005-0000-0000-00000B2B0000}"/>
    <cellStyle name="40% - Accent1 11 5 2 2" xfId="15577" xr:uid="{00000000-0005-0000-0000-00000C2B0000}"/>
    <cellStyle name="40% - Accent1 11 5 2 2 2" xfId="39420" xr:uid="{A71EA058-A2D0-4667-895B-7E3BEAC6842D}"/>
    <cellStyle name="40% - Accent1 11 5 2 3" xfId="23523" xr:uid="{00000000-0005-0000-0000-00000D2B0000}"/>
    <cellStyle name="40% - Accent1 11 5 2 3 2" xfId="47356" xr:uid="{014F54C9-43DA-4981-906E-6E55E8E4BFBA}"/>
    <cellStyle name="40% - Accent1 11 5 2 4" xfId="31479" xr:uid="{58B2DF34-47ED-47BE-AF17-8E843F8E73CF}"/>
    <cellStyle name="40% - Accent1 11 5 3" xfId="12039" xr:uid="{00000000-0005-0000-0000-00000E2B0000}"/>
    <cellStyle name="40% - Accent1 11 5 3 2" xfId="35889" xr:uid="{3B784523-232C-4C3D-9311-4D0DDE2C3A28}"/>
    <cellStyle name="40% - Accent1 11 5 4" xfId="19994" xr:uid="{00000000-0005-0000-0000-00000F2B0000}"/>
    <cellStyle name="40% - Accent1 11 5 4 2" xfId="43827" xr:uid="{676EDB0D-8696-4D41-9019-80A2AF6C2864}"/>
    <cellStyle name="40% - Accent1 11 5 5" xfId="27948" xr:uid="{95FB2BF1-EECF-41C8-A875-E5856E1C7A72}"/>
    <cellStyle name="40% - Accent1 11 6" xfId="5834" xr:uid="{00000000-0005-0000-0000-0000102B0000}"/>
    <cellStyle name="40% - Accent1 11 6 2" xfId="13818" xr:uid="{00000000-0005-0000-0000-0000112B0000}"/>
    <cellStyle name="40% - Accent1 11 6 2 2" xfId="37662" xr:uid="{7E8B10F1-CD93-4F37-90B1-746378854E01}"/>
    <cellStyle name="40% - Accent1 11 6 3" xfId="21766" xr:uid="{00000000-0005-0000-0000-0000122B0000}"/>
    <cellStyle name="40% - Accent1 11 6 3 2" xfId="45599" xr:uid="{7B23B7FA-EB65-466C-BD74-005CF72A50F9}"/>
    <cellStyle name="40% - Accent1 11 6 4" xfId="29721" xr:uid="{B9614461-FFF2-46D0-84F5-F6BC55800E20}"/>
    <cellStyle name="40% - Accent1 11 7" xfId="9387" xr:uid="{00000000-0005-0000-0000-0000132B0000}"/>
    <cellStyle name="40% - Accent1 11 7 2" xfId="17345" xr:uid="{00000000-0005-0000-0000-0000142B0000}"/>
    <cellStyle name="40% - Accent1 11 7 2 2" xfId="41186" xr:uid="{077F8043-4582-49B6-962B-5E2C9AF2C17E}"/>
    <cellStyle name="40% - Accent1 11 7 3" xfId="25289" xr:uid="{00000000-0005-0000-0000-0000152B0000}"/>
    <cellStyle name="40% - Accent1 11 7 3 2" xfId="49122" xr:uid="{FF401853-839D-465C-A93D-768B669228CC}"/>
    <cellStyle name="40% - Accent1 11 7 4" xfId="33245" xr:uid="{28443650-1576-44FF-9EDC-109A80CA8706}"/>
    <cellStyle name="40% - Accent1 11 8" xfId="10283" xr:uid="{00000000-0005-0000-0000-0000162B0000}"/>
    <cellStyle name="40% - Accent1 11 8 2" xfId="34133" xr:uid="{625EE659-FA0E-4918-8F81-CA70901002EC}"/>
    <cellStyle name="40% - Accent1 11 9" xfId="18238" xr:uid="{00000000-0005-0000-0000-0000172B0000}"/>
    <cellStyle name="40% - Accent1 11 9 2" xfId="42071" xr:uid="{DE0C51BA-4FCE-40EE-8E7C-369B97C02B8D}"/>
    <cellStyle name="40% - Accent1 11_Exh G" xfId="2693" xr:uid="{00000000-0005-0000-0000-0000182B0000}"/>
    <cellStyle name="40% - Accent1 12" xfId="339" xr:uid="{00000000-0005-0000-0000-0000192B0000}"/>
    <cellStyle name="40% - Accent1 12 10" xfId="26195" xr:uid="{25128521-C535-44A6-882D-3C18335B37A9}"/>
    <cellStyle name="40% - Accent1 12 2" xfId="340" xr:uid="{00000000-0005-0000-0000-00001A2B0000}"/>
    <cellStyle name="40% - Accent1 12 2 2" xfId="341" xr:uid="{00000000-0005-0000-0000-00001B2B0000}"/>
    <cellStyle name="40% - Accent1 12 2 2 2" xfId="1369" xr:uid="{00000000-0005-0000-0000-00001C2B0000}"/>
    <cellStyle name="40% - Accent1 12 2 2 2 2" xfId="4899" xr:uid="{00000000-0005-0000-0000-00001D2B0000}"/>
    <cellStyle name="40% - Accent1 12 2 2 2 2 2" xfId="8490" xr:uid="{00000000-0005-0000-0000-00001E2B0000}"/>
    <cellStyle name="40% - Accent1 12 2 2 2 2 2 2" xfId="16461" xr:uid="{00000000-0005-0000-0000-00001F2B0000}"/>
    <cellStyle name="40% - Accent1 12 2 2 2 2 2 2 2" xfId="40304" xr:uid="{B8FFF91B-D159-4CF7-A35E-0C35B6DC3E48}"/>
    <cellStyle name="40% - Accent1 12 2 2 2 2 2 3" xfId="24407" xr:uid="{00000000-0005-0000-0000-0000202B0000}"/>
    <cellStyle name="40% - Accent1 12 2 2 2 2 2 3 2" xfId="48240" xr:uid="{C402CBA0-E34C-4991-9D06-048A7FA16E12}"/>
    <cellStyle name="40% - Accent1 12 2 2 2 2 2 4" xfId="32363" xr:uid="{503B7094-A8E4-4EE2-B73B-F2C5F56F47A2}"/>
    <cellStyle name="40% - Accent1 12 2 2 2 2 3" xfId="12923" xr:uid="{00000000-0005-0000-0000-0000212B0000}"/>
    <cellStyle name="40% - Accent1 12 2 2 2 2 3 2" xfId="36773" xr:uid="{C82BFFA3-7985-4AB4-BCDE-6985BB61B7ED}"/>
    <cellStyle name="40% - Accent1 12 2 2 2 2 4" xfId="20878" xr:uid="{00000000-0005-0000-0000-0000222B0000}"/>
    <cellStyle name="40% - Accent1 12 2 2 2 2 4 2" xfId="44711" xr:uid="{C2B07D1D-B49A-4BF0-B2FF-EDDF875481A5}"/>
    <cellStyle name="40% - Accent1 12 2 2 2 2 5" xfId="28832" xr:uid="{F3433B2A-84D7-49AD-860C-7719C73C6C1A}"/>
    <cellStyle name="40% - Accent1 12 2 2 2 3" xfId="6731" xr:uid="{00000000-0005-0000-0000-0000232B0000}"/>
    <cellStyle name="40% - Accent1 12 2 2 2 3 2" xfId="14703" xr:uid="{00000000-0005-0000-0000-0000242B0000}"/>
    <cellStyle name="40% - Accent1 12 2 2 2 3 2 2" xfId="38546" xr:uid="{E01D64E3-DBBC-4106-BCD0-FF280C63C9BC}"/>
    <cellStyle name="40% - Accent1 12 2 2 2 3 3" xfId="22650" xr:uid="{00000000-0005-0000-0000-0000252B0000}"/>
    <cellStyle name="40% - Accent1 12 2 2 2 3 3 2" xfId="46483" xr:uid="{F8CB87C3-DAC7-4C94-9EBC-BEA7BFDC7035}"/>
    <cellStyle name="40% - Accent1 12 2 2 2 3 4" xfId="30605" xr:uid="{23E0D12B-8300-4C5F-8D29-FF08EE9AE0B8}"/>
    <cellStyle name="40% - Accent1 12 2 2 2 4" xfId="11167" xr:uid="{00000000-0005-0000-0000-0000262B0000}"/>
    <cellStyle name="40% - Accent1 12 2 2 2 4 2" xfId="35017" xr:uid="{1CB68A56-7A09-4FDF-824F-277B6BE7F9AB}"/>
    <cellStyle name="40% - Accent1 12 2 2 2 5" xfId="19122" xr:uid="{00000000-0005-0000-0000-0000272B0000}"/>
    <cellStyle name="40% - Accent1 12 2 2 2 5 2" xfId="42955" xr:uid="{96B9025C-8AF4-48E6-B6A7-A6841B1DE07F}"/>
    <cellStyle name="40% - Accent1 12 2 2 2 6" xfId="27075" xr:uid="{BF938B39-1611-4D9C-80CF-B6FE29033FD4}"/>
    <cellStyle name="40% - Accent1 12 2 2 2_Exh G" xfId="2704" xr:uid="{00000000-0005-0000-0000-0000282B0000}"/>
    <cellStyle name="40% - Accent1 12 2 2 3" xfId="4020" xr:uid="{00000000-0005-0000-0000-0000292B0000}"/>
    <cellStyle name="40% - Accent1 12 2 2 3 2" xfId="7612" xr:uid="{00000000-0005-0000-0000-00002A2B0000}"/>
    <cellStyle name="40% - Accent1 12 2 2 3 2 2" xfId="15583" xr:uid="{00000000-0005-0000-0000-00002B2B0000}"/>
    <cellStyle name="40% - Accent1 12 2 2 3 2 2 2" xfId="39426" xr:uid="{1B7378AC-28A3-4217-9F79-BC0AF2ED4E00}"/>
    <cellStyle name="40% - Accent1 12 2 2 3 2 3" xfId="23529" xr:uid="{00000000-0005-0000-0000-00002C2B0000}"/>
    <cellStyle name="40% - Accent1 12 2 2 3 2 3 2" xfId="47362" xr:uid="{F6848D2F-7E37-41D3-B887-6259645A942A}"/>
    <cellStyle name="40% - Accent1 12 2 2 3 2 4" xfId="31485" xr:uid="{48A224CA-1AB4-4F48-87F8-BCEAA075E3EB}"/>
    <cellStyle name="40% - Accent1 12 2 2 3 3" xfId="12045" xr:uid="{00000000-0005-0000-0000-00002D2B0000}"/>
    <cellStyle name="40% - Accent1 12 2 2 3 3 2" xfId="35895" xr:uid="{4151F367-1C22-426E-A94F-5DD57C40D5B1}"/>
    <cellStyle name="40% - Accent1 12 2 2 3 4" xfId="20000" xr:uid="{00000000-0005-0000-0000-00002E2B0000}"/>
    <cellStyle name="40% - Accent1 12 2 2 3 4 2" xfId="43833" xr:uid="{D158917E-4EC8-41DA-BF4F-00FD159B557A}"/>
    <cellStyle name="40% - Accent1 12 2 2 3 5" xfId="27954" xr:uid="{B04D27EE-34FC-4E6B-8663-DA291CDDD3E7}"/>
    <cellStyle name="40% - Accent1 12 2 2 4" xfId="5840" xr:uid="{00000000-0005-0000-0000-00002F2B0000}"/>
    <cellStyle name="40% - Accent1 12 2 2 4 2" xfId="13824" xr:uid="{00000000-0005-0000-0000-0000302B0000}"/>
    <cellStyle name="40% - Accent1 12 2 2 4 2 2" xfId="37668" xr:uid="{D9A8C9BA-F3EF-43BE-AB1D-CD9B644AD7D1}"/>
    <cellStyle name="40% - Accent1 12 2 2 4 3" xfId="21772" xr:uid="{00000000-0005-0000-0000-0000312B0000}"/>
    <cellStyle name="40% - Accent1 12 2 2 4 3 2" xfId="45605" xr:uid="{C9B3B642-32A7-4E84-A7E5-8FA40A26DB76}"/>
    <cellStyle name="40% - Accent1 12 2 2 4 4" xfId="29727" xr:uid="{3602177A-0C52-4FF6-BEF3-B61553E92621}"/>
    <cellStyle name="40% - Accent1 12 2 2 5" xfId="9393" xr:uid="{00000000-0005-0000-0000-0000322B0000}"/>
    <cellStyle name="40% - Accent1 12 2 2 5 2" xfId="17351" xr:uid="{00000000-0005-0000-0000-0000332B0000}"/>
    <cellStyle name="40% - Accent1 12 2 2 5 2 2" xfId="41192" xr:uid="{FE0F75B2-0128-4E5F-886B-BCD502C176FB}"/>
    <cellStyle name="40% - Accent1 12 2 2 5 3" xfId="25295" xr:uid="{00000000-0005-0000-0000-0000342B0000}"/>
    <cellStyle name="40% - Accent1 12 2 2 5 3 2" xfId="49128" xr:uid="{C99DDD45-DFE9-4AFC-9A96-3A889BCD620B}"/>
    <cellStyle name="40% - Accent1 12 2 2 5 4" xfId="33251" xr:uid="{878AE708-15E6-43BB-BFC3-53A1A3F20920}"/>
    <cellStyle name="40% - Accent1 12 2 2 6" xfId="10289" xr:uid="{00000000-0005-0000-0000-0000352B0000}"/>
    <cellStyle name="40% - Accent1 12 2 2 6 2" xfId="34139" xr:uid="{3C1BD2A3-B604-4076-AF69-D1A613FC0E9D}"/>
    <cellStyle name="40% - Accent1 12 2 2 7" xfId="18244" xr:uid="{00000000-0005-0000-0000-0000362B0000}"/>
    <cellStyle name="40% - Accent1 12 2 2 7 2" xfId="42077" xr:uid="{B23A94C5-EBB1-48D5-B898-574985010749}"/>
    <cellStyle name="40% - Accent1 12 2 2 8" xfId="26197" xr:uid="{03E16F82-CAB7-4A32-845C-2FEA8D40A98F}"/>
    <cellStyle name="40% - Accent1 12 2 2_Exh G" xfId="2703" xr:uid="{00000000-0005-0000-0000-0000372B0000}"/>
    <cellStyle name="40% - Accent1 12 2 3" xfId="1368" xr:uid="{00000000-0005-0000-0000-0000382B0000}"/>
    <cellStyle name="40% - Accent1 12 2 3 2" xfId="4898" xr:uid="{00000000-0005-0000-0000-0000392B0000}"/>
    <cellStyle name="40% - Accent1 12 2 3 2 2" xfId="8489" xr:uid="{00000000-0005-0000-0000-00003A2B0000}"/>
    <cellStyle name="40% - Accent1 12 2 3 2 2 2" xfId="16460" xr:uid="{00000000-0005-0000-0000-00003B2B0000}"/>
    <cellStyle name="40% - Accent1 12 2 3 2 2 2 2" xfId="40303" xr:uid="{E1E02727-8561-4E55-AEC1-3CB90FBAAD14}"/>
    <cellStyle name="40% - Accent1 12 2 3 2 2 3" xfId="24406" xr:uid="{00000000-0005-0000-0000-00003C2B0000}"/>
    <cellStyle name="40% - Accent1 12 2 3 2 2 3 2" xfId="48239" xr:uid="{E3F37CB7-9BE1-4AAD-A5CD-607384AED508}"/>
    <cellStyle name="40% - Accent1 12 2 3 2 2 4" xfId="32362" xr:uid="{D406BEFC-CC0D-4DAF-9E16-4FB24C0DDF87}"/>
    <cellStyle name="40% - Accent1 12 2 3 2 3" xfId="12922" xr:uid="{00000000-0005-0000-0000-00003D2B0000}"/>
    <cellStyle name="40% - Accent1 12 2 3 2 3 2" xfId="36772" xr:uid="{94BD52C4-B7D2-420E-A976-3FC85AB64F15}"/>
    <cellStyle name="40% - Accent1 12 2 3 2 4" xfId="20877" xr:uid="{00000000-0005-0000-0000-00003E2B0000}"/>
    <cellStyle name="40% - Accent1 12 2 3 2 4 2" xfId="44710" xr:uid="{7942268B-5C06-478E-A050-AA3CCAFFA66C}"/>
    <cellStyle name="40% - Accent1 12 2 3 2 5" xfId="28831" xr:uid="{50A11994-1AF0-45F2-8E7C-23B068BF7253}"/>
    <cellStyle name="40% - Accent1 12 2 3 3" xfId="6730" xr:uid="{00000000-0005-0000-0000-00003F2B0000}"/>
    <cellStyle name="40% - Accent1 12 2 3 3 2" xfId="14702" xr:uid="{00000000-0005-0000-0000-0000402B0000}"/>
    <cellStyle name="40% - Accent1 12 2 3 3 2 2" xfId="38545" xr:uid="{66B11180-2E6E-4BD9-9E27-1B48FBFF87B4}"/>
    <cellStyle name="40% - Accent1 12 2 3 3 3" xfId="22649" xr:uid="{00000000-0005-0000-0000-0000412B0000}"/>
    <cellStyle name="40% - Accent1 12 2 3 3 3 2" xfId="46482" xr:uid="{17FCC653-4491-4230-A609-78F04A4B3896}"/>
    <cellStyle name="40% - Accent1 12 2 3 3 4" xfId="30604" xr:uid="{1EE93DD3-C773-4EB8-B385-83A14F12D0E9}"/>
    <cellStyle name="40% - Accent1 12 2 3 4" xfId="11166" xr:uid="{00000000-0005-0000-0000-0000422B0000}"/>
    <cellStyle name="40% - Accent1 12 2 3 4 2" xfId="35016" xr:uid="{8CFE9791-17CE-4EE3-ADA5-8EED8493C0DE}"/>
    <cellStyle name="40% - Accent1 12 2 3 5" xfId="19121" xr:uid="{00000000-0005-0000-0000-0000432B0000}"/>
    <cellStyle name="40% - Accent1 12 2 3 5 2" xfId="42954" xr:uid="{69062FD6-77F9-4B37-A26B-781496D2C0F5}"/>
    <cellStyle name="40% - Accent1 12 2 3 6" xfId="27074" xr:uid="{C315B829-AD4F-495D-AF0C-E14FC8FE3521}"/>
    <cellStyle name="40% - Accent1 12 2 3_Exh G" xfId="2705" xr:uid="{00000000-0005-0000-0000-0000442B0000}"/>
    <cellStyle name="40% - Accent1 12 2 4" xfId="4019" xr:uid="{00000000-0005-0000-0000-0000452B0000}"/>
    <cellStyle name="40% - Accent1 12 2 4 2" xfId="7611" xr:uid="{00000000-0005-0000-0000-0000462B0000}"/>
    <cellStyle name="40% - Accent1 12 2 4 2 2" xfId="15582" xr:uid="{00000000-0005-0000-0000-0000472B0000}"/>
    <cellStyle name="40% - Accent1 12 2 4 2 2 2" xfId="39425" xr:uid="{9369ED0E-4DF6-4165-86F1-3CCD63C5DDB1}"/>
    <cellStyle name="40% - Accent1 12 2 4 2 3" xfId="23528" xr:uid="{00000000-0005-0000-0000-0000482B0000}"/>
    <cellStyle name="40% - Accent1 12 2 4 2 3 2" xfId="47361" xr:uid="{AD3D0634-2441-4B7D-BF65-6A64A9FD2A8A}"/>
    <cellStyle name="40% - Accent1 12 2 4 2 4" xfId="31484" xr:uid="{22AC3B23-4286-443A-A89E-98F4403B3075}"/>
    <cellStyle name="40% - Accent1 12 2 4 3" xfId="12044" xr:uid="{00000000-0005-0000-0000-0000492B0000}"/>
    <cellStyle name="40% - Accent1 12 2 4 3 2" xfId="35894" xr:uid="{FCFD9997-1E02-4118-85CB-987F305B449E}"/>
    <cellStyle name="40% - Accent1 12 2 4 4" xfId="19999" xr:uid="{00000000-0005-0000-0000-00004A2B0000}"/>
    <cellStyle name="40% - Accent1 12 2 4 4 2" xfId="43832" xr:uid="{21EA9EAA-561D-4EA6-B4A3-F2B91FE94488}"/>
    <cellStyle name="40% - Accent1 12 2 4 5" xfId="27953" xr:uid="{7562D348-85EF-4E49-8B60-6A886E75F416}"/>
    <cellStyle name="40% - Accent1 12 2 5" xfId="5839" xr:uid="{00000000-0005-0000-0000-00004B2B0000}"/>
    <cellStyle name="40% - Accent1 12 2 5 2" xfId="13823" xr:uid="{00000000-0005-0000-0000-00004C2B0000}"/>
    <cellStyle name="40% - Accent1 12 2 5 2 2" xfId="37667" xr:uid="{E6491D61-A298-466E-9EC4-38471F7BB26C}"/>
    <cellStyle name="40% - Accent1 12 2 5 3" xfId="21771" xr:uid="{00000000-0005-0000-0000-00004D2B0000}"/>
    <cellStyle name="40% - Accent1 12 2 5 3 2" xfId="45604" xr:uid="{C81F1C1C-55C2-4E5D-A1C7-123216296D08}"/>
    <cellStyle name="40% - Accent1 12 2 5 4" xfId="29726" xr:uid="{A1D08606-8026-4B65-85F4-44E48DFF93E0}"/>
    <cellStyle name="40% - Accent1 12 2 6" xfId="9392" xr:uid="{00000000-0005-0000-0000-00004E2B0000}"/>
    <cellStyle name="40% - Accent1 12 2 6 2" xfId="17350" xr:uid="{00000000-0005-0000-0000-00004F2B0000}"/>
    <cellStyle name="40% - Accent1 12 2 6 2 2" xfId="41191" xr:uid="{8C0BEE87-27FC-4018-B0AB-1B45D4FE6895}"/>
    <cellStyle name="40% - Accent1 12 2 6 3" xfId="25294" xr:uid="{00000000-0005-0000-0000-0000502B0000}"/>
    <cellStyle name="40% - Accent1 12 2 6 3 2" xfId="49127" xr:uid="{03D7A98E-FFE7-4945-B412-BF516766B8D1}"/>
    <cellStyle name="40% - Accent1 12 2 6 4" xfId="33250" xr:uid="{2256B0A5-E486-4D25-BCF8-80FDD40EDAC7}"/>
    <cellStyle name="40% - Accent1 12 2 7" xfId="10288" xr:uid="{00000000-0005-0000-0000-0000512B0000}"/>
    <cellStyle name="40% - Accent1 12 2 7 2" xfId="34138" xr:uid="{3847FCE3-27EF-4808-A108-7F36458DF179}"/>
    <cellStyle name="40% - Accent1 12 2 8" xfId="18243" xr:uid="{00000000-0005-0000-0000-0000522B0000}"/>
    <cellStyle name="40% - Accent1 12 2 8 2" xfId="42076" xr:uid="{78F74069-CF72-45CE-9B04-035673ADACD3}"/>
    <cellStyle name="40% - Accent1 12 2 9" xfId="26196" xr:uid="{CDC12D57-E9A3-4FC8-A906-6622A26EA308}"/>
    <cellStyle name="40% - Accent1 12 2_Exh G" xfId="2702" xr:uid="{00000000-0005-0000-0000-0000532B0000}"/>
    <cellStyle name="40% - Accent1 12 3" xfId="342" xr:uid="{00000000-0005-0000-0000-0000542B0000}"/>
    <cellStyle name="40% - Accent1 12 3 2" xfId="1370" xr:uid="{00000000-0005-0000-0000-0000552B0000}"/>
    <cellStyle name="40% - Accent1 12 3 2 2" xfId="4900" xr:uid="{00000000-0005-0000-0000-0000562B0000}"/>
    <cellStyle name="40% - Accent1 12 3 2 2 2" xfId="8491" xr:uid="{00000000-0005-0000-0000-0000572B0000}"/>
    <cellStyle name="40% - Accent1 12 3 2 2 2 2" xfId="16462" xr:uid="{00000000-0005-0000-0000-0000582B0000}"/>
    <cellStyle name="40% - Accent1 12 3 2 2 2 2 2" xfId="40305" xr:uid="{2CABB58C-7A8B-4F67-A20D-1E211A8C21A5}"/>
    <cellStyle name="40% - Accent1 12 3 2 2 2 3" xfId="24408" xr:uid="{00000000-0005-0000-0000-0000592B0000}"/>
    <cellStyle name="40% - Accent1 12 3 2 2 2 3 2" xfId="48241" xr:uid="{778B5314-4D49-424D-A648-2E8FDA14016E}"/>
    <cellStyle name="40% - Accent1 12 3 2 2 2 4" xfId="32364" xr:uid="{EB785149-3883-420E-92A6-DF5A80758B6E}"/>
    <cellStyle name="40% - Accent1 12 3 2 2 3" xfId="12924" xr:uid="{00000000-0005-0000-0000-00005A2B0000}"/>
    <cellStyle name="40% - Accent1 12 3 2 2 3 2" xfId="36774" xr:uid="{F3CCEA30-39DC-4A17-964C-57DA264A8728}"/>
    <cellStyle name="40% - Accent1 12 3 2 2 4" xfId="20879" xr:uid="{00000000-0005-0000-0000-00005B2B0000}"/>
    <cellStyle name="40% - Accent1 12 3 2 2 4 2" xfId="44712" xr:uid="{390C7B36-4486-4AFE-BA9E-0CEE902DB85A}"/>
    <cellStyle name="40% - Accent1 12 3 2 2 5" xfId="28833" xr:uid="{BF1F435A-D9E1-45D5-A294-07FDB90B9CE9}"/>
    <cellStyle name="40% - Accent1 12 3 2 3" xfId="6732" xr:uid="{00000000-0005-0000-0000-00005C2B0000}"/>
    <cellStyle name="40% - Accent1 12 3 2 3 2" xfId="14704" xr:uid="{00000000-0005-0000-0000-00005D2B0000}"/>
    <cellStyle name="40% - Accent1 12 3 2 3 2 2" xfId="38547" xr:uid="{F4B0982A-2A36-4B2C-8834-E0FFF5D795E2}"/>
    <cellStyle name="40% - Accent1 12 3 2 3 3" xfId="22651" xr:uid="{00000000-0005-0000-0000-00005E2B0000}"/>
    <cellStyle name="40% - Accent1 12 3 2 3 3 2" xfId="46484" xr:uid="{E77A7DF7-F8A6-46B2-9A98-148BAFB3B412}"/>
    <cellStyle name="40% - Accent1 12 3 2 3 4" xfId="30606" xr:uid="{F1E40424-36F4-4760-B329-A368799926CB}"/>
    <cellStyle name="40% - Accent1 12 3 2 4" xfId="11168" xr:uid="{00000000-0005-0000-0000-00005F2B0000}"/>
    <cellStyle name="40% - Accent1 12 3 2 4 2" xfId="35018" xr:uid="{918DA342-E550-4F5B-9B28-56140B4C19F3}"/>
    <cellStyle name="40% - Accent1 12 3 2 5" xfId="19123" xr:uid="{00000000-0005-0000-0000-0000602B0000}"/>
    <cellStyle name="40% - Accent1 12 3 2 5 2" xfId="42956" xr:uid="{002DC82D-E31B-4D32-8C0B-2A3D3D62EAF9}"/>
    <cellStyle name="40% - Accent1 12 3 2 6" xfId="27076" xr:uid="{3F0CBEFA-B6E2-40D2-8224-87F3C9C4879C}"/>
    <cellStyle name="40% - Accent1 12 3 2_Exh G" xfId="2707" xr:uid="{00000000-0005-0000-0000-0000612B0000}"/>
    <cellStyle name="40% - Accent1 12 3 3" xfId="4021" xr:uid="{00000000-0005-0000-0000-0000622B0000}"/>
    <cellStyle name="40% - Accent1 12 3 3 2" xfId="7613" xr:uid="{00000000-0005-0000-0000-0000632B0000}"/>
    <cellStyle name="40% - Accent1 12 3 3 2 2" xfId="15584" xr:uid="{00000000-0005-0000-0000-0000642B0000}"/>
    <cellStyle name="40% - Accent1 12 3 3 2 2 2" xfId="39427" xr:uid="{76BF15F3-9E61-4525-8617-E52CCC103F25}"/>
    <cellStyle name="40% - Accent1 12 3 3 2 3" xfId="23530" xr:uid="{00000000-0005-0000-0000-0000652B0000}"/>
    <cellStyle name="40% - Accent1 12 3 3 2 3 2" xfId="47363" xr:uid="{9E47AAF5-69E1-44E3-8041-3197587EC937}"/>
    <cellStyle name="40% - Accent1 12 3 3 2 4" xfId="31486" xr:uid="{81B03437-3612-4796-B0CD-8BAD1CDAFB14}"/>
    <cellStyle name="40% - Accent1 12 3 3 3" xfId="12046" xr:uid="{00000000-0005-0000-0000-0000662B0000}"/>
    <cellStyle name="40% - Accent1 12 3 3 3 2" xfId="35896" xr:uid="{0D90EA0F-5C54-481C-9352-43830F5B6722}"/>
    <cellStyle name="40% - Accent1 12 3 3 4" xfId="20001" xr:uid="{00000000-0005-0000-0000-0000672B0000}"/>
    <cellStyle name="40% - Accent1 12 3 3 4 2" xfId="43834" xr:uid="{07BA962F-997D-4C7B-8C19-10125236E187}"/>
    <cellStyle name="40% - Accent1 12 3 3 5" xfId="27955" xr:uid="{057932DB-8E29-448E-8D76-532657407673}"/>
    <cellStyle name="40% - Accent1 12 3 4" xfId="5841" xr:uid="{00000000-0005-0000-0000-0000682B0000}"/>
    <cellStyle name="40% - Accent1 12 3 4 2" xfId="13825" xr:uid="{00000000-0005-0000-0000-0000692B0000}"/>
    <cellStyle name="40% - Accent1 12 3 4 2 2" xfId="37669" xr:uid="{8D0272E6-5CCA-406D-8424-21C3FDD4A853}"/>
    <cellStyle name="40% - Accent1 12 3 4 3" xfId="21773" xr:uid="{00000000-0005-0000-0000-00006A2B0000}"/>
    <cellStyle name="40% - Accent1 12 3 4 3 2" xfId="45606" xr:uid="{17C97F00-7350-4463-AB26-C4C5AB71BDD2}"/>
    <cellStyle name="40% - Accent1 12 3 4 4" xfId="29728" xr:uid="{A65BE3B7-4FDE-41DF-87EB-54F5A916F84F}"/>
    <cellStyle name="40% - Accent1 12 3 5" xfId="9394" xr:uid="{00000000-0005-0000-0000-00006B2B0000}"/>
    <cellStyle name="40% - Accent1 12 3 5 2" xfId="17352" xr:uid="{00000000-0005-0000-0000-00006C2B0000}"/>
    <cellStyle name="40% - Accent1 12 3 5 2 2" xfId="41193" xr:uid="{EC944321-58B4-49B5-A334-36E67494892A}"/>
    <cellStyle name="40% - Accent1 12 3 5 3" xfId="25296" xr:uid="{00000000-0005-0000-0000-00006D2B0000}"/>
    <cellStyle name="40% - Accent1 12 3 5 3 2" xfId="49129" xr:uid="{78A0F900-2A32-4BEB-B0DC-367BA3CA203C}"/>
    <cellStyle name="40% - Accent1 12 3 5 4" xfId="33252" xr:uid="{1D01293A-CB2D-4518-9654-A03F6C4EAD4B}"/>
    <cellStyle name="40% - Accent1 12 3 6" xfId="10290" xr:uid="{00000000-0005-0000-0000-00006E2B0000}"/>
    <cellStyle name="40% - Accent1 12 3 6 2" xfId="34140" xr:uid="{8E5C28A5-F29C-435E-8197-AF20E14412AA}"/>
    <cellStyle name="40% - Accent1 12 3 7" xfId="18245" xr:uid="{00000000-0005-0000-0000-00006F2B0000}"/>
    <cellStyle name="40% - Accent1 12 3 7 2" xfId="42078" xr:uid="{2D163D5C-96F3-4693-A9E2-4C7D62BF6702}"/>
    <cellStyle name="40% - Accent1 12 3 8" xfId="26198" xr:uid="{F9B5B6E0-CE45-4CB0-9556-2FB220AC9950}"/>
    <cellStyle name="40% - Accent1 12 3_Exh G" xfId="2706" xr:uid="{00000000-0005-0000-0000-0000702B0000}"/>
    <cellStyle name="40% - Accent1 12 4" xfId="1367" xr:uid="{00000000-0005-0000-0000-0000712B0000}"/>
    <cellStyle name="40% - Accent1 12 4 2" xfId="4897" xr:uid="{00000000-0005-0000-0000-0000722B0000}"/>
    <cellStyle name="40% - Accent1 12 4 2 2" xfId="8488" xr:uid="{00000000-0005-0000-0000-0000732B0000}"/>
    <cellStyle name="40% - Accent1 12 4 2 2 2" xfId="16459" xr:uid="{00000000-0005-0000-0000-0000742B0000}"/>
    <cellStyle name="40% - Accent1 12 4 2 2 2 2" xfId="40302" xr:uid="{46061F55-9A78-4567-9470-6116FC8F8200}"/>
    <cellStyle name="40% - Accent1 12 4 2 2 3" xfId="24405" xr:uid="{00000000-0005-0000-0000-0000752B0000}"/>
    <cellStyle name="40% - Accent1 12 4 2 2 3 2" xfId="48238" xr:uid="{C97712C1-D889-4AEA-A6BC-D32A87588505}"/>
    <cellStyle name="40% - Accent1 12 4 2 2 4" xfId="32361" xr:uid="{928D969E-6FAF-4959-B31E-0A1ECA41BE96}"/>
    <cellStyle name="40% - Accent1 12 4 2 3" xfId="12921" xr:uid="{00000000-0005-0000-0000-0000762B0000}"/>
    <cellStyle name="40% - Accent1 12 4 2 3 2" xfId="36771" xr:uid="{29F4DC10-2029-4749-874B-E094E3931DDE}"/>
    <cellStyle name="40% - Accent1 12 4 2 4" xfId="20876" xr:uid="{00000000-0005-0000-0000-0000772B0000}"/>
    <cellStyle name="40% - Accent1 12 4 2 4 2" xfId="44709" xr:uid="{E2F9D8D9-4540-4ADB-B713-23D3CC0B6583}"/>
    <cellStyle name="40% - Accent1 12 4 2 5" xfId="28830" xr:uid="{73489031-2894-4243-BDB9-E9170D94B914}"/>
    <cellStyle name="40% - Accent1 12 4 3" xfId="6729" xr:uid="{00000000-0005-0000-0000-0000782B0000}"/>
    <cellStyle name="40% - Accent1 12 4 3 2" xfId="14701" xr:uid="{00000000-0005-0000-0000-0000792B0000}"/>
    <cellStyle name="40% - Accent1 12 4 3 2 2" xfId="38544" xr:uid="{A21C3345-2932-4D36-A578-AB0A6AD89C00}"/>
    <cellStyle name="40% - Accent1 12 4 3 3" xfId="22648" xr:uid="{00000000-0005-0000-0000-00007A2B0000}"/>
    <cellStyle name="40% - Accent1 12 4 3 3 2" xfId="46481" xr:uid="{1E6D5334-943A-4773-8628-72FEAA4C5FD9}"/>
    <cellStyle name="40% - Accent1 12 4 3 4" xfId="30603" xr:uid="{84280A14-D076-48DD-AF79-98D7F6936CC1}"/>
    <cellStyle name="40% - Accent1 12 4 4" xfId="11165" xr:uid="{00000000-0005-0000-0000-00007B2B0000}"/>
    <cellStyle name="40% - Accent1 12 4 4 2" xfId="35015" xr:uid="{76AC3F87-34B9-4188-856D-68742735CC02}"/>
    <cellStyle name="40% - Accent1 12 4 5" xfId="19120" xr:uid="{00000000-0005-0000-0000-00007C2B0000}"/>
    <cellStyle name="40% - Accent1 12 4 5 2" xfId="42953" xr:uid="{549F0378-0614-4A97-B218-9E1D58743501}"/>
    <cellStyle name="40% - Accent1 12 4 6" xfId="27073" xr:uid="{9551F7CF-EE44-4462-9408-06441A9770C4}"/>
    <cellStyle name="40% - Accent1 12 4_Exh G" xfId="2708" xr:uid="{00000000-0005-0000-0000-00007D2B0000}"/>
    <cellStyle name="40% - Accent1 12 5" xfId="4018" xr:uid="{00000000-0005-0000-0000-00007E2B0000}"/>
    <cellStyle name="40% - Accent1 12 5 2" xfId="7610" xr:uid="{00000000-0005-0000-0000-00007F2B0000}"/>
    <cellStyle name="40% - Accent1 12 5 2 2" xfId="15581" xr:uid="{00000000-0005-0000-0000-0000802B0000}"/>
    <cellStyle name="40% - Accent1 12 5 2 2 2" xfId="39424" xr:uid="{21EB9E85-70E3-4A34-B84C-B25BEE6DEA1B}"/>
    <cellStyle name="40% - Accent1 12 5 2 3" xfId="23527" xr:uid="{00000000-0005-0000-0000-0000812B0000}"/>
    <cellStyle name="40% - Accent1 12 5 2 3 2" xfId="47360" xr:uid="{353CBBCB-702D-4578-A871-0951F4D3C055}"/>
    <cellStyle name="40% - Accent1 12 5 2 4" xfId="31483" xr:uid="{53EC4EAA-3F1A-4C40-9B5A-B8A93A46AA21}"/>
    <cellStyle name="40% - Accent1 12 5 3" xfId="12043" xr:uid="{00000000-0005-0000-0000-0000822B0000}"/>
    <cellStyle name="40% - Accent1 12 5 3 2" xfId="35893" xr:uid="{F7B610E0-8687-4C08-8AF7-678863C58DD3}"/>
    <cellStyle name="40% - Accent1 12 5 4" xfId="19998" xr:uid="{00000000-0005-0000-0000-0000832B0000}"/>
    <cellStyle name="40% - Accent1 12 5 4 2" xfId="43831" xr:uid="{CE62FFE3-3A7C-4AFF-A9F4-9580BEA39FF0}"/>
    <cellStyle name="40% - Accent1 12 5 5" xfId="27952" xr:uid="{5E8159B8-123D-46FB-A366-F8FDD02ABC57}"/>
    <cellStyle name="40% - Accent1 12 6" xfId="5838" xr:uid="{00000000-0005-0000-0000-0000842B0000}"/>
    <cellStyle name="40% - Accent1 12 6 2" xfId="13822" xr:uid="{00000000-0005-0000-0000-0000852B0000}"/>
    <cellStyle name="40% - Accent1 12 6 2 2" xfId="37666" xr:uid="{8FD893D6-4793-4A33-85EA-C1065B95F6A1}"/>
    <cellStyle name="40% - Accent1 12 6 3" xfId="21770" xr:uid="{00000000-0005-0000-0000-0000862B0000}"/>
    <cellStyle name="40% - Accent1 12 6 3 2" xfId="45603" xr:uid="{5067B1CD-5A5F-4456-8DDF-16B8D31EDF82}"/>
    <cellStyle name="40% - Accent1 12 6 4" xfId="29725" xr:uid="{91061AB1-1015-4501-853C-ECA9F758BD3F}"/>
    <cellStyle name="40% - Accent1 12 7" xfId="9391" xr:uid="{00000000-0005-0000-0000-0000872B0000}"/>
    <cellStyle name="40% - Accent1 12 7 2" xfId="17349" xr:uid="{00000000-0005-0000-0000-0000882B0000}"/>
    <cellStyle name="40% - Accent1 12 7 2 2" xfId="41190" xr:uid="{84CBFEBD-FB33-4BB9-8668-61263DCEAB7E}"/>
    <cellStyle name="40% - Accent1 12 7 3" xfId="25293" xr:uid="{00000000-0005-0000-0000-0000892B0000}"/>
    <cellStyle name="40% - Accent1 12 7 3 2" xfId="49126" xr:uid="{DFE41AE0-DDF8-4F7F-89B1-76FAEFFB9B9B}"/>
    <cellStyle name="40% - Accent1 12 7 4" xfId="33249" xr:uid="{5CEBA8CA-8B3F-4CEB-81D2-BDA3B1CB9675}"/>
    <cellStyle name="40% - Accent1 12 8" xfId="10287" xr:uid="{00000000-0005-0000-0000-00008A2B0000}"/>
    <cellStyle name="40% - Accent1 12 8 2" xfId="34137" xr:uid="{86ACF1CD-301C-400D-AE76-300F4E810A83}"/>
    <cellStyle name="40% - Accent1 12 9" xfId="18242" xr:uid="{00000000-0005-0000-0000-00008B2B0000}"/>
    <cellStyle name="40% - Accent1 12 9 2" xfId="42075" xr:uid="{9BB80828-977B-418A-A372-07E64DF0AD9D}"/>
    <cellStyle name="40% - Accent1 12_Exh G" xfId="2701" xr:uid="{00000000-0005-0000-0000-00008C2B0000}"/>
    <cellStyle name="40% - Accent1 13" xfId="343" xr:uid="{00000000-0005-0000-0000-00008D2B0000}"/>
    <cellStyle name="40% - Accent1 13 10" xfId="26199" xr:uid="{2C21B766-B967-4053-845E-1CA9B5C19EED}"/>
    <cellStyle name="40% - Accent1 13 2" xfId="344" xr:uid="{00000000-0005-0000-0000-00008E2B0000}"/>
    <cellStyle name="40% - Accent1 13 2 2" xfId="345" xr:uid="{00000000-0005-0000-0000-00008F2B0000}"/>
    <cellStyle name="40% - Accent1 13 2 2 2" xfId="1373" xr:uid="{00000000-0005-0000-0000-0000902B0000}"/>
    <cellStyle name="40% - Accent1 13 2 2 2 2" xfId="4903" xr:uid="{00000000-0005-0000-0000-0000912B0000}"/>
    <cellStyle name="40% - Accent1 13 2 2 2 2 2" xfId="8494" xr:uid="{00000000-0005-0000-0000-0000922B0000}"/>
    <cellStyle name="40% - Accent1 13 2 2 2 2 2 2" xfId="16465" xr:uid="{00000000-0005-0000-0000-0000932B0000}"/>
    <cellStyle name="40% - Accent1 13 2 2 2 2 2 2 2" xfId="40308" xr:uid="{BB849AC3-DD5E-416A-B8F3-53C8CD04CA57}"/>
    <cellStyle name="40% - Accent1 13 2 2 2 2 2 3" xfId="24411" xr:uid="{00000000-0005-0000-0000-0000942B0000}"/>
    <cellStyle name="40% - Accent1 13 2 2 2 2 2 3 2" xfId="48244" xr:uid="{810C3568-4C9A-4700-AD35-37841B0DBF33}"/>
    <cellStyle name="40% - Accent1 13 2 2 2 2 2 4" xfId="32367" xr:uid="{20099A59-3B95-400F-B53E-7E0DD965DAE5}"/>
    <cellStyle name="40% - Accent1 13 2 2 2 2 3" xfId="12927" xr:uid="{00000000-0005-0000-0000-0000952B0000}"/>
    <cellStyle name="40% - Accent1 13 2 2 2 2 3 2" xfId="36777" xr:uid="{A1726E35-3E5E-48D0-871B-CB8A77DB0B6C}"/>
    <cellStyle name="40% - Accent1 13 2 2 2 2 4" xfId="20882" xr:uid="{00000000-0005-0000-0000-0000962B0000}"/>
    <cellStyle name="40% - Accent1 13 2 2 2 2 4 2" xfId="44715" xr:uid="{030FBF29-C529-4BFC-87A4-A87F56B05FAE}"/>
    <cellStyle name="40% - Accent1 13 2 2 2 2 5" xfId="28836" xr:uid="{85E58469-490D-4C1B-B8B6-79D585DB1577}"/>
    <cellStyle name="40% - Accent1 13 2 2 2 3" xfId="6735" xr:uid="{00000000-0005-0000-0000-0000972B0000}"/>
    <cellStyle name="40% - Accent1 13 2 2 2 3 2" xfId="14707" xr:uid="{00000000-0005-0000-0000-0000982B0000}"/>
    <cellStyle name="40% - Accent1 13 2 2 2 3 2 2" xfId="38550" xr:uid="{F4D07095-790A-4572-AFFF-946091C86373}"/>
    <cellStyle name="40% - Accent1 13 2 2 2 3 3" xfId="22654" xr:uid="{00000000-0005-0000-0000-0000992B0000}"/>
    <cellStyle name="40% - Accent1 13 2 2 2 3 3 2" xfId="46487" xr:uid="{C3378762-C000-4474-942F-77A79DCE60C2}"/>
    <cellStyle name="40% - Accent1 13 2 2 2 3 4" xfId="30609" xr:uid="{3F35CF47-7692-4E0B-9EAA-432E925098AE}"/>
    <cellStyle name="40% - Accent1 13 2 2 2 4" xfId="11171" xr:uid="{00000000-0005-0000-0000-00009A2B0000}"/>
    <cellStyle name="40% - Accent1 13 2 2 2 4 2" xfId="35021" xr:uid="{4587566A-ED7A-4F89-9E54-D5218BFBD168}"/>
    <cellStyle name="40% - Accent1 13 2 2 2 5" xfId="19126" xr:uid="{00000000-0005-0000-0000-00009B2B0000}"/>
    <cellStyle name="40% - Accent1 13 2 2 2 5 2" xfId="42959" xr:uid="{D7B1A5AB-A720-4B60-B679-AF1BE727462B}"/>
    <cellStyle name="40% - Accent1 13 2 2 2 6" xfId="27079" xr:uid="{977EFB63-B12B-433F-96CE-A0A5D098AF46}"/>
    <cellStyle name="40% - Accent1 13 2 2 2_Exh G" xfId="2712" xr:uid="{00000000-0005-0000-0000-00009C2B0000}"/>
    <cellStyle name="40% - Accent1 13 2 2 3" xfId="4024" xr:uid="{00000000-0005-0000-0000-00009D2B0000}"/>
    <cellStyle name="40% - Accent1 13 2 2 3 2" xfId="7616" xr:uid="{00000000-0005-0000-0000-00009E2B0000}"/>
    <cellStyle name="40% - Accent1 13 2 2 3 2 2" xfId="15587" xr:uid="{00000000-0005-0000-0000-00009F2B0000}"/>
    <cellStyle name="40% - Accent1 13 2 2 3 2 2 2" xfId="39430" xr:uid="{D3989951-0538-4CCE-8594-EDE114FE8266}"/>
    <cellStyle name="40% - Accent1 13 2 2 3 2 3" xfId="23533" xr:uid="{00000000-0005-0000-0000-0000A02B0000}"/>
    <cellStyle name="40% - Accent1 13 2 2 3 2 3 2" xfId="47366" xr:uid="{F493D0C4-D7E7-4B39-BD20-9DC4C6DD132A}"/>
    <cellStyle name="40% - Accent1 13 2 2 3 2 4" xfId="31489" xr:uid="{1CF6A0EB-9FA2-4C5B-86EC-382115D767B7}"/>
    <cellStyle name="40% - Accent1 13 2 2 3 3" xfId="12049" xr:uid="{00000000-0005-0000-0000-0000A12B0000}"/>
    <cellStyle name="40% - Accent1 13 2 2 3 3 2" xfId="35899" xr:uid="{0F808F9A-61EF-4F12-89D5-AF4D85ED0EAF}"/>
    <cellStyle name="40% - Accent1 13 2 2 3 4" xfId="20004" xr:uid="{00000000-0005-0000-0000-0000A22B0000}"/>
    <cellStyle name="40% - Accent1 13 2 2 3 4 2" xfId="43837" xr:uid="{CC0CB5EB-1BBF-4794-A4BB-5D8286375ADB}"/>
    <cellStyle name="40% - Accent1 13 2 2 3 5" xfId="27958" xr:uid="{5693054A-3752-4058-8EEF-00847961A942}"/>
    <cellStyle name="40% - Accent1 13 2 2 4" xfId="5844" xr:uid="{00000000-0005-0000-0000-0000A32B0000}"/>
    <cellStyle name="40% - Accent1 13 2 2 4 2" xfId="13828" xr:uid="{00000000-0005-0000-0000-0000A42B0000}"/>
    <cellStyle name="40% - Accent1 13 2 2 4 2 2" xfId="37672" xr:uid="{A2C68EA7-E12C-44D5-AE41-35B0984AE716}"/>
    <cellStyle name="40% - Accent1 13 2 2 4 3" xfId="21776" xr:uid="{00000000-0005-0000-0000-0000A52B0000}"/>
    <cellStyle name="40% - Accent1 13 2 2 4 3 2" xfId="45609" xr:uid="{4D462447-EC3F-4F9D-9CA4-515DEF8DC37C}"/>
    <cellStyle name="40% - Accent1 13 2 2 4 4" xfId="29731" xr:uid="{0801D0B7-A200-4EDC-95CE-3A76F07EBE2B}"/>
    <cellStyle name="40% - Accent1 13 2 2 5" xfId="9397" xr:uid="{00000000-0005-0000-0000-0000A62B0000}"/>
    <cellStyle name="40% - Accent1 13 2 2 5 2" xfId="17355" xr:uid="{00000000-0005-0000-0000-0000A72B0000}"/>
    <cellStyle name="40% - Accent1 13 2 2 5 2 2" xfId="41196" xr:uid="{D7E1C4C2-FE32-49DB-8FF2-16C6F1C8F3A3}"/>
    <cellStyle name="40% - Accent1 13 2 2 5 3" xfId="25299" xr:uid="{00000000-0005-0000-0000-0000A82B0000}"/>
    <cellStyle name="40% - Accent1 13 2 2 5 3 2" xfId="49132" xr:uid="{6555DEB4-ACE4-42C6-B00E-975CC17EB7B8}"/>
    <cellStyle name="40% - Accent1 13 2 2 5 4" xfId="33255" xr:uid="{AD9D108F-8F1B-4EC2-8E28-50F26890447B}"/>
    <cellStyle name="40% - Accent1 13 2 2 6" xfId="10293" xr:uid="{00000000-0005-0000-0000-0000A92B0000}"/>
    <cellStyle name="40% - Accent1 13 2 2 6 2" xfId="34143" xr:uid="{B25582CC-6621-44E9-8066-2DA3A915CAC4}"/>
    <cellStyle name="40% - Accent1 13 2 2 7" xfId="18248" xr:uid="{00000000-0005-0000-0000-0000AA2B0000}"/>
    <cellStyle name="40% - Accent1 13 2 2 7 2" xfId="42081" xr:uid="{70CD03C0-53E7-4C22-923A-A76FFF3E6DDE}"/>
    <cellStyle name="40% - Accent1 13 2 2 8" xfId="26201" xr:uid="{BBABA065-3982-455F-AE3B-9C0A8E34D1D2}"/>
    <cellStyle name="40% - Accent1 13 2 2_Exh G" xfId="2711" xr:uid="{00000000-0005-0000-0000-0000AB2B0000}"/>
    <cellStyle name="40% - Accent1 13 2 3" xfId="1372" xr:uid="{00000000-0005-0000-0000-0000AC2B0000}"/>
    <cellStyle name="40% - Accent1 13 2 3 2" xfId="4902" xr:uid="{00000000-0005-0000-0000-0000AD2B0000}"/>
    <cellStyle name="40% - Accent1 13 2 3 2 2" xfId="8493" xr:uid="{00000000-0005-0000-0000-0000AE2B0000}"/>
    <cellStyle name="40% - Accent1 13 2 3 2 2 2" xfId="16464" xr:uid="{00000000-0005-0000-0000-0000AF2B0000}"/>
    <cellStyle name="40% - Accent1 13 2 3 2 2 2 2" xfId="40307" xr:uid="{FBF68C03-0DC4-4424-81E8-EFB230778A79}"/>
    <cellStyle name="40% - Accent1 13 2 3 2 2 3" xfId="24410" xr:uid="{00000000-0005-0000-0000-0000B02B0000}"/>
    <cellStyle name="40% - Accent1 13 2 3 2 2 3 2" xfId="48243" xr:uid="{0B17B63E-D9B7-4EFE-8613-4C0D80D7EF33}"/>
    <cellStyle name="40% - Accent1 13 2 3 2 2 4" xfId="32366" xr:uid="{803C5EC8-978F-4068-8B9B-7E89FCA9653A}"/>
    <cellStyle name="40% - Accent1 13 2 3 2 3" xfId="12926" xr:uid="{00000000-0005-0000-0000-0000B12B0000}"/>
    <cellStyle name="40% - Accent1 13 2 3 2 3 2" xfId="36776" xr:uid="{F80A533A-EE95-4F1B-9A12-619E8053B3EA}"/>
    <cellStyle name="40% - Accent1 13 2 3 2 4" xfId="20881" xr:uid="{00000000-0005-0000-0000-0000B22B0000}"/>
    <cellStyle name="40% - Accent1 13 2 3 2 4 2" xfId="44714" xr:uid="{26A67A88-7AD1-4911-A6E2-FF06FF8581F4}"/>
    <cellStyle name="40% - Accent1 13 2 3 2 5" xfId="28835" xr:uid="{A530E86C-6F08-4D2A-AF5C-236445E92BA1}"/>
    <cellStyle name="40% - Accent1 13 2 3 3" xfId="6734" xr:uid="{00000000-0005-0000-0000-0000B32B0000}"/>
    <cellStyle name="40% - Accent1 13 2 3 3 2" xfId="14706" xr:uid="{00000000-0005-0000-0000-0000B42B0000}"/>
    <cellStyle name="40% - Accent1 13 2 3 3 2 2" xfId="38549" xr:uid="{3D7BD96A-4DBE-46CC-AA34-1EE96F58800F}"/>
    <cellStyle name="40% - Accent1 13 2 3 3 3" xfId="22653" xr:uid="{00000000-0005-0000-0000-0000B52B0000}"/>
    <cellStyle name="40% - Accent1 13 2 3 3 3 2" xfId="46486" xr:uid="{1C0D4D61-8F70-4655-95AD-E2901B546B1C}"/>
    <cellStyle name="40% - Accent1 13 2 3 3 4" xfId="30608" xr:uid="{5C7A7293-26EF-4889-856C-7CCE7A5B4B43}"/>
    <cellStyle name="40% - Accent1 13 2 3 4" xfId="11170" xr:uid="{00000000-0005-0000-0000-0000B62B0000}"/>
    <cellStyle name="40% - Accent1 13 2 3 4 2" xfId="35020" xr:uid="{897C5E3E-181D-4E1A-9833-A2F199DD21D6}"/>
    <cellStyle name="40% - Accent1 13 2 3 5" xfId="19125" xr:uid="{00000000-0005-0000-0000-0000B72B0000}"/>
    <cellStyle name="40% - Accent1 13 2 3 5 2" xfId="42958" xr:uid="{AE483599-D96B-4A8A-9495-36DAF46C5945}"/>
    <cellStyle name="40% - Accent1 13 2 3 6" xfId="27078" xr:uid="{7F0BB576-18F5-40FA-87DF-C93E46942806}"/>
    <cellStyle name="40% - Accent1 13 2 3_Exh G" xfId="2713" xr:uid="{00000000-0005-0000-0000-0000B82B0000}"/>
    <cellStyle name="40% - Accent1 13 2 4" xfId="4023" xr:uid="{00000000-0005-0000-0000-0000B92B0000}"/>
    <cellStyle name="40% - Accent1 13 2 4 2" xfId="7615" xr:uid="{00000000-0005-0000-0000-0000BA2B0000}"/>
    <cellStyle name="40% - Accent1 13 2 4 2 2" xfId="15586" xr:uid="{00000000-0005-0000-0000-0000BB2B0000}"/>
    <cellStyle name="40% - Accent1 13 2 4 2 2 2" xfId="39429" xr:uid="{3089157A-E08D-4875-B279-4F2B7104D6D9}"/>
    <cellStyle name="40% - Accent1 13 2 4 2 3" xfId="23532" xr:uid="{00000000-0005-0000-0000-0000BC2B0000}"/>
    <cellStyle name="40% - Accent1 13 2 4 2 3 2" xfId="47365" xr:uid="{CC72C3D7-E22D-46AC-A286-43428C22EC16}"/>
    <cellStyle name="40% - Accent1 13 2 4 2 4" xfId="31488" xr:uid="{F3FD648B-D7CE-4CB6-8757-43E40E495B42}"/>
    <cellStyle name="40% - Accent1 13 2 4 3" xfId="12048" xr:uid="{00000000-0005-0000-0000-0000BD2B0000}"/>
    <cellStyle name="40% - Accent1 13 2 4 3 2" xfId="35898" xr:uid="{ADA8B473-BE63-4B5C-A2E6-6B241562789C}"/>
    <cellStyle name="40% - Accent1 13 2 4 4" xfId="20003" xr:uid="{00000000-0005-0000-0000-0000BE2B0000}"/>
    <cellStyle name="40% - Accent1 13 2 4 4 2" xfId="43836" xr:uid="{713281C4-0FC4-4A8C-9DAE-80806993170F}"/>
    <cellStyle name="40% - Accent1 13 2 4 5" xfId="27957" xr:uid="{A2145C60-1776-4565-9BA3-4911C90FC571}"/>
    <cellStyle name="40% - Accent1 13 2 5" xfId="5843" xr:uid="{00000000-0005-0000-0000-0000BF2B0000}"/>
    <cellStyle name="40% - Accent1 13 2 5 2" xfId="13827" xr:uid="{00000000-0005-0000-0000-0000C02B0000}"/>
    <cellStyle name="40% - Accent1 13 2 5 2 2" xfId="37671" xr:uid="{D58389E3-A272-493F-8355-4C88E8E76DCA}"/>
    <cellStyle name="40% - Accent1 13 2 5 3" xfId="21775" xr:uid="{00000000-0005-0000-0000-0000C12B0000}"/>
    <cellStyle name="40% - Accent1 13 2 5 3 2" xfId="45608" xr:uid="{981753CD-B1B7-4033-BE3C-408969F8DA4E}"/>
    <cellStyle name="40% - Accent1 13 2 5 4" xfId="29730" xr:uid="{15703DB4-12A3-4CBE-A222-F912D91844E3}"/>
    <cellStyle name="40% - Accent1 13 2 6" xfId="9396" xr:uid="{00000000-0005-0000-0000-0000C22B0000}"/>
    <cellStyle name="40% - Accent1 13 2 6 2" xfId="17354" xr:uid="{00000000-0005-0000-0000-0000C32B0000}"/>
    <cellStyle name="40% - Accent1 13 2 6 2 2" xfId="41195" xr:uid="{36BFB176-F9CC-4B99-993A-B2198FE39780}"/>
    <cellStyle name="40% - Accent1 13 2 6 3" xfId="25298" xr:uid="{00000000-0005-0000-0000-0000C42B0000}"/>
    <cellStyle name="40% - Accent1 13 2 6 3 2" xfId="49131" xr:uid="{2257AD02-FF66-46DB-83DC-0B41AE4DA72F}"/>
    <cellStyle name="40% - Accent1 13 2 6 4" xfId="33254" xr:uid="{FB4467FF-BDA1-4E6C-ACD8-4E52F02B65AA}"/>
    <cellStyle name="40% - Accent1 13 2 7" xfId="10292" xr:uid="{00000000-0005-0000-0000-0000C52B0000}"/>
    <cellStyle name="40% - Accent1 13 2 7 2" xfId="34142" xr:uid="{31987023-ED8E-4482-BA31-84081143F987}"/>
    <cellStyle name="40% - Accent1 13 2 8" xfId="18247" xr:uid="{00000000-0005-0000-0000-0000C62B0000}"/>
    <cellStyle name="40% - Accent1 13 2 8 2" xfId="42080" xr:uid="{842CC0FD-7BE4-4934-A967-02E73F4AEF3F}"/>
    <cellStyle name="40% - Accent1 13 2 9" xfId="26200" xr:uid="{2350C1A6-453C-456E-B2C2-BDB22B15FC84}"/>
    <cellStyle name="40% - Accent1 13 2_Exh G" xfId="2710" xr:uid="{00000000-0005-0000-0000-0000C72B0000}"/>
    <cellStyle name="40% - Accent1 13 3" xfId="346" xr:uid="{00000000-0005-0000-0000-0000C82B0000}"/>
    <cellStyle name="40% - Accent1 13 3 2" xfId="1374" xr:uid="{00000000-0005-0000-0000-0000C92B0000}"/>
    <cellStyle name="40% - Accent1 13 3 2 2" xfId="4904" xr:uid="{00000000-0005-0000-0000-0000CA2B0000}"/>
    <cellStyle name="40% - Accent1 13 3 2 2 2" xfId="8495" xr:uid="{00000000-0005-0000-0000-0000CB2B0000}"/>
    <cellStyle name="40% - Accent1 13 3 2 2 2 2" xfId="16466" xr:uid="{00000000-0005-0000-0000-0000CC2B0000}"/>
    <cellStyle name="40% - Accent1 13 3 2 2 2 2 2" xfId="40309" xr:uid="{0B090B7D-E450-47F8-99F6-479FA58FAAE1}"/>
    <cellStyle name="40% - Accent1 13 3 2 2 2 3" xfId="24412" xr:uid="{00000000-0005-0000-0000-0000CD2B0000}"/>
    <cellStyle name="40% - Accent1 13 3 2 2 2 3 2" xfId="48245" xr:uid="{840F0EA7-7C48-4DB9-94A7-75C6BF799121}"/>
    <cellStyle name="40% - Accent1 13 3 2 2 2 4" xfId="32368" xr:uid="{145E36FE-C2F6-4C3A-B036-AD6B53EB2D9E}"/>
    <cellStyle name="40% - Accent1 13 3 2 2 3" xfId="12928" xr:uid="{00000000-0005-0000-0000-0000CE2B0000}"/>
    <cellStyle name="40% - Accent1 13 3 2 2 3 2" xfId="36778" xr:uid="{5740A999-EFB1-49B8-9276-60692089A51E}"/>
    <cellStyle name="40% - Accent1 13 3 2 2 4" xfId="20883" xr:uid="{00000000-0005-0000-0000-0000CF2B0000}"/>
    <cellStyle name="40% - Accent1 13 3 2 2 4 2" xfId="44716" xr:uid="{D46ABEA6-CBC5-41D6-B09A-A4BFA7B47CE9}"/>
    <cellStyle name="40% - Accent1 13 3 2 2 5" xfId="28837" xr:uid="{A48D628B-30A4-422E-9220-47087E102EC8}"/>
    <cellStyle name="40% - Accent1 13 3 2 3" xfId="6736" xr:uid="{00000000-0005-0000-0000-0000D02B0000}"/>
    <cellStyle name="40% - Accent1 13 3 2 3 2" xfId="14708" xr:uid="{00000000-0005-0000-0000-0000D12B0000}"/>
    <cellStyle name="40% - Accent1 13 3 2 3 2 2" xfId="38551" xr:uid="{7953161B-5E31-40AD-9EEB-B69A8DF42058}"/>
    <cellStyle name="40% - Accent1 13 3 2 3 3" xfId="22655" xr:uid="{00000000-0005-0000-0000-0000D22B0000}"/>
    <cellStyle name="40% - Accent1 13 3 2 3 3 2" xfId="46488" xr:uid="{889BE76B-1FBB-4EF4-B562-93D082D4B4E7}"/>
    <cellStyle name="40% - Accent1 13 3 2 3 4" xfId="30610" xr:uid="{D3E17CFF-1611-406F-8CD2-4A3C5B576D91}"/>
    <cellStyle name="40% - Accent1 13 3 2 4" xfId="11172" xr:uid="{00000000-0005-0000-0000-0000D32B0000}"/>
    <cellStyle name="40% - Accent1 13 3 2 4 2" xfId="35022" xr:uid="{48DD4CB2-9B19-4861-9B14-7E2CEC94036A}"/>
    <cellStyle name="40% - Accent1 13 3 2 5" xfId="19127" xr:uid="{00000000-0005-0000-0000-0000D42B0000}"/>
    <cellStyle name="40% - Accent1 13 3 2 5 2" xfId="42960" xr:uid="{5DF88025-F114-4A48-9033-4AB357DEBB3D}"/>
    <cellStyle name="40% - Accent1 13 3 2 6" xfId="27080" xr:uid="{EFA4F098-7185-457A-AF42-DF97C9EAC3F7}"/>
    <cellStyle name="40% - Accent1 13 3 2_Exh G" xfId="2715" xr:uid="{00000000-0005-0000-0000-0000D52B0000}"/>
    <cellStyle name="40% - Accent1 13 3 3" xfId="4025" xr:uid="{00000000-0005-0000-0000-0000D62B0000}"/>
    <cellStyle name="40% - Accent1 13 3 3 2" xfId="7617" xr:uid="{00000000-0005-0000-0000-0000D72B0000}"/>
    <cellStyle name="40% - Accent1 13 3 3 2 2" xfId="15588" xr:uid="{00000000-0005-0000-0000-0000D82B0000}"/>
    <cellStyle name="40% - Accent1 13 3 3 2 2 2" xfId="39431" xr:uid="{B103BF23-9824-4AE2-92CE-35BC70713FD7}"/>
    <cellStyle name="40% - Accent1 13 3 3 2 3" xfId="23534" xr:uid="{00000000-0005-0000-0000-0000D92B0000}"/>
    <cellStyle name="40% - Accent1 13 3 3 2 3 2" xfId="47367" xr:uid="{8FD811B3-952E-4716-ABEC-D8E637B9559A}"/>
    <cellStyle name="40% - Accent1 13 3 3 2 4" xfId="31490" xr:uid="{E8784582-2162-40DD-89BE-22DCD6DBCF16}"/>
    <cellStyle name="40% - Accent1 13 3 3 3" xfId="12050" xr:uid="{00000000-0005-0000-0000-0000DA2B0000}"/>
    <cellStyle name="40% - Accent1 13 3 3 3 2" xfId="35900" xr:uid="{B8620DF2-EEE6-41AA-8982-F0BC84BC337A}"/>
    <cellStyle name="40% - Accent1 13 3 3 4" xfId="20005" xr:uid="{00000000-0005-0000-0000-0000DB2B0000}"/>
    <cellStyle name="40% - Accent1 13 3 3 4 2" xfId="43838" xr:uid="{32A6352F-F417-4AC4-B1E0-0BF872390950}"/>
    <cellStyle name="40% - Accent1 13 3 3 5" xfId="27959" xr:uid="{6FA11932-932D-4DE0-9FC6-6564193F818C}"/>
    <cellStyle name="40% - Accent1 13 3 4" xfId="5845" xr:uid="{00000000-0005-0000-0000-0000DC2B0000}"/>
    <cellStyle name="40% - Accent1 13 3 4 2" xfId="13829" xr:uid="{00000000-0005-0000-0000-0000DD2B0000}"/>
    <cellStyle name="40% - Accent1 13 3 4 2 2" xfId="37673" xr:uid="{81646C8C-75BB-4B39-8D30-E359736F71A4}"/>
    <cellStyle name="40% - Accent1 13 3 4 3" xfId="21777" xr:uid="{00000000-0005-0000-0000-0000DE2B0000}"/>
    <cellStyle name="40% - Accent1 13 3 4 3 2" xfId="45610" xr:uid="{08DEF4A6-E917-4617-9E3A-E07F3A409465}"/>
    <cellStyle name="40% - Accent1 13 3 4 4" xfId="29732" xr:uid="{B66920E2-2D1C-45A7-8903-BF09640404EF}"/>
    <cellStyle name="40% - Accent1 13 3 5" xfId="9398" xr:uid="{00000000-0005-0000-0000-0000DF2B0000}"/>
    <cellStyle name="40% - Accent1 13 3 5 2" xfId="17356" xr:uid="{00000000-0005-0000-0000-0000E02B0000}"/>
    <cellStyle name="40% - Accent1 13 3 5 2 2" xfId="41197" xr:uid="{F2D62BBA-6DCA-45C8-A875-D02023E08D20}"/>
    <cellStyle name="40% - Accent1 13 3 5 3" xfId="25300" xr:uid="{00000000-0005-0000-0000-0000E12B0000}"/>
    <cellStyle name="40% - Accent1 13 3 5 3 2" xfId="49133" xr:uid="{B5F6D43F-E363-4F32-A27D-88B412340A13}"/>
    <cellStyle name="40% - Accent1 13 3 5 4" xfId="33256" xr:uid="{52EDDAA4-F6F6-45B4-AE43-BFA882EAB1F0}"/>
    <cellStyle name="40% - Accent1 13 3 6" xfId="10294" xr:uid="{00000000-0005-0000-0000-0000E22B0000}"/>
    <cellStyle name="40% - Accent1 13 3 6 2" xfId="34144" xr:uid="{117FAE46-B229-41B2-9BC6-388DBC4F73C1}"/>
    <cellStyle name="40% - Accent1 13 3 7" xfId="18249" xr:uid="{00000000-0005-0000-0000-0000E32B0000}"/>
    <cellStyle name="40% - Accent1 13 3 7 2" xfId="42082" xr:uid="{04F96D19-731B-4C08-861E-EB35E1070790}"/>
    <cellStyle name="40% - Accent1 13 3 8" xfId="26202" xr:uid="{F3431723-075C-4293-9D09-B68B8B0F1D64}"/>
    <cellStyle name="40% - Accent1 13 3_Exh G" xfId="2714" xr:uid="{00000000-0005-0000-0000-0000E42B0000}"/>
    <cellStyle name="40% - Accent1 13 4" xfId="1371" xr:uid="{00000000-0005-0000-0000-0000E52B0000}"/>
    <cellStyle name="40% - Accent1 13 4 2" xfId="4901" xr:uid="{00000000-0005-0000-0000-0000E62B0000}"/>
    <cellStyle name="40% - Accent1 13 4 2 2" xfId="8492" xr:uid="{00000000-0005-0000-0000-0000E72B0000}"/>
    <cellStyle name="40% - Accent1 13 4 2 2 2" xfId="16463" xr:uid="{00000000-0005-0000-0000-0000E82B0000}"/>
    <cellStyle name="40% - Accent1 13 4 2 2 2 2" xfId="40306" xr:uid="{BDABF43C-8EB8-4A53-8A2D-D0E84FBF5261}"/>
    <cellStyle name="40% - Accent1 13 4 2 2 3" xfId="24409" xr:uid="{00000000-0005-0000-0000-0000E92B0000}"/>
    <cellStyle name="40% - Accent1 13 4 2 2 3 2" xfId="48242" xr:uid="{9223A466-60C0-4386-A7F4-4015F924BE20}"/>
    <cellStyle name="40% - Accent1 13 4 2 2 4" xfId="32365" xr:uid="{CA1D1423-CC8C-4352-9D31-4E20D721608A}"/>
    <cellStyle name="40% - Accent1 13 4 2 3" xfId="12925" xr:uid="{00000000-0005-0000-0000-0000EA2B0000}"/>
    <cellStyle name="40% - Accent1 13 4 2 3 2" xfId="36775" xr:uid="{7D5228E4-4E5F-4AC5-8714-5A7BE9A99DBF}"/>
    <cellStyle name="40% - Accent1 13 4 2 4" xfId="20880" xr:uid="{00000000-0005-0000-0000-0000EB2B0000}"/>
    <cellStyle name="40% - Accent1 13 4 2 4 2" xfId="44713" xr:uid="{CB46A262-D70E-4DCC-8EB6-38049329CF38}"/>
    <cellStyle name="40% - Accent1 13 4 2 5" xfId="28834" xr:uid="{FC05D7CD-EA9B-414A-8465-62191824B876}"/>
    <cellStyle name="40% - Accent1 13 4 3" xfId="6733" xr:uid="{00000000-0005-0000-0000-0000EC2B0000}"/>
    <cellStyle name="40% - Accent1 13 4 3 2" xfId="14705" xr:uid="{00000000-0005-0000-0000-0000ED2B0000}"/>
    <cellStyle name="40% - Accent1 13 4 3 2 2" xfId="38548" xr:uid="{D4454728-E1D7-4E52-8773-60281EDAF1A4}"/>
    <cellStyle name="40% - Accent1 13 4 3 3" xfId="22652" xr:uid="{00000000-0005-0000-0000-0000EE2B0000}"/>
    <cellStyle name="40% - Accent1 13 4 3 3 2" xfId="46485" xr:uid="{14295F8A-AB74-48E8-A499-1F9EE9527532}"/>
    <cellStyle name="40% - Accent1 13 4 3 4" xfId="30607" xr:uid="{644C5A83-6E6F-4650-97D2-A4213FD74B7E}"/>
    <cellStyle name="40% - Accent1 13 4 4" xfId="11169" xr:uid="{00000000-0005-0000-0000-0000EF2B0000}"/>
    <cellStyle name="40% - Accent1 13 4 4 2" xfId="35019" xr:uid="{968FFA09-5044-4BF9-BA3B-8CC53CE3F46F}"/>
    <cellStyle name="40% - Accent1 13 4 5" xfId="19124" xr:uid="{00000000-0005-0000-0000-0000F02B0000}"/>
    <cellStyle name="40% - Accent1 13 4 5 2" xfId="42957" xr:uid="{BF3BE0BC-DE0F-4D08-BC55-5307635871F7}"/>
    <cellStyle name="40% - Accent1 13 4 6" xfId="27077" xr:uid="{4F1786F0-A750-49FC-834F-B1C634AF247C}"/>
    <cellStyle name="40% - Accent1 13 4_Exh G" xfId="2716" xr:uid="{00000000-0005-0000-0000-0000F12B0000}"/>
    <cellStyle name="40% - Accent1 13 5" xfId="4022" xr:uid="{00000000-0005-0000-0000-0000F22B0000}"/>
    <cellStyle name="40% - Accent1 13 5 2" xfId="7614" xr:uid="{00000000-0005-0000-0000-0000F32B0000}"/>
    <cellStyle name="40% - Accent1 13 5 2 2" xfId="15585" xr:uid="{00000000-0005-0000-0000-0000F42B0000}"/>
    <cellStyle name="40% - Accent1 13 5 2 2 2" xfId="39428" xr:uid="{6AB7D7D2-8AED-4618-98A8-7AD2DAE2FDF8}"/>
    <cellStyle name="40% - Accent1 13 5 2 3" xfId="23531" xr:uid="{00000000-0005-0000-0000-0000F52B0000}"/>
    <cellStyle name="40% - Accent1 13 5 2 3 2" xfId="47364" xr:uid="{20157C17-BBC4-46F2-AED5-FA36FB426943}"/>
    <cellStyle name="40% - Accent1 13 5 2 4" xfId="31487" xr:uid="{CD588764-DB34-4A71-B415-92EB52A6B60C}"/>
    <cellStyle name="40% - Accent1 13 5 3" xfId="12047" xr:uid="{00000000-0005-0000-0000-0000F62B0000}"/>
    <cellStyle name="40% - Accent1 13 5 3 2" xfId="35897" xr:uid="{115DB61A-2FD3-4106-9716-BFA5AE6665A0}"/>
    <cellStyle name="40% - Accent1 13 5 4" xfId="20002" xr:uid="{00000000-0005-0000-0000-0000F72B0000}"/>
    <cellStyle name="40% - Accent1 13 5 4 2" xfId="43835" xr:uid="{FD2DBC47-5EE1-4192-B8D7-187885C001E0}"/>
    <cellStyle name="40% - Accent1 13 5 5" xfId="27956" xr:uid="{D8BE9E2A-CBE4-4489-A429-CE96371EBCD2}"/>
    <cellStyle name="40% - Accent1 13 6" xfId="5842" xr:uid="{00000000-0005-0000-0000-0000F82B0000}"/>
    <cellStyle name="40% - Accent1 13 6 2" xfId="13826" xr:uid="{00000000-0005-0000-0000-0000F92B0000}"/>
    <cellStyle name="40% - Accent1 13 6 2 2" xfId="37670" xr:uid="{36832408-6B5D-4779-9A2F-47DB71BC4B62}"/>
    <cellStyle name="40% - Accent1 13 6 3" xfId="21774" xr:uid="{00000000-0005-0000-0000-0000FA2B0000}"/>
    <cellStyle name="40% - Accent1 13 6 3 2" xfId="45607" xr:uid="{8F4118C1-F98C-4851-9C2B-B8AD40A0AF04}"/>
    <cellStyle name="40% - Accent1 13 6 4" xfId="29729" xr:uid="{9CF5D26D-2DE1-4BB1-972A-6A417C5F1BA9}"/>
    <cellStyle name="40% - Accent1 13 7" xfId="9395" xr:uid="{00000000-0005-0000-0000-0000FB2B0000}"/>
    <cellStyle name="40% - Accent1 13 7 2" xfId="17353" xr:uid="{00000000-0005-0000-0000-0000FC2B0000}"/>
    <cellStyle name="40% - Accent1 13 7 2 2" xfId="41194" xr:uid="{64CA04ED-CC93-4A56-A105-0ADB6FF812E8}"/>
    <cellStyle name="40% - Accent1 13 7 3" xfId="25297" xr:uid="{00000000-0005-0000-0000-0000FD2B0000}"/>
    <cellStyle name="40% - Accent1 13 7 3 2" xfId="49130" xr:uid="{9B2762D8-A960-4769-AFC0-618E8DE0CC89}"/>
    <cellStyle name="40% - Accent1 13 7 4" xfId="33253" xr:uid="{4DB92423-8189-48F1-8234-C217F4C1E624}"/>
    <cellStyle name="40% - Accent1 13 8" xfId="10291" xr:uid="{00000000-0005-0000-0000-0000FE2B0000}"/>
    <cellStyle name="40% - Accent1 13 8 2" xfId="34141" xr:uid="{2DC67374-2058-40B6-8F9E-EC06F5DBD2CD}"/>
    <cellStyle name="40% - Accent1 13 9" xfId="18246" xr:uid="{00000000-0005-0000-0000-0000FF2B0000}"/>
    <cellStyle name="40% - Accent1 13 9 2" xfId="42079" xr:uid="{A04B8B70-4B97-41A9-8204-A6C83D7641F7}"/>
    <cellStyle name="40% - Accent1 13_Exh G" xfId="2709" xr:uid="{00000000-0005-0000-0000-0000002C0000}"/>
    <cellStyle name="40% - Accent1 14" xfId="347" xr:uid="{00000000-0005-0000-0000-0000012C0000}"/>
    <cellStyle name="40% - Accent1 14 2" xfId="348" xr:uid="{00000000-0005-0000-0000-0000022C0000}"/>
    <cellStyle name="40% - Accent1 14 2 2" xfId="1376" xr:uid="{00000000-0005-0000-0000-0000032C0000}"/>
    <cellStyle name="40% - Accent1 14 2 2 2" xfId="4906" xr:uid="{00000000-0005-0000-0000-0000042C0000}"/>
    <cellStyle name="40% - Accent1 14 2 2 2 2" xfId="8497" xr:uid="{00000000-0005-0000-0000-0000052C0000}"/>
    <cellStyle name="40% - Accent1 14 2 2 2 2 2" xfId="16468" xr:uid="{00000000-0005-0000-0000-0000062C0000}"/>
    <cellStyle name="40% - Accent1 14 2 2 2 2 2 2" xfId="40311" xr:uid="{87104470-A657-4AB2-B327-A51AFC763C69}"/>
    <cellStyle name="40% - Accent1 14 2 2 2 2 3" xfId="24414" xr:uid="{00000000-0005-0000-0000-0000072C0000}"/>
    <cellStyle name="40% - Accent1 14 2 2 2 2 3 2" xfId="48247" xr:uid="{E17CF2D2-14C2-4C99-A30F-EE2C8767C7B1}"/>
    <cellStyle name="40% - Accent1 14 2 2 2 2 4" xfId="32370" xr:uid="{FED0B036-C2EB-44C4-B1E8-4BC976F99A70}"/>
    <cellStyle name="40% - Accent1 14 2 2 2 3" xfId="12930" xr:uid="{00000000-0005-0000-0000-0000082C0000}"/>
    <cellStyle name="40% - Accent1 14 2 2 2 3 2" xfId="36780" xr:uid="{FDCF2673-A205-4E2E-B412-B3CFF5CE49B0}"/>
    <cellStyle name="40% - Accent1 14 2 2 2 4" xfId="20885" xr:uid="{00000000-0005-0000-0000-0000092C0000}"/>
    <cellStyle name="40% - Accent1 14 2 2 2 4 2" xfId="44718" xr:uid="{1BD2FCA3-5C04-44BE-A058-C5A55AC0C9B4}"/>
    <cellStyle name="40% - Accent1 14 2 2 2 5" xfId="28839" xr:uid="{097431BF-497A-4978-8AAD-87BD15BE4DB0}"/>
    <cellStyle name="40% - Accent1 14 2 2 3" xfId="6738" xr:uid="{00000000-0005-0000-0000-00000A2C0000}"/>
    <cellStyle name="40% - Accent1 14 2 2 3 2" xfId="14710" xr:uid="{00000000-0005-0000-0000-00000B2C0000}"/>
    <cellStyle name="40% - Accent1 14 2 2 3 2 2" xfId="38553" xr:uid="{CB781DE5-CBFE-4F2D-9126-680D9827DB86}"/>
    <cellStyle name="40% - Accent1 14 2 2 3 3" xfId="22657" xr:uid="{00000000-0005-0000-0000-00000C2C0000}"/>
    <cellStyle name="40% - Accent1 14 2 2 3 3 2" xfId="46490" xr:uid="{E3A2A9D2-47F2-421E-B951-2A5C364A228B}"/>
    <cellStyle name="40% - Accent1 14 2 2 3 4" xfId="30612" xr:uid="{AF977612-F4BC-4141-BF45-0803F88F2C16}"/>
    <cellStyle name="40% - Accent1 14 2 2 4" xfId="11174" xr:uid="{00000000-0005-0000-0000-00000D2C0000}"/>
    <cellStyle name="40% - Accent1 14 2 2 4 2" xfId="35024" xr:uid="{1AF247F2-85CE-4BD0-B338-39E4BD7B1B5B}"/>
    <cellStyle name="40% - Accent1 14 2 2 5" xfId="19129" xr:uid="{00000000-0005-0000-0000-00000E2C0000}"/>
    <cellStyle name="40% - Accent1 14 2 2 5 2" xfId="42962" xr:uid="{B1AB9826-D9BD-44E5-81B4-74B7A2B8A88E}"/>
    <cellStyle name="40% - Accent1 14 2 2 6" xfId="27082" xr:uid="{3F4FB976-C224-4088-8DFD-26936B1994D1}"/>
    <cellStyle name="40% - Accent1 14 2 2_Exh G" xfId="2719" xr:uid="{00000000-0005-0000-0000-00000F2C0000}"/>
    <cellStyle name="40% - Accent1 14 2 3" xfId="4027" xr:uid="{00000000-0005-0000-0000-0000102C0000}"/>
    <cellStyle name="40% - Accent1 14 2 3 2" xfId="7619" xr:uid="{00000000-0005-0000-0000-0000112C0000}"/>
    <cellStyle name="40% - Accent1 14 2 3 2 2" xfId="15590" xr:uid="{00000000-0005-0000-0000-0000122C0000}"/>
    <cellStyle name="40% - Accent1 14 2 3 2 2 2" xfId="39433" xr:uid="{D6C7D14D-5A16-4D93-BED6-78084697B904}"/>
    <cellStyle name="40% - Accent1 14 2 3 2 3" xfId="23536" xr:uid="{00000000-0005-0000-0000-0000132C0000}"/>
    <cellStyle name="40% - Accent1 14 2 3 2 3 2" xfId="47369" xr:uid="{52765E57-7635-4912-ABA5-52D1B1F15046}"/>
    <cellStyle name="40% - Accent1 14 2 3 2 4" xfId="31492" xr:uid="{6941F91B-2F58-4BBC-B2E3-1AD98AC5B160}"/>
    <cellStyle name="40% - Accent1 14 2 3 3" xfId="12052" xr:uid="{00000000-0005-0000-0000-0000142C0000}"/>
    <cellStyle name="40% - Accent1 14 2 3 3 2" xfId="35902" xr:uid="{3E1D42E3-D942-421F-9959-3544082875BD}"/>
    <cellStyle name="40% - Accent1 14 2 3 4" xfId="20007" xr:uid="{00000000-0005-0000-0000-0000152C0000}"/>
    <cellStyle name="40% - Accent1 14 2 3 4 2" xfId="43840" xr:uid="{F0A17CDE-8252-4B3F-8FA6-C5D898E77D1F}"/>
    <cellStyle name="40% - Accent1 14 2 3 5" xfId="27961" xr:uid="{8AF91631-632F-42FB-92FC-6B582CD44EC9}"/>
    <cellStyle name="40% - Accent1 14 2 4" xfId="5847" xr:uid="{00000000-0005-0000-0000-0000162C0000}"/>
    <cellStyle name="40% - Accent1 14 2 4 2" xfId="13831" xr:uid="{00000000-0005-0000-0000-0000172C0000}"/>
    <cellStyle name="40% - Accent1 14 2 4 2 2" xfId="37675" xr:uid="{48B9B603-755A-4322-829E-B2D36BD57F87}"/>
    <cellStyle name="40% - Accent1 14 2 4 3" xfId="21779" xr:uid="{00000000-0005-0000-0000-0000182C0000}"/>
    <cellStyle name="40% - Accent1 14 2 4 3 2" xfId="45612" xr:uid="{1B75415C-65F6-48CF-8922-F9C16AD49ED7}"/>
    <cellStyle name="40% - Accent1 14 2 4 4" xfId="29734" xr:uid="{05468922-B9C8-429C-B009-74CFD8C44847}"/>
    <cellStyle name="40% - Accent1 14 2 5" xfId="9400" xr:uid="{00000000-0005-0000-0000-0000192C0000}"/>
    <cellStyle name="40% - Accent1 14 2 5 2" xfId="17358" xr:uid="{00000000-0005-0000-0000-00001A2C0000}"/>
    <cellStyle name="40% - Accent1 14 2 5 2 2" xfId="41199" xr:uid="{CE634446-F385-4CDB-84EA-648F96ED3DCD}"/>
    <cellStyle name="40% - Accent1 14 2 5 3" xfId="25302" xr:uid="{00000000-0005-0000-0000-00001B2C0000}"/>
    <cellStyle name="40% - Accent1 14 2 5 3 2" xfId="49135" xr:uid="{BCA42AE4-6690-44C7-B05A-82BB3742CE4B}"/>
    <cellStyle name="40% - Accent1 14 2 5 4" xfId="33258" xr:uid="{3AEB5237-DB3B-479E-8A14-BEAE72DCDA50}"/>
    <cellStyle name="40% - Accent1 14 2 6" xfId="10296" xr:uid="{00000000-0005-0000-0000-00001C2C0000}"/>
    <cellStyle name="40% - Accent1 14 2 6 2" xfId="34146" xr:uid="{AF976491-FFFB-4FD3-BB7D-121F6B094A5C}"/>
    <cellStyle name="40% - Accent1 14 2 7" xfId="18251" xr:uid="{00000000-0005-0000-0000-00001D2C0000}"/>
    <cellStyle name="40% - Accent1 14 2 7 2" xfId="42084" xr:uid="{7D436649-5E58-4FCF-9EFC-8AB391437E5C}"/>
    <cellStyle name="40% - Accent1 14 2 8" xfId="26204" xr:uid="{5FAD468B-BC4E-4CA2-A4CA-8EA1C80E438E}"/>
    <cellStyle name="40% - Accent1 14 2_Exh G" xfId="2718" xr:uid="{00000000-0005-0000-0000-00001E2C0000}"/>
    <cellStyle name="40% - Accent1 14 3" xfId="1375" xr:uid="{00000000-0005-0000-0000-00001F2C0000}"/>
    <cellStyle name="40% - Accent1 14 3 2" xfId="4905" xr:uid="{00000000-0005-0000-0000-0000202C0000}"/>
    <cellStyle name="40% - Accent1 14 3 2 2" xfId="8496" xr:uid="{00000000-0005-0000-0000-0000212C0000}"/>
    <cellStyle name="40% - Accent1 14 3 2 2 2" xfId="16467" xr:uid="{00000000-0005-0000-0000-0000222C0000}"/>
    <cellStyle name="40% - Accent1 14 3 2 2 2 2" xfId="40310" xr:uid="{F40CD6F6-9342-43EE-8302-C331EDA94BD6}"/>
    <cellStyle name="40% - Accent1 14 3 2 2 3" xfId="24413" xr:uid="{00000000-0005-0000-0000-0000232C0000}"/>
    <cellStyle name="40% - Accent1 14 3 2 2 3 2" xfId="48246" xr:uid="{FD94D855-30EB-4020-A624-D59417BC7211}"/>
    <cellStyle name="40% - Accent1 14 3 2 2 4" xfId="32369" xr:uid="{C73D4BB4-F994-42CD-8ECC-E6FE93E25A58}"/>
    <cellStyle name="40% - Accent1 14 3 2 3" xfId="12929" xr:uid="{00000000-0005-0000-0000-0000242C0000}"/>
    <cellStyle name="40% - Accent1 14 3 2 3 2" xfId="36779" xr:uid="{9987ED91-8032-4C96-9301-22FD12B09FB6}"/>
    <cellStyle name="40% - Accent1 14 3 2 4" xfId="20884" xr:uid="{00000000-0005-0000-0000-0000252C0000}"/>
    <cellStyle name="40% - Accent1 14 3 2 4 2" xfId="44717" xr:uid="{F0D31AE3-A025-4477-A8C5-B76CA2EC4794}"/>
    <cellStyle name="40% - Accent1 14 3 2 5" xfId="28838" xr:uid="{BC3DE1C9-530C-48F5-AC06-700A8601B1C4}"/>
    <cellStyle name="40% - Accent1 14 3 3" xfId="6737" xr:uid="{00000000-0005-0000-0000-0000262C0000}"/>
    <cellStyle name="40% - Accent1 14 3 3 2" xfId="14709" xr:uid="{00000000-0005-0000-0000-0000272C0000}"/>
    <cellStyle name="40% - Accent1 14 3 3 2 2" xfId="38552" xr:uid="{8BDE055D-6266-47D9-B202-12E0CA2CD0DA}"/>
    <cellStyle name="40% - Accent1 14 3 3 3" xfId="22656" xr:uid="{00000000-0005-0000-0000-0000282C0000}"/>
    <cellStyle name="40% - Accent1 14 3 3 3 2" xfId="46489" xr:uid="{A1B470B7-1D02-4EB3-BF18-B6B9E0F9C5ED}"/>
    <cellStyle name="40% - Accent1 14 3 3 4" xfId="30611" xr:uid="{7D6979C0-5650-47B5-A8B5-6BB745D1809C}"/>
    <cellStyle name="40% - Accent1 14 3 4" xfId="11173" xr:uid="{00000000-0005-0000-0000-0000292C0000}"/>
    <cellStyle name="40% - Accent1 14 3 4 2" xfId="35023" xr:uid="{F02A9D24-0076-4546-8351-917F547ADD46}"/>
    <cellStyle name="40% - Accent1 14 3 5" xfId="19128" xr:uid="{00000000-0005-0000-0000-00002A2C0000}"/>
    <cellStyle name="40% - Accent1 14 3 5 2" xfId="42961" xr:uid="{857973E8-D87E-4B0C-8E23-7643050A4107}"/>
    <cellStyle name="40% - Accent1 14 3 6" xfId="27081" xr:uid="{9EAD8105-9316-4B1B-8AA1-DBC7C56D0FCA}"/>
    <cellStyle name="40% - Accent1 14 3_Exh G" xfId="2720" xr:uid="{00000000-0005-0000-0000-00002B2C0000}"/>
    <cellStyle name="40% - Accent1 14 4" xfId="4026" xr:uid="{00000000-0005-0000-0000-00002C2C0000}"/>
    <cellStyle name="40% - Accent1 14 4 2" xfId="7618" xr:uid="{00000000-0005-0000-0000-00002D2C0000}"/>
    <cellStyle name="40% - Accent1 14 4 2 2" xfId="15589" xr:uid="{00000000-0005-0000-0000-00002E2C0000}"/>
    <cellStyle name="40% - Accent1 14 4 2 2 2" xfId="39432" xr:uid="{BDBAE078-5B9B-4234-B96B-6A6B5A40F94B}"/>
    <cellStyle name="40% - Accent1 14 4 2 3" xfId="23535" xr:uid="{00000000-0005-0000-0000-00002F2C0000}"/>
    <cellStyle name="40% - Accent1 14 4 2 3 2" xfId="47368" xr:uid="{836BBA9D-1142-49C9-B68C-7544CBFAB541}"/>
    <cellStyle name="40% - Accent1 14 4 2 4" xfId="31491" xr:uid="{827634C3-CDC2-4269-B8D5-7648D5961E50}"/>
    <cellStyle name="40% - Accent1 14 4 3" xfId="12051" xr:uid="{00000000-0005-0000-0000-0000302C0000}"/>
    <cellStyle name="40% - Accent1 14 4 3 2" xfId="35901" xr:uid="{E510AE90-5336-436F-8128-49170C60DC65}"/>
    <cellStyle name="40% - Accent1 14 4 4" xfId="20006" xr:uid="{00000000-0005-0000-0000-0000312C0000}"/>
    <cellStyle name="40% - Accent1 14 4 4 2" xfId="43839" xr:uid="{1177B5D0-6F86-403E-9082-D02447EEF056}"/>
    <cellStyle name="40% - Accent1 14 4 5" xfId="27960" xr:uid="{8A64EBEC-D7F0-458D-BA5F-7DFC50A5E940}"/>
    <cellStyle name="40% - Accent1 14 5" xfId="5846" xr:uid="{00000000-0005-0000-0000-0000322C0000}"/>
    <cellStyle name="40% - Accent1 14 5 2" xfId="13830" xr:uid="{00000000-0005-0000-0000-0000332C0000}"/>
    <cellStyle name="40% - Accent1 14 5 2 2" xfId="37674" xr:uid="{CE6C5E29-8389-4253-8584-F99C68A47133}"/>
    <cellStyle name="40% - Accent1 14 5 3" xfId="21778" xr:uid="{00000000-0005-0000-0000-0000342C0000}"/>
    <cellStyle name="40% - Accent1 14 5 3 2" xfId="45611" xr:uid="{544FAE66-60C4-4B4F-830E-2E64631154BB}"/>
    <cellStyle name="40% - Accent1 14 5 4" xfId="29733" xr:uid="{F092E038-7A65-43AC-A424-94E8977C2A36}"/>
    <cellStyle name="40% - Accent1 14 6" xfId="9399" xr:uid="{00000000-0005-0000-0000-0000352C0000}"/>
    <cellStyle name="40% - Accent1 14 6 2" xfId="17357" xr:uid="{00000000-0005-0000-0000-0000362C0000}"/>
    <cellStyle name="40% - Accent1 14 6 2 2" xfId="41198" xr:uid="{D9496537-7B83-442E-B167-B6E654F89DBC}"/>
    <cellStyle name="40% - Accent1 14 6 3" xfId="25301" xr:uid="{00000000-0005-0000-0000-0000372C0000}"/>
    <cellStyle name="40% - Accent1 14 6 3 2" xfId="49134" xr:uid="{17DA15E6-34EA-4B9D-890A-C71497E553FA}"/>
    <cellStyle name="40% - Accent1 14 6 4" xfId="33257" xr:uid="{4FBBC5DA-564C-476B-854A-372463D4991E}"/>
    <cellStyle name="40% - Accent1 14 7" xfId="10295" xr:uid="{00000000-0005-0000-0000-0000382C0000}"/>
    <cellStyle name="40% - Accent1 14 7 2" xfId="34145" xr:uid="{BA5CD4A6-9EA1-4BCD-899A-6302D68B10F7}"/>
    <cellStyle name="40% - Accent1 14 8" xfId="18250" xr:uid="{00000000-0005-0000-0000-0000392C0000}"/>
    <cellStyle name="40% - Accent1 14 8 2" xfId="42083" xr:uid="{788D91CD-AFC6-4681-B061-343A004E162F}"/>
    <cellStyle name="40% - Accent1 14 9" xfId="26203" xr:uid="{696AB30C-DBB9-4897-9103-BF5B63304655}"/>
    <cellStyle name="40% - Accent1 14_Exh G" xfId="2717" xr:uid="{00000000-0005-0000-0000-00003A2C0000}"/>
    <cellStyle name="40% - Accent1 15" xfId="349" xr:uid="{00000000-0005-0000-0000-00003B2C0000}"/>
    <cellStyle name="40% - Accent1 15 2" xfId="1377" xr:uid="{00000000-0005-0000-0000-00003C2C0000}"/>
    <cellStyle name="40% - Accent1 15 2 2" xfId="4907" xr:uid="{00000000-0005-0000-0000-00003D2C0000}"/>
    <cellStyle name="40% - Accent1 15 2 2 2" xfId="8498" xr:uid="{00000000-0005-0000-0000-00003E2C0000}"/>
    <cellStyle name="40% - Accent1 15 2 2 2 2" xfId="16469" xr:uid="{00000000-0005-0000-0000-00003F2C0000}"/>
    <cellStyle name="40% - Accent1 15 2 2 2 2 2" xfId="40312" xr:uid="{2D8A777E-9204-4B5C-9CEE-97E8DBC00E55}"/>
    <cellStyle name="40% - Accent1 15 2 2 2 3" xfId="24415" xr:uid="{00000000-0005-0000-0000-0000402C0000}"/>
    <cellStyle name="40% - Accent1 15 2 2 2 3 2" xfId="48248" xr:uid="{D7DCE69E-499E-4CA5-A3BB-3ED77AF7CC31}"/>
    <cellStyle name="40% - Accent1 15 2 2 2 4" xfId="32371" xr:uid="{E7650D0D-C4F5-4DBB-8BC5-6AB257370FAD}"/>
    <cellStyle name="40% - Accent1 15 2 2 3" xfId="12931" xr:uid="{00000000-0005-0000-0000-0000412C0000}"/>
    <cellStyle name="40% - Accent1 15 2 2 3 2" xfId="36781" xr:uid="{84CF4A67-28F9-431C-AB3C-BE0CD608BF33}"/>
    <cellStyle name="40% - Accent1 15 2 2 4" xfId="20886" xr:uid="{00000000-0005-0000-0000-0000422C0000}"/>
    <cellStyle name="40% - Accent1 15 2 2 4 2" xfId="44719" xr:uid="{E4C3DDCA-8BBD-407E-BF22-B3AC09F62F18}"/>
    <cellStyle name="40% - Accent1 15 2 2 5" xfId="28840" xr:uid="{C52BA2CB-F2B9-467C-89B5-BCFC43953410}"/>
    <cellStyle name="40% - Accent1 15 2 3" xfId="6739" xr:uid="{00000000-0005-0000-0000-0000432C0000}"/>
    <cellStyle name="40% - Accent1 15 2 3 2" xfId="14711" xr:uid="{00000000-0005-0000-0000-0000442C0000}"/>
    <cellStyle name="40% - Accent1 15 2 3 2 2" xfId="38554" xr:uid="{78D1B055-808E-4DA5-99F8-A2C38C8FDCB2}"/>
    <cellStyle name="40% - Accent1 15 2 3 3" xfId="22658" xr:uid="{00000000-0005-0000-0000-0000452C0000}"/>
    <cellStyle name="40% - Accent1 15 2 3 3 2" xfId="46491" xr:uid="{E9F4219E-81F9-4707-8457-B245E3579ECE}"/>
    <cellStyle name="40% - Accent1 15 2 3 4" xfId="30613" xr:uid="{1D0D75DC-71D3-4D5A-A432-7250EB32E79E}"/>
    <cellStyle name="40% - Accent1 15 2 4" xfId="11175" xr:uid="{00000000-0005-0000-0000-0000462C0000}"/>
    <cellStyle name="40% - Accent1 15 2 4 2" xfId="35025" xr:uid="{C7A8B9BC-E9B4-43CB-B1CA-F66F65EFA689}"/>
    <cellStyle name="40% - Accent1 15 2 5" xfId="19130" xr:uid="{00000000-0005-0000-0000-0000472C0000}"/>
    <cellStyle name="40% - Accent1 15 2 5 2" xfId="42963" xr:uid="{D378FD8F-89A6-40A6-9899-278B1FC9935A}"/>
    <cellStyle name="40% - Accent1 15 2 6" xfId="27083" xr:uid="{56809605-6280-47BE-8549-17CACF5CF16A}"/>
    <cellStyle name="40% - Accent1 15 2_Exh G" xfId="2722" xr:uid="{00000000-0005-0000-0000-0000482C0000}"/>
    <cellStyle name="40% - Accent1 15 3" xfId="4028" xr:uid="{00000000-0005-0000-0000-0000492C0000}"/>
    <cellStyle name="40% - Accent1 15 3 2" xfId="7620" xr:uid="{00000000-0005-0000-0000-00004A2C0000}"/>
    <cellStyle name="40% - Accent1 15 3 2 2" xfId="15591" xr:uid="{00000000-0005-0000-0000-00004B2C0000}"/>
    <cellStyle name="40% - Accent1 15 3 2 2 2" xfId="39434" xr:uid="{16CAD086-41A9-4C27-8B95-114874055D5E}"/>
    <cellStyle name="40% - Accent1 15 3 2 3" xfId="23537" xr:uid="{00000000-0005-0000-0000-00004C2C0000}"/>
    <cellStyle name="40% - Accent1 15 3 2 3 2" xfId="47370" xr:uid="{0107536A-0690-4202-BFCB-9379610E04D7}"/>
    <cellStyle name="40% - Accent1 15 3 2 4" xfId="31493" xr:uid="{A3F455AE-CBDC-408C-A72B-053E0BB5DBBC}"/>
    <cellStyle name="40% - Accent1 15 3 3" xfId="12053" xr:uid="{00000000-0005-0000-0000-00004D2C0000}"/>
    <cellStyle name="40% - Accent1 15 3 3 2" xfId="35903" xr:uid="{262C24FD-BB2C-4C88-A74A-C5A1A6A4A6D3}"/>
    <cellStyle name="40% - Accent1 15 3 4" xfId="20008" xr:uid="{00000000-0005-0000-0000-00004E2C0000}"/>
    <cellStyle name="40% - Accent1 15 3 4 2" xfId="43841" xr:uid="{6F821D85-9449-420A-A8A9-64C90BB1A60F}"/>
    <cellStyle name="40% - Accent1 15 3 5" xfId="27962" xr:uid="{11BD0E81-6AE7-4154-947F-BE63E406033D}"/>
    <cellStyle name="40% - Accent1 15 4" xfId="5848" xr:uid="{00000000-0005-0000-0000-00004F2C0000}"/>
    <cellStyle name="40% - Accent1 15 4 2" xfId="13832" xr:uid="{00000000-0005-0000-0000-0000502C0000}"/>
    <cellStyle name="40% - Accent1 15 4 2 2" xfId="37676" xr:uid="{FF5750B6-D2B9-44AA-B3F4-4C7C19BCB453}"/>
    <cellStyle name="40% - Accent1 15 4 3" xfId="21780" xr:uid="{00000000-0005-0000-0000-0000512C0000}"/>
    <cellStyle name="40% - Accent1 15 4 3 2" xfId="45613" xr:uid="{29CF4D4B-F595-458D-A290-30F21567EBCA}"/>
    <cellStyle name="40% - Accent1 15 4 4" xfId="29735" xr:uid="{5AE558DE-1ABC-4090-905C-DEA91AABD99F}"/>
    <cellStyle name="40% - Accent1 15 5" xfId="9401" xr:uid="{00000000-0005-0000-0000-0000522C0000}"/>
    <cellStyle name="40% - Accent1 15 5 2" xfId="17359" xr:uid="{00000000-0005-0000-0000-0000532C0000}"/>
    <cellStyle name="40% - Accent1 15 5 2 2" xfId="41200" xr:uid="{37F492D2-8795-497B-935A-EE660BE3BDAC}"/>
    <cellStyle name="40% - Accent1 15 5 3" xfId="25303" xr:uid="{00000000-0005-0000-0000-0000542C0000}"/>
    <cellStyle name="40% - Accent1 15 5 3 2" xfId="49136" xr:uid="{FF7B33A9-B8F9-4F13-82A8-23F7CA0F7303}"/>
    <cellStyle name="40% - Accent1 15 5 4" xfId="33259" xr:uid="{9F02433F-DDE1-4FC3-8653-E23ECD7FFE52}"/>
    <cellStyle name="40% - Accent1 15 6" xfId="10297" xr:uid="{00000000-0005-0000-0000-0000552C0000}"/>
    <cellStyle name="40% - Accent1 15 6 2" xfId="34147" xr:uid="{191DAD3F-13FD-49AE-AFCA-04F11651161F}"/>
    <cellStyle name="40% - Accent1 15 7" xfId="18252" xr:uid="{00000000-0005-0000-0000-0000562C0000}"/>
    <cellStyle name="40% - Accent1 15 7 2" xfId="42085" xr:uid="{7BC7A201-E81E-436D-912E-B87F238F071D}"/>
    <cellStyle name="40% - Accent1 15 8" xfId="26205" xr:uid="{9B276D86-3300-44BA-A76E-CD41A95133E9}"/>
    <cellStyle name="40% - Accent1 15_Exh G" xfId="2721" xr:uid="{00000000-0005-0000-0000-0000572C0000}"/>
    <cellStyle name="40% - Accent1 16" xfId="849" xr:uid="{00000000-0005-0000-0000-0000582C0000}"/>
    <cellStyle name="40% - Accent1 16 2" xfId="1788" xr:uid="{00000000-0005-0000-0000-0000592C0000}"/>
    <cellStyle name="40% - Accent1 16 2 2" xfId="5309" xr:uid="{00000000-0005-0000-0000-00005A2C0000}"/>
    <cellStyle name="40% - Accent1 16 2 2 2" xfId="8900" xr:uid="{00000000-0005-0000-0000-00005B2C0000}"/>
    <cellStyle name="40% - Accent1 16 2 2 2 2" xfId="16871" xr:uid="{00000000-0005-0000-0000-00005C2C0000}"/>
    <cellStyle name="40% - Accent1 16 2 2 2 2 2" xfId="40714" xr:uid="{BDA3AD83-B70F-4F43-BB89-1BB6A0A24151}"/>
    <cellStyle name="40% - Accent1 16 2 2 2 3" xfId="24817" xr:uid="{00000000-0005-0000-0000-00005D2C0000}"/>
    <cellStyle name="40% - Accent1 16 2 2 2 3 2" xfId="48650" xr:uid="{D68596D9-1B98-4744-9277-D7CDF3A420C6}"/>
    <cellStyle name="40% - Accent1 16 2 2 2 4" xfId="32773" xr:uid="{2B22B5F0-F5B7-46BD-A6B6-3B658CACA9D0}"/>
    <cellStyle name="40% - Accent1 16 2 2 3" xfId="13333" xr:uid="{00000000-0005-0000-0000-00005E2C0000}"/>
    <cellStyle name="40% - Accent1 16 2 2 3 2" xfId="37183" xr:uid="{ED6E0A12-2EE4-4917-8F91-675EAA2FD57F}"/>
    <cellStyle name="40% - Accent1 16 2 2 4" xfId="21288" xr:uid="{00000000-0005-0000-0000-00005F2C0000}"/>
    <cellStyle name="40% - Accent1 16 2 2 4 2" xfId="45121" xr:uid="{3CAF8FA1-45D9-4E8B-AA97-2554821E23BC}"/>
    <cellStyle name="40% - Accent1 16 2 2 5" xfId="29242" xr:uid="{9138E89D-4FA7-4F62-B2E0-A2158E565352}"/>
    <cellStyle name="40% - Accent1 16 2 3" xfId="7141" xr:uid="{00000000-0005-0000-0000-0000602C0000}"/>
    <cellStyle name="40% - Accent1 16 2 3 2" xfId="15113" xr:uid="{00000000-0005-0000-0000-0000612C0000}"/>
    <cellStyle name="40% - Accent1 16 2 3 2 2" xfId="38956" xr:uid="{181B0488-8C22-4C5F-B165-3748A9164E1D}"/>
    <cellStyle name="40% - Accent1 16 2 3 3" xfId="23060" xr:uid="{00000000-0005-0000-0000-0000622C0000}"/>
    <cellStyle name="40% - Accent1 16 2 3 3 2" xfId="46893" xr:uid="{2BAF3631-2A74-4826-B483-2969F52B9540}"/>
    <cellStyle name="40% - Accent1 16 2 3 4" xfId="31015" xr:uid="{388DD64B-C506-43F4-85D1-86F3A8E53484}"/>
    <cellStyle name="40% - Accent1 16 2 4" xfId="11577" xr:uid="{00000000-0005-0000-0000-0000632C0000}"/>
    <cellStyle name="40% - Accent1 16 2 4 2" xfId="35427" xr:uid="{1516234B-CB44-4BEF-9AA4-5BC6755DCC13}"/>
    <cellStyle name="40% - Accent1 16 2 5" xfId="19532" xr:uid="{00000000-0005-0000-0000-0000642C0000}"/>
    <cellStyle name="40% - Accent1 16 2 5 2" xfId="43365" xr:uid="{BAFD9109-A23A-4D63-AACD-437CDDFE50BF}"/>
    <cellStyle name="40% - Accent1 16 2 6" xfId="27485" xr:uid="{14DF08FB-BEFB-48C4-A424-F6CC309BB486}"/>
    <cellStyle name="40% - Accent1 16 2_Exh G" xfId="2724" xr:uid="{00000000-0005-0000-0000-0000652C0000}"/>
    <cellStyle name="40% - Accent1 16 3" xfId="4430" xr:uid="{00000000-0005-0000-0000-0000662C0000}"/>
    <cellStyle name="40% - Accent1 16 3 2" xfId="8022" xr:uid="{00000000-0005-0000-0000-0000672C0000}"/>
    <cellStyle name="40% - Accent1 16 3 2 2" xfId="15993" xr:uid="{00000000-0005-0000-0000-0000682C0000}"/>
    <cellStyle name="40% - Accent1 16 3 2 2 2" xfId="39836" xr:uid="{76F9FDC3-428D-4505-BA8A-F1BCA474EFD4}"/>
    <cellStyle name="40% - Accent1 16 3 2 3" xfId="23939" xr:uid="{00000000-0005-0000-0000-0000692C0000}"/>
    <cellStyle name="40% - Accent1 16 3 2 3 2" xfId="47772" xr:uid="{E1946B75-2B22-4B79-920D-701672505D72}"/>
    <cellStyle name="40% - Accent1 16 3 2 4" xfId="31895" xr:uid="{15735860-4B34-4A1C-95BD-78F126C5BD71}"/>
    <cellStyle name="40% - Accent1 16 3 3" xfId="12455" xr:uid="{00000000-0005-0000-0000-00006A2C0000}"/>
    <cellStyle name="40% - Accent1 16 3 3 2" xfId="36305" xr:uid="{FE58CD97-308E-4379-94C1-C0811BABB086}"/>
    <cellStyle name="40% - Accent1 16 3 4" xfId="20410" xr:uid="{00000000-0005-0000-0000-00006B2C0000}"/>
    <cellStyle name="40% - Accent1 16 3 4 2" xfId="44243" xr:uid="{760FE7AF-AA9C-4E2D-9C63-76E31CF739A8}"/>
    <cellStyle name="40% - Accent1 16 3 5" xfId="28364" xr:uid="{6303C5F3-14B1-428A-92FA-66B630D9E254}"/>
    <cellStyle name="40% - Accent1 16 4" xfId="6260" xr:uid="{00000000-0005-0000-0000-00006C2C0000}"/>
    <cellStyle name="40% - Accent1 16 4 2" xfId="14235" xr:uid="{00000000-0005-0000-0000-00006D2C0000}"/>
    <cellStyle name="40% - Accent1 16 4 2 2" xfId="38078" xr:uid="{F31DF934-7BD8-4DC4-954B-36A90F6D3F59}"/>
    <cellStyle name="40% - Accent1 16 4 3" xfId="22182" xr:uid="{00000000-0005-0000-0000-00006E2C0000}"/>
    <cellStyle name="40% - Accent1 16 4 3 2" xfId="46015" xr:uid="{19D5F308-2A65-45D2-BA27-92CABBAB9782}"/>
    <cellStyle name="40% - Accent1 16 4 4" xfId="30137" xr:uid="{C1EE49B1-FDDD-4588-B10D-CD409EA67CA5}"/>
    <cellStyle name="40% - Accent1 16 5" xfId="9803" xr:uid="{00000000-0005-0000-0000-00006F2C0000}"/>
    <cellStyle name="40% - Accent1 16 5 2" xfId="17761" xr:uid="{00000000-0005-0000-0000-0000702C0000}"/>
    <cellStyle name="40% - Accent1 16 5 2 2" xfId="41602" xr:uid="{D9B9C7A5-9966-4013-9091-F9A790769131}"/>
    <cellStyle name="40% - Accent1 16 5 3" xfId="25705" xr:uid="{00000000-0005-0000-0000-0000712C0000}"/>
    <cellStyle name="40% - Accent1 16 5 3 2" xfId="49538" xr:uid="{56CDD400-1462-4761-8A98-5A30DD595B0F}"/>
    <cellStyle name="40% - Accent1 16 5 4" xfId="33661" xr:uid="{C2040136-54C9-4348-B630-747902CA282D}"/>
    <cellStyle name="40% - Accent1 16 6" xfId="10699" xr:uid="{00000000-0005-0000-0000-0000722C0000}"/>
    <cellStyle name="40% - Accent1 16 6 2" xfId="34549" xr:uid="{9395CB6F-39AF-46E2-A8AC-64EE253BF0F3}"/>
    <cellStyle name="40% - Accent1 16 7" xfId="18654" xr:uid="{00000000-0005-0000-0000-0000732C0000}"/>
    <cellStyle name="40% - Accent1 16 7 2" xfId="42487" xr:uid="{BB338D1B-8588-4F78-B6FF-18B520B13581}"/>
    <cellStyle name="40% - Accent1 16 8" xfId="26607" xr:uid="{93757296-1B7D-4A97-BBCA-7BF3E233B89E}"/>
    <cellStyle name="40% - Accent1 16_Exh G" xfId="2723" xr:uid="{00000000-0005-0000-0000-0000742C0000}"/>
    <cellStyle name="40% - Accent1 17" xfId="49796" xr:uid="{F62B029B-2D75-4EA3-A495-2FD429FA3D0B}"/>
    <cellStyle name="40% - Accent1 2" xfId="350" xr:uid="{00000000-0005-0000-0000-0000752C0000}"/>
    <cellStyle name="40% - Accent1 2 10" xfId="18253" xr:uid="{00000000-0005-0000-0000-0000762C0000}"/>
    <cellStyle name="40% - Accent1 2 10 2" xfId="42086" xr:uid="{977A785D-7E1A-4420-9A37-56574E0845A5}"/>
    <cellStyle name="40% - Accent1 2 11" xfId="26206" xr:uid="{0E1EBE02-0BD4-41C5-B0C1-36196ED8AC60}"/>
    <cellStyle name="40% - Accent1 2 12" xfId="49781" xr:uid="{66CA3E8F-B26B-4EC7-BF6A-1F1190FF6009}"/>
    <cellStyle name="40% - Accent1 2 13" xfId="49809" xr:uid="{A53EC18E-CC7F-4DF8-8627-8B66CCBC3A52}"/>
    <cellStyle name="40% - Accent1 2 2" xfId="351" xr:uid="{00000000-0005-0000-0000-0000772C0000}"/>
    <cellStyle name="40% - Accent1 2 2 10" xfId="26207" xr:uid="{0A10AB0A-3A14-4FC4-83C6-3BF3A9CBA005}"/>
    <cellStyle name="40% - Accent1 2 2 2" xfId="352" xr:uid="{00000000-0005-0000-0000-0000782C0000}"/>
    <cellStyle name="40% - Accent1 2 2 2 2" xfId="1380" xr:uid="{00000000-0005-0000-0000-0000792C0000}"/>
    <cellStyle name="40% - Accent1 2 2 2 2 2" xfId="4910" xr:uid="{00000000-0005-0000-0000-00007A2C0000}"/>
    <cellStyle name="40% - Accent1 2 2 2 2 2 2" xfId="8501" xr:uid="{00000000-0005-0000-0000-00007B2C0000}"/>
    <cellStyle name="40% - Accent1 2 2 2 2 2 2 2" xfId="16472" xr:uid="{00000000-0005-0000-0000-00007C2C0000}"/>
    <cellStyle name="40% - Accent1 2 2 2 2 2 2 2 2" xfId="40315" xr:uid="{73DC8F9D-43EE-4863-B051-0CD679B2D440}"/>
    <cellStyle name="40% - Accent1 2 2 2 2 2 2 3" xfId="24418" xr:uid="{00000000-0005-0000-0000-00007D2C0000}"/>
    <cellStyle name="40% - Accent1 2 2 2 2 2 2 3 2" xfId="48251" xr:uid="{609B6C0F-02F6-4743-AA7A-643F5BCF5D55}"/>
    <cellStyle name="40% - Accent1 2 2 2 2 2 2 4" xfId="32374" xr:uid="{8B5E97B2-B179-4158-9D78-3E1363963983}"/>
    <cellStyle name="40% - Accent1 2 2 2 2 2 3" xfId="12934" xr:uid="{00000000-0005-0000-0000-00007E2C0000}"/>
    <cellStyle name="40% - Accent1 2 2 2 2 2 3 2" xfId="36784" xr:uid="{F7394FB2-AA0B-4B82-A871-0023C5885FCC}"/>
    <cellStyle name="40% - Accent1 2 2 2 2 2 4" xfId="20889" xr:uid="{00000000-0005-0000-0000-00007F2C0000}"/>
    <cellStyle name="40% - Accent1 2 2 2 2 2 4 2" xfId="44722" xr:uid="{A0985960-0589-4939-B507-8553835F61E3}"/>
    <cellStyle name="40% - Accent1 2 2 2 2 2 5" xfId="28843" xr:uid="{CF61C1C8-1BCB-4097-B56D-AD73ACA5BCFE}"/>
    <cellStyle name="40% - Accent1 2 2 2 2 3" xfId="6742" xr:uid="{00000000-0005-0000-0000-0000802C0000}"/>
    <cellStyle name="40% - Accent1 2 2 2 2 3 2" xfId="14714" xr:uid="{00000000-0005-0000-0000-0000812C0000}"/>
    <cellStyle name="40% - Accent1 2 2 2 2 3 2 2" xfId="38557" xr:uid="{AAF99EFC-14A8-4DE7-ABBC-F93ACCBCFA84}"/>
    <cellStyle name="40% - Accent1 2 2 2 2 3 3" xfId="22661" xr:uid="{00000000-0005-0000-0000-0000822C0000}"/>
    <cellStyle name="40% - Accent1 2 2 2 2 3 3 2" xfId="46494" xr:uid="{5E6F2646-8CD3-403D-8B1A-CD018AC21D5E}"/>
    <cellStyle name="40% - Accent1 2 2 2 2 3 4" xfId="30616" xr:uid="{1C032694-F522-4434-B4B2-324AFA85D45E}"/>
    <cellStyle name="40% - Accent1 2 2 2 2 4" xfId="11178" xr:uid="{00000000-0005-0000-0000-0000832C0000}"/>
    <cellStyle name="40% - Accent1 2 2 2 2 4 2" xfId="35028" xr:uid="{49E3AEDE-4255-491A-9067-99ADFEAFE7F8}"/>
    <cellStyle name="40% - Accent1 2 2 2 2 5" xfId="19133" xr:uid="{00000000-0005-0000-0000-0000842C0000}"/>
    <cellStyle name="40% - Accent1 2 2 2 2 5 2" xfId="42966" xr:uid="{8BE7E400-0611-48E1-9A90-2C00DDD011B8}"/>
    <cellStyle name="40% - Accent1 2 2 2 2 6" xfId="27086" xr:uid="{0284CE80-A8FA-4E16-A180-09D811D1205F}"/>
    <cellStyle name="40% - Accent1 2 2 2 2_Exh G" xfId="2728" xr:uid="{00000000-0005-0000-0000-0000852C0000}"/>
    <cellStyle name="40% - Accent1 2 2 2 3" xfId="4031" xr:uid="{00000000-0005-0000-0000-0000862C0000}"/>
    <cellStyle name="40% - Accent1 2 2 2 3 2" xfId="7623" xr:uid="{00000000-0005-0000-0000-0000872C0000}"/>
    <cellStyle name="40% - Accent1 2 2 2 3 2 2" xfId="15594" xr:uid="{00000000-0005-0000-0000-0000882C0000}"/>
    <cellStyle name="40% - Accent1 2 2 2 3 2 2 2" xfId="39437" xr:uid="{63C7BDBC-46D0-407A-B61B-A7E814CCBCA3}"/>
    <cellStyle name="40% - Accent1 2 2 2 3 2 3" xfId="23540" xr:uid="{00000000-0005-0000-0000-0000892C0000}"/>
    <cellStyle name="40% - Accent1 2 2 2 3 2 3 2" xfId="47373" xr:uid="{53AF6A8B-B18D-4434-B212-DDBEF374AC58}"/>
    <cellStyle name="40% - Accent1 2 2 2 3 2 4" xfId="31496" xr:uid="{68318727-33F9-4661-B6B7-BADC011E2A68}"/>
    <cellStyle name="40% - Accent1 2 2 2 3 3" xfId="12056" xr:uid="{00000000-0005-0000-0000-00008A2C0000}"/>
    <cellStyle name="40% - Accent1 2 2 2 3 3 2" xfId="35906" xr:uid="{7CFA1C96-52D3-4505-AD09-E07230AC468C}"/>
    <cellStyle name="40% - Accent1 2 2 2 3 4" xfId="20011" xr:uid="{00000000-0005-0000-0000-00008B2C0000}"/>
    <cellStyle name="40% - Accent1 2 2 2 3 4 2" xfId="43844" xr:uid="{3338609B-1654-4BAF-A6E0-20B51748507D}"/>
    <cellStyle name="40% - Accent1 2 2 2 3 5" xfId="27965" xr:uid="{0F2E3E79-1D71-42E7-9E49-523AD37003C4}"/>
    <cellStyle name="40% - Accent1 2 2 2 4" xfId="5851" xr:uid="{00000000-0005-0000-0000-00008C2C0000}"/>
    <cellStyle name="40% - Accent1 2 2 2 4 2" xfId="13835" xr:uid="{00000000-0005-0000-0000-00008D2C0000}"/>
    <cellStyle name="40% - Accent1 2 2 2 4 2 2" xfId="37679" xr:uid="{AD0FD8DA-3AE1-455F-A46E-63C117E428B4}"/>
    <cellStyle name="40% - Accent1 2 2 2 4 3" xfId="21783" xr:uid="{00000000-0005-0000-0000-00008E2C0000}"/>
    <cellStyle name="40% - Accent1 2 2 2 4 3 2" xfId="45616" xr:uid="{DBE5E248-B6FD-434F-ABB6-A01EA7C3086D}"/>
    <cellStyle name="40% - Accent1 2 2 2 4 4" xfId="29738" xr:uid="{FBD27365-D8AF-49B7-B61F-B5FB92D90EB4}"/>
    <cellStyle name="40% - Accent1 2 2 2 5" xfId="9404" xr:uid="{00000000-0005-0000-0000-00008F2C0000}"/>
    <cellStyle name="40% - Accent1 2 2 2 5 2" xfId="17362" xr:uid="{00000000-0005-0000-0000-0000902C0000}"/>
    <cellStyle name="40% - Accent1 2 2 2 5 2 2" xfId="41203" xr:uid="{5808E865-6DCF-4CBF-BBBF-9A4A7C639EB5}"/>
    <cellStyle name="40% - Accent1 2 2 2 5 3" xfId="25306" xr:uid="{00000000-0005-0000-0000-0000912C0000}"/>
    <cellStyle name="40% - Accent1 2 2 2 5 3 2" xfId="49139" xr:uid="{8E081AEC-D255-4910-A767-711ED9356DFB}"/>
    <cellStyle name="40% - Accent1 2 2 2 5 4" xfId="33262" xr:uid="{6C23E0DD-0A23-4878-8C45-9A1602483715}"/>
    <cellStyle name="40% - Accent1 2 2 2 6" xfId="10300" xr:uid="{00000000-0005-0000-0000-0000922C0000}"/>
    <cellStyle name="40% - Accent1 2 2 2 6 2" xfId="34150" xr:uid="{5328FD38-4A62-410B-B220-54DD361D75D9}"/>
    <cellStyle name="40% - Accent1 2 2 2 7" xfId="18255" xr:uid="{00000000-0005-0000-0000-0000932C0000}"/>
    <cellStyle name="40% - Accent1 2 2 2 7 2" xfId="42088" xr:uid="{E179B083-87FE-4891-A60C-AC96395D2EE1}"/>
    <cellStyle name="40% - Accent1 2 2 2 8" xfId="26208" xr:uid="{9E723558-6757-4FF8-B654-84DBFDCA30CE}"/>
    <cellStyle name="40% - Accent1 2 2 2_Exh G" xfId="2727" xr:uid="{00000000-0005-0000-0000-0000942C0000}"/>
    <cellStyle name="40% - Accent1 2 2 3" xfId="936" xr:uid="{00000000-0005-0000-0000-0000952C0000}"/>
    <cellStyle name="40% - Accent1 2 2 3 2" xfId="1860" xr:uid="{00000000-0005-0000-0000-0000962C0000}"/>
    <cellStyle name="40% - Accent1 2 2 3 2 2" xfId="5378" xr:uid="{00000000-0005-0000-0000-0000972C0000}"/>
    <cellStyle name="40% - Accent1 2 2 3 2 2 2" xfId="8969" xr:uid="{00000000-0005-0000-0000-0000982C0000}"/>
    <cellStyle name="40% - Accent1 2 2 3 2 2 2 2" xfId="16940" xr:uid="{00000000-0005-0000-0000-0000992C0000}"/>
    <cellStyle name="40% - Accent1 2 2 3 2 2 2 2 2" xfId="40783" xr:uid="{15C69D2B-78AC-4D23-9AFE-D513B91983FF}"/>
    <cellStyle name="40% - Accent1 2 2 3 2 2 2 3" xfId="24886" xr:uid="{00000000-0005-0000-0000-00009A2C0000}"/>
    <cellStyle name="40% - Accent1 2 2 3 2 2 2 3 2" xfId="48719" xr:uid="{039F0B0F-E2BE-40E9-9BAF-AB42684D6112}"/>
    <cellStyle name="40% - Accent1 2 2 3 2 2 2 4" xfId="32842" xr:uid="{67425376-C95E-4A34-9B27-469F4166CB15}"/>
    <cellStyle name="40% - Accent1 2 2 3 2 2 3" xfId="13402" xr:uid="{00000000-0005-0000-0000-00009B2C0000}"/>
    <cellStyle name="40% - Accent1 2 2 3 2 2 3 2" xfId="37252" xr:uid="{F9F5C719-745E-40ED-A4A7-64CEBAB09DC7}"/>
    <cellStyle name="40% - Accent1 2 2 3 2 2 4" xfId="21357" xr:uid="{00000000-0005-0000-0000-00009C2C0000}"/>
    <cellStyle name="40% - Accent1 2 2 3 2 2 4 2" xfId="45190" xr:uid="{46FA57D9-2B93-462E-A69D-31C84F014876}"/>
    <cellStyle name="40% - Accent1 2 2 3 2 2 5" xfId="29311" xr:uid="{0C9F0C35-1A91-451F-A549-B0D5D4F136EB}"/>
    <cellStyle name="40% - Accent1 2 2 3 2 3" xfId="7210" xr:uid="{00000000-0005-0000-0000-00009D2C0000}"/>
    <cellStyle name="40% - Accent1 2 2 3 2 3 2" xfId="15182" xr:uid="{00000000-0005-0000-0000-00009E2C0000}"/>
    <cellStyle name="40% - Accent1 2 2 3 2 3 2 2" xfId="39025" xr:uid="{2CE79B7C-77F6-4E2F-97DB-1663DD9A9990}"/>
    <cellStyle name="40% - Accent1 2 2 3 2 3 3" xfId="23129" xr:uid="{00000000-0005-0000-0000-00009F2C0000}"/>
    <cellStyle name="40% - Accent1 2 2 3 2 3 3 2" xfId="46962" xr:uid="{65298026-349D-48DA-AEA8-011FC29016DF}"/>
    <cellStyle name="40% - Accent1 2 2 3 2 3 4" xfId="31084" xr:uid="{9456E5B2-9A4B-4592-B99D-3DBC11622587}"/>
    <cellStyle name="40% - Accent1 2 2 3 2 4" xfId="11646" xr:uid="{00000000-0005-0000-0000-0000A02C0000}"/>
    <cellStyle name="40% - Accent1 2 2 3 2 4 2" xfId="35496" xr:uid="{6E55C69F-1634-47D5-A24B-E41922C1D6F5}"/>
    <cellStyle name="40% - Accent1 2 2 3 2 5" xfId="19601" xr:uid="{00000000-0005-0000-0000-0000A12C0000}"/>
    <cellStyle name="40% - Accent1 2 2 3 2 5 2" xfId="43434" xr:uid="{F00EB269-7251-4A18-81D5-17378E74F437}"/>
    <cellStyle name="40% - Accent1 2 2 3 2 6" xfId="27554" xr:uid="{C197DF5A-1D7D-44B7-BEC8-EB47401EBD3D}"/>
    <cellStyle name="40% - Accent1 2 2 3 2_Exh G" xfId="2730" xr:uid="{00000000-0005-0000-0000-0000A22C0000}"/>
    <cellStyle name="40% - Accent1 2 2 3 3" xfId="4499" xr:uid="{00000000-0005-0000-0000-0000A32C0000}"/>
    <cellStyle name="40% - Accent1 2 2 3 3 2" xfId="8091" xr:uid="{00000000-0005-0000-0000-0000A42C0000}"/>
    <cellStyle name="40% - Accent1 2 2 3 3 2 2" xfId="16062" xr:uid="{00000000-0005-0000-0000-0000A52C0000}"/>
    <cellStyle name="40% - Accent1 2 2 3 3 2 2 2" xfId="39905" xr:uid="{6F0D5655-87EA-449E-9115-3F4C00493823}"/>
    <cellStyle name="40% - Accent1 2 2 3 3 2 3" xfId="24008" xr:uid="{00000000-0005-0000-0000-0000A62C0000}"/>
    <cellStyle name="40% - Accent1 2 2 3 3 2 3 2" xfId="47841" xr:uid="{E0A2C749-1B1B-4252-AAE2-DA90B9039D17}"/>
    <cellStyle name="40% - Accent1 2 2 3 3 2 4" xfId="31964" xr:uid="{43A50C59-F4CB-43A7-809D-5C402294D968}"/>
    <cellStyle name="40% - Accent1 2 2 3 3 3" xfId="12524" xr:uid="{00000000-0005-0000-0000-0000A72C0000}"/>
    <cellStyle name="40% - Accent1 2 2 3 3 3 2" xfId="36374" xr:uid="{2A39C872-F05C-46AA-A8D8-A265A81235ED}"/>
    <cellStyle name="40% - Accent1 2 2 3 3 4" xfId="20479" xr:uid="{00000000-0005-0000-0000-0000A82C0000}"/>
    <cellStyle name="40% - Accent1 2 2 3 3 4 2" xfId="44312" xr:uid="{C028AA8E-DDF4-4E8C-940B-B908D79D6B13}"/>
    <cellStyle name="40% - Accent1 2 2 3 3 5" xfId="28433" xr:uid="{D1E05FD3-AF8C-456D-8346-01B1A083F685}"/>
    <cellStyle name="40% - Accent1 2 2 3 4" xfId="6329" xr:uid="{00000000-0005-0000-0000-0000A92C0000}"/>
    <cellStyle name="40% - Accent1 2 2 3 4 2" xfId="14304" xr:uid="{00000000-0005-0000-0000-0000AA2C0000}"/>
    <cellStyle name="40% - Accent1 2 2 3 4 2 2" xfId="38147" xr:uid="{E4D871E8-3A49-42DF-A92C-F8F0CD564831}"/>
    <cellStyle name="40% - Accent1 2 2 3 4 3" xfId="22251" xr:uid="{00000000-0005-0000-0000-0000AB2C0000}"/>
    <cellStyle name="40% - Accent1 2 2 3 4 3 2" xfId="46084" xr:uid="{C777410C-E9B4-4C84-ACBB-D1B4FCB3A4E0}"/>
    <cellStyle name="40% - Accent1 2 2 3 4 4" xfId="30206" xr:uid="{382517D4-B22A-45E1-9774-EC414D2E6E5D}"/>
    <cellStyle name="40% - Accent1 2 2 3 5" xfId="9872" xr:uid="{00000000-0005-0000-0000-0000AC2C0000}"/>
    <cellStyle name="40% - Accent1 2 2 3 5 2" xfId="17830" xr:uid="{00000000-0005-0000-0000-0000AD2C0000}"/>
    <cellStyle name="40% - Accent1 2 2 3 5 2 2" xfId="41671" xr:uid="{28AC4830-8C47-4D15-9C1D-70EC0C88731D}"/>
    <cellStyle name="40% - Accent1 2 2 3 5 3" xfId="25774" xr:uid="{00000000-0005-0000-0000-0000AE2C0000}"/>
    <cellStyle name="40% - Accent1 2 2 3 5 3 2" xfId="49607" xr:uid="{B533BB4B-67B5-44E3-84CD-5B4CC7AD6376}"/>
    <cellStyle name="40% - Accent1 2 2 3 5 4" xfId="33730" xr:uid="{3AD98191-B249-4C17-A562-2582C03686EA}"/>
    <cellStyle name="40% - Accent1 2 2 3 6" xfId="10768" xr:uid="{00000000-0005-0000-0000-0000AF2C0000}"/>
    <cellStyle name="40% - Accent1 2 2 3 6 2" xfId="34618" xr:uid="{C67CF8C9-8D3C-4B92-B7F0-D2D9C2AD45E9}"/>
    <cellStyle name="40% - Accent1 2 2 3 7" xfId="18723" xr:uid="{00000000-0005-0000-0000-0000B02C0000}"/>
    <cellStyle name="40% - Accent1 2 2 3 7 2" xfId="42556" xr:uid="{E75C1605-18EF-421B-A0A8-1FFB7140EF72}"/>
    <cellStyle name="40% - Accent1 2 2 3 8" xfId="26676" xr:uid="{614F831D-5383-4317-AAA9-049DD108E6CC}"/>
    <cellStyle name="40% - Accent1 2 2 3_Exh G" xfId="2729" xr:uid="{00000000-0005-0000-0000-0000B12C0000}"/>
    <cellStyle name="40% - Accent1 2 2 4" xfId="1379" xr:uid="{00000000-0005-0000-0000-0000B22C0000}"/>
    <cellStyle name="40% - Accent1 2 2 4 2" xfId="4909" xr:uid="{00000000-0005-0000-0000-0000B32C0000}"/>
    <cellStyle name="40% - Accent1 2 2 4 2 2" xfId="8500" xr:uid="{00000000-0005-0000-0000-0000B42C0000}"/>
    <cellStyle name="40% - Accent1 2 2 4 2 2 2" xfId="16471" xr:uid="{00000000-0005-0000-0000-0000B52C0000}"/>
    <cellStyle name="40% - Accent1 2 2 4 2 2 2 2" xfId="40314" xr:uid="{4BF54455-5F3E-4760-ACDD-D25CA2B1CB13}"/>
    <cellStyle name="40% - Accent1 2 2 4 2 2 3" xfId="24417" xr:uid="{00000000-0005-0000-0000-0000B62C0000}"/>
    <cellStyle name="40% - Accent1 2 2 4 2 2 3 2" xfId="48250" xr:uid="{77949361-AA27-4F0D-9790-BBA17FFE3984}"/>
    <cellStyle name="40% - Accent1 2 2 4 2 2 4" xfId="32373" xr:uid="{CA307BA6-4D4E-4665-95B2-01B448330ADB}"/>
    <cellStyle name="40% - Accent1 2 2 4 2 3" xfId="12933" xr:uid="{00000000-0005-0000-0000-0000B72C0000}"/>
    <cellStyle name="40% - Accent1 2 2 4 2 3 2" xfId="36783" xr:uid="{423081FC-47A4-4FCF-8133-B2F3750EADCE}"/>
    <cellStyle name="40% - Accent1 2 2 4 2 4" xfId="20888" xr:uid="{00000000-0005-0000-0000-0000B82C0000}"/>
    <cellStyle name="40% - Accent1 2 2 4 2 4 2" xfId="44721" xr:uid="{344BC026-D3DB-456A-B2F3-91528EC4752B}"/>
    <cellStyle name="40% - Accent1 2 2 4 2 5" xfId="28842" xr:uid="{2224D63E-658F-4169-A496-9FD4772157B8}"/>
    <cellStyle name="40% - Accent1 2 2 4 3" xfId="6741" xr:uid="{00000000-0005-0000-0000-0000B92C0000}"/>
    <cellStyle name="40% - Accent1 2 2 4 3 2" xfId="14713" xr:uid="{00000000-0005-0000-0000-0000BA2C0000}"/>
    <cellStyle name="40% - Accent1 2 2 4 3 2 2" xfId="38556" xr:uid="{EF2EFAF5-5EC9-4B8E-8DBE-54EB2FA7E59E}"/>
    <cellStyle name="40% - Accent1 2 2 4 3 3" xfId="22660" xr:uid="{00000000-0005-0000-0000-0000BB2C0000}"/>
    <cellStyle name="40% - Accent1 2 2 4 3 3 2" xfId="46493" xr:uid="{DB4BEFE8-9081-476B-A8FF-33A4553A914A}"/>
    <cellStyle name="40% - Accent1 2 2 4 3 4" xfId="30615" xr:uid="{45F5C74C-6060-4E53-8A3E-89260327CF62}"/>
    <cellStyle name="40% - Accent1 2 2 4 4" xfId="11177" xr:uid="{00000000-0005-0000-0000-0000BC2C0000}"/>
    <cellStyle name="40% - Accent1 2 2 4 4 2" xfId="35027" xr:uid="{DF9DAB48-CBE0-4BE5-BE75-3D1FAC954F6B}"/>
    <cellStyle name="40% - Accent1 2 2 4 5" xfId="19132" xr:uid="{00000000-0005-0000-0000-0000BD2C0000}"/>
    <cellStyle name="40% - Accent1 2 2 4 5 2" xfId="42965" xr:uid="{4953AAE8-A257-4F1D-890C-A79BC3CDD497}"/>
    <cellStyle name="40% - Accent1 2 2 4 6" xfId="27085" xr:uid="{D95B14F9-C74F-4058-B498-3CD9CE7A76AF}"/>
    <cellStyle name="40% - Accent1 2 2 4_Exh G" xfId="2731" xr:uid="{00000000-0005-0000-0000-0000BE2C0000}"/>
    <cellStyle name="40% - Accent1 2 2 5" xfId="4030" xr:uid="{00000000-0005-0000-0000-0000BF2C0000}"/>
    <cellStyle name="40% - Accent1 2 2 5 2" xfId="7622" xr:uid="{00000000-0005-0000-0000-0000C02C0000}"/>
    <cellStyle name="40% - Accent1 2 2 5 2 2" xfId="15593" xr:uid="{00000000-0005-0000-0000-0000C12C0000}"/>
    <cellStyle name="40% - Accent1 2 2 5 2 2 2" xfId="39436" xr:uid="{A164E0E7-4003-4900-8CB6-CB21B869BA53}"/>
    <cellStyle name="40% - Accent1 2 2 5 2 3" xfId="23539" xr:uid="{00000000-0005-0000-0000-0000C22C0000}"/>
    <cellStyle name="40% - Accent1 2 2 5 2 3 2" xfId="47372" xr:uid="{BA5A37CD-B9FB-4506-AF7D-3235E0EA5FE2}"/>
    <cellStyle name="40% - Accent1 2 2 5 2 4" xfId="31495" xr:uid="{645AE1CC-A63F-411C-8C54-889B58992848}"/>
    <cellStyle name="40% - Accent1 2 2 5 3" xfId="12055" xr:uid="{00000000-0005-0000-0000-0000C32C0000}"/>
    <cellStyle name="40% - Accent1 2 2 5 3 2" xfId="35905" xr:uid="{731929CF-9A2A-4609-B3E7-E112E7F4DCD6}"/>
    <cellStyle name="40% - Accent1 2 2 5 4" xfId="20010" xr:uid="{00000000-0005-0000-0000-0000C42C0000}"/>
    <cellStyle name="40% - Accent1 2 2 5 4 2" xfId="43843" xr:uid="{100E1568-8F7A-419C-B258-AA345BACB3EF}"/>
    <cellStyle name="40% - Accent1 2 2 5 5" xfId="27964" xr:uid="{31DED3D8-1D5E-4ADE-9557-DAC1F73F99C5}"/>
    <cellStyle name="40% - Accent1 2 2 6" xfId="5850" xr:uid="{00000000-0005-0000-0000-0000C52C0000}"/>
    <cellStyle name="40% - Accent1 2 2 6 2" xfId="13834" xr:uid="{00000000-0005-0000-0000-0000C62C0000}"/>
    <cellStyle name="40% - Accent1 2 2 6 2 2" xfId="37678" xr:uid="{C7C4BC27-C8E9-43DA-BB16-304E8D8F67D9}"/>
    <cellStyle name="40% - Accent1 2 2 6 3" xfId="21782" xr:uid="{00000000-0005-0000-0000-0000C72C0000}"/>
    <cellStyle name="40% - Accent1 2 2 6 3 2" xfId="45615" xr:uid="{3564730E-FBA5-4024-9BCA-A4D6BAFF5700}"/>
    <cellStyle name="40% - Accent1 2 2 6 4" xfId="29737" xr:uid="{7D639023-78C7-464C-B327-0702B8E195E5}"/>
    <cellStyle name="40% - Accent1 2 2 7" xfId="9403" xr:uid="{00000000-0005-0000-0000-0000C82C0000}"/>
    <cellStyle name="40% - Accent1 2 2 7 2" xfId="17361" xr:uid="{00000000-0005-0000-0000-0000C92C0000}"/>
    <cellStyle name="40% - Accent1 2 2 7 2 2" xfId="41202" xr:uid="{F071217C-9C56-41E6-9C04-32EE34787C3B}"/>
    <cellStyle name="40% - Accent1 2 2 7 3" xfId="25305" xr:uid="{00000000-0005-0000-0000-0000CA2C0000}"/>
    <cellStyle name="40% - Accent1 2 2 7 3 2" xfId="49138" xr:uid="{9E23E0EC-72F4-4748-A75E-51FBF6BD6658}"/>
    <cellStyle name="40% - Accent1 2 2 7 4" xfId="33261" xr:uid="{24595C46-9E0B-42D3-B7B6-D7359349BE73}"/>
    <cellStyle name="40% - Accent1 2 2 8" xfId="10299" xr:uid="{00000000-0005-0000-0000-0000CB2C0000}"/>
    <cellStyle name="40% - Accent1 2 2 8 2" xfId="34149" xr:uid="{D00B3D6A-4729-4416-B559-549DE79DF24C}"/>
    <cellStyle name="40% - Accent1 2 2 9" xfId="18254" xr:uid="{00000000-0005-0000-0000-0000CC2C0000}"/>
    <cellStyle name="40% - Accent1 2 2 9 2" xfId="42087" xr:uid="{95D3C290-F605-469B-88D9-075C21F70EDF}"/>
    <cellStyle name="40% - Accent1 2 2_Exh G" xfId="2726" xr:uid="{00000000-0005-0000-0000-0000CD2C0000}"/>
    <cellStyle name="40% - Accent1 2 3" xfId="353" xr:uid="{00000000-0005-0000-0000-0000CE2C0000}"/>
    <cellStyle name="40% - Accent1 2 3 2" xfId="1381" xr:uid="{00000000-0005-0000-0000-0000CF2C0000}"/>
    <cellStyle name="40% - Accent1 2 3 2 2" xfId="4911" xr:uid="{00000000-0005-0000-0000-0000D02C0000}"/>
    <cellStyle name="40% - Accent1 2 3 2 2 2" xfId="8502" xr:uid="{00000000-0005-0000-0000-0000D12C0000}"/>
    <cellStyle name="40% - Accent1 2 3 2 2 2 2" xfId="16473" xr:uid="{00000000-0005-0000-0000-0000D22C0000}"/>
    <cellStyle name="40% - Accent1 2 3 2 2 2 2 2" xfId="40316" xr:uid="{4AC5A39D-CCD1-49CE-BD7F-F111F02C9247}"/>
    <cellStyle name="40% - Accent1 2 3 2 2 2 3" xfId="24419" xr:uid="{00000000-0005-0000-0000-0000D32C0000}"/>
    <cellStyle name="40% - Accent1 2 3 2 2 2 3 2" xfId="48252" xr:uid="{4D6CFA55-217E-4B03-BEFA-23D6205012E4}"/>
    <cellStyle name="40% - Accent1 2 3 2 2 2 4" xfId="32375" xr:uid="{47ABF898-3DFE-41C5-A405-23AF8A80DF5B}"/>
    <cellStyle name="40% - Accent1 2 3 2 2 3" xfId="12935" xr:uid="{00000000-0005-0000-0000-0000D42C0000}"/>
    <cellStyle name="40% - Accent1 2 3 2 2 3 2" xfId="36785" xr:uid="{FFAEA65E-CF18-4BA4-992A-00B2651F94A1}"/>
    <cellStyle name="40% - Accent1 2 3 2 2 4" xfId="20890" xr:uid="{00000000-0005-0000-0000-0000D52C0000}"/>
    <cellStyle name="40% - Accent1 2 3 2 2 4 2" xfId="44723" xr:uid="{800E9F0E-A474-421F-8FBC-0BB27C22EC44}"/>
    <cellStyle name="40% - Accent1 2 3 2 2 5" xfId="28844" xr:uid="{5D3129B5-FED4-4181-93A4-1E7C4807809F}"/>
    <cellStyle name="40% - Accent1 2 3 2 3" xfId="6743" xr:uid="{00000000-0005-0000-0000-0000D62C0000}"/>
    <cellStyle name="40% - Accent1 2 3 2 3 2" xfId="14715" xr:uid="{00000000-0005-0000-0000-0000D72C0000}"/>
    <cellStyle name="40% - Accent1 2 3 2 3 2 2" xfId="38558" xr:uid="{A2DCBEA8-CF83-44B2-A466-2A2A32622394}"/>
    <cellStyle name="40% - Accent1 2 3 2 3 3" xfId="22662" xr:uid="{00000000-0005-0000-0000-0000D82C0000}"/>
    <cellStyle name="40% - Accent1 2 3 2 3 3 2" xfId="46495" xr:uid="{82AFC694-C51A-44CE-A307-346459974571}"/>
    <cellStyle name="40% - Accent1 2 3 2 3 4" xfId="30617" xr:uid="{61F3638A-7158-440F-9180-6387E3AC084C}"/>
    <cellStyle name="40% - Accent1 2 3 2 4" xfId="11179" xr:uid="{00000000-0005-0000-0000-0000D92C0000}"/>
    <cellStyle name="40% - Accent1 2 3 2 4 2" xfId="35029" xr:uid="{17EFE260-7258-432E-A585-F09C4F87D4D2}"/>
    <cellStyle name="40% - Accent1 2 3 2 5" xfId="19134" xr:uid="{00000000-0005-0000-0000-0000DA2C0000}"/>
    <cellStyle name="40% - Accent1 2 3 2 5 2" xfId="42967" xr:uid="{3A17A93B-466B-4DE5-B7DE-C9C5F4A8EDC7}"/>
    <cellStyle name="40% - Accent1 2 3 2 6" xfId="27087" xr:uid="{439B6B20-5785-4A04-898A-2BDB922BEE5A}"/>
    <cellStyle name="40% - Accent1 2 3 2_Exh G" xfId="2733" xr:uid="{00000000-0005-0000-0000-0000DB2C0000}"/>
    <cellStyle name="40% - Accent1 2 3 3" xfId="4032" xr:uid="{00000000-0005-0000-0000-0000DC2C0000}"/>
    <cellStyle name="40% - Accent1 2 3 3 2" xfId="7624" xr:uid="{00000000-0005-0000-0000-0000DD2C0000}"/>
    <cellStyle name="40% - Accent1 2 3 3 2 2" xfId="15595" xr:uid="{00000000-0005-0000-0000-0000DE2C0000}"/>
    <cellStyle name="40% - Accent1 2 3 3 2 2 2" xfId="39438" xr:uid="{56DD4A44-CEC1-427B-8D6D-CC36DE74B5E0}"/>
    <cellStyle name="40% - Accent1 2 3 3 2 3" xfId="23541" xr:uid="{00000000-0005-0000-0000-0000DF2C0000}"/>
    <cellStyle name="40% - Accent1 2 3 3 2 3 2" xfId="47374" xr:uid="{E2EDE807-DB96-41C4-A7DB-B6EF9A0F1A5B}"/>
    <cellStyle name="40% - Accent1 2 3 3 2 4" xfId="31497" xr:uid="{B9BFB996-C473-4BAA-9608-4B88D6B1B538}"/>
    <cellStyle name="40% - Accent1 2 3 3 3" xfId="12057" xr:uid="{00000000-0005-0000-0000-0000E02C0000}"/>
    <cellStyle name="40% - Accent1 2 3 3 3 2" xfId="35907" xr:uid="{1CA11FD2-503E-4556-82E9-16563AE323E1}"/>
    <cellStyle name="40% - Accent1 2 3 3 4" xfId="20012" xr:uid="{00000000-0005-0000-0000-0000E12C0000}"/>
    <cellStyle name="40% - Accent1 2 3 3 4 2" xfId="43845" xr:uid="{B0631AD2-6FD1-4A57-A11F-41F4ED1378ED}"/>
    <cellStyle name="40% - Accent1 2 3 3 5" xfId="27966" xr:uid="{AF5E5581-3248-4DDC-80E4-C4C8A88F4681}"/>
    <cellStyle name="40% - Accent1 2 3 4" xfId="5852" xr:uid="{00000000-0005-0000-0000-0000E22C0000}"/>
    <cellStyle name="40% - Accent1 2 3 4 2" xfId="13836" xr:uid="{00000000-0005-0000-0000-0000E32C0000}"/>
    <cellStyle name="40% - Accent1 2 3 4 2 2" xfId="37680" xr:uid="{C0B27A94-24FF-4BA8-9DBC-EC3A96717CB6}"/>
    <cellStyle name="40% - Accent1 2 3 4 3" xfId="21784" xr:uid="{00000000-0005-0000-0000-0000E42C0000}"/>
    <cellStyle name="40% - Accent1 2 3 4 3 2" xfId="45617" xr:uid="{9B3F45A9-C6B8-4983-BD00-A2AF887D86A8}"/>
    <cellStyle name="40% - Accent1 2 3 4 4" xfId="29739" xr:uid="{FB740005-0D37-4533-BFEA-92888D295D8D}"/>
    <cellStyle name="40% - Accent1 2 3 5" xfId="9405" xr:uid="{00000000-0005-0000-0000-0000E52C0000}"/>
    <cellStyle name="40% - Accent1 2 3 5 2" xfId="17363" xr:uid="{00000000-0005-0000-0000-0000E62C0000}"/>
    <cellStyle name="40% - Accent1 2 3 5 2 2" xfId="41204" xr:uid="{7F65118C-23EB-4D17-B5C1-DDC5E5A6101C}"/>
    <cellStyle name="40% - Accent1 2 3 5 3" xfId="25307" xr:uid="{00000000-0005-0000-0000-0000E72C0000}"/>
    <cellStyle name="40% - Accent1 2 3 5 3 2" xfId="49140" xr:uid="{6524D961-FB1A-49DB-A1ED-6B72689D20EF}"/>
    <cellStyle name="40% - Accent1 2 3 5 4" xfId="33263" xr:uid="{CB185479-B5FE-4F80-9C4A-3D0E530AEE97}"/>
    <cellStyle name="40% - Accent1 2 3 6" xfId="10301" xr:uid="{00000000-0005-0000-0000-0000E82C0000}"/>
    <cellStyle name="40% - Accent1 2 3 6 2" xfId="34151" xr:uid="{842DCBD2-DE86-4166-A753-59680648CD62}"/>
    <cellStyle name="40% - Accent1 2 3 7" xfId="18256" xr:uid="{00000000-0005-0000-0000-0000E92C0000}"/>
    <cellStyle name="40% - Accent1 2 3 7 2" xfId="42089" xr:uid="{832354F9-5CB6-4A17-AB3F-5F4F5B7A7A6B}"/>
    <cellStyle name="40% - Accent1 2 3 8" xfId="26209" xr:uid="{82C4D182-E95A-4227-B298-0165B19EFE69}"/>
    <cellStyle name="40% - Accent1 2 3_Exh G" xfId="2732" xr:uid="{00000000-0005-0000-0000-0000EA2C0000}"/>
    <cellStyle name="40% - Accent1 2 4" xfId="935" xr:uid="{00000000-0005-0000-0000-0000EB2C0000}"/>
    <cellStyle name="40% - Accent1 2 4 2" xfId="1859" xr:uid="{00000000-0005-0000-0000-0000EC2C0000}"/>
    <cellStyle name="40% - Accent1 2 4 2 2" xfId="5377" xr:uid="{00000000-0005-0000-0000-0000ED2C0000}"/>
    <cellStyle name="40% - Accent1 2 4 2 2 2" xfId="8968" xr:uid="{00000000-0005-0000-0000-0000EE2C0000}"/>
    <cellStyle name="40% - Accent1 2 4 2 2 2 2" xfId="16939" xr:uid="{00000000-0005-0000-0000-0000EF2C0000}"/>
    <cellStyle name="40% - Accent1 2 4 2 2 2 2 2" xfId="40782" xr:uid="{E2805DD0-D875-40B3-BF73-32280A812AFC}"/>
    <cellStyle name="40% - Accent1 2 4 2 2 2 3" xfId="24885" xr:uid="{00000000-0005-0000-0000-0000F02C0000}"/>
    <cellStyle name="40% - Accent1 2 4 2 2 2 3 2" xfId="48718" xr:uid="{C195C0DB-5D42-4A2A-AACD-544AFDD5C4CF}"/>
    <cellStyle name="40% - Accent1 2 4 2 2 2 4" xfId="32841" xr:uid="{AC895517-82EF-4642-912C-C1C46EF23E09}"/>
    <cellStyle name="40% - Accent1 2 4 2 2 3" xfId="13401" xr:uid="{00000000-0005-0000-0000-0000F12C0000}"/>
    <cellStyle name="40% - Accent1 2 4 2 2 3 2" xfId="37251" xr:uid="{A3697657-0A53-4B46-A025-B5CDB51384ED}"/>
    <cellStyle name="40% - Accent1 2 4 2 2 4" xfId="21356" xr:uid="{00000000-0005-0000-0000-0000F22C0000}"/>
    <cellStyle name="40% - Accent1 2 4 2 2 4 2" xfId="45189" xr:uid="{338650BC-75D9-4F64-B88B-06EF92EC38E3}"/>
    <cellStyle name="40% - Accent1 2 4 2 2 5" xfId="29310" xr:uid="{F5B1FAFD-017E-4C5D-9DEE-17C87094B1BB}"/>
    <cellStyle name="40% - Accent1 2 4 2 3" xfId="7209" xr:uid="{00000000-0005-0000-0000-0000F32C0000}"/>
    <cellStyle name="40% - Accent1 2 4 2 3 2" xfId="15181" xr:uid="{00000000-0005-0000-0000-0000F42C0000}"/>
    <cellStyle name="40% - Accent1 2 4 2 3 2 2" xfId="39024" xr:uid="{6B3AEA35-CADC-4B6F-8C80-01781D86B410}"/>
    <cellStyle name="40% - Accent1 2 4 2 3 3" xfId="23128" xr:uid="{00000000-0005-0000-0000-0000F52C0000}"/>
    <cellStyle name="40% - Accent1 2 4 2 3 3 2" xfId="46961" xr:uid="{9EA6AC17-90EB-48C6-BD5A-9B6937841F89}"/>
    <cellStyle name="40% - Accent1 2 4 2 3 4" xfId="31083" xr:uid="{D113E044-F1A6-40D2-915B-0A6D6A04F0E6}"/>
    <cellStyle name="40% - Accent1 2 4 2 4" xfId="11645" xr:uid="{00000000-0005-0000-0000-0000F62C0000}"/>
    <cellStyle name="40% - Accent1 2 4 2 4 2" xfId="35495" xr:uid="{4660386E-F682-409B-8A73-622D7308067B}"/>
    <cellStyle name="40% - Accent1 2 4 2 5" xfId="19600" xr:uid="{00000000-0005-0000-0000-0000F72C0000}"/>
    <cellStyle name="40% - Accent1 2 4 2 5 2" xfId="43433" xr:uid="{6C189DFC-C655-4883-A281-86216C2AF2E3}"/>
    <cellStyle name="40% - Accent1 2 4 2 6" xfId="27553" xr:uid="{104D462D-DFBB-4AF8-8A6A-19DBE29BBF46}"/>
    <cellStyle name="40% - Accent1 2 4 2_Exh G" xfId="2735" xr:uid="{00000000-0005-0000-0000-0000F82C0000}"/>
    <cellStyle name="40% - Accent1 2 4 3" xfId="4498" xr:uid="{00000000-0005-0000-0000-0000F92C0000}"/>
    <cellStyle name="40% - Accent1 2 4 3 2" xfId="8090" xr:uid="{00000000-0005-0000-0000-0000FA2C0000}"/>
    <cellStyle name="40% - Accent1 2 4 3 2 2" xfId="16061" xr:uid="{00000000-0005-0000-0000-0000FB2C0000}"/>
    <cellStyle name="40% - Accent1 2 4 3 2 2 2" xfId="39904" xr:uid="{4CC5670A-CABE-497B-A6F9-4782F26EDD43}"/>
    <cellStyle name="40% - Accent1 2 4 3 2 3" xfId="24007" xr:uid="{00000000-0005-0000-0000-0000FC2C0000}"/>
    <cellStyle name="40% - Accent1 2 4 3 2 3 2" xfId="47840" xr:uid="{9ADEFC88-6287-4D09-8F23-6BAA8C80B732}"/>
    <cellStyle name="40% - Accent1 2 4 3 2 4" xfId="31963" xr:uid="{5C43613E-5674-4463-981F-A9AA4F11FE1E}"/>
    <cellStyle name="40% - Accent1 2 4 3 3" xfId="12523" xr:uid="{00000000-0005-0000-0000-0000FD2C0000}"/>
    <cellStyle name="40% - Accent1 2 4 3 3 2" xfId="36373" xr:uid="{33096C8B-5706-4468-86CA-7069AB58F090}"/>
    <cellStyle name="40% - Accent1 2 4 3 4" xfId="20478" xr:uid="{00000000-0005-0000-0000-0000FE2C0000}"/>
    <cellStyle name="40% - Accent1 2 4 3 4 2" xfId="44311" xr:uid="{D09BF769-2839-492F-A660-3E5D9BA1B09B}"/>
    <cellStyle name="40% - Accent1 2 4 3 5" xfId="28432" xr:uid="{A0BC90DF-81B5-42A0-BFDD-16F9BAC19644}"/>
    <cellStyle name="40% - Accent1 2 4 4" xfId="6328" xr:uid="{00000000-0005-0000-0000-0000FF2C0000}"/>
    <cellStyle name="40% - Accent1 2 4 4 2" xfId="14303" xr:uid="{00000000-0005-0000-0000-0000002D0000}"/>
    <cellStyle name="40% - Accent1 2 4 4 2 2" xfId="38146" xr:uid="{7D640BFB-5485-46BA-86DF-4F8B25C549E5}"/>
    <cellStyle name="40% - Accent1 2 4 4 3" xfId="22250" xr:uid="{00000000-0005-0000-0000-0000012D0000}"/>
    <cellStyle name="40% - Accent1 2 4 4 3 2" xfId="46083" xr:uid="{2E67F8FA-A1DD-490E-8EA8-A224B7E953A0}"/>
    <cellStyle name="40% - Accent1 2 4 4 4" xfId="30205" xr:uid="{AEABD62A-FF14-4816-83A7-0B7F3568CA46}"/>
    <cellStyle name="40% - Accent1 2 4 5" xfId="9871" xr:uid="{00000000-0005-0000-0000-0000022D0000}"/>
    <cellStyle name="40% - Accent1 2 4 5 2" xfId="17829" xr:uid="{00000000-0005-0000-0000-0000032D0000}"/>
    <cellStyle name="40% - Accent1 2 4 5 2 2" xfId="41670" xr:uid="{9EA3B90F-9B56-4E0D-9937-3C4E663D1AB9}"/>
    <cellStyle name="40% - Accent1 2 4 5 3" xfId="25773" xr:uid="{00000000-0005-0000-0000-0000042D0000}"/>
    <cellStyle name="40% - Accent1 2 4 5 3 2" xfId="49606" xr:uid="{FEC2F1B7-1368-4B40-9098-E0408BBD2C55}"/>
    <cellStyle name="40% - Accent1 2 4 5 4" xfId="33729" xr:uid="{E74E56E1-A150-456B-9362-7FF9AE7811C8}"/>
    <cellStyle name="40% - Accent1 2 4 6" xfId="10767" xr:uid="{00000000-0005-0000-0000-0000052D0000}"/>
    <cellStyle name="40% - Accent1 2 4 6 2" xfId="34617" xr:uid="{D38C5D60-780B-43DD-984D-A31C134B2EBA}"/>
    <cellStyle name="40% - Accent1 2 4 7" xfId="18722" xr:uid="{00000000-0005-0000-0000-0000062D0000}"/>
    <cellStyle name="40% - Accent1 2 4 7 2" xfId="42555" xr:uid="{F4D4B247-BBFF-4CEA-9E7D-43C9EA99A49B}"/>
    <cellStyle name="40% - Accent1 2 4 8" xfId="26675" xr:uid="{DF807AC7-99FD-4FDB-8120-30FC3297EA11}"/>
    <cellStyle name="40% - Accent1 2 4_Exh G" xfId="2734" xr:uid="{00000000-0005-0000-0000-0000072D0000}"/>
    <cellStyle name="40% - Accent1 2 5" xfId="1378" xr:uid="{00000000-0005-0000-0000-0000082D0000}"/>
    <cellStyle name="40% - Accent1 2 5 2" xfId="4908" xr:uid="{00000000-0005-0000-0000-0000092D0000}"/>
    <cellStyle name="40% - Accent1 2 5 2 2" xfId="8499" xr:uid="{00000000-0005-0000-0000-00000A2D0000}"/>
    <cellStyle name="40% - Accent1 2 5 2 2 2" xfId="16470" xr:uid="{00000000-0005-0000-0000-00000B2D0000}"/>
    <cellStyle name="40% - Accent1 2 5 2 2 2 2" xfId="40313" xr:uid="{74A3950C-FBE9-4573-95E1-1228E5AEDEB8}"/>
    <cellStyle name="40% - Accent1 2 5 2 2 3" xfId="24416" xr:uid="{00000000-0005-0000-0000-00000C2D0000}"/>
    <cellStyle name="40% - Accent1 2 5 2 2 3 2" xfId="48249" xr:uid="{BAAF404A-3C6B-4D6E-A137-C70453F01DC6}"/>
    <cellStyle name="40% - Accent1 2 5 2 2 4" xfId="32372" xr:uid="{014AB447-6EF0-46A3-8C30-D5D53040C517}"/>
    <cellStyle name="40% - Accent1 2 5 2 3" xfId="12932" xr:uid="{00000000-0005-0000-0000-00000D2D0000}"/>
    <cellStyle name="40% - Accent1 2 5 2 3 2" xfId="36782" xr:uid="{5C2C2DA5-1AE5-4D7C-8EBA-FEB8BBA2428C}"/>
    <cellStyle name="40% - Accent1 2 5 2 4" xfId="20887" xr:uid="{00000000-0005-0000-0000-00000E2D0000}"/>
    <cellStyle name="40% - Accent1 2 5 2 4 2" xfId="44720" xr:uid="{351BD091-F07B-4525-A1C3-551A4EBB5BFA}"/>
    <cellStyle name="40% - Accent1 2 5 2 5" xfId="28841" xr:uid="{D049232C-3FB8-47BE-965B-A604CAFE569F}"/>
    <cellStyle name="40% - Accent1 2 5 3" xfId="6740" xr:uid="{00000000-0005-0000-0000-00000F2D0000}"/>
    <cellStyle name="40% - Accent1 2 5 3 2" xfId="14712" xr:uid="{00000000-0005-0000-0000-0000102D0000}"/>
    <cellStyle name="40% - Accent1 2 5 3 2 2" xfId="38555" xr:uid="{64CAA785-04E5-486F-A681-83AAAF05C9CA}"/>
    <cellStyle name="40% - Accent1 2 5 3 3" xfId="22659" xr:uid="{00000000-0005-0000-0000-0000112D0000}"/>
    <cellStyle name="40% - Accent1 2 5 3 3 2" xfId="46492" xr:uid="{912742DF-BEFF-4848-A55A-85557EDEDF44}"/>
    <cellStyle name="40% - Accent1 2 5 3 4" xfId="30614" xr:uid="{329BDD89-B03D-4F15-9DA5-CBC2C9545DC3}"/>
    <cellStyle name="40% - Accent1 2 5 4" xfId="11176" xr:uid="{00000000-0005-0000-0000-0000122D0000}"/>
    <cellStyle name="40% - Accent1 2 5 4 2" xfId="35026" xr:uid="{12104F93-CE7C-438A-8D07-D4C77F4A7DA2}"/>
    <cellStyle name="40% - Accent1 2 5 5" xfId="19131" xr:uid="{00000000-0005-0000-0000-0000132D0000}"/>
    <cellStyle name="40% - Accent1 2 5 5 2" xfId="42964" xr:uid="{533F61F8-B202-4A98-8A7E-37F2893587C8}"/>
    <cellStyle name="40% - Accent1 2 5 6" xfId="27084" xr:uid="{DDF796E7-485C-4136-B4F9-710D79ED7078}"/>
    <cellStyle name="40% - Accent1 2 5_Exh G" xfId="2736" xr:uid="{00000000-0005-0000-0000-0000142D0000}"/>
    <cellStyle name="40% - Accent1 2 6" xfId="4029" xr:uid="{00000000-0005-0000-0000-0000152D0000}"/>
    <cellStyle name="40% - Accent1 2 6 2" xfId="7621" xr:uid="{00000000-0005-0000-0000-0000162D0000}"/>
    <cellStyle name="40% - Accent1 2 6 2 2" xfId="15592" xr:uid="{00000000-0005-0000-0000-0000172D0000}"/>
    <cellStyle name="40% - Accent1 2 6 2 2 2" xfId="39435" xr:uid="{B792BE06-CC4E-4D1D-B616-D8CCE526F7CA}"/>
    <cellStyle name="40% - Accent1 2 6 2 3" xfId="23538" xr:uid="{00000000-0005-0000-0000-0000182D0000}"/>
    <cellStyle name="40% - Accent1 2 6 2 3 2" xfId="47371" xr:uid="{C8118BCF-A7AA-42FA-A5A8-588414C10F1E}"/>
    <cellStyle name="40% - Accent1 2 6 2 4" xfId="31494" xr:uid="{5A32E3BF-35BB-480A-BC39-708879533978}"/>
    <cellStyle name="40% - Accent1 2 6 3" xfId="12054" xr:uid="{00000000-0005-0000-0000-0000192D0000}"/>
    <cellStyle name="40% - Accent1 2 6 3 2" xfId="35904" xr:uid="{C122EF4B-0D62-4104-B277-F6FD161F9DEC}"/>
    <cellStyle name="40% - Accent1 2 6 4" xfId="20009" xr:uid="{00000000-0005-0000-0000-00001A2D0000}"/>
    <cellStyle name="40% - Accent1 2 6 4 2" xfId="43842" xr:uid="{DD1275EA-D7FB-42F2-A87A-F6CA65A9ECD3}"/>
    <cellStyle name="40% - Accent1 2 6 5" xfId="27963" xr:uid="{2CAB883E-B7B3-4916-8056-51C170FB4FBB}"/>
    <cellStyle name="40% - Accent1 2 7" xfId="5849" xr:uid="{00000000-0005-0000-0000-00001B2D0000}"/>
    <cellStyle name="40% - Accent1 2 7 2" xfId="13833" xr:uid="{00000000-0005-0000-0000-00001C2D0000}"/>
    <cellStyle name="40% - Accent1 2 7 2 2" xfId="37677" xr:uid="{BAE988B5-D8EC-4CF6-AA53-57E94D906C12}"/>
    <cellStyle name="40% - Accent1 2 7 3" xfId="21781" xr:uid="{00000000-0005-0000-0000-00001D2D0000}"/>
    <cellStyle name="40% - Accent1 2 7 3 2" xfId="45614" xr:uid="{B70C3ED4-0576-444C-B1F0-051709DFA9F1}"/>
    <cellStyle name="40% - Accent1 2 7 4" xfId="29736" xr:uid="{B8E42D8F-247F-4A38-AA89-4651D8ADA0F5}"/>
    <cellStyle name="40% - Accent1 2 8" xfId="9402" xr:uid="{00000000-0005-0000-0000-00001E2D0000}"/>
    <cellStyle name="40% - Accent1 2 8 2" xfId="17360" xr:uid="{00000000-0005-0000-0000-00001F2D0000}"/>
    <cellStyle name="40% - Accent1 2 8 2 2" xfId="41201" xr:uid="{140C7031-2A99-4536-81E1-D225B0E11382}"/>
    <cellStyle name="40% - Accent1 2 8 3" xfId="25304" xr:uid="{00000000-0005-0000-0000-0000202D0000}"/>
    <cellStyle name="40% - Accent1 2 8 3 2" xfId="49137" xr:uid="{BBA62C54-1A18-42A8-BA90-3A4D40862FF2}"/>
    <cellStyle name="40% - Accent1 2 8 4" xfId="33260" xr:uid="{29A7BCA3-F14A-46C7-B789-FD0500C70594}"/>
    <cellStyle name="40% - Accent1 2 9" xfId="10298" xr:uid="{00000000-0005-0000-0000-0000212D0000}"/>
    <cellStyle name="40% - Accent1 2 9 2" xfId="34148" xr:uid="{A996F5DC-EAC5-48D0-A68C-E82FF2325CDD}"/>
    <cellStyle name="40% - Accent1 2_Exh G" xfId="2725" xr:uid="{00000000-0005-0000-0000-0000222D0000}"/>
    <cellStyle name="40% - Accent1 3" xfId="354" xr:uid="{00000000-0005-0000-0000-0000232D0000}"/>
    <cellStyle name="40% - Accent1 3 10" xfId="18257" xr:uid="{00000000-0005-0000-0000-0000242D0000}"/>
    <cellStyle name="40% - Accent1 3 10 2" xfId="42090" xr:uid="{88C32D16-5971-4C4B-8DFD-6946D9487CA6}"/>
    <cellStyle name="40% - Accent1 3 11" xfId="26210" xr:uid="{587504AA-860A-4CE1-AA97-B67049AD925F}"/>
    <cellStyle name="40% - Accent1 3 12" xfId="49767" xr:uid="{34093A2A-A300-4429-974F-9F9A80591ECC}"/>
    <cellStyle name="40% - Accent1 3 13" xfId="49821" xr:uid="{85D4948B-FEB0-46FC-8349-D362A10CEA58}"/>
    <cellStyle name="40% - Accent1 3 2" xfId="355" xr:uid="{00000000-0005-0000-0000-0000252D0000}"/>
    <cellStyle name="40% - Accent1 3 2 10" xfId="26211" xr:uid="{EBAC224A-35DC-4BC7-B830-0EBF099B6ADA}"/>
    <cellStyle name="40% - Accent1 3 2 2" xfId="356" xr:uid="{00000000-0005-0000-0000-0000262D0000}"/>
    <cellStyle name="40% - Accent1 3 2 2 2" xfId="1384" xr:uid="{00000000-0005-0000-0000-0000272D0000}"/>
    <cellStyle name="40% - Accent1 3 2 2 2 2" xfId="4914" xr:uid="{00000000-0005-0000-0000-0000282D0000}"/>
    <cellStyle name="40% - Accent1 3 2 2 2 2 2" xfId="8505" xr:uid="{00000000-0005-0000-0000-0000292D0000}"/>
    <cellStyle name="40% - Accent1 3 2 2 2 2 2 2" xfId="16476" xr:uid="{00000000-0005-0000-0000-00002A2D0000}"/>
    <cellStyle name="40% - Accent1 3 2 2 2 2 2 2 2" xfId="40319" xr:uid="{1B84F009-46D3-4B9C-9B82-450BE6C034CB}"/>
    <cellStyle name="40% - Accent1 3 2 2 2 2 2 3" xfId="24422" xr:uid="{00000000-0005-0000-0000-00002B2D0000}"/>
    <cellStyle name="40% - Accent1 3 2 2 2 2 2 3 2" xfId="48255" xr:uid="{2ED907B4-E874-4F69-9C17-25E662F1C834}"/>
    <cellStyle name="40% - Accent1 3 2 2 2 2 2 4" xfId="32378" xr:uid="{89F82CFA-B49B-4240-B81A-A8095C79748F}"/>
    <cellStyle name="40% - Accent1 3 2 2 2 2 3" xfId="12938" xr:uid="{00000000-0005-0000-0000-00002C2D0000}"/>
    <cellStyle name="40% - Accent1 3 2 2 2 2 3 2" xfId="36788" xr:uid="{12A2F608-A1C5-40A8-833C-69E76E8A454F}"/>
    <cellStyle name="40% - Accent1 3 2 2 2 2 4" xfId="20893" xr:uid="{00000000-0005-0000-0000-00002D2D0000}"/>
    <cellStyle name="40% - Accent1 3 2 2 2 2 4 2" xfId="44726" xr:uid="{7698659B-5138-485E-8124-DDD3E7C615BD}"/>
    <cellStyle name="40% - Accent1 3 2 2 2 2 5" xfId="28847" xr:uid="{8C4C99AC-EB55-4613-923C-048751FDB322}"/>
    <cellStyle name="40% - Accent1 3 2 2 2 3" xfId="6746" xr:uid="{00000000-0005-0000-0000-00002E2D0000}"/>
    <cellStyle name="40% - Accent1 3 2 2 2 3 2" xfId="14718" xr:uid="{00000000-0005-0000-0000-00002F2D0000}"/>
    <cellStyle name="40% - Accent1 3 2 2 2 3 2 2" xfId="38561" xr:uid="{CF35FBA3-ED4D-4F3F-AC08-EAD147C6F3F1}"/>
    <cellStyle name="40% - Accent1 3 2 2 2 3 3" xfId="22665" xr:uid="{00000000-0005-0000-0000-0000302D0000}"/>
    <cellStyle name="40% - Accent1 3 2 2 2 3 3 2" xfId="46498" xr:uid="{A27232BD-FFC3-4EAC-822D-1195D9F59E6F}"/>
    <cellStyle name="40% - Accent1 3 2 2 2 3 4" xfId="30620" xr:uid="{4D59CA00-2E3A-45E0-AF4D-2CFE255904BC}"/>
    <cellStyle name="40% - Accent1 3 2 2 2 4" xfId="11182" xr:uid="{00000000-0005-0000-0000-0000312D0000}"/>
    <cellStyle name="40% - Accent1 3 2 2 2 4 2" xfId="35032" xr:uid="{07FF9199-51F0-487D-884C-DEC6B161FCF9}"/>
    <cellStyle name="40% - Accent1 3 2 2 2 5" xfId="19137" xr:uid="{00000000-0005-0000-0000-0000322D0000}"/>
    <cellStyle name="40% - Accent1 3 2 2 2 5 2" xfId="42970" xr:uid="{1544F5E1-3429-417D-8E49-21E91E364CA1}"/>
    <cellStyle name="40% - Accent1 3 2 2 2 6" xfId="27090" xr:uid="{30BC1510-2BB2-4EC2-A2C0-33B3D57377A9}"/>
    <cellStyle name="40% - Accent1 3 2 2 2_Exh G" xfId="2740" xr:uid="{00000000-0005-0000-0000-0000332D0000}"/>
    <cellStyle name="40% - Accent1 3 2 2 3" xfId="4035" xr:uid="{00000000-0005-0000-0000-0000342D0000}"/>
    <cellStyle name="40% - Accent1 3 2 2 3 2" xfId="7627" xr:uid="{00000000-0005-0000-0000-0000352D0000}"/>
    <cellStyle name="40% - Accent1 3 2 2 3 2 2" xfId="15598" xr:uid="{00000000-0005-0000-0000-0000362D0000}"/>
    <cellStyle name="40% - Accent1 3 2 2 3 2 2 2" xfId="39441" xr:uid="{48613444-DD92-4FFD-8147-E38297EF34E4}"/>
    <cellStyle name="40% - Accent1 3 2 2 3 2 3" xfId="23544" xr:uid="{00000000-0005-0000-0000-0000372D0000}"/>
    <cellStyle name="40% - Accent1 3 2 2 3 2 3 2" xfId="47377" xr:uid="{E6F69653-F3C2-4EAE-941C-8DEE2DE58CF4}"/>
    <cellStyle name="40% - Accent1 3 2 2 3 2 4" xfId="31500" xr:uid="{4BDA52B5-2745-4D79-9426-164153F6FB25}"/>
    <cellStyle name="40% - Accent1 3 2 2 3 3" xfId="12060" xr:uid="{00000000-0005-0000-0000-0000382D0000}"/>
    <cellStyle name="40% - Accent1 3 2 2 3 3 2" xfId="35910" xr:uid="{03F010E2-7632-4041-B1D6-D64D6E86A8C1}"/>
    <cellStyle name="40% - Accent1 3 2 2 3 4" xfId="20015" xr:uid="{00000000-0005-0000-0000-0000392D0000}"/>
    <cellStyle name="40% - Accent1 3 2 2 3 4 2" xfId="43848" xr:uid="{98D4BB7D-C5D2-485B-B9F7-6E90BEA2E3BC}"/>
    <cellStyle name="40% - Accent1 3 2 2 3 5" xfId="27969" xr:uid="{9C8DAAB8-901C-42C8-AD94-BFC913D821F7}"/>
    <cellStyle name="40% - Accent1 3 2 2 4" xfId="5855" xr:uid="{00000000-0005-0000-0000-00003A2D0000}"/>
    <cellStyle name="40% - Accent1 3 2 2 4 2" xfId="13839" xr:uid="{00000000-0005-0000-0000-00003B2D0000}"/>
    <cellStyle name="40% - Accent1 3 2 2 4 2 2" xfId="37683" xr:uid="{9015B360-B329-4886-B159-CC98935CB3AD}"/>
    <cellStyle name="40% - Accent1 3 2 2 4 3" xfId="21787" xr:uid="{00000000-0005-0000-0000-00003C2D0000}"/>
    <cellStyle name="40% - Accent1 3 2 2 4 3 2" xfId="45620" xr:uid="{28EC0654-D760-4872-B044-873EB809538C}"/>
    <cellStyle name="40% - Accent1 3 2 2 4 4" xfId="29742" xr:uid="{D5DA0317-4D11-46CF-BF07-BE8772ADAE52}"/>
    <cellStyle name="40% - Accent1 3 2 2 5" xfId="9408" xr:uid="{00000000-0005-0000-0000-00003D2D0000}"/>
    <cellStyle name="40% - Accent1 3 2 2 5 2" xfId="17366" xr:uid="{00000000-0005-0000-0000-00003E2D0000}"/>
    <cellStyle name="40% - Accent1 3 2 2 5 2 2" xfId="41207" xr:uid="{FFE76FC4-6D0D-432D-AEA9-E21BF85716B6}"/>
    <cellStyle name="40% - Accent1 3 2 2 5 3" xfId="25310" xr:uid="{00000000-0005-0000-0000-00003F2D0000}"/>
    <cellStyle name="40% - Accent1 3 2 2 5 3 2" xfId="49143" xr:uid="{75AB7AF5-C4CF-4CB9-824A-02042987E14A}"/>
    <cellStyle name="40% - Accent1 3 2 2 5 4" xfId="33266" xr:uid="{CEF26250-63AD-490E-918E-94DF426A666A}"/>
    <cellStyle name="40% - Accent1 3 2 2 6" xfId="10304" xr:uid="{00000000-0005-0000-0000-0000402D0000}"/>
    <cellStyle name="40% - Accent1 3 2 2 6 2" xfId="34154" xr:uid="{C4B7241E-78C8-4D17-B178-4E2915326DF3}"/>
    <cellStyle name="40% - Accent1 3 2 2 7" xfId="18259" xr:uid="{00000000-0005-0000-0000-0000412D0000}"/>
    <cellStyle name="40% - Accent1 3 2 2 7 2" xfId="42092" xr:uid="{2FD9524D-FF7E-4ABF-A09D-9F4432B91753}"/>
    <cellStyle name="40% - Accent1 3 2 2 8" xfId="26212" xr:uid="{9C55BED7-993E-4716-9775-5312C730C485}"/>
    <cellStyle name="40% - Accent1 3 2 2_Exh G" xfId="2739" xr:uid="{00000000-0005-0000-0000-0000422D0000}"/>
    <cellStyle name="40% - Accent1 3 2 3" xfId="938" xr:uid="{00000000-0005-0000-0000-0000432D0000}"/>
    <cellStyle name="40% - Accent1 3 2 3 2" xfId="1862" xr:uid="{00000000-0005-0000-0000-0000442D0000}"/>
    <cellStyle name="40% - Accent1 3 2 3 2 2" xfId="5380" xr:uid="{00000000-0005-0000-0000-0000452D0000}"/>
    <cellStyle name="40% - Accent1 3 2 3 2 2 2" xfId="8971" xr:uid="{00000000-0005-0000-0000-0000462D0000}"/>
    <cellStyle name="40% - Accent1 3 2 3 2 2 2 2" xfId="16942" xr:uid="{00000000-0005-0000-0000-0000472D0000}"/>
    <cellStyle name="40% - Accent1 3 2 3 2 2 2 2 2" xfId="40785" xr:uid="{5EBEFC2F-BEF6-4D76-AFC6-45EE919096A3}"/>
    <cellStyle name="40% - Accent1 3 2 3 2 2 2 3" xfId="24888" xr:uid="{00000000-0005-0000-0000-0000482D0000}"/>
    <cellStyle name="40% - Accent1 3 2 3 2 2 2 3 2" xfId="48721" xr:uid="{8A8A27D3-A09C-4699-8AA2-36772E1CEAD6}"/>
    <cellStyle name="40% - Accent1 3 2 3 2 2 2 4" xfId="32844" xr:uid="{8D1DCE2C-C87B-4763-B9C4-B7A07AB80492}"/>
    <cellStyle name="40% - Accent1 3 2 3 2 2 3" xfId="13404" xr:uid="{00000000-0005-0000-0000-0000492D0000}"/>
    <cellStyle name="40% - Accent1 3 2 3 2 2 3 2" xfId="37254" xr:uid="{81169A6C-3786-4F94-A37F-D853F72DE638}"/>
    <cellStyle name="40% - Accent1 3 2 3 2 2 4" xfId="21359" xr:uid="{00000000-0005-0000-0000-00004A2D0000}"/>
    <cellStyle name="40% - Accent1 3 2 3 2 2 4 2" xfId="45192" xr:uid="{C0EC95CE-48A7-4F77-8F01-1257370E64E8}"/>
    <cellStyle name="40% - Accent1 3 2 3 2 2 5" xfId="29313" xr:uid="{20BC84A7-320A-4865-B2EF-833B168C5FF5}"/>
    <cellStyle name="40% - Accent1 3 2 3 2 3" xfId="7212" xr:uid="{00000000-0005-0000-0000-00004B2D0000}"/>
    <cellStyle name="40% - Accent1 3 2 3 2 3 2" xfId="15184" xr:uid="{00000000-0005-0000-0000-00004C2D0000}"/>
    <cellStyle name="40% - Accent1 3 2 3 2 3 2 2" xfId="39027" xr:uid="{CE8FFF50-5F40-4041-964F-8A5F0549AD41}"/>
    <cellStyle name="40% - Accent1 3 2 3 2 3 3" xfId="23131" xr:uid="{00000000-0005-0000-0000-00004D2D0000}"/>
    <cellStyle name="40% - Accent1 3 2 3 2 3 3 2" xfId="46964" xr:uid="{E1D17043-33D0-4E70-BFE4-9FF924C22F60}"/>
    <cellStyle name="40% - Accent1 3 2 3 2 3 4" xfId="31086" xr:uid="{7CA370E5-E760-4273-9237-E8B532DEC16D}"/>
    <cellStyle name="40% - Accent1 3 2 3 2 4" xfId="11648" xr:uid="{00000000-0005-0000-0000-00004E2D0000}"/>
    <cellStyle name="40% - Accent1 3 2 3 2 4 2" xfId="35498" xr:uid="{F12AC818-AB6D-4951-A4D0-2930292F81E3}"/>
    <cellStyle name="40% - Accent1 3 2 3 2 5" xfId="19603" xr:uid="{00000000-0005-0000-0000-00004F2D0000}"/>
    <cellStyle name="40% - Accent1 3 2 3 2 5 2" xfId="43436" xr:uid="{9C475DFA-B467-451A-9D70-AE2CEA8B3B07}"/>
    <cellStyle name="40% - Accent1 3 2 3 2 6" xfId="27556" xr:uid="{B190624C-B93E-432E-BE21-8B04185F777D}"/>
    <cellStyle name="40% - Accent1 3 2 3 2_Exh G" xfId="2742" xr:uid="{00000000-0005-0000-0000-0000502D0000}"/>
    <cellStyle name="40% - Accent1 3 2 3 3" xfId="4501" xr:uid="{00000000-0005-0000-0000-0000512D0000}"/>
    <cellStyle name="40% - Accent1 3 2 3 3 2" xfId="8093" xr:uid="{00000000-0005-0000-0000-0000522D0000}"/>
    <cellStyle name="40% - Accent1 3 2 3 3 2 2" xfId="16064" xr:uid="{00000000-0005-0000-0000-0000532D0000}"/>
    <cellStyle name="40% - Accent1 3 2 3 3 2 2 2" xfId="39907" xr:uid="{200EAF5F-B82E-45AA-ABEF-3462BD908670}"/>
    <cellStyle name="40% - Accent1 3 2 3 3 2 3" xfId="24010" xr:uid="{00000000-0005-0000-0000-0000542D0000}"/>
    <cellStyle name="40% - Accent1 3 2 3 3 2 3 2" xfId="47843" xr:uid="{77CFC545-EEE5-4B57-B851-8E311C4DEF0E}"/>
    <cellStyle name="40% - Accent1 3 2 3 3 2 4" xfId="31966" xr:uid="{F0042D81-9855-4DDF-9332-0AC3CA6634DC}"/>
    <cellStyle name="40% - Accent1 3 2 3 3 3" xfId="12526" xr:uid="{00000000-0005-0000-0000-0000552D0000}"/>
    <cellStyle name="40% - Accent1 3 2 3 3 3 2" xfId="36376" xr:uid="{BE573B63-CC58-4C52-983D-2E9B991115A8}"/>
    <cellStyle name="40% - Accent1 3 2 3 3 4" xfId="20481" xr:uid="{00000000-0005-0000-0000-0000562D0000}"/>
    <cellStyle name="40% - Accent1 3 2 3 3 4 2" xfId="44314" xr:uid="{ADF40F6C-26DA-464B-B863-FBAEC2E20D88}"/>
    <cellStyle name="40% - Accent1 3 2 3 3 5" xfId="28435" xr:uid="{355F20B2-9E9C-4995-90F0-DA8F98910A9A}"/>
    <cellStyle name="40% - Accent1 3 2 3 4" xfId="6331" xr:uid="{00000000-0005-0000-0000-0000572D0000}"/>
    <cellStyle name="40% - Accent1 3 2 3 4 2" xfId="14306" xr:uid="{00000000-0005-0000-0000-0000582D0000}"/>
    <cellStyle name="40% - Accent1 3 2 3 4 2 2" xfId="38149" xr:uid="{58623540-7BBE-4F9F-8727-5B280FBF73C6}"/>
    <cellStyle name="40% - Accent1 3 2 3 4 3" xfId="22253" xr:uid="{00000000-0005-0000-0000-0000592D0000}"/>
    <cellStyle name="40% - Accent1 3 2 3 4 3 2" xfId="46086" xr:uid="{CE73E067-4857-4A89-B6CC-D371A0913A96}"/>
    <cellStyle name="40% - Accent1 3 2 3 4 4" xfId="30208" xr:uid="{21499C75-151F-475C-8166-914AF7DCB9E3}"/>
    <cellStyle name="40% - Accent1 3 2 3 5" xfId="9874" xr:uid="{00000000-0005-0000-0000-00005A2D0000}"/>
    <cellStyle name="40% - Accent1 3 2 3 5 2" xfId="17832" xr:uid="{00000000-0005-0000-0000-00005B2D0000}"/>
    <cellStyle name="40% - Accent1 3 2 3 5 2 2" xfId="41673" xr:uid="{6DE21360-93B6-4F5E-B0E8-07BA860112C1}"/>
    <cellStyle name="40% - Accent1 3 2 3 5 3" xfId="25776" xr:uid="{00000000-0005-0000-0000-00005C2D0000}"/>
    <cellStyle name="40% - Accent1 3 2 3 5 3 2" xfId="49609" xr:uid="{B28FEFDC-502E-408E-AC0F-1DD3FA67BE96}"/>
    <cellStyle name="40% - Accent1 3 2 3 5 4" xfId="33732" xr:uid="{63011B49-2722-4B15-B321-BDD931C4AA24}"/>
    <cellStyle name="40% - Accent1 3 2 3 6" xfId="10770" xr:uid="{00000000-0005-0000-0000-00005D2D0000}"/>
    <cellStyle name="40% - Accent1 3 2 3 6 2" xfId="34620" xr:uid="{37EB3A90-266C-4FF9-B74E-50601EAB8189}"/>
    <cellStyle name="40% - Accent1 3 2 3 7" xfId="18725" xr:uid="{00000000-0005-0000-0000-00005E2D0000}"/>
    <cellStyle name="40% - Accent1 3 2 3 7 2" xfId="42558" xr:uid="{C4123015-F521-4875-AF9D-0D0C7789D42A}"/>
    <cellStyle name="40% - Accent1 3 2 3 8" xfId="26678" xr:uid="{39BD6A0A-48E1-4627-A722-3550D5DF3882}"/>
    <cellStyle name="40% - Accent1 3 2 3_Exh G" xfId="2741" xr:uid="{00000000-0005-0000-0000-00005F2D0000}"/>
    <cellStyle name="40% - Accent1 3 2 4" xfId="1383" xr:uid="{00000000-0005-0000-0000-0000602D0000}"/>
    <cellStyle name="40% - Accent1 3 2 4 2" xfId="4913" xr:uid="{00000000-0005-0000-0000-0000612D0000}"/>
    <cellStyle name="40% - Accent1 3 2 4 2 2" xfId="8504" xr:uid="{00000000-0005-0000-0000-0000622D0000}"/>
    <cellStyle name="40% - Accent1 3 2 4 2 2 2" xfId="16475" xr:uid="{00000000-0005-0000-0000-0000632D0000}"/>
    <cellStyle name="40% - Accent1 3 2 4 2 2 2 2" xfId="40318" xr:uid="{A1A35BBF-E95C-4266-90E2-569A767726B5}"/>
    <cellStyle name="40% - Accent1 3 2 4 2 2 3" xfId="24421" xr:uid="{00000000-0005-0000-0000-0000642D0000}"/>
    <cellStyle name="40% - Accent1 3 2 4 2 2 3 2" xfId="48254" xr:uid="{46C514AA-54AA-41AF-B169-48B3A0EA8559}"/>
    <cellStyle name="40% - Accent1 3 2 4 2 2 4" xfId="32377" xr:uid="{4A21F1F5-7D6A-4594-BAD3-7D7903FA2B33}"/>
    <cellStyle name="40% - Accent1 3 2 4 2 3" xfId="12937" xr:uid="{00000000-0005-0000-0000-0000652D0000}"/>
    <cellStyle name="40% - Accent1 3 2 4 2 3 2" xfId="36787" xr:uid="{FAB703B1-17D2-4D90-BB84-C1F5C2074D63}"/>
    <cellStyle name="40% - Accent1 3 2 4 2 4" xfId="20892" xr:uid="{00000000-0005-0000-0000-0000662D0000}"/>
    <cellStyle name="40% - Accent1 3 2 4 2 4 2" xfId="44725" xr:uid="{D659DF6F-3586-4EEC-955F-A60057483875}"/>
    <cellStyle name="40% - Accent1 3 2 4 2 5" xfId="28846" xr:uid="{223F746E-C271-4DC7-ABE2-FD7D53284333}"/>
    <cellStyle name="40% - Accent1 3 2 4 3" xfId="6745" xr:uid="{00000000-0005-0000-0000-0000672D0000}"/>
    <cellStyle name="40% - Accent1 3 2 4 3 2" xfId="14717" xr:uid="{00000000-0005-0000-0000-0000682D0000}"/>
    <cellStyle name="40% - Accent1 3 2 4 3 2 2" xfId="38560" xr:uid="{A1F36158-457C-4645-BA6F-F6E13730E914}"/>
    <cellStyle name="40% - Accent1 3 2 4 3 3" xfId="22664" xr:uid="{00000000-0005-0000-0000-0000692D0000}"/>
    <cellStyle name="40% - Accent1 3 2 4 3 3 2" xfId="46497" xr:uid="{84ABB91C-A01D-4474-8AE2-4925A96CD893}"/>
    <cellStyle name="40% - Accent1 3 2 4 3 4" xfId="30619" xr:uid="{71C4C0BE-B1D6-4E92-81ED-8F9A7BFAFF53}"/>
    <cellStyle name="40% - Accent1 3 2 4 4" xfId="11181" xr:uid="{00000000-0005-0000-0000-00006A2D0000}"/>
    <cellStyle name="40% - Accent1 3 2 4 4 2" xfId="35031" xr:uid="{DD052BB1-2228-4F34-9BD0-401D5CD6183B}"/>
    <cellStyle name="40% - Accent1 3 2 4 5" xfId="19136" xr:uid="{00000000-0005-0000-0000-00006B2D0000}"/>
    <cellStyle name="40% - Accent1 3 2 4 5 2" xfId="42969" xr:uid="{B2BE58B9-311B-4791-AA87-BB4FDA1754AF}"/>
    <cellStyle name="40% - Accent1 3 2 4 6" xfId="27089" xr:uid="{911C2561-74B2-41EF-9225-90A9CE4E6883}"/>
    <cellStyle name="40% - Accent1 3 2 4_Exh G" xfId="2743" xr:uid="{00000000-0005-0000-0000-00006C2D0000}"/>
    <cellStyle name="40% - Accent1 3 2 5" xfId="4034" xr:uid="{00000000-0005-0000-0000-00006D2D0000}"/>
    <cellStyle name="40% - Accent1 3 2 5 2" xfId="7626" xr:uid="{00000000-0005-0000-0000-00006E2D0000}"/>
    <cellStyle name="40% - Accent1 3 2 5 2 2" xfId="15597" xr:uid="{00000000-0005-0000-0000-00006F2D0000}"/>
    <cellStyle name="40% - Accent1 3 2 5 2 2 2" xfId="39440" xr:uid="{1305FEEB-183B-4D5B-945E-E33E6480239B}"/>
    <cellStyle name="40% - Accent1 3 2 5 2 3" xfId="23543" xr:uid="{00000000-0005-0000-0000-0000702D0000}"/>
    <cellStyle name="40% - Accent1 3 2 5 2 3 2" xfId="47376" xr:uid="{CD491F91-050D-4076-B07E-06E201527D52}"/>
    <cellStyle name="40% - Accent1 3 2 5 2 4" xfId="31499" xr:uid="{DE605829-E4F4-4CB1-973F-1034E8AF58AB}"/>
    <cellStyle name="40% - Accent1 3 2 5 3" xfId="12059" xr:uid="{00000000-0005-0000-0000-0000712D0000}"/>
    <cellStyle name="40% - Accent1 3 2 5 3 2" xfId="35909" xr:uid="{5A7B483D-B51D-4F49-9989-152DA224FE30}"/>
    <cellStyle name="40% - Accent1 3 2 5 4" xfId="20014" xr:uid="{00000000-0005-0000-0000-0000722D0000}"/>
    <cellStyle name="40% - Accent1 3 2 5 4 2" xfId="43847" xr:uid="{996FA5D6-C0FB-4087-B19E-55B401D3F2CB}"/>
    <cellStyle name="40% - Accent1 3 2 5 5" xfId="27968" xr:uid="{03774E48-0DD5-4B7F-9F9B-ED7BAD10889B}"/>
    <cellStyle name="40% - Accent1 3 2 6" xfId="5854" xr:uid="{00000000-0005-0000-0000-0000732D0000}"/>
    <cellStyle name="40% - Accent1 3 2 6 2" xfId="13838" xr:uid="{00000000-0005-0000-0000-0000742D0000}"/>
    <cellStyle name="40% - Accent1 3 2 6 2 2" xfId="37682" xr:uid="{D691E5D1-542E-4627-B282-0CCBCB4FDF68}"/>
    <cellStyle name="40% - Accent1 3 2 6 3" xfId="21786" xr:uid="{00000000-0005-0000-0000-0000752D0000}"/>
    <cellStyle name="40% - Accent1 3 2 6 3 2" xfId="45619" xr:uid="{B66CEC74-4656-43C8-A25E-C11E21E1C6B2}"/>
    <cellStyle name="40% - Accent1 3 2 6 4" xfId="29741" xr:uid="{84651C8D-7811-46ED-A218-CCAAC7277116}"/>
    <cellStyle name="40% - Accent1 3 2 7" xfId="9407" xr:uid="{00000000-0005-0000-0000-0000762D0000}"/>
    <cellStyle name="40% - Accent1 3 2 7 2" xfId="17365" xr:uid="{00000000-0005-0000-0000-0000772D0000}"/>
    <cellStyle name="40% - Accent1 3 2 7 2 2" xfId="41206" xr:uid="{29D5CF39-77CC-45B2-B433-E66321D78269}"/>
    <cellStyle name="40% - Accent1 3 2 7 3" xfId="25309" xr:uid="{00000000-0005-0000-0000-0000782D0000}"/>
    <cellStyle name="40% - Accent1 3 2 7 3 2" xfId="49142" xr:uid="{09BD13D0-3638-40D7-81B5-BA731B8876A2}"/>
    <cellStyle name="40% - Accent1 3 2 7 4" xfId="33265" xr:uid="{C1769E09-9795-4E34-937A-6DDCB3678013}"/>
    <cellStyle name="40% - Accent1 3 2 8" xfId="10303" xr:uid="{00000000-0005-0000-0000-0000792D0000}"/>
    <cellStyle name="40% - Accent1 3 2 8 2" xfId="34153" xr:uid="{27423313-5AEC-40D0-9E27-653BD0E05433}"/>
    <cellStyle name="40% - Accent1 3 2 9" xfId="18258" xr:uid="{00000000-0005-0000-0000-00007A2D0000}"/>
    <cellStyle name="40% - Accent1 3 2 9 2" xfId="42091" xr:uid="{FA58AF15-72A5-4699-AF03-CAFF0D65A0DE}"/>
    <cellStyle name="40% - Accent1 3 2_Exh G" xfId="2738" xr:uid="{00000000-0005-0000-0000-00007B2D0000}"/>
    <cellStyle name="40% - Accent1 3 3" xfId="357" xr:uid="{00000000-0005-0000-0000-00007C2D0000}"/>
    <cellStyle name="40% - Accent1 3 3 2" xfId="1385" xr:uid="{00000000-0005-0000-0000-00007D2D0000}"/>
    <cellStyle name="40% - Accent1 3 3 2 2" xfId="4915" xr:uid="{00000000-0005-0000-0000-00007E2D0000}"/>
    <cellStyle name="40% - Accent1 3 3 2 2 2" xfId="8506" xr:uid="{00000000-0005-0000-0000-00007F2D0000}"/>
    <cellStyle name="40% - Accent1 3 3 2 2 2 2" xfId="16477" xr:uid="{00000000-0005-0000-0000-0000802D0000}"/>
    <cellStyle name="40% - Accent1 3 3 2 2 2 2 2" xfId="40320" xr:uid="{584C3C52-0C16-409A-965A-7FE42C100283}"/>
    <cellStyle name="40% - Accent1 3 3 2 2 2 3" xfId="24423" xr:uid="{00000000-0005-0000-0000-0000812D0000}"/>
    <cellStyle name="40% - Accent1 3 3 2 2 2 3 2" xfId="48256" xr:uid="{65D8EE60-F0EC-443B-9036-EBCE3D271CC5}"/>
    <cellStyle name="40% - Accent1 3 3 2 2 2 4" xfId="32379" xr:uid="{99D626EA-6C2B-42AF-8184-9A6EC87003BB}"/>
    <cellStyle name="40% - Accent1 3 3 2 2 3" xfId="12939" xr:uid="{00000000-0005-0000-0000-0000822D0000}"/>
    <cellStyle name="40% - Accent1 3 3 2 2 3 2" xfId="36789" xr:uid="{EF9DE3C2-F4AD-4E8A-B318-94C6F49C4BA8}"/>
    <cellStyle name="40% - Accent1 3 3 2 2 4" xfId="20894" xr:uid="{00000000-0005-0000-0000-0000832D0000}"/>
    <cellStyle name="40% - Accent1 3 3 2 2 4 2" xfId="44727" xr:uid="{30492CD0-239B-4AAB-9A82-589FBAB50742}"/>
    <cellStyle name="40% - Accent1 3 3 2 2 5" xfId="28848" xr:uid="{F947C933-8137-4C67-B2EE-C2717CBF02C5}"/>
    <cellStyle name="40% - Accent1 3 3 2 3" xfId="6747" xr:uid="{00000000-0005-0000-0000-0000842D0000}"/>
    <cellStyle name="40% - Accent1 3 3 2 3 2" xfId="14719" xr:uid="{00000000-0005-0000-0000-0000852D0000}"/>
    <cellStyle name="40% - Accent1 3 3 2 3 2 2" xfId="38562" xr:uid="{F41A71F8-475D-4712-9756-93DAED59E69D}"/>
    <cellStyle name="40% - Accent1 3 3 2 3 3" xfId="22666" xr:uid="{00000000-0005-0000-0000-0000862D0000}"/>
    <cellStyle name="40% - Accent1 3 3 2 3 3 2" xfId="46499" xr:uid="{A45FAF35-71CB-46D3-ABF0-651CF43D909B}"/>
    <cellStyle name="40% - Accent1 3 3 2 3 4" xfId="30621" xr:uid="{A6CC9E63-7762-490E-A6B3-7A9508A936EC}"/>
    <cellStyle name="40% - Accent1 3 3 2 4" xfId="11183" xr:uid="{00000000-0005-0000-0000-0000872D0000}"/>
    <cellStyle name="40% - Accent1 3 3 2 4 2" xfId="35033" xr:uid="{DBB99E6F-1EE4-46A1-B3A2-0787FD9070DC}"/>
    <cellStyle name="40% - Accent1 3 3 2 5" xfId="19138" xr:uid="{00000000-0005-0000-0000-0000882D0000}"/>
    <cellStyle name="40% - Accent1 3 3 2 5 2" xfId="42971" xr:uid="{24E0397E-98BA-47D1-ADBC-55CE122D16BE}"/>
    <cellStyle name="40% - Accent1 3 3 2 6" xfId="27091" xr:uid="{C03D9A8C-F32B-4A10-BE25-F4AAE1E8FCB3}"/>
    <cellStyle name="40% - Accent1 3 3 2_Exh G" xfId="2745" xr:uid="{00000000-0005-0000-0000-0000892D0000}"/>
    <cellStyle name="40% - Accent1 3 3 3" xfId="4036" xr:uid="{00000000-0005-0000-0000-00008A2D0000}"/>
    <cellStyle name="40% - Accent1 3 3 3 2" xfId="7628" xr:uid="{00000000-0005-0000-0000-00008B2D0000}"/>
    <cellStyle name="40% - Accent1 3 3 3 2 2" xfId="15599" xr:uid="{00000000-0005-0000-0000-00008C2D0000}"/>
    <cellStyle name="40% - Accent1 3 3 3 2 2 2" xfId="39442" xr:uid="{79E09D26-696B-47F4-BBBB-88845AFA6867}"/>
    <cellStyle name="40% - Accent1 3 3 3 2 3" xfId="23545" xr:uid="{00000000-0005-0000-0000-00008D2D0000}"/>
    <cellStyle name="40% - Accent1 3 3 3 2 3 2" xfId="47378" xr:uid="{F8683A3D-1B7D-4BD3-8744-F3FEA3C23DD0}"/>
    <cellStyle name="40% - Accent1 3 3 3 2 4" xfId="31501" xr:uid="{42415DEB-1B4B-4DCC-9B38-D1079496AD4F}"/>
    <cellStyle name="40% - Accent1 3 3 3 3" xfId="12061" xr:uid="{00000000-0005-0000-0000-00008E2D0000}"/>
    <cellStyle name="40% - Accent1 3 3 3 3 2" xfId="35911" xr:uid="{D8B016D9-6C3B-42EC-8F3C-991D9FA17865}"/>
    <cellStyle name="40% - Accent1 3 3 3 4" xfId="20016" xr:uid="{00000000-0005-0000-0000-00008F2D0000}"/>
    <cellStyle name="40% - Accent1 3 3 3 4 2" xfId="43849" xr:uid="{EA46A27D-9B92-4291-937B-5FE11C7B0ABC}"/>
    <cellStyle name="40% - Accent1 3 3 3 5" xfId="27970" xr:uid="{D7EFB852-95F3-453A-A833-25DA5A5B51D9}"/>
    <cellStyle name="40% - Accent1 3 3 4" xfId="5856" xr:uid="{00000000-0005-0000-0000-0000902D0000}"/>
    <cellStyle name="40% - Accent1 3 3 4 2" xfId="13840" xr:uid="{00000000-0005-0000-0000-0000912D0000}"/>
    <cellStyle name="40% - Accent1 3 3 4 2 2" xfId="37684" xr:uid="{0F1AEE26-3850-461E-9603-757E41337158}"/>
    <cellStyle name="40% - Accent1 3 3 4 3" xfId="21788" xr:uid="{00000000-0005-0000-0000-0000922D0000}"/>
    <cellStyle name="40% - Accent1 3 3 4 3 2" xfId="45621" xr:uid="{C386CC1F-32B4-4BF2-900F-E88B7DA05FB5}"/>
    <cellStyle name="40% - Accent1 3 3 4 4" xfId="29743" xr:uid="{A7202E34-C479-4E30-86E2-8FD8305A19CD}"/>
    <cellStyle name="40% - Accent1 3 3 5" xfId="9409" xr:uid="{00000000-0005-0000-0000-0000932D0000}"/>
    <cellStyle name="40% - Accent1 3 3 5 2" xfId="17367" xr:uid="{00000000-0005-0000-0000-0000942D0000}"/>
    <cellStyle name="40% - Accent1 3 3 5 2 2" xfId="41208" xr:uid="{F2644C69-4741-450C-AD4B-B09FC6E70790}"/>
    <cellStyle name="40% - Accent1 3 3 5 3" xfId="25311" xr:uid="{00000000-0005-0000-0000-0000952D0000}"/>
    <cellStyle name="40% - Accent1 3 3 5 3 2" xfId="49144" xr:uid="{BCB9E334-FD30-43D9-84A2-D9CCBFF4F2BC}"/>
    <cellStyle name="40% - Accent1 3 3 5 4" xfId="33267" xr:uid="{1B52AFD7-09E3-4634-B01B-F8EC4DCCF005}"/>
    <cellStyle name="40% - Accent1 3 3 6" xfId="10305" xr:uid="{00000000-0005-0000-0000-0000962D0000}"/>
    <cellStyle name="40% - Accent1 3 3 6 2" xfId="34155" xr:uid="{E1218658-787F-45C2-9627-8071954AAEC3}"/>
    <cellStyle name="40% - Accent1 3 3 7" xfId="18260" xr:uid="{00000000-0005-0000-0000-0000972D0000}"/>
    <cellStyle name="40% - Accent1 3 3 7 2" xfId="42093" xr:uid="{9AB5EAE9-1490-4785-B312-44A76872FB04}"/>
    <cellStyle name="40% - Accent1 3 3 8" xfId="26213" xr:uid="{2D6D9324-9CE0-40E9-AEE0-E419C374848C}"/>
    <cellStyle name="40% - Accent1 3 3_Exh G" xfId="2744" xr:uid="{00000000-0005-0000-0000-0000982D0000}"/>
    <cellStyle name="40% - Accent1 3 4" xfId="937" xr:uid="{00000000-0005-0000-0000-0000992D0000}"/>
    <cellStyle name="40% - Accent1 3 4 2" xfId="1861" xr:uid="{00000000-0005-0000-0000-00009A2D0000}"/>
    <cellStyle name="40% - Accent1 3 4 2 2" xfId="5379" xr:uid="{00000000-0005-0000-0000-00009B2D0000}"/>
    <cellStyle name="40% - Accent1 3 4 2 2 2" xfId="8970" xr:uid="{00000000-0005-0000-0000-00009C2D0000}"/>
    <cellStyle name="40% - Accent1 3 4 2 2 2 2" xfId="16941" xr:uid="{00000000-0005-0000-0000-00009D2D0000}"/>
    <cellStyle name="40% - Accent1 3 4 2 2 2 2 2" xfId="40784" xr:uid="{6FBF1E98-0074-46F1-ADD9-BA006423EF54}"/>
    <cellStyle name="40% - Accent1 3 4 2 2 2 3" xfId="24887" xr:uid="{00000000-0005-0000-0000-00009E2D0000}"/>
    <cellStyle name="40% - Accent1 3 4 2 2 2 3 2" xfId="48720" xr:uid="{7ABBA43A-1678-4536-BBDF-3718C02CF574}"/>
    <cellStyle name="40% - Accent1 3 4 2 2 2 4" xfId="32843" xr:uid="{C0385E11-40AE-49FE-9238-CA623A610BEF}"/>
    <cellStyle name="40% - Accent1 3 4 2 2 3" xfId="13403" xr:uid="{00000000-0005-0000-0000-00009F2D0000}"/>
    <cellStyle name="40% - Accent1 3 4 2 2 3 2" xfId="37253" xr:uid="{8670B94E-A858-4F99-A1ED-9B5A5D948892}"/>
    <cellStyle name="40% - Accent1 3 4 2 2 4" xfId="21358" xr:uid="{00000000-0005-0000-0000-0000A02D0000}"/>
    <cellStyle name="40% - Accent1 3 4 2 2 4 2" xfId="45191" xr:uid="{4CDE5AD1-AD1A-435C-AC30-E63BC1271A34}"/>
    <cellStyle name="40% - Accent1 3 4 2 2 5" xfId="29312" xr:uid="{62019A35-F96E-45BA-B411-0DEADE4B9E89}"/>
    <cellStyle name="40% - Accent1 3 4 2 3" xfId="7211" xr:uid="{00000000-0005-0000-0000-0000A12D0000}"/>
    <cellStyle name="40% - Accent1 3 4 2 3 2" xfId="15183" xr:uid="{00000000-0005-0000-0000-0000A22D0000}"/>
    <cellStyle name="40% - Accent1 3 4 2 3 2 2" xfId="39026" xr:uid="{41FD417C-A19C-4935-84D2-976DACC764F9}"/>
    <cellStyle name="40% - Accent1 3 4 2 3 3" xfId="23130" xr:uid="{00000000-0005-0000-0000-0000A32D0000}"/>
    <cellStyle name="40% - Accent1 3 4 2 3 3 2" xfId="46963" xr:uid="{ECE9C300-67ED-4DD4-AB4F-98114E123789}"/>
    <cellStyle name="40% - Accent1 3 4 2 3 4" xfId="31085" xr:uid="{BC9706C4-7AE8-4302-B5FD-4CDC6D1F9FE2}"/>
    <cellStyle name="40% - Accent1 3 4 2 4" xfId="11647" xr:uid="{00000000-0005-0000-0000-0000A42D0000}"/>
    <cellStyle name="40% - Accent1 3 4 2 4 2" xfId="35497" xr:uid="{3F98A41A-7BFB-4613-8C02-6E3F8311C6B9}"/>
    <cellStyle name="40% - Accent1 3 4 2 5" xfId="19602" xr:uid="{00000000-0005-0000-0000-0000A52D0000}"/>
    <cellStyle name="40% - Accent1 3 4 2 5 2" xfId="43435" xr:uid="{8E3C614C-6E70-4090-BEC3-E2A859910B58}"/>
    <cellStyle name="40% - Accent1 3 4 2 6" xfId="27555" xr:uid="{05286C57-5520-485C-AF3B-9717EEDAA293}"/>
    <cellStyle name="40% - Accent1 3 4 2_Exh G" xfId="2747" xr:uid="{00000000-0005-0000-0000-0000A62D0000}"/>
    <cellStyle name="40% - Accent1 3 4 3" xfId="4500" xr:uid="{00000000-0005-0000-0000-0000A72D0000}"/>
    <cellStyle name="40% - Accent1 3 4 3 2" xfId="8092" xr:uid="{00000000-0005-0000-0000-0000A82D0000}"/>
    <cellStyle name="40% - Accent1 3 4 3 2 2" xfId="16063" xr:uid="{00000000-0005-0000-0000-0000A92D0000}"/>
    <cellStyle name="40% - Accent1 3 4 3 2 2 2" xfId="39906" xr:uid="{6BD43D99-8694-48DE-8C5F-C99CCA82E35F}"/>
    <cellStyle name="40% - Accent1 3 4 3 2 3" xfId="24009" xr:uid="{00000000-0005-0000-0000-0000AA2D0000}"/>
    <cellStyle name="40% - Accent1 3 4 3 2 3 2" xfId="47842" xr:uid="{95663CA1-3DD9-4C30-9BC0-8A4477FD7F2A}"/>
    <cellStyle name="40% - Accent1 3 4 3 2 4" xfId="31965" xr:uid="{34C4626E-7B0C-4FC1-8A57-740462920607}"/>
    <cellStyle name="40% - Accent1 3 4 3 3" xfId="12525" xr:uid="{00000000-0005-0000-0000-0000AB2D0000}"/>
    <cellStyle name="40% - Accent1 3 4 3 3 2" xfId="36375" xr:uid="{57B18111-FF1D-49A0-BD2C-1F201888B762}"/>
    <cellStyle name="40% - Accent1 3 4 3 4" xfId="20480" xr:uid="{00000000-0005-0000-0000-0000AC2D0000}"/>
    <cellStyle name="40% - Accent1 3 4 3 4 2" xfId="44313" xr:uid="{E8E7EC87-44AC-41DA-BFA5-463508C742BD}"/>
    <cellStyle name="40% - Accent1 3 4 3 5" xfId="28434" xr:uid="{09402F69-0857-4837-B74E-4B63330AC02D}"/>
    <cellStyle name="40% - Accent1 3 4 4" xfId="6330" xr:uid="{00000000-0005-0000-0000-0000AD2D0000}"/>
    <cellStyle name="40% - Accent1 3 4 4 2" xfId="14305" xr:uid="{00000000-0005-0000-0000-0000AE2D0000}"/>
    <cellStyle name="40% - Accent1 3 4 4 2 2" xfId="38148" xr:uid="{64FD70A4-16DD-4290-BEDD-68739FB33186}"/>
    <cellStyle name="40% - Accent1 3 4 4 3" xfId="22252" xr:uid="{00000000-0005-0000-0000-0000AF2D0000}"/>
    <cellStyle name="40% - Accent1 3 4 4 3 2" xfId="46085" xr:uid="{F64494CC-A1A1-4E08-BE0C-65600BCCF2DF}"/>
    <cellStyle name="40% - Accent1 3 4 4 4" xfId="30207" xr:uid="{841DD8F1-BB7F-448F-AA1C-F15B082ACBDE}"/>
    <cellStyle name="40% - Accent1 3 4 5" xfId="9873" xr:uid="{00000000-0005-0000-0000-0000B02D0000}"/>
    <cellStyle name="40% - Accent1 3 4 5 2" xfId="17831" xr:uid="{00000000-0005-0000-0000-0000B12D0000}"/>
    <cellStyle name="40% - Accent1 3 4 5 2 2" xfId="41672" xr:uid="{5D8CFFE1-F21D-43A9-B66D-44C37E8000DE}"/>
    <cellStyle name="40% - Accent1 3 4 5 3" xfId="25775" xr:uid="{00000000-0005-0000-0000-0000B22D0000}"/>
    <cellStyle name="40% - Accent1 3 4 5 3 2" xfId="49608" xr:uid="{ED0D97D0-04CC-48E2-BD14-2A155BAE28E3}"/>
    <cellStyle name="40% - Accent1 3 4 5 4" xfId="33731" xr:uid="{F5635F5A-F038-4B70-83FB-D76554079F2B}"/>
    <cellStyle name="40% - Accent1 3 4 6" xfId="10769" xr:uid="{00000000-0005-0000-0000-0000B32D0000}"/>
    <cellStyle name="40% - Accent1 3 4 6 2" xfId="34619" xr:uid="{C6D59F08-827E-4B6F-AB7E-7BE64CB51246}"/>
    <cellStyle name="40% - Accent1 3 4 7" xfId="18724" xr:uid="{00000000-0005-0000-0000-0000B42D0000}"/>
    <cellStyle name="40% - Accent1 3 4 7 2" xfId="42557" xr:uid="{59DCD510-355A-4969-9B56-8D98430EDB48}"/>
    <cellStyle name="40% - Accent1 3 4 8" xfId="26677" xr:uid="{85C57848-8A07-48C3-8104-E9B8432E1E5C}"/>
    <cellStyle name="40% - Accent1 3 4_Exh G" xfId="2746" xr:uid="{00000000-0005-0000-0000-0000B52D0000}"/>
    <cellStyle name="40% - Accent1 3 5" xfId="1382" xr:uid="{00000000-0005-0000-0000-0000B62D0000}"/>
    <cellStyle name="40% - Accent1 3 5 2" xfId="4912" xr:uid="{00000000-0005-0000-0000-0000B72D0000}"/>
    <cellStyle name="40% - Accent1 3 5 2 2" xfId="8503" xr:uid="{00000000-0005-0000-0000-0000B82D0000}"/>
    <cellStyle name="40% - Accent1 3 5 2 2 2" xfId="16474" xr:uid="{00000000-0005-0000-0000-0000B92D0000}"/>
    <cellStyle name="40% - Accent1 3 5 2 2 2 2" xfId="40317" xr:uid="{96E98865-13E9-4DEB-9ABC-49BA54A13E00}"/>
    <cellStyle name="40% - Accent1 3 5 2 2 3" xfId="24420" xr:uid="{00000000-0005-0000-0000-0000BA2D0000}"/>
    <cellStyle name="40% - Accent1 3 5 2 2 3 2" xfId="48253" xr:uid="{2B2BA2B6-34AB-47BF-93F4-6F8C7DF8DEAD}"/>
    <cellStyle name="40% - Accent1 3 5 2 2 4" xfId="32376" xr:uid="{78F21633-CF99-44E1-B240-8724776F01FE}"/>
    <cellStyle name="40% - Accent1 3 5 2 3" xfId="12936" xr:uid="{00000000-0005-0000-0000-0000BB2D0000}"/>
    <cellStyle name="40% - Accent1 3 5 2 3 2" xfId="36786" xr:uid="{129C7091-FBA7-4624-80A5-8BC14A598963}"/>
    <cellStyle name="40% - Accent1 3 5 2 4" xfId="20891" xr:uid="{00000000-0005-0000-0000-0000BC2D0000}"/>
    <cellStyle name="40% - Accent1 3 5 2 4 2" xfId="44724" xr:uid="{CBD34E86-C4C5-4F20-A7EF-5948AF305AE3}"/>
    <cellStyle name="40% - Accent1 3 5 2 5" xfId="28845" xr:uid="{222B21B9-C44E-49B6-A8F5-75F6F2BE4FDD}"/>
    <cellStyle name="40% - Accent1 3 5 3" xfId="6744" xr:uid="{00000000-0005-0000-0000-0000BD2D0000}"/>
    <cellStyle name="40% - Accent1 3 5 3 2" xfId="14716" xr:uid="{00000000-0005-0000-0000-0000BE2D0000}"/>
    <cellStyle name="40% - Accent1 3 5 3 2 2" xfId="38559" xr:uid="{79B0E28B-FB72-4FBF-8B23-937390502E7D}"/>
    <cellStyle name="40% - Accent1 3 5 3 3" xfId="22663" xr:uid="{00000000-0005-0000-0000-0000BF2D0000}"/>
    <cellStyle name="40% - Accent1 3 5 3 3 2" xfId="46496" xr:uid="{8E6DBFC6-7BB6-45F9-8840-2206044CD22C}"/>
    <cellStyle name="40% - Accent1 3 5 3 4" xfId="30618" xr:uid="{BA42FBF4-DAE6-4B7B-8FEB-CE795F888D67}"/>
    <cellStyle name="40% - Accent1 3 5 4" xfId="11180" xr:uid="{00000000-0005-0000-0000-0000C02D0000}"/>
    <cellStyle name="40% - Accent1 3 5 4 2" xfId="35030" xr:uid="{BCD8DCBC-A337-4995-A1D4-84D4918A361E}"/>
    <cellStyle name="40% - Accent1 3 5 5" xfId="19135" xr:uid="{00000000-0005-0000-0000-0000C12D0000}"/>
    <cellStyle name="40% - Accent1 3 5 5 2" xfId="42968" xr:uid="{5245C401-50B5-472F-80EF-0C6B4412B233}"/>
    <cellStyle name="40% - Accent1 3 5 6" xfId="27088" xr:uid="{212B60BE-A1BA-4213-83C3-AB6B2566FF04}"/>
    <cellStyle name="40% - Accent1 3 5_Exh G" xfId="2748" xr:uid="{00000000-0005-0000-0000-0000C22D0000}"/>
    <cellStyle name="40% - Accent1 3 6" xfId="4033" xr:uid="{00000000-0005-0000-0000-0000C32D0000}"/>
    <cellStyle name="40% - Accent1 3 6 2" xfId="7625" xr:uid="{00000000-0005-0000-0000-0000C42D0000}"/>
    <cellStyle name="40% - Accent1 3 6 2 2" xfId="15596" xr:uid="{00000000-0005-0000-0000-0000C52D0000}"/>
    <cellStyle name="40% - Accent1 3 6 2 2 2" xfId="39439" xr:uid="{2DC37F72-BCB7-4D4D-A52B-B30BDF51FED1}"/>
    <cellStyle name="40% - Accent1 3 6 2 3" xfId="23542" xr:uid="{00000000-0005-0000-0000-0000C62D0000}"/>
    <cellStyle name="40% - Accent1 3 6 2 3 2" xfId="47375" xr:uid="{95E90F13-CA42-4E54-B6AB-CB010524C264}"/>
    <cellStyle name="40% - Accent1 3 6 2 4" xfId="31498" xr:uid="{97077011-9633-48B8-9DA2-1E47EFD735C2}"/>
    <cellStyle name="40% - Accent1 3 6 3" xfId="12058" xr:uid="{00000000-0005-0000-0000-0000C72D0000}"/>
    <cellStyle name="40% - Accent1 3 6 3 2" xfId="35908" xr:uid="{3FBD26EE-29D5-4BC4-821C-EFB693C1EE7A}"/>
    <cellStyle name="40% - Accent1 3 6 4" xfId="20013" xr:uid="{00000000-0005-0000-0000-0000C82D0000}"/>
    <cellStyle name="40% - Accent1 3 6 4 2" xfId="43846" xr:uid="{257D5ECE-F275-4AC4-BBBD-1E980390E22A}"/>
    <cellStyle name="40% - Accent1 3 6 5" xfId="27967" xr:uid="{7E33A8C5-71E3-48C4-A120-76B6D9248237}"/>
    <cellStyle name="40% - Accent1 3 7" xfId="5853" xr:uid="{00000000-0005-0000-0000-0000C92D0000}"/>
    <cellStyle name="40% - Accent1 3 7 2" xfId="13837" xr:uid="{00000000-0005-0000-0000-0000CA2D0000}"/>
    <cellStyle name="40% - Accent1 3 7 2 2" xfId="37681" xr:uid="{4C5AC106-C6C1-49F0-A533-21E706182D81}"/>
    <cellStyle name="40% - Accent1 3 7 3" xfId="21785" xr:uid="{00000000-0005-0000-0000-0000CB2D0000}"/>
    <cellStyle name="40% - Accent1 3 7 3 2" xfId="45618" xr:uid="{C638BD45-4FA8-4211-90AE-61B877CDC055}"/>
    <cellStyle name="40% - Accent1 3 7 4" xfId="29740" xr:uid="{552B31A6-D9F6-43C1-AB4C-D8EEBC45434F}"/>
    <cellStyle name="40% - Accent1 3 8" xfId="9406" xr:uid="{00000000-0005-0000-0000-0000CC2D0000}"/>
    <cellStyle name="40% - Accent1 3 8 2" xfId="17364" xr:uid="{00000000-0005-0000-0000-0000CD2D0000}"/>
    <cellStyle name="40% - Accent1 3 8 2 2" xfId="41205" xr:uid="{E4D7E7C7-6166-48A1-B5C6-620BE0AD07B7}"/>
    <cellStyle name="40% - Accent1 3 8 3" xfId="25308" xr:uid="{00000000-0005-0000-0000-0000CE2D0000}"/>
    <cellStyle name="40% - Accent1 3 8 3 2" xfId="49141" xr:uid="{5AAFBB25-3EB0-4D38-A097-578BF9A95E24}"/>
    <cellStyle name="40% - Accent1 3 8 4" xfId="33264" xr:uid="{EF5DDF55-5736-4512-814C-B78AC3A65628}"/>
    <cellStyle name="40% - Accent1 3 9" xfId="10302" xr:uid="{00000000-0005-0000-0000-0000CF2D0000}"/>
    <cellStyle name="40% - Accent1 3 9 2" xfId="34152" xr:uid="{38EAD4C6-63BD-4CF3-B78C-1B57243D54F1}"/>
    <cellStyle name="40% - Accent1 3_Exh G" xfId="2737" xr:uid="{00000000-0005-0000-0000-0000D02D0000}"/>
    <cellStyle name="40% - Accent1 4" xfId="358" xr:uid="{00000000-0005-0000-0000-0000D12D0000}"/>
    <cellStyle name="40% - Accent1 4 10" xfId="18261" xr:uid="{00000000-0005-0000-0000-0000D22D0000}"/>
    <cellStyle name="40% - Accent1 4 10 2" xfId="42094" xr:uid="{8AB15C74-AEAA-458F-A9EA-519AE586F2E7}"/>
    <cellStyle name="40% - Accent1 4 11" xfId="26214" xr:uid="{750D5D7C-7EEB-49C4-B581-8A36F7DCDDBD}"/>
    <cellStyle name="40% - Accent1 4 2" xfId="359" xr:uid="{00000000-0005-0000-0000-0000D32D0000}"/>
    <cellStyle name="40% - Accent1 4 2 10" xfId="26215" xr:uid="{4A756F2B-4B97-400E-BC73-BBDB5BD234E1}"/>
    <cellStyle name="40% - Accent1 4 2 2" xfId="360" xr:uid="{00000000-0005-0000-0000-0000D42D0000}"/>
    <cellStyle name="40% - Accent1 4 2 2 2" xfId="1388" xr:uid="{00000000-0005-0000-0000-0000D52D0000}"/>
    <cellStyle name="40% - Accent1 4 2 2 2 2" xfId="4918" xr:uid="{00000000-0005-0000-0000-0000D62D0000}"/>
    <cellStyle name="40% - Accent1 4 2 2 2 2 2" xfId="8509" xr:uid="{00000000-0005-0000-0000-0000D72D0000}"/>
    <cellStyle name="40% - Accent1 4 2 2 2 2 2 2" xfId="16480" xr:uid="{00000000-0005-0000-0000-0000D82D0000}"/>
    <cellStyle name="40% - Accent1 4 2 2 2 2 2 2 2" xfId="40323" xr:uid="{242E1FD1-E23D-4818-9140-0BBEF439BF71}"/>
    <cellStyle name="40% - Accent1 4 2 2 2 2 2 3" xfId="24426" xr:uid="{00000000-0005-0000-0000-0000D92D0000}"/>
    <cellStyle name="40% - Accent1 4 2 2 2 2 2 3 2" xfId="48259" xr:uid="{965EFBFA-C294-4660-863E-C98E1F9FCD83}"/>
    <cellStyle name="40% - Accent1 4 2 2 2 2 2 4" xfId="32382" xr:uid="{B1F199D4-886F-4611-A1DB-CBE549BF9B09}"/>
    <cellStyle name="40% - Accent1 4 2 2 2 2 3" xfId="12942" xr:uid="{00000000-0005-0000-0000-0000DA2D0000}"/>
    <cellStyle name="40% - Accent1 4 2 2 2 2 3 2" xfId="36792" xr:uid="{97267764-E862-4918-B927-5359F7D91A7C}"/>
    <cellStyle name="40% - Accent1 4 2 2 2 2 4" xfId="20897" xr:uid="{00000000-0005-0000-0000-0000DB2D0000}"/>
    <cellStyle name="40% - Accent1 4 2 2 2 2 4 2" xfId="44730" xr:uid="{6A01973C-56BE-4B88-B719-9005B98FB088}"/>
    <cellStyle name="40% - Accent1 4 2 2 2 2 5" xfId="28851" xr:uid="{96AB3F70-B792-4D9E-8650-D7FE5A7986F2}"/>
    <cellStyle name="40% - Accent1 4 2 2 2 3" xfId="6750" xr:uid="{00000000-0005-0000-0000-0000DC2D0000}"/>
    <cellStyle name="40% - Accent1 4 2 2 2 3 2" xfId="14722" xr:uid="{00000000-0005-0000-0000-0000DD2D0000}"/>
    <cellStyle name="40% - Accent1 4 2 2 2 3 2 2" xfId="38565" xr:uid="{B872B6CA-F118-4C7F-8989-55E94AD9FF8C}"/>
    <cellStyle name="40% - Accent1 4 2 2 2 3 3" xfId="22669" xr:uid="{00000000-0005-0000-0000-0000DE2D0000}"/>
    <cellStyle name="40% - Accent1 4 2 2 2 3 3 2" xfId="46502" xr:uid="{09E7D144-8013-427D-9359-7C106394A61E}"/>
    <cellStyle name="40% - Accent1 4 2 2 2 3 4" xfId="30624" xr:uid="{D141B549-795A-4126-96E8-8A0DDD484E7F}"/>
    <cellStyle name="40% - Accent1 4 2 2 2 4" xfId="11186" xr:uid="{00000000-0005-0000-0000-0000DF2D0000}"/>
    <cellStyle name="40% - Accent1 4 2 2 2 4 2" xfId="35036" xr:uid="{BD5728BD-B8F3-48E7-B59E-E616301BAD5B}"/>
    <cellStyle name="40% - Accent1 4 2 2 2 5" xfId="19141" xr:uid="{00000000-0005-0000-0000-0000E02D0000}"/>
    <cellStyle name="40% - Accent1 4 2 2 2 5 2" xfId="42974" xr:uid="{4C40201F-628A-4445-B812-9F10BF159FCE}"/>
    <cellStyle name="40% - Accent1 4 2 2 2 6" xfId="27094" xr:uid="{796FB32C-CF4B-4F0E-AD1C-6E2104588A9A}"/>
    <cellStyle name="40% - Accent1 4 2 2 2_Exh G" xfId="2752" xr:uid="{00000000-0005-0000-0000-0000E12D0000}"/>
    <cellStyle name="40% - Accent1 4 2 2 3" xfId="4039" xr:uid="{00000000-0005-0000-0000-0000E22D0000}"/>
    <cellStyle name="40% - Accent1 4 2 2 3 2" xfId="7631" xr:uid="{00000000-0005-0000-0000-0000E32D0000}"/>
    <cellStyle name="40% - Accent1 4 2 2 3 2 2" xfId="15602" xr:uid="{00000000-0005-0000-0000-0000E42D0000}"/>
    <cellStyle name="40% - Accent1 4 2 2 3 2 2 2" xfId="39445" xr:uid="{D690EB5E-9A85-47FD-BDFC-E8E6EFC2595C}"/>
    <cellStyle name="40% - Accent1 4 2 2 3 2 3" xfId="23548" xr:uid="{00000000-0005-0000-0000-0000E52D0000}"/>
    <cellStyle name="40% - Accent1 4 2 2 3 2 3 2" xfId="47381" xr:uid="{A9BBFAD7-0BF5-44E6-88EC-4BE247BF0636}"/>
    <cellStyle name="40% - Accent1 4 2 2 3 2 4" xfId="31504" xr:uid="{048A9DA3-CA25-4FD4-AF2C-B3D34C1CB7A9}"/>
    <cellStyle name="40% - Accent1 4 2 2 3 3" xfId="12064" xr:uid="{00000000-0005-0000-0000-0000E62D0000}"/>
    <cellStyle name="40% - Accent1 4 2 2 3 3 2" xfId="35914" xr:uid="{7DDA4D61-68C3-421F-BEB0-F54257C8111D}"/>
    <cellStyle name="40% - Accent1 4 2 2 3 4" xfId="20019" xr:uid="{00000000-0005-0000-0000-0000E72D0000}"/>
    <cellStyle name="40% - Accent1 4 2 2 3 4 2" xfId="43852" xr:uid="{764C200E-D4F9-4158-86B9-925F318A4B29}"/>
    <cellStyle name="40% - Accent1 4 2 2 3 5" xfId="27973" xr:uid="{D105AEAF-6D8D-4CF6-BEAA-C063581B220E}"/>
    <cellStyle name="40% - Accent1 4 2 2 4" xfId="5859" xr:uid="{00000000-0005-0000-0000-0000E82D0000}"/>
    <cellStyle name="40% - Accent1 4 2 2 4 2" xfId="13843" xr:uid="{00000000-0005-0000-0000-0000E92D0000}"/>
    <cellStyle name="40% - Accent1 4 2 2 4 2 2" xfId="37687" xr:uid="{BA0696AE-68C9-4111-81DC-9BDB71D6B44F}"/>
    <cellStyle name="40% - Accent1 4 2 2 4 3" xfId="21791" xr:uid="{00000000-0005-0000-0000-0000EA2D0000}"/>
    <cellStyle name="40% - Accent1 4 2 2 4 3 2" xfId="45624" xr:uid="{9077A030-72D1-4B36-878B-DCF54212709E}"/>
    <cellStyle name="40% - Accent1 4 2 2 4 4" xfId="29746" xr:uid="{5A207929-B19B-4F04-9CAE-CE69B5232082}"/>
    <cellStyle name="40% - Accent1 4 2 2 5" xfId="9412" xr:uid="{00000000-0005-0000-0000-0000EB2D0000}"/>
    <cellStyle name="40% - Accent1 4 2 2 5 2" xfId="17370" xr:uid="{00000000-0005-0000-0000-0000EC2D0000}"/>
    <cellStyle name="40% - Accent1 4 2 2 5 2 2" xfId="41211" xr:uid="{B0615243-E162-4491-B598-91165C860A14}"/>
    <cellStyle name="40% - Accent1 4 2 2 5 3" xfId="25314" xr:uid="{00000000-0005-0000-0000-0000ED2D0000}"/>
    <cellStyle name="40% - Accent1 4 2 2 5 3 2" xfId="49147" xr:uid="{C1B08A9D-2024-4477-8EF2-5BAB9E25E503}"/>
    <cellStyle name="40% - Accent1 4 2 2 5 4" xfId="33270" xr:uid="{ED428F9D-61B9-48BD-923F-6EE2D6FD7534}"/>
    <cellStyle name="40% - Accent1 4 2 2 6" xfId="10308" xr:uid="{00000000-0005-0000-0000-0000EE2D0000}"/>
    <cellStyle name="40% - Accent1 4 2 2 6 2" xfId="34158" xr:uid="{7C6BA1F5-6F29-49C1-8D1D-D8EC6A463ED0}"/>
    <cellStyle name="40% - Accent1 4 2 2 7" xfId="18263" xr:uid="{00000000-0005-0000-0000-0000EF2D0000}"/>
    <cellStyle name="40% - Accent1 4 2 2 7 2" xfId="42096" xr:uid="{35814A27-E2F4-4930-85C8-53F9AF0CF823}"/>
    <cellStyle name="40% - Accent1 4 2 2 8" xfId="26216" xr:uid="{06DE5383-C15B-4576-9B52-0C4A020DB0B7}"/>
    <cellStyle name="40% - Accent1 4 2 2_Exh G" xfId="2751" xr:uid="{00000000-0005-0000-0000-0000F02D0000}"/>
    <cellStyle name="40% - Accent1 4 2 3" xfId="940" xr:uid="{00000000-0005-0000-0000-0000F12D0000}"/>
    <cellStyle name="40% - Accent1 4 2 3 2" xfId="1864" xr:uid="{00000000-0005-0000-0000-0000F22D0000}"/>
    <cellStyle name="40% - Accent1 4 2 3 2 2" xfId="5382" xr:uid="{00000000-0005-0000-0000-0000F32D0000}"/>
    <cellStyle name="40% - Accent1 4 2 3 2 2 2" xfId="8973" xr:uid="{00000000-0005-0000-0000-0000F42D0000}"/>
    <cellStyle name="40% - Accent1 4 2 3 2 2 2 2" xfId="16944" xr:uid="{00000000-0005-0000-0000-0000F52D0000}"/>
    <cellStyle name="40% - Accent1 4 2 3 2 2 2 2 2" xfId="40787" xr:uid="{BA74C154-7103-4433-B716-39BC7890A004}"/>
    <cellStyle name="40% - Accent1 4 2 3 2 2 2 3" xfId="24890" xr:uid="{00000000-0005-0000-0000-0000F62D0000}"/>
    <cellStyle name="40% - Accent1 4 2 3 2 2 2 3 2" xfId="48723" xr:uid="{89D27DEC-A00A-4427-9208-383F4EAA5907}"/>
    <cellStyle name="40% - Accent1 4 2 3 2 2 2 4" xfId="32846" xr:uid="{DA76F6C7-D01E-4223-A593-512DFF23C284}"/>
    <cellStyle name="40% - Accent1 4 2 3 2 2 3" xfId="13406" xr:uid="{00000000-0005-0000-0000-0000F72D0000}"/>
    <cellStyle name="40% - Accent1 4 2 3 2 2 3 2" xfId="37256" xr:uid="{FE974967-0BB9-46EE-880A-F34338778318}"/>
    <cellStyle name="40% - Accent1 4 2 3 2 2 4" xfId="21361" xr:uid="{00000000-0005-0000-0000-0000F82D0000}"/>
    <cellStyle name="40% - Accent1 4 2 3 2 2 4 2" xfId="45194" xr:uid="{B03827E6-60B0-4B45-83C8-428F99A6F442}"/>
    <cellStyle name="40% - Accent1 4 2 3 2 2 5" xfId="29315" xr:uid="{780792B0-658F-47E4-8F65-3218E51446C4}"/>
    <cellStyle name="40% - Accent1 4 2 3 2 3" xfId="7214" xr:uid="{00000000-0005-0000-0000-0000F92D0000}"/>
    <cellStyle name="40% - Accent1 4 2 3 2 3 2" xfId="15186" xr:uid="{00000000-0005-0000-0000-0000FA2D0000}"/>
    <cellStyle name="40% - Accent1 4 2 3 2 3 2 2" xfId="39029" xr:uid="{7494817D-0FCF-4E82-B752-50B126306D4D}"/>
    <cellStyle name="40% - Accent1 4 2 3 2 3 3" xfId="23133" xr:uid="{00000000-0005-0000-0000-0000FB2D0000}"/>
    <cellStyle name="40% - Accent1 4 2 3 2 3 3 2" xfId="46966" xr:uid="{F387AFEE-E81A-4462-9946-EE64431D5142}"/>
    <cellStyle name="40% - Accent1 4 2 3 2 3 4" xfId="31088" xr:uid="{89029B58-7336-4388-B77D-F4086C221E27}"/>
    <cellStyle name="40% - Accent1 4 2 3 2 4" xfId="11650" xr:uid="{00000000-0005-0000-0000-0000FC2D0000}"/>
    <cellStyle name="40% - Accent1 4 2 3 2 4 2" xfId="35500" xr:uid="{E2697938-79BB-4E72-86FC-BD091412A515}"/>
    <cellStyle name="40% - Accent1 4 2 3 2 5" xfId="19605" xr:uid="{00000000-0005-0000-0000-0000FD2D0000}"/>
    <cellStyle name="40% - Accent1 4 2 3 2 5 2" xfId="43438" xr:uid="{7B2532D6-3776-48EE-A474-5A9F5B4E99FD}"/>
    <cellStyle name="40% - Accent1 4 2 3 2 6" xfId="27558" xr:uid="{0770A697-E642-421D-A78F-71797DAFD94F}"/>
    <cellStyle name="40% - Accent1 4 2 3 2_Exh G" xfId="2754" xr:uid="{00000000-0005-0000-0000-0000FE2D0000}"/>
    <cellStyle name="40% - Accent1 4 2 3 3" xfId="4503" xr:uid="{00000000-0005-0000-0000-0000FF2D0000}"/>
    <cellStyle name="40% - Accent1 4 2 3 3 2" xfId="8095" xr:uid="{00000000-0005-0000-0000-0000002E0000}"/>
    <cellStyle name="40% - Accent1 4 2 3 3 2 2" xfId="16066" xr:uid="{00000000-0005-0000-0000-0000012E0000}"/>
    <cellStyle name="40% - Accent1 4 2 3 3 2 2 2" xfId="39909" xr:uid="{A6672A79-CE17-4691-AD23-AA823F35264F}"/>
    <cellStyle name="40% - Accent1 4 2 3 3 2 3" xfId="24012" xr:uid="{00000000-0005-0000-0000-0000022E0000}"/>
    <cellStyle name="40% - Accent1 4 2 3 3 2 3 2" xfId="47845" xr:uid="{5CEFF0E0-5002-40DC-8C91-DDC39957427A}"/>
    <cellStyle name="40% - Accent1 4 2 3 3 2 4" xfId="31968" xr:uid="{2A86A202-6738-4F9A-AE5B-DDD59C39B1AE}"/>
    <cellStyle name="40% - Accent1 4 2 3 3 3" xfId="12528" xr:uid="{00000000-0005-0000-0000-0000032E0000}"/>
    <cellStyle name="40% - Accent1 4 2 3 3 3 2" xfId="36378" xr:uid="{3D46C1ED-D87E-44EB-A621-46E43EA2254A}"/>
    <cellStyle name="40% - Accent1 4 2 3 3 4" xfId="20483" xr:uid="{00000000-0005-0000-0000-0000042E0000}"/>
    <cellStyle name="40% - Accent1 4 2 3 3 4 2" xfId="44316" xr:uid="{8A92B07D-3FF5-42CC-9782-FA425A4BD7E0}"/>
    <cellStyle name="40% - Accent1 4 2 3 3 5" xfId="28437" xr:uid="{3810349B-4995-466E-8F39-5C0C14AE11C2}"/>
    <cellStyle name="40% - Accent1 4 2 3 4" xfId="6333" xr:uid="{00000000-0005-0000-0000-0000052E0000}"/>
    <cellStyle name="40% - Accent1 4 2 3 4 2" xfId="14308" xr:uid="{00000000-0005-0000-0000-0000062E0000}"/>
    <cellStyle name="40% - Accent1 4 2 3 4 2 2" xfId="38151" xr:uid="{37407FB6-3AA7-456A-8A9B-F3618843E56D}"/>
    <cellStyle name="40% - Accent1 4 2 3 4 3" xfId="22255" xr:uid="{00000000-0005-0000-0000-0000072E0000}"/>
    <cellStyle name="40% - Accent1 4 2 3 4 3 2" xfId="46088" xr:uid="{9A73861C-9F6B-4B89-BFBF-14AF5C4D13B0}"/>
    <cellStyle name="40% - Accent1 4 2 3 4 4" xfId="30210" xr:uid="{37C72442-5273-4220-A16F-A508023CD240}"/>
    <cellStyle name="40% - Accent1 4 2 3 5" xfId="9876" xr:uid="{00000000-0005-0000-0000-0000082E0000}"/>
    <cellStyle name="40% - Accent1 4 2 3 5 2" xfId="17834" xr:uid="{00000000-0005-0000-0000-0000092E0000}"/>
    <cellStyle name="40% - Accent1 4 2 3 5 2 2" xfId="41675" xr:uid="{20A4B931-5517-42FC-9A6D-FD0273012774}"/>
    <cellStyle name="40% - Accent1 4 2 3 5 3" xfId="25778" xr:uid="{00000000-0005-0000-0000-00000A2E0000}"/>
    <cellStyle name="40% - Accent1 4 2 3 5 3 2" xfId="49611" xr:uid="{8723D959-6323-4E56-BC39-941CE8CCF797}"/>
    <cellStyle name="40% - Accent1 4 2 3 5 4" xfId="33734" xr:uid="{DE6D472E-4B81-4E31-873F-F6F9D6A40A0B}"/>
    <cellStyle name="40% - Accent1 4 2 3 6" xfId="10772" xr:uid="{00000000-0005-0000-0000-00000B2E0000}"/>
    <cellStyle name="40% - Accent1 4 2 3 6 2" xfId="34622" xr:uid="{432EDFCA-AE75-46F9-B257-A0FAA0488A7A}"/>
    <cellStyle name="40% - Accent1 4 2 3 7" xfId="18727" xr:uid="{00000000-0005-0000-0000-00000C2E0000}"/>
    <cellStyle name="40% - Accent1 4 2 3 7 2" xfId="42560" xr:uid="{75993D4F-524E-4600-AE43-DA532F9D6EE2}"/>
    <cellStyle name="40% - Accent1 4 2 3 8" xfId="26680" xr:uid="{E176C70B-2EC5-4CD1-AF72-932273EA3A8C}"/>
    <cellStyle name="40% - Accent1 4 2 3_Exh G" xfId="2753" xr:uid="{00000000-0005-0000-0000-00000D2E0000}"/>
    <cellStyle name="40% - Accent1 4 2 4" xfId="1387" xr:uid="{00000000-0005-0000-0000-00000E2E0000}"/>
    <cellStyle name="40% - Accent1 4 2 4 2" xfId="4917" xr:uid="{00000000-0005-0000-0000-00000F2E0000}"/>
    <cellStyle name="40% - Accent1 4 2 4 2 2" xfId="8508" xr:uid="{00000000-0005-0000-0000-0000102E0000}"/>
    <cellStyle name="40% - Accent1 4 2 4 2 2 2" xfId="16479" xr:uid="{00000000-0005-0000-0000-0000112E0000}"/>
    <cellStyle name="40% - Accent1 4 2 4 2 2 2 2" xfId="40322" xr:uid="{DE614F41-0484-402E-AC64-A92A0ADEB7E0}"/>
    <cellStyle name="40% - Accent1 4 2 4 2 2 3" xfId="24425" xr:uid="{00000000-0005-0000-0000-0000122E0000}"/>
    <cellStyle name="40% - Accent1 4 2 4 2 2 3 2" xfId="48258" xr:uid="{F89DC565-FCC4-4163-8A42-503E687FB310}"/>
    <cellStyle name="40% - Accent1 4 2 4 2 2 4" xfId="32381" xr:uid="{57FCEB0F-85A0-44E3-90B1-D1BE9EB4AE51}"/>
    <cellStyle name="40% - Accent1 4 2 4 2 3" xfId="12941" xr:uid="{00000000-0005-0000-0000-0000132E0000}"/>
    <cellStyle name="40% - Accent1 4 2 4 2 3 2" xfId="36791" xr:uid="{507BF25F-D043-4C99-9DCC-F409E2130C63}"/>
    <cellStyle name="40% - Accent1 4 2 4 2 4" xfId="20896" xr:uid="{00000000-0005-0000-0000-0000142E0000}"/>
    <cellStyle name="40% - Accent1 4 2 4 2 4 2" xfId="44729" xr:uid="{AA7C9970-76D0-4EF0-8B40-817C2AEEE2B3}"/>
    <cellStyle name="40% - Accent1 4 2 4 2 5" xfId="28850" xr:uid="{2B39030B-EA7A-4D01-948C-62F047DE1924}"/>
    <cellStyle name="40% - Accent1 4 2 4 3" xfId="6749" xr:uid="{00000000-0005-0000-0000-0000152E0000}"/>
    <cellStyle name="40% - Accent1 4 2 4 3 2" xfId="14721" xr:uid="{00000000-0005-0000-0000-0000162E0000}"/>
    <cellStyle name="40% - Accent1 4 2 4 3 2 2" xfId="38564" xr:uid="{8AECF963-F808-4E3D-88E1-EE9F5855BC08}"/>
    <cellStyle name="40% - Accent1 4 2 4 3 3" xfId="22668" xr:uid="{00000000-0005-0000-0000-0000172E0000}"/>
    <cellStyle name="40% - Accent1 4 2 4 3 3 2" xfId="46501" xr:uid="{2F53A9EC-ABFE-4566-A9FF-E3E2878EA027}"/>
    <cellStyle name="40% - Accent1 4 2 4 3 4" xfId="30623" xr:uid="{959E1A58-262D-43B3-9921-40B95C224F75}"/>
    <cellStyle name="40% - Accent1 4 2 4 4" xfId="11185" xr:uid="{00000000-0005-0000-0000-0000182E0000}"/>
    <cellStyle name="40% - Accent1 4 2 4 4 2" xfId="35035" xr:uid="{95409BC9-59E7-472E-A9B4-D9D006776F68}"/>
    <cellStyle name="40% - Accent1 4 2 4 5" xfId="19140" xr:uid="{00000000-0005-0000-0000-0000192E0000}"/>
    <cellStyle name="40% - Accent1 4 2 4 5 2" xfId="42973" xr:uid="{F8B644B3-82F3-480B-A17F-701FEB90D326}"/>
    <cellStyle name="40% - Accent1 4 2 4 6" xfId="27093" xr:uid="{E43C0CBB-B236-48BF-BF60-18F1066BEE66}"/>
    <cellStyle name="40% - Accent1 4 2 4_Exh G" xfId="2755" xr:uid="{00000000-0005-0000-0000-00001A2E0000}"/>
    <cellStyle name="40% - Accent1 4 2 5" xfId="4038" xr:uid="{00000000-0005-0000-0000-00001B2E0000}"/>
    <cellStyle name="40% - Accent1 4 2 5 2" xfId="7630" xr:uid="{00000000-0005-0000-0000-00001C2E0000}"/>
    <cellStyle name="40% - Accent1 4 2 5 2 2" xfId="15601" xr:uid="{00000000-0005-0000-0000-00001D2E0000}"/>
    <cellStyle name="40% - Accent1 4 2 5 2 2 2" xfId="39444" xr:uid="{F26C1010-5465-475B-AF59-19F4ADEE4921}"/>
    <cellStyle name="40% - Accent1 4 2 5 2 3" xfId="23547" xr:uid="{00000000-0005-0000-0000-00001E2E0000}"/>
    <cellStyle name="40% - Accent1 4 2 5 2 3 2" xfId="47380" xr:uid="{8E808D66-AF9C-465A-927B-2E8F7762AAED}"/>
    <cellStyle name="40% - Accent1 4 2 5 2 4" xfId="31503" xr:uid="{3324368B-B4D1-4968-B34D-A42492F2602A}"/>
    <cellStyle name="40% - Accent1 4 2 5 3" xfId="12063" xr:uid="{00000000-0005-0000-0000-00001F2E0000}"/>
    <cellStyle name="40% - Accent1 4 2 5 3 2" xfId="35913" xr:uid="{8D2FAF3A-06CC-4CD2-90FE-C9E901652FAC}"/>
    <cellStyle name="40% - Accent1 4 2 5 4" xfId="20018" xr:uid="{00000000-0005-0000-0000-0000202E0000}"/>
    <cellStyle name="40% - Accent1 4 2 5 4 2" xfId="43851" xr:uid="{C268BE00-760D-4387-9E82-23EE1089E69A}"/>
    <cellStyle name="40% - Accent1 4 2 5 5" xfId="27972" xr:uid="{19F21882-8FDD-4BA4-8C6C-923B0743E8CD}"/>
    <cellStyle name="40% - Accent1 4 2 6" xfId="5858" xr:uid="{00000000-0005-0000-0000-0000212E0000}"/>
    <cellStyle name="40% - Accent1 4 2 6 2" xfId="13842" xr:uid="{00000000-0005-0000-0000-0000222E0000}"/>
    <cellStyle name="40% - Accent1 4 2 6 2 2" xfId="37686" xr:uid="{887CB0D3-608B-4868-8AF3-B1C1988BADE4}"/>
    <cellStyle name="40% - Accent1 4 2 6 3" xfId="21790" xr:uid="{00000000-0005-0000-0000-0000232E0000}"/>
    <cellStyle name="40% - Accent1 4 2 6 3 2" xfId="45623" xr:uid="{90EA8E07-242F-4CA2-A817-DCA2A2830981}"/>
    <cellStyle name="40% - Accent1 4 2 6 4" xfId="29745" xr:uid="{0DCF0552-A1AA-482E-B339-1E5021DC2C21}"/>
    <cellStyle name="40% - Accent1 4 2 7" xfId="9411" xr:uid="{00000000-0005-0000-0000-0000242E0000}"/>
    <cellStyle name="40% - Accent1 4 2 7 2" xfId="17369" xr:uid="{00000000-0005-0000-0000-0000252E0000}"/>
    <cellStyle name="40% - Accent1 4 2 7 2 2" xfId="41210" xr:uid="{C5AD02D6-0264-4501-AFA9-E4549A413A97}"/>
    <cellStyle name="40% - Accent1 4 2 7 3" xfId="25313" xr:uid="{00000000-0005-0000-0000-0000262E0000}"/>
    <cellStyle name="40% - Accent1 4 2 7 3 2" xfId="49146" xr:uid="{6A062312-3F21-4188-A123-15BB377BE11B}"/>
    <cellStyle name="40% - Accent1 4 2 7 4" xfId="33269" xr:uid="{53E24515-2577-4A80-B67E-7C7B693296CB}"/>
    <cellStyle name="40% - Accent1 4 2 8" xfId="10307" xr:uid="{00000000-0005-0000-0000-0000272E0000}"/>
    <cellStyle name="40% - Accent1 4 2 8 2" xfId="34157" xr:uid="{AEAB8B87-5C69-4B89-9C8E-80CBFBF0FFD1}"/>
    <cellStyle name="40% - Accent1 4 2 9" xfId="18262" xr:uid="{00000000-0005-0000-0000-0000282E0000}"/>
    <cellStyle name="40% - Accent1 4 2 9 2" xfId="42095" xr:uid="{B67FC8CD-DEF5-43E8-BEE3-1ECB60534B49}"/>
    <cellStyle name="40% - Accent1 4 2_Exh G" xfId="2750" xr:uid="{00000000-0005-0000-0000-0000292E0000}"/>
    <cellStyle name="40% - Accent1 4 3" xfId="361" xr:uid="{00000000-0005-0000-0000-00002A2E0000}"/>
    <cellStyle name="40% - Accent1 4 3 2" xfId="1389" xr:uid="{00000000-0005-0000-0000-00002B2E0000}"/>
    <cellStyle name="40% - Accent1 4 3 2 2" xfId="4919" xr:uid="{00000000-0005-0000-0000-00002C2E0000}"/>
    <cellStyle name="40% - Accent1 4 3 2 2 2" xfId="8510" xr:uid="{00000000-0005-0000-0000-00002D2E0000}"/>
    <cellStyle name="40% - Accent1 4 3 2 2 2 2" xfId="16481" xr:uid="{00000000-0005-0000-0000-00002E2E0000}"/>
    <cellStyle name="40% - Accent1 4 3 2 2 2 2 2" xfId="40324" xr:uid="{536A271F-543D-4409-B31D-B59435BAFDB1}"/>
    <cellStyle name="40% - Accent1 4 3 2 2 2 3" xfId="24427" xr:uid="{00000000-0005-0000-0000-00002F2E0000}"/>
    <cellStyle name="40% - Accent1 4 3 2 2 2 3 2" xfId="48260" xr:uid="{F0C7C8F1-1F87-427E-8B38-D959408BFDE5}"/>
    <cellStyle name="40% - Accent1 4 3 2 2 2 4" xfId="32383" xr:uid="{0FA2EF1E-F6FC-4619-BAB8-15585FB12429}"/>
    <cellStyle name="40% - Accent1 4 3 2 2 3" xfId="12943" xr:uid="{00000000-0005-0000-0000-0000302E0000}"/>
    <cellStyle name="40% - Accent1 4 3 2 2 3 2" xfId="36793" xr:uid="{65907683-7A6D-4D08-904B-AA454B0BADB2}"/>
    <cellStyle name="40% - Accent1 4 3 2 2 4" xfId="20898" xr:uid="{00000000-0005-0000-0000-0000312E0000}"/>
    <cellStyle name="40% - Accent1 4 3 2 2 4 2" xfId="44731" xr:uid="{FA7F0B4A-B57E-4D83-BB2B-04993C413684}"/>
    <cellStyle name="40% - Accent1 4 3 2 2 5" xfId="28852" xr:uid="{335449B1-6F48-49B6-92A2-3114C844F136}"/>
    <cellStyle name="40% - Accent1 4 3 2 3" xfId="6751" xr:uid="{00000000-0005-0000-0000-0000322E0000}"/>
    <cellStyle name="40% - Accent1 4 3 2 3 2" xfId="14723" xr:uid="{00000000-0005-0000-0000-0000332E0000}"/>
    <cellStyle name="40% - Accent1 4 3 2 3 2 2" xfId="38566" xr:uid="{C19B7709-DA43-4DA1-B94C-502BF4E3E94F}"/>
    <cellStyle name="40% - Accent1 4 3 2 3 3" xfId="22670" xr:uid="{00000000-0005-0000-0000-0000342E0000}"/>
    <cellStyle name="40% - Accent1 4 3 2 3 3 2" xfId="46503" xr:uid="{5D0A5B88-A36E-45B3-8852-79B3BA4C96C1}"/>
    <cellStyle name="40% - Accent1 4 3 2 3 4" xfId="30625" xr:uid="{14A330B1-CDD3-4561-AFB6-5DA2AC71F00C}"/>
    <cellStyle name="40% - Accent1 4 3 2 4" xfId="11187" xr:uid="{00000000-0005-0000-0000-0000352E0000}"/>
    <cellStyle name="40% - Accent1 4 3 2 4 2" xfId="35037" xr:uid="{4D0261E2-C4D8-43A0-A460-B525B5890B6C}"/>
    <cellStyle name="40% - Accent1 4 3 2 5" xfId="19142" xr:uid="{00000000-0005-0000-0000-0000362E0000}"/>
    <cellStyle name="40% - Accent1 4 3 2 5 2" xfId="42975" xr:uid="{78B9C065-7E76-4F75-8E11-496F24BE5F18}"/>
    <cellStyle name="40% - Accent1 4 3 2 6" xfId="27095" xr:uid="{CAFC2F7B-0732-4835-BA6A-99424F8AADB2}"/>
    <cellStyle name="40% - Accent1 4 3 2_Exh G" xfId="2757" xr:uid="{00000000-0005-0000-0000-0000372E0000}"/>
    <cellStyle name="40% - Accent1 4 3 3" xfId="4040" xr:uid="{00000000-0005-0000-0000-0000382E0000}"/>
    <cellStyle name="40% - Accent1 4 3 3 2" xfId="7632" xr:uid="{00000000-0005-0000-0000-0000392E0000}"/>
    <cellStyle name="40% - Accent1 4 3 3 2 2" xfId="15603" xr:uid="{00000000-0005-0000-0000-00003A2E0000}"/>
    <cellStyle name="40% - Accent1 4 3 3 2 2 2" xfId="39446" xr:uid="{690D1705-C8C5-4DC3-BCBA-30883A46ECD1}"/>
    <cellStyle name="40% - Accent1 4 3 3 2 3" xfId="23549" xr:uid="{00000000-0005-0000-0000-00003B2E0000}"/>
    <cellStyle name="40% - Accent1 4 3 3 2 3 2" xfId="47382" xr:uid="{C2AB2407-CA94-4A6A-8CD7-F272CB75FBD3}"/>
    <cellStyle name="40% - Accent1 4 3 3 2 4" xfId="31505" xr:uid="{53190FCB-D0CD-45F8-84DA-206983EB8FC1}"/>
    <cellStyle name="40% - Accent1 4 3 3 3" xfId="12065" xr:uid="{00000000-0005-0000-0000-00003C2E0000}"/>
    <cellStyle name="40% - Accent1 4 3 3 3 2" xfId="35915" xr:uid="{B2A79AE5-6C89-471A-BE34-4DB5D61C7D99}"/>
    <cellStyle name="40% - Accent1 4 3 3 4" xfId="20020" xr:uid="{00000000-0005-0000-0000-00003D2E0000}"/>
    <cellStyle name="40% - Accent1 4 3 3 4 2" xfId="43853" xr:uid="{E51E97BB-53F5-4D3D-908C-C5BB9746FD63}"/>
    <cellStyle name="40% - Accent1 4 3 3 5" xfId="27974" xr:uid="{4A369DAE-A063-488A-A6C4-8838E2614A12}"/>
    <cellStyle name="40% - Accent1 4 3 4" xfId="5860" xr:uid="{00000000-0005-0000-0000-00003E2E0000}"/>
    <cellStyle name="40% - Accent1 4 3 4 2" xfId="13844" xr:uid="{00000000-0005-0000-0000-00003F2E0000}"/>
    <cellStyle name="40% - Accent1 4 3 4 2 2" xfId="37688" xr:uid="{E078E483-C919-4923-B9C0-AFF8A4FF89A3}"/>
    <cellStyle name="40% - Accent1 4 3 4 3" xfId="21792" xr:uid="{00000000-0005-0000-0000-0000402E0000}"/>
    <cellStyle name="40% - Accent1 4 3 4 3 2" xfId="45625" xr:uid="{4C34C3EE-CEE3-4BF3-AF31-5F028028578A}"/>
    <cellStyle name="40% - Accent1 4 3 4 4" xfId="29747" xr:uid="{92BDD455-9D8B-42DD-9DC8-1C4F543B5ED3}"/>
    <cellStyle name="40% - Accent1 4 3 5" xfId="9413" xr:uid="{00000000-0005-0000-0000-0000412E0000}"/>
    <cellStyle name="40% - Accent1 4 3 5 2" xfId="17371" xr:uid="{00000000-0005-0000-0000-0000422E0000}"/>
    <cellStyle name="40% - Accent1 4 3 5 2 2" xfId="41212" xr:uid="{2E3575A6-2DA7-4EF0-BD0D-BC5F963C699C}"/>
    <cellStyle name="40% - Accent1 4 3 5 3" xfId="25315" xr:uid="{00000000-0005-0000-0000-0000432E0000}"/>
    <cellStyle name="40% - Accent1 4 3 5 3 2" xfId="49148" xr:uid="{C0D9BF74-E0F3-44C2-9186-BCA693BBF73F}"/>
    <cellStyle name="40% - Accent1 4 3 5 4" xfId="33271" xr:uid="{CD442C0A-E488-4BD6-89FC-A37335286641}"/>
    <cellStyle name="40% - Accent1 4 3 6" xfId="10309" xr:uid="{00000000-0005-0000-0000-0000442E0000}"/>
    <cellStyle name="40% - Accent1 4 3 6 2" xfId="34159" xr:uid="{6846EB11-7B8A-480C-BC02-E372CAC40817}"/>
    <cellStyle name="40% - Accent1 4 3 7" xfId="18264" xr:uid="{00000000-0005-0000-0000-0000452E0000}"/>
    <cellStyle name="40% - Accent1 4 3 7 2" xfId="42097" xr:uid="{23EB82AA-FFE9-47C4-920B-2EDFB66AA567}"/>
    <cellStyle name="40% - Accent1 4 3 8" xfId="26217" xr:uid="{36D311BC-E08E-4CFC-982A-C9E0C0B6D79D}"/>
    <cellStyle name="40% - Accent1 4 3_Exh G" xfId="2756" xr:uid="{00000000-0005-0000-0000-0000462E0000}"/>
    <cellStyle name="40% - Accent1 4 4" xfId="939" xr:uid="{00000000-0005-0000-0000-0000472E0000}"/>
    <cellStyle name="40% - Accent1 4 4 2" xfId="1863" xr:uid="{00000000-0005-0000-0000-0000482E0000}"/>
    <cellStyle name="40% - Accent1 4 4 2 2" xfId="5381" xr:uid="{00000000-0005-0000-0000-0000492E0000}"/>
    <cellStyle name="40% - Accent1 4 4 2 2 2" xfId="8972" xr:uid="{00000000-0005-0000-0000-00004A2E0000}"/>
    <cellStyle name="40% - Accent1 4 4 2 2 2 2" xfId="16943" xr:uid="{00000000-0005-0000-0000-00004B2E0000}"/>
    <cellStyle name="40% - Accent1 4 4 2 2 2 2 2" xfId="40786" xr:uid="{E6E8E236-40BB-4726-B84F-F124374FDEBB}"/>
    <cellStyle name="40% - Accent1 4 4 2 2 2 3" xfId="24889" xr:uid="{00000000-0005-0000-0000-00004C2E0000}"/>
    <cellStyle name="40% - Accent1 4 4 2 2 2 3 2" xfId="48722" xr:uid="{A37742AD-5489-4722-A6DA-234F32F4B073}"/>
    <cellStyle name="40% - Accent1 4 4 2 2 2 4" xfId="32845" xr:uid="{C3320492-3870-431D-B251-DF2036E52574}"/>
    <cellStyle name="40% - Accent1 4 4 2 2 3" xfId="13405" xr:uid="{00000000-0005-0000-0000-00004D2E0000}"/>
    <cellStyle name="40% - Accent1 4 4 2 2 3 2" xfId="37255" xr:uid="{B16FA946-76B7-4A89-9B61-D99483A81340}"/>
    <cellStyle name="40% - Accent1 4 4 2 2 4" xfId="21360" xr:uid="{00000000-0005-0000-0000-00004E2E0000}"/>
    <cellStyle name="40% - Accent1 4 4 2 2 4 2" xfId="45193" xr:uid="{5BB486CB-37C5-45F8-A978-E76CC03437C3}"/>
    <cellStyle name="40% - Accent1 4 4 2 2 5" xfId="29314" xr:uid="{098A8C1B-C58C-4A59-A6FA-2A334844D991}"/>
    <cellStyle name="40% - Accent1 4 4 2 3" xfId="7213" xr:uid="{00000000-0005-0000-0000-00004F2E0000}"/>
    <cellStyle name="40% - Accent1 4 4 2 3 2" xfId="15185" xr:uid="{00000000-0005-0000-0000-0000502E0000}"/>
    <cellStyle name="40% - Accent1 4 4 2 3 2 2" xfId="39028" xr:uid="{092C8516-78E6-47E0-8497-5068FC50BDCE}"/>
    <cellStyle name="40% - Accent1 4 4 2 3 3" xfId="23132" xr:uid="{00000000-0005-0000-0000-0000512E0000}"/>
    <cellStyle name="40% - Accent1 4 4 2 3 3 2" xfId="46965" xr:uid="{34666B23-A0A7-479E-A358-2AB24D2D4A11}"/>
    <cellStyle name="40% - Accent1 4 4 2 3 4" xfId="31087" xr:uid="{9142E8FA-C98B-4107-ABD9-A37ED2444869}"/>
    <cellStyle name="40% - Accent1 4 4 2 4" xfId="11649" xr:uid="{00000000-0005-0000-0000-0000522E0000}"/>
    <cellStyle name="40% - Accent1 4 4 2 4 2" xfId="35499" xr:uid="{8212AC0F-A038-4BDD-B84B-0A9A2EF0DA54}"/>
    <cellStyle name="40% - Accent1 4 4 2 5" xfId="19604" xr:uid="{00000000-0005-0000-0000-0000532E0000}"/>
    <cellStyle name="40% - Accent1 4 4 2 5 2" xfId="43437" xr:uid="{03103247-18A5-440C-AD3A-45B93AE7BE26}"/>
    <cellStyle name="40% - Accent1 4 4 2 6" xfId="27557" xr:uid="{E815F873-8BA9-4F89-9D6C-82812B6F377F}"/>
    <cellStyle name="40% - Accent1 4 4 2_Exh G" xfId="2759" xr:uid="{00000000-0005-0000-0000-0000542E0000}"/>
    <cellStyle name="40% - Accent1 4 4 3" xfId="4502" xr:uid="{00000000-0005-0000-0000-0000552E0000}"/>
    <cellStyle name="40% - Accent1 4 4 3 2" xfId="8094" xr:uid="{00000000-0005-0000-0000-0000562E0000}"/>
    <cellStyle name="40% - Accent1 4 4 3 2 2" xfId="16065" xr:uid="{00000000-0005-0000-0000-0000572E0000}"/>
    <cellStyle name="40% - Accent1 4 4 3 2 2 2" xfId="39908" xr:uid="{B2C196D1-65F1-4893-BCB7-30300D1A157D}"/>
    <cellStyle name="40% - Accent1 4 4 3 2 3" xfId="24011" xr:uid="{00000000-0005-0000-0000-0000582E0000}"/>
    <cellStyle name="40% - Accent1 4 4 3 2 3 2" xfId="47844" xr:uid="{95FAD7BF-99D7-42A8-B6B1-89BC4C2D312F}"/>
    <cellStyle name="40% - Accent1 4 4 3 2 4" xfId="31967" xr:uid="{D53EB632-64B0-4958-A2BB-1C51FF73D898}"/>
    <cellStyle name="40% - Accent1 4 4 3 3" xfId="12527" xr:uid="{00000000-0005-0000-0000-0000592E0000}"/>
    <cellStyle name="40% - Accent1 4 4 3 3 2" xfId="36377" xr:uid="{055659CA-8167-4D7F-B2CD-30551B20C691}"/>
    <cellStyle name="40% - Accent1 4 4 3 4" xfId="20482" xr:uid="{00000000-0005-0000-0000-00005A2E0000}"/>
    <cellStyle name="40% - Accent1 4 4 3 4 2" xfId="44315" xr:uid="{8DCC20A4-073A-4C8D-BFC5-D3A4C10AFFFF}"/>
    <cellStyle name="40% - Accent1 4 4 3 5" xfId="28436" xr:uid="{6CF82CDA-F9B5-42A5-883C-8CBC43457C29}"/>
    <cellStyle name="40% - Accent1 4 4 4" xfId="6332" xr:uid="{00000000-0005-0000-0000-00005B2E0000}"/>
    <cellStyle name="40% - Accent1 4 4 4 2" xfId="14307" xr:uid="{00000000-0005-0000-0000-00005C2E0000}"/>
    <cellStyle name="40% - Accent1 4 4 4 2 2" xfId="38150" xr:uid="{21E27E65-AA14-497C-ABF1-E1AF8E6A3D56}"/>
    <cellStyle name="40% - Accent1 4 4 4 3" xfId="22254" xr:uid="{00000000-0005-0000-0000-00005D2E0000}"/>
    <cellStyle name="40% - Accent1 4 4 4 3 2" xfId="46087" xr:uid="{83AA426B-5484-4FA0-97E6-F1E7E63B6CBE}"/>
    <cellStyle name="40% - Accent1 4 4 4 4" xfId="30209" xr:uid="{EA3D3C94-7964-4F85-B46C-D649283AA7C6}"/>
    <cellStyle name="40% - Accent1 4 4 5" xfId="9875" xr:uid="{00000000-0005-0000-0000-00005E2E0000}"/>
    <cellStyle name="40% - Accent1 4 4 5 2" xfId="17833" xr:uid="{00000000-0005-0000-0000-00005F2E0000}"/>
    <cellStyle name="40% - Accent1 4 4 5 2 2" xfId="41674" xr:uid="{507062B6-03BF-4645-A596-228B01A8693A}"/>
    <cellStyle name="40% - Accent1 4 4 5 3" xfId="25777" xr:uid="{00000000-0005-0000-0000-0000602E0000}"/>
    <cellStyle name="40% - Accent1 4 4 5 3 2" xfId="49610" xr:uid="{18E0BEF4-2F7B-4838-8EED-880877BF93F2}"/>
    <cellStyle name="40% - Accent1 4 4 5 4" xfId="33733" xr:uid="{7C54996E-1D7B-4DEF-92A9-E40A4F74D535}"/>
    <cellStyle name="40% - Accent1 4 4 6" xfId="10771" xr:uid="{00000000-0005-0000-0000-0000612E0000}"/>
    <cellStyle name="40% - Accent1 4 4 6 2" xfId="34621" xr:uid="{254A172E-5334-450B-A63D-31FE5B27D008}"/>
    <cellStyle name="40% - Accent1 4 4 7" xfId="18726" xr:uid="{00000000-0005-0000-0000-0000622E0000}"/>
    <cellStyle name="40% - Accent1 4 4 7 2" xfId="42559" xr:uid="{E7D9F90F-3622-47A1-8CDE-955B79377083}"/>
    <cellStyle name="40% - Accent1 4 4 8" xfId="26679" xr:uid="{5EAD28B1-9781-46B9-9D19-FBBB3A9B205C}"/>
    <cellStyle name="40% - Accent1 4 4_Exh G" xfId="2758" xr:uid="{00000000-0005-0000-0000-0000632E0000}"/>
    <cellStyle name="40% - Accent1 4 5" xfId="1386" xr:uid="{00000000-0005-0000-0000-0000642E0000}"/>
    <cellStyle name="40% - Accent1 4 5 2" xfId="4916" xr:uid="{00000000-0005-0000-0000-0000652E0000}"/>
    <cellStyle name="40% - Accent1 4 5 2 2" xfId="8507" xr:uid="{00000000-0005-0000-0000-0000662E0000}"/>
    <cellStyle name="40% - Accent1 4 5 2 2 2" xfId="16478" xr:uid="{00000000-0005-0000-0000-0000672E0000}"/>
    <cellStyle name="40% - Accent1 4 5 2 2 2 2" xfId="40321" xr:uid="{645BE98A-6A27-4A17-9710-7BBFDA86C655}"/>
    <cellStyle name="40% - Accent1 4 5 2 2 3" xfId="24424" xr:uid="{00000000-0005-0000-0000-0000682E0000}"/>
    <cellStyle name="40% - Accent1 4 5 2 2 3 2" xfId="48257" xr:uid="{9EF3FD99-0CF0-4F3E-87A4-824355921F43}"/>
    <cellStyle name="40% - Accent1 4 5 2 2 4" xfId="32380" xr:uid="{06F119AF-A864-40C2-BECE-B91898B2AE74}"/>
    <cellStyle name="40% - Accent1 4 5 2 3" xfId="12940" xr:uid="{00000000-0005-0000-0000-0000692E0000}"/>
    <cellStyle name="40% - Accent1 4 5 2 3 2" xfId="36790" xr:uid="{92A76402-2096-4816-9A31-5A010897CB07}"/>
    <cellStyle name="40% - Accent1 4 5 2 4" xfId="20895" xr:uid="{00000000-0005-0000-0000-00006A2E0000}"/>
    <cellStyle name="40% - Accent1 4 5 2 4 2" xfId="44728" xr:uid="{90A2F6B3-3B39-41B0-9E8C-AB4DD771BEA2}"/>
    <cellStyle name="40% - Accent1 4 5 2 5" xfId="28849" xr:uid="{DAAA31D3-AE92-4B06-AC91-BD03709AD2E1}"/>
    <cellStyle name="40% - Accent1 4 5 3" xfId="6748" xr:uid="{00000000-0005-0000-0000-00006B2E0000}"/>
    <cellStyle name="40% - Accent1 4 5 3 2" xfId="14720" xr:uid="{00000000-0005-0000-0000-00006C2E0000}"/>
    <cellStyle name="40% - Accent1 4 5 3 2 2" xfId="38563" xr:uid="{A2FE45BB-7E9A-4D2B-8546-96A4CAD33C9D}"/>
    <cellStyle name="40% - Accent1 4 5 3 3" xfId="22667" xr:uid="{00000000-0005-0000-0000-00006D2E0000}"/>
    <cellStyle name="40% - Accent1 4 5 3 3 2" xfId="46500" xr:uid="{D8F56105-58EE-4F0F-9FE0-0A65A2E24ABE}"/>
    <cellStyle name="40% - Accent1 4 5 3 4" xfId="30622" xr:uid="{6D92D145-F404-4F35-90BB-BC227FD6E4B4}"/>
    <cellStyle name="40% - Accent1 4 5 4" xfId="11184" xr:uid="{00000000-0005-0000-0000-00006E2E0000}"/>
    <cellStyle name="40% - Accent1 4 5 4 2" xfId="35034" xr:uid="{3E357D49-7853-4D32-836B-82F350AE6801}"/>
    <cellStyle name="40% - Accent1 4 5 5" xfId="19139" xr:uid="{00000000-0005-0000-0000-00006F2E0000}"/>
    <cellStyle name="40% - Accent1 4 5 5 2" xfId="42972" xr:uid="{EACB39D7-5217-4831-AD49-F9DC2F5F97AD}"/>
    <cellStyle name="40% - Accent1 4 5 6" xfId="27092" xr:uid="{F00368F9-6D2D-40B9-8F63-F63AF290A5B5}"/>
    <cellStyle name="40% - Accent1 4 5_Exh G" xfId="2760" xr:uid="{00000000-0005-0000-0000-0000702E0000}"/>
    <cellStyle name="40% - Accent1 4 6" xfId="4037" xr:uid="{00000000-0005-0000-0000-0000712E0000}"/>
    <cellStyle name="40% - Accent1 4 6 2" xfId="7629" xr:uid="{00000000-0005-0000-0000-0000722E0000}"/>
    <cellStyle name="40% - Accent1 4 6 2 2" xfId="15600" xr:uid="{00000000-0005-0000-0000-0000732E0000}"/>
    <cellStyle name="40% - Accent1 4 6 2 2 2" xfId="39443" xr:uid="{20CC9A01-8956-4D2D-8B28-A0914A621B3D}"/>
    <cellStyle name="40% - Accent1 4 6 2 3" xfId="23546" xr:uid="{00000000-0005-0000-0000-0000742E0000}"/>
    <cellStyle name="40% - Accent1 4 6 2 3 2" xfId="47379" xr:uid="{DBD9B328-26E6-48B2-AE4F-DDCF2A988F52}"/>
    <cellStyle name="40% - Accent1 4 6 2 4" xfId="31502" xr:uid="{1AB7D069-6FCC-49EA-84E4-0BE6A5FF60DE}"/>
    <cellStyle name="40% - Accent1 4 6 3" xfId="12062" xr:uid="{00000000-0005-0000-0000-0000752E0000}"/>
    <cellStyle name="40% - Accent1 4 6 3 2" xfId="35912" xr:uid="{E2A8BE3C-1477-4B25-BDB5-9D16FB95E2B1}"/>
    <cellStyle name="40% - Accent1 4 6 4" xfId="20017" xr:uid="{00000000-0005-0000-0000-0000762E0000}"/>
    <cellStyle name="40% - Accent1 4 6 4 2" xfId="43850" xr:uid="{BE732CDC-20E6-4B2F-8236-627734D3001F}"/>
    <cellStyle name="40% - Accent1 4 6 5" xfId="27971" xr:uid="{58873098-1ABD-4519-8347-D26F06E07AE5}"/>
    <cellStyle name="40% - Accent1 4 7" xfId="5857" xr:uid="{00000000-0005-0000-0000-0000772E0000}"/>
    <cellStyle name="40% - Accent1 4 7 2" xfId="13841" xr:uid="{00000000-0005-0000-0000-0000782E0000}"/>
    <cellStyle name="40% - Accent1 4 7 2 2" xfId="37685" xr:uid="{0289BFCC-3215-4E91-8488-E5CEC9E00E68}"/>
    <cellStyle name="40% - Accent1 4 7 3" xfId="21789" xr:uid="{00000000-0005-0000-0000-0000792E0000}"/>
    <cellStyle name="40% - Accent1 4 7 3 2" xfId="45622" xr:uid="{B1A24B12-36B5-4CC1-95F9-DCA4F584B335}"/>
    <cellStyle name="40% - Accent1 4 7 4" xfId="29744" xr:uid="{953970AC-1FC7-40D3-A431-CF479C8CE656}"/>
    <cellStyle name="40% - Accent1 4 8" xfId="9410" xr:uid="{00000000-0005-0000-0000-00007A2E0000}"/>
    <cellStyle name="40% - Accent1 4 8 2" xfId="17368" xr:uid="{00000000-0005-0000-0000-00007B2E0000}"/>
    <cellStyle name="40% - Accent1 4 8 2 2" xfId="41209" xr:uid="{BA53BECC-8812-4974-B269-86A5B7958161}"/>
    <cellStyle name="40% - Accent1 4 8 3" xfId="25312" xr:uid="{00000000-0005-0000-0000-00007C2E0000}"/>
    <cellStyle name="40% - Accent1 4 8 3 2" xfId="49145" xr:uid="{2D791C13-06D2-496A-895B-37F861461450}"/>
    <cellStyle name="40% - Accent1 4 8 4" xfId="33268" xr:uid="{2EBE095F-F217-483F-B12E-F8E012449002}"/>
    <cellStyle name="40% - Accent1 4 9" xfId="10306" xr:uid="{00000000-0005-0000-0000-00007D2E0000}"/>
    <cellStyle name="40% - Accent1 4 9 2" xfId="34156" xr:uid="{189B4545-46EA-415D-8AD3-65D83B56AB38}"/>
    <cellStyle name="40% - Accent1 4_Exh G" xfId="2749" xr:uid="{00000000-0005-0000-0000-00007E2E0000}"/>
    <cellStyle name="40% - Accent1 5" xfId="362" xr:uid="{00000000-0005-0000-0000-00007F2E0000}"/>
    <cellStyle name="40% - Accent1 5 10" xfId="18265" xr:uid="{00000000-0005-0000-0000-0000802E0000}"/>
    <cellStyle name="40% - Accent1 5 10 2" xfId="42098" xr:uid="{01F4F4E9-2C8A-4B6A-817F-AA85FA0A317F}"/>
    <cellStyle name="40% - Accent1 5 11" xfId="26218" xr:uid="{3E2D2862-BCF1-44D8-AFD2-47F9DA801A61}"/>
    <cellStyle name="40% - Accent1 5 2" xfId="363" xr:uid="{00000000-0005-0000-0000-0000812E0000}"/>
    <cellStyle name="40% - Accent1 5 2 2" xfId="364" xr:uid="{00000000-0005-0000-0000-0000822E0000}"/>
    <cellStyle name="40% - Accent1 5 2 2 2" xfId="1392" xr:uid="{00000000-0005-0000-0000-0000832E0000}"/>
    <cellStyle name="40% - Accent1 5 2 2 2 2" xfId="4922" xr:uid="{00000000-0005-0000-0000-0000842E0000}"/>
    <cellStyle name="40% - Accent1 5 2 2 2 2 2" xfId="8513" xr:uid="{00000000-0005-0000-0000-0000852E0000}"/>
    <cellStyle name="40% - Accent1 5 2 2 2 2 2 2" xfId="16484" xr:uid="{00000000-0005-0000-0000-0000862E0000}"/>
    <cellStyle name="40% - Accent1 5 2 2 2 2 2 2 2" xfId="40327" xr:uid="{2508485F-A3CE-4453-9CBC-1AA8E0AADCDD}"/>
    <cellStyle name="40% - Accent1 5 2 2 2 2 2 3" xfId="24430" xr:uid="{00000000-0005-0000-0000-0000872E0000}"/>
    <cellStyle name="40% - Accent1 5 2 2 2 2 2 3 2" xfId="48263" xr:uid="{A37DE64E-3212-4574-883D-2DE6DE690DE6}"/>
    <cellStyle name="40% - Accent1 5 2 2 2 2 2 4" xfId="32386" xr:uid="{3D5C5B1F-BB32-4CAA-B1D3-E54D480447A1}"/>
    <cellStyle name="40% - Accent1 5 2 2 2 2 3" xfId="12946" xr:uid="{00000000-0005-0000-0000-0000882E0000}"/>
    <cellStyle name="40% - Accent1 5 2 2 2 2 3 2" xfId="36796" xr:uid="{F88321C1-57BA-4FE2-B93A-174383120218}"/>
    <cellStyle name="40% - Accent1 5 2 2 2 2 4" xfId="20901" xr:uid="{00000000-0005-0000-0000-0000892E0000}"/>
    <cellStyle name="40% - Accent1 5 2 2 2 2 4 2" xfId="44734" xr:uid="{AFFFE151-ECD5-4E8C-AF1A-9404FEA22DCF}"/>
    <cellStyle name="40% - Accent1 5 2 2 2 2 5" xfId="28855" xr:uid="{E14CA00E-FDFC-4CB8-8CE0-F63BAC25F73D}"/>
    <cellStyle name="40% - Accent1 5 2 2 2 3" xfId="6754" xr:uid="{00000000-0005-0000-0000-00008A2E0000}"/>
    <cellStyle name="40% - Accent1 5 2 2 2 3 2" xfId="14726" xr:uid="{00000000-0005-0000-0000-00008B2E0000}"/>
    <cellStyle name="40% - Accent1 5 2 2 2 3 2 2" xfId="38569" xr:uid="{61CE1602-69AE-46D1-B502-D21CE6083237}"/>
    <cellStyle name="40% - Accent1 5 2 2 2 3 3" xfId="22673" xr:uid="{00000000-0005-0000-0000-00008C2E0000}"/>
    <cellStyle name="40% - Accent1 5 2 2 2 3 3 2" xfId="46506" xr:uid="{8C06057F-D167-420F-87D8-2F4AC31A3FF1}"/>
    <cellStyle name="40% - Accent1 5 2 2 2 3 4" xfId="30628" xr:uid="{815232B2-8814-4AA3-BEE7-B75F5D1C033B}"/>
    <cellStyle name="40% - Accent1 5 2 2 2 4" xfId="11190" xr:uid="{00000000-0005-0000-0000-00008D2E0000}"/>
    <cellStyle name="40% - Accent1 5 2 2 2 4 2" xfId="35040" xr:uid="{DD301944-B1A2-4817-9107-0168C0694FA1}"/>
    <cellStyle name="40% - Accent1 5 2 2 2 5" xfId="19145" xr:uid="{00000000-0005-0000-0000-00008E2E0000}"/>
    <cellStyle name="40% - Accent1 5 2 2 2 5 2" xfId="42978" xr:uid="{89A8E27E-A606-4308-B5F6-8E92C893C0D8}"/>
    <cellStyle name="40% - Accent1 5 2 2 2 6" xfId="27098" xr:uid="{D5BB6DD6-696B-4E75-9F5F-9C5E652959C5}"/>
    <cellStyle name="40% - Accent1 5 2 2 2_Exh G" xfId="2764" xr:uid="{00000000-0005-0000-0000-00008F2E0000}"/>
    <cellStyle name="40% - Accent1 5 2 2 3" xfId="4043" xr:uid="{00000000-0005-0000-0000-0000902E0000}"/>
    <cellStyle name="40% - Accent1 5 2 2 3 2" xfId="7635" xr:uid="{00000000-0005-0000-0000-0000912E0000}"/>
    <cellStyle name="40% - Accent1 5 2 2 3 2 2" xfId="15606" xr:uid="{00000000-0005-0000-0000-0000922E0000}"/>
    <cellStyle name="40% - Accent1 5 2 2 3 2 2 2" xfId="39449" xr:uid="{5C2C05F7-1B20-4DF5-99A6-4A1B64D11236}"/>
    <cellStyle name="40% - Accent1 5 2 2 3 2 3" xfId="23552" xr:uid="{00000000-0005-0000-0000-0000932E0000}"/>
    <cellStyle name="40% - Accent1 5 2 2 3 2 3 2" xfId="47385" xr:uid="{334AFC2A-DF68-4DC6-98EE-2BA67069D327}"/>
    <cellStyle name="40% - Accent1 5 2 2 3 2 4" xfId="31508" xr:uid="{D984C4BD-A65E-4290-A911-736F42B42529}"/>
    <cellStyle name="40% - Accent1 5 2 2 3 3" xfId="12068" xr:uid="{00000000-0005-0000-0000-0000942E0000}"/>
    <cellStyle name="40% - Accent1 5 2 2 3 3 2" xfId="35918" xr:uid="{B680CDB2-B350-47EF-B41C-66EABF19228C}"/>
    <cellStyle name="40% - Accent1 5 2 2 3 4" xfId="20023" xr:uid="{00000000-0005-0000-0000-0000952E0000}"/>
    <cellStyle name="40% - Accent1 5 2 2 3 4 2" xfId="43856" xr:uid="{F181AA89-64D1-47F5-96AA-1ABE9A545A73}"/>
    <cellStyle name="40% - Accent1 5 2 2 3 5" xfId="27977" xr:uid="{DC1BA4A8-315F-429C-B6FA-E4A083115144}"/>
    <cellStyle name="40% - Accent1 5 2 2 4" xfId="5863" xr:uid="{00000000-0005-0000-0000-0000962E0000}"/>
    <cellStyle name="40% - Accent1 5 2 2 4 2" xfId="13847" xr:uid="{00000000-0005-0000-0000-0000972E0000}"/>
    <cellStyle name="40% - Accent1 5 2 2 4 2 2" xfId="37691" xr:uid="{4A50FA0D-0B47-4BDC-90D9-21315BC3C464}"/>
    <cellStyle name="40% - Accent1 5 2 2 4 3" xfId="21795" xr:uid="{00000000-0005-0000-0000-0000982E0000}"/>
    <cellStyle name="40% - Accent1 5 2 2 4 3 2" xfId="45628" xr:uid="{74F3709B-4CFB-4EAC-B12F-A039AD656A22}"/>
    <cellStyle name="40% - Accent1 5 2 2 4 4" xfId="29750" xr:uid="{CB8B9D45-FD90-436D-8E11-F7A6BE5634D6}"/>
    <cellStyle name="40% - Accent1 5 2 2 5" xfId="9416" xr:uid="{00000000-0005-0000-0000-0000992E0000}"/>
    <cellStyle name="40% - Accent1 5 2 2 5 2" xfId="17374" xr:uid="{00000000-0005-0000-0000-00009A2E0000}"/>
    <cellStyle name="40% - Accent1 5 2 2 5 2 2" xfId="41215" xr:uid="{487B1BD4-22E6-476B-905E-F99BA9D1C104}"/>
    <cellStyle name="40% - Accent1 5 2 2 5 3" xfId="25318" xr:uid="{00000000-0005-0000-0000-00009B2E0000}"/>
    <cellStyle name="40% - Accent1 5 2 2 5 3 2" xfId="49151" xr:uid="{B275C0A5-F7B1-48A8-A2D4-251A7522D530}"/>
    <cellStyle name="40% - Accent1 5 2 2 5 4" xfId="33274" xr:uid="{27D407DA-05C5-4CAA-87CF-BAC485089E78}"/>
    <cellStyle name="40% - Accent1 5 2 2 6" xfId="10312" xr:uid="{00000000-0005-0000-0000-00009C2E0000}"/>
    <cellStyle name="40% - Accent1 5 2 2 6 2" xfId="34162" xr:uid="{E704F2AE-7A23-48D0-916E-8745D19C4B29}"/>
    <cellStyle name="40% - Accent1 5 2 2 7" xfId="18267" xr:uid="{00000000-0005-0000-0000-00009D2E0000}"/>
    <cellStyle name="40% - Accent1 5 2 2 7 2" xfId="42100" xr:uid="{10B116BA-FB23-43C2-894D-F3854BD50355}"/>
    <cellStyle name="40% - Accent1 5 2 2 8" xfId="26220" xr:uid="{53981D6C-8D2D-4C15-B7BF-8A9EB1BD10D7}"/>
    <cellStyle name="40% - Accent1 5 2 2_Exh G" xfId="2763" xr:uid="{00000000-0005-0000-0000-00009E2E0000}"/>
    <cellStyle name="40% - Accent1 5 2 3" xfId="1391" xr:uid="{00000000-0005-0000-0000-00009F2E0000}"/>
    <cellStyle name="40% - Accent1 5 2 3 2" xfId="4921" xr:uid="{00000000-0005-0000-0000-0000A02E0000}"/>
    <cellStyle name="40% - Accent1 5 2 3 2 2" xfId="8512" xr:uid="{00000000-0005-0000-0000-0000A12E0000}"/>
    <cellStyle name="40% - Accent1 5 2 3 2 2 2" xfId="16483" xr:uid="{00000000-0005-0000-0000-0000A22E0000}"/>
    <cellStyle name="40% - Accent1 5 2 3 2 2 2 2" xfId="40326" xr:uid="{D250D782-485D-486D-98A8-443314C1BA2E}"/>
    <cellStyle name="40% - Accent1 5 2 3 2 2 3" xfId="24429" xr:uid="{00000000-0005-0000-0000-0000A32E0000}"/>
    <cellStyle name="40% - Accent1 5 2 3 2 2 3 2" xfId="48262" xr:uid="{9900F258-0238-4626-B471-7FFA090B73BC}"/>
    <cellStyle name="40% - Accent1 5 2 3 2 2 4" xfId="32385" xr:uid="{941CC0DD-AAD2-4A16-A0AD-FEEC7496341B}"/>
    <cellStyle name="40% - Accent1 5 2 3 2 3" xfId="12945" xr:uid="{00000000-0005-0000-0000-0000A42E0000}"/>
    <cellStyle name="40% - Accent1 5 2 3 2 3 2" xfId="36795" xr:uid="{BDB88805-38DE-48A1-841E-ABB47F0199E1}"/>
    <cellStyle name="40% - Accent1 5 2 3 2 4" xfId="20900" xr:uid="{00000000-0005-0000-0000-0000A52E0000}"/>
    <cellStyle name="40% - Accent1 5 2 3 2 4 2" xfId="44733" xr:uid="{F059FBBC-BA5A-468D-9CD5-D453CC1E4C93}"/>
    <cellStyle name="40% - Accent1 5 2 3 2 5" xfId="28854" xr:uid="{34C9EB77-90D3-4D8A-BB1C-2261E9E01F64}"/>
    <cellStyle name="40% - Accent1 5 2 3 3" xfId="6753" xr:uid="{00000000-0005-0000-0000-0000A62E0000}"/>
    <cellStyle name="40% - Accent1 5 2 3 3 2" xfId="14725" xr:uid="{00000000-0005-0000-0000-0000A72E0000}"/>
    <cellStyle name="40% - Accent1 5 2 3 3 2 2" xfId="38568" xr:uid="{E28C3894-F66F-4E0C-A2BB-59C74E332390}"/>
    <cellStyle name="40% - Accent1 5 2 3 3 3" xfId="22672" xr:uid="{00000000-0005-0000-0000-0000A82E0000}"/>
    <cellStyle name="40% - Accent1 5 2 3 3 3 2" xfId="46505" xr:uid="{5ED532F1-90FD-467E-A14D-0B6B68A2CB8A}"/>
    <cellStyle name="40% - Accent1 5 2 3 3 4" xfId="30627" xr:uid="{F97E0FC2-CC84-42CB-8859-5F27551FF6D5}"/>
    <cellStyle name="40% - Accent1 5 2 3 4" xfId="11189" xr:uid="{00000000-0005-0000-0000-0000A92E0000}"/>
    <cellStyle name="40% - Accent1 5 2 3 4 2" xfId="35039" xr:uid="{9100B6CE-6F0F-4B9A-9912-C04791EFE787}"/>
    <cellStyle name="40% - Accent1 5 2 3 5" xfId="19144" xr:uid="{00000000-0005-0000-0000-0000AA2E0000}"/>
    <cellStyle name="40% - Accent1 5 2 3 5 2" xfId="42977" xr:uid="{6625E04A-0907-4FD5-927A-E8CBC89EF147}"/>
    <cellStyle name="40% - Accent1 5 2 3 6" xfId="27097" xr:uid="{8AECC54F-AF48-45D1-8874-63681877E384}"/>
    <cellStyle name="40% - Accent1 5 2 3_Exh G" xfId="2765" xr:uid="{00000000-0005-0000-0000-0000AB2E0000}"/>
    <cellStyle name="40% - Accent1 5 2 4" xfId="4042" xr:uid="{00000000-0005-0000-0000-0000AC2E0000}"/>
    <cellStyle name="40% - Accent1 5 2 4 2" xfId="7634" xr:uid="{00000000-0005-0000-0000-0000AD2E0000}"/>
    <cellStyle name="40% - Accent1 5 2 4 2 2" xfId="15605" xr:uid="{00000000-0005-0000-0000-0000AE2E0000}"/>
    <cellStyle name="40% - Accent1 5 2 4 2 2 2" xfId="39448" xr:uid="{6B5BA506-D687-4134-888E-FA2582C4A157}"/>
    <cellStyle name="40% - Accent1 5 2 4 2 3" xfId="23551" xr:uid="{00000000-0005-0000-0000-0000AF2E0000}"/>
    <cellStyle name="40% - Accent1 5 2 4 2 3 2" xfId="47384" xr:uid="{4AFF1FE8-576D-4797-9009-9FD5847CD806}"/>
    <cellStyle name="40% - Accent1 5 2 4 2 4" xfId="31507" xr:uid="{EEBF150D-FF6F-42D0-A0AF-1C54BCBDCB3D}"/>
    <cellStyle name="40% - Accent1 5 2 4 3" xfId="12067" xr:uid="{00000000-0005-0000-0000-0000B02E0000}"/>
    <cellStyle name="40% - Accent1 5 2 4 3 2" xfId="35917" xr:uid="{789EC3E7-FF82-43F3-8DDC-06E18AF3F859}"/>
    <cellStyle name="40% - Accent1 5 2 4 4" xfId="20022" xr:uid="{00000000-0005-0000-0000-0000B12E0000}"/>
    <cellStyle name="40% - Accent1 5 2 4 4 2" xfId="43855" xr:uid="{FD8D4ED7-D546-4A0B-812E-8E33648036B5}"/>
    <cellStyle name="40% - Accent1 5 2 4 5" xfId="27976" xr:uid="{59D6C5B1-8603-49F9-BDFA-CB4CC12E4D2E}"/>
    <cellStyle name="40% - Accent1 5 2 5" xfId="5862" xr:uid="{00000000-0005-0000-0000-0000B22E0000}"/>
    <cellStyle name="40% - Accent1 5 2 5 2" xfId="13846" xr:uid="{00000000-0005-0000-0000-0000B32E0000}"/>
    <cellStyle name="40% - Accent1 5 2 5 2 2" xfId="37690" xr:uid="{59D547DA-22CB-4564-86C7-98D89F43E31F}"/>
    <cellStyle name="40% - Accent1 5 2 5 3" xfId="21794" xr:uid="{00000000-0005-0000-0000-0000B42E0000}"/>
    <cellStyle name="40% - Accent1 5 2 5 3 2" xfId="45627" xr:uid="{C908F712-56B5-428E-B555-1F8DC455E356}"/>
    <cellStyle name="40% - Accent1 5 2 5 4" xfId="29749" xr:uid="{84210EDF-0144-47D3-9A8A-FE55BB2C41EE}"/>
    <cellStyle name="40% - Accent1 5 2 6" xfId="9415" xr:uid="{00000000-0005-0000-0000-0000B52E0000}"/>
    <cellStyle name="40% - Accent1 5 2 6 2" xfId="17373" xr:uid="{00000000-0005-0000-0000-0000B62E0000}"/>
    <cellStyle name="40% - Accent1 5 2 6 2 2" xfId="41214" xr:uid="{9F9D731C-D837-4499-8888-FF288244D49A}"/>
    <cellStyle name="40% - Accent1 5 2 6 3" xfId="25317" xr:uid="{00000000-0005-0000-0000-0000B72E0000}"/>
    <cellStyle name="40% - Accent1 5 2 6 3 2" xfId="49150" xr:uid="{D442D805-D557-4AA2-ADDA-4A9B814F16BE}"/>
    <cellStyle name="40% - Accent1 5 2 6 4" xfId="33273" xr:uid="{DA928D3B-0184-4AF9-B809-C6B75FC2DB26}"/>
    <cellStyle name="40% - Accent1 5 2 7" xfId="10311" xr:uid="{00000000-0005-0000-0000-0000B82E0000}"/>
    <cellStyle name="40% - Accent1 5 2 7 2" xfId="34161" xr:uid="{CEB2E7A2-71BF-40D8-A471-F8B32EDF8E9B}"/>
    <cellStyle name="40% - Accent1 5 2 8" xfId="18266" xr:uid="{00000000-0005-0000-0000-0000B92E0000}"/>
    <cellStyle name="40% - Accent1 5 2 8 2" xfId="42099" xr:uid="{FC16A562-D81D-4897-94B3-C64F68D5E21F}"/>
    <cellStyle name="40% - Accent1 5 2 9" xfId="26219" xr:uid="{23FBD593-B2C3-4B76-B74D-82F22799244E}"/>
    <cellStyle name="40% - Accent1 5 2_Exh G" xfId="2762" xr:uid="{00000000-0005-0000-0000-0000BA2E0000}"/>
    <cellStyle name="40% - Accent1 5 3" xfId="365" xr:uid="{00000000-0005-0000-0000-0000BB2E0000}"/>
    <cellStyle name="40% - Accent1 5 3 2" xfId="1393" xr:uid="{00000000-0005-0000-0000-0000BC2E0000}"/>
    <cellStyle name="40% - Accent1 5 3 2 2" xfId="4923" xr:uid="{00000000-0005-0000-0000-0000BD2E0000}"/>
    <cellStyle name="40% - Accent1 5 3 2 2 2" xfId="8514" xr:uid="{00000000-0005-0000-0000-0000BE2E0000}"/>
    <cellStyle name="40% - Accent1 5 3 2 2 2 2" xfId="16485" xr:uid="{00000000-0005-0000-0000-0000BF2E0000}"/>
    <cellStyle name="40% - Accent1 5 3 2 2 2 2 2" xfId="40328" xr:uid="{11A33C1D-45C6-4DE0-87FA-9FC2E8E39D72}"/>
    <cellStyle name="40% - Accent1 5 3 2 2 2 3" xfId="24431" xr:uid="{00000000-0005-0000-0000-0000C02E0000}"/>
    <cellStyle name="40% - Accent1 5 3 2 2 2 3 2" xfId="48264" xr:uid="{85D3537A-0B44-4FFC-8E02-EE52A4FCE494}"/>
    <cellStyle name="40% - Accent1 5 3 2 2 2 4" xfId="32387" xr:uid="{053FE0F7-C99E-48A0-943E-E0991D8B4B02}"/>
    <cellStyle name="40% - Accent1 5 3 2 2 3" xfId="12947" xr:uid="{00000000-0005-0000-0000-0000C12E0000}"/>
    <cellStyle name="40% - Accent1 5 3 2 2 3 2" xfId="36797" xr:uid="{BC775E4D-7D5D-48CB-BCD7-1832D3D07107}"/>
    <cellStyle name="40% - Accent1 5 3 2 2 4" xfId="20902" xr:uid="{00000000-0005-0000-0000-0000C22E0000}"/>
    <cellStyle name="40% - Accent1 5 3 2 2 4 2" xfId="44735" xr:uid="{33702BE0-6950-4A3F-92C6-9B7537B30F85}"/>
    <cellStyle name="40% - Accent1 5 3 2 2 5" xfId="28856" xr:uid="{B407B614-9737-474F-8BCC-4936E3E5A462}"/>
    <cellStyle name="40% - Accent1 5 3 2 3" xfId="6755" xr:uid="{00000000-0005-0000-0000-0000C32E0000}"/>
    <cellStyle name="40% - Accent1 5 3 2 3 2" xfId="14727" xr:uid="{00000000-0005-0000-0000-0000C42E0000}"/>
    <cellStyle name="40% - Accent1 5 3 2 3 2 2" xfId="38570" xr:uid="{F042BBCD-5713-4858-8CEA-2328BD8F3D0D}"/>
    <cellStyle name="40% - Accent1 5 3 2 3 3" xfId="22674" xr:uid="{00000000-0005-0000-0000-0000C52E0000}"/>
    <cellStyle name="40% - Accent1 5 3 2 3 3 2" xfId="46507" xr:uid="{A2EC85A6-A42C-41B8-96C5-7283383A36A5}"/>
    <cellStyle name="40% - Accent1 5 3 2 3 4" xfId="30629" xr:uid="{A891E4CB-F708-40DB-89F8-253B3F6303DA}"/>
    <cellStyle name="40% - Accent1 5 3 2 4" xfId="11191" xr:uid="{00000000-0005-0000-0000-0000C62E0000}"/>
    <cellStyle name="40% - Accent1 5 3 2 4 2" xfId="35041" xr:uid="{434C9D12-FC52-43B0-8F1B-012F0E0170B7}"/>
    <cellStyle name="40% - Accent1 5 3 2 5" xfId="19146" xr:uid="{00000000-0005-0000-0000-0000C72E0000}"/>
    <cellStyle name="40% - Accent1 5 3 2 5 2" xfId="42979" xr:uid="{B77DE411-839D-497D-9AEB-E7289F1C3F90}"/>
    <cellStyle name="40% - Accent1 5 3 2 6" xfId="27099" xr:uid="{D3867ECB-FA62-4B31-B4A7-ED04810A0700}"/>
    <cellStyle name="40% - Accent1 5 3 2_Exh G" xfId="2767" xr:uid="{00000000-0005-0000-0000-0000C82E0000}"/>
    <cellStyle name="40% - Accent1 5 3 3" xfId="4044" xr:uid="{00000000-0005-0000-0000-0000C92E0000}"/>
    <cellStyle name="40% - Accent1 5 3 3 2" xfId="7636" xr:uid="{00000000-0005-0000-0000-0000CA2E0000}"/>
    <cellStyle name="40% - Accent1 5 3 3 2 2" xfId="15607" xr:uid="{00000000-0005-0000-0000-0000CB2E0000}"/>
    <cellStyle name="40% - Accent1 5 3 3 2 2 2" xfId="39450" xr:uid="{A176755F-1834-473A-84CE-C94E0BEFA8F2}"/>
    <cellStyle name="40% - Accent1 5 3 3 2 3" xfId="23553" xr:uid="{00000000-0005-0000-0000-0000CC2E0000}"/>
    <cellStyle name="40% - Accent1 5 3 3 2 3 2" xfId="47386" xr:uid="{DE8541A8-6D39-4ADF-873D-92FDADAE9CC4}"/>
    <cellStyle name="40% - Accent1 5 3 3 2 4" xfId="31509" xr:uid="{63CA9B91-17D0-4C20-8B84-66DEC9E1B83C}"/>
    <cellStyle name="40% - Accent1 5 3 3 3" xfId="12069" xr:uid="{00000000-0005-0000-0000-0000CD2E0000}"/>
    <cellStyle name="40% - Accent1 5 3 3 3 2" xfId="35919" xr:uid="{346F5927-E2B3-4664-A63E-9622E63F25EF}"/>
    <cellStyle name="40% - Accent1 5 3 3 4" xfId="20024" xr:uid="{00000000-0005-0000-0000-0000CE2E0000}"/>
    <cellStyle name="40% - Accent1 5 3 3 4 2" xfId="43857" xr:uid="{BB0F6024-9901-4E23-8905-953B39B43161}"/>
    <cellStyle name="40% - Accent1 5 3 3 5" xfId="27978" xr:uid="{CFD10AEB-929B-40B8-A39B-2F7C30BA8926}"/>
    <cellStyle name="40% - Accent1 5 3 4" xfId="5864" xr:uid="{00000000-0005-0000-0000-0000CF2E0000}"/>
    <cellStyle name="40% - Accent1 5 3 4 2" xfId="13848" xr:uid="{00000000-0005-0000-0000-0000D02E0000}"/>
    <cellStyle name="40% - Accent1 5 3 4 2 2" xfId="37692" xr:uid="{54D762D1-B5EE-479E-8704-B41ACACD5538}"/>
    <cellStyle name="40% - Accent1 5 3 4 3" xfId="21796" xr:uid="{00000000-0005-0000-0000-0000D12E0000}"/>
    <cellStyle name="40% - Accent1 5 3 4 3 2" xfId="45629" xr:uid="{608EA2AC-8103-434C-8176-E81B0DF05720}"/>
    <cellStyle name="40% - Accent1 5 3 4 4" xfId="29751" xr:uid="{D09A6F61-31AC-4ACF-B8E7-6B0A67A25A75}"/>
    <cellStyle name="40% - Accent1 5 3 5" xfId="9417" xr:uid="{00000000-0005-0000-0000-0000D22E0000}"/>
    <cellStyle name="40% - Accent1 5 3 5 2" xfId="17375" xr:uid="{00000000-0005-0000-0000-0000D32E0000}"/>
    <cellStyle name="40% - Accent1 5 3 5 2 2" xfId="41216" xr:uid="{F4CEBC43-242E-49F8-99E4-40CFBF4A54DC}"/>
    <cellStyle name="40% - Accent1 5 3 5 3" xfId="25319" xr:uid="{00000000-0005-0000-0000-0000D42E0000}"/>
    <cellStyle name="40% - Accent1 5 3 5 3 2" xfId="49152" xr:uid="{BBBF79D8-DB7A-4CC7-BA6B-96674FDA6A49}"/>
    <cellStyle name="40% - Accent1 5 3 5 4" xfId="33275" xr:uid="{58599FE1-72A3-4960-9BDE-9C83581A301E}"/>
    <cellStyle name="40% - Accent1 5 3 6" xfId="10313" xr:uid="{00000000-0005-0000-0000-0000D52E0000}"/>
    <cellStyle name="40% - Accent1 5 3 6 2" xfId="34163" xr:uid="{359E711F-C798-4964-975A-F9E1AF0861D9}"/>
    <cellStyle name="40% - Accent1 5 3 7" xfId="18268" xr:uid="{00000000-0005-0000-0000-0000D62E0000}"/>
    <cellStyle name="40% - Accent1 5 3 7 2" xfId="42101" xr:uid="{4030924A-D653-4633-B82B-E79CA8256BD6}"/>
    <cellStyle name="40% - Accent1 5 3 8" xfId="26221" xr:uid="{3B0F06B3-0BEE-4863-B00D-E2255432EE67}"/>
    <cellStyle name="40% - Accent1 5 3_Exh G" xfId="2766" xr:uid="{00000000-0005-0000-0000-0000D72E0000}"/>
    <cellStyle name="40% - Accent1 5 4" xfId="941" xr:uid="{00000000-0005-0000-0000-0000D82E0000}"/>
    <cellStyle name="40% - Accent1 5 5" xfId="1390" xr:uid="{00000000-0005-0000-0000-0000D92E0000}"/>
    <cellStyle name="40% - Accent1 5 5 2" xfId="4920" xr:uid="{00000000-0005-0000-0000-0000DA2E0000}"/>
    <cellStyle name="40% - Accent1 5 5 2 2" xfId="8511" xr:uid="{00000000-0005-0000-0000-0000DB2E0000}"/>
    <cellStyle name="40% - Accent1 5 5 2 2 2" xfId="16482" xr:uid="{00000000-0005-0000-0000-0000DC2E0000}"/>
    <cellStyle name="40% - Accent1 5 5 2 2 2 2" xfId="40325" xr:uid="{36CEDC68-12A5-4B72-9A6A-53DAEDED9C2C}"/>
    <cellStyle name="40% - Accent1 5 5 2 2 3" xfId="24428" xr:uid="{00000000-0005-0000-0000-0000DD2E0000}"/>
    <cellStyle name="40% - Accent1 5 5 2 2 3 2" xfId="48261" xr:uid="{1E760814-20A7-4074-B7A3-1A30BEE885E1}"/>
    <cellStyle name="40% - Accent1 5 5 2 2 4" xfId="32384" xr:uid="{49F314B7-B1A0-475D-917E-F3C9A8812EB6}"/>
    <cellStyle name="40% - Accent1 5 5 2 3" xfId="12944" xr:uid="{00000000-0005-0000-0000-0000DE2E0000}"/>
    <cellStyle name="40% - Accent1 5 5 2 3 2" xfId="36794" xr:uid="{24CD4924-0E86-484B-A67B-D24AC5BFDBC5}"/>
    <cellStyle name="40% - Accent1 5 5 2 4" xfId="20899" xr:uid="{00000000-0005-0000-0000-0000DF2E0000}"/>
    <cellStyle name="40% - Accent1 5 5 2 4 2" xfId="44732" xr:uid="{95013CCA-9176-4A4C-A811-90C2366608A6}"/>
    <cellStyle name="40% - Accent1 5 5 2 5" xfId="28853" xr:uid="{6F520B5E-A157-42A5-9B0A-CF790BF87FC9}"/>
    <cellStyle name="40% - Accent1 5 5 3" xfId="6752" xr:uid="{00000000-0005-0000-0000-0000E02E0000}"/>
    <cellStyle name="40% - Accent1 5 5 3 2" xfId="14724" xr:uid="{00000000-0005-0000-0000-0000E12E0000}"/>
    <cellStyle name="40% - Accent1 5 5 3 2 2" xfId="38567" xr:uid="{36AB0AD2-F1B1-482F-8734-21BBAD35C5A9}"/>
    <cellStyle name="40% - Accent1 5 5 3 3" xfId="22671" xr:uid="{00000000-0005-0000-0000-0000E22E0000}"/>
    <cellStyle name="40% - Accent1 5 5 3 3 2" xfId="46504" xr:uid="{1A278394-03F9-4FF5-A7BC-ADEAE49301C3}"/>
    <cellStyle name="40% - Accent1 5 5 3 4" xfId="30626" xr:uid="{2C4E6CB4-1594-4A4A-9B15-976B558FE67F}"/>
    <cellStyle name="40% - Accent1 5 5 4" xfId="11188" xr:uid="{00000000-0005-0000-0000-0000E32E0000}"/>
    <cellStyle name="40% - Accent1 5 5 4 2" xfId="35038" xr:uid="{B3B28095-3B56-414B-9D25-22DCCC453E45}"/>
    <cellStyle name="40% - Accent1 5 5 5" xfId="19143" xr:uid="{00000000-0005-0000-0000-0000E42E0000}"/>
    <cellStyle name="40% - Accent1 5 5 5 2" xfId="42976" xr:uid="{B40B2060-A5C9-4ED0-880F-CEA031418059}"/>
    <cellStyle name="40% - Accent1 5 5 6" xfId="27096" xr:uid="{46DAD5B6-F2F8-4FB4-892B-2A46B4DA5EC0}"/>
    <cellStyle name="40% - Accent1 5 5_Exh G" xfId="2768" xr:uid="{00000000-0005-0000-0000-0000E52E0000}"/>
    <cellStyle name="40% - Accent1 5 6" xfId="4041" xr:uid="{00000000-0005-0000-0000-0000E62E0000}"/>
    <cellStyle name="40% - Accent1 5 6 2" xfId="7633" xr:uid="{00000000-0005-0000-0000-0000E72E0000}"/>
    <cellStyle name="40% - Accent1 5 6 2 2" xfId="15604" xr:uid="{00000000-0005-0000-0000-0000E82E0000}"/>
    <cellStyle name="40% - Accent1 5 6 2 2 2" xfId="39447" xr:uid="{1A443F87-C9AE-4238-A799-A7882F736195}"/>
    <cellStyle name="40% - Accent1 5 6 2 3" xfId="23550" xr:uid="{00000000-0005-0000-0000-0000E92E0000}"/>
    <cellStyle name="40% - Accent1 5 6 2 3 2" xfId="47383" xr:uid="{F13255E1-84A3-42BF-858C-96A247EAE233}"/>
    <cellStyle name="40% - Accent1 5 6 2 4" xfId="31506" xr:uid="{27BC6B4A-934E-449A-A58A-7E999C2CC6BE}"/>
    <cellStyle name="40% - Accent1 5 6 3" xfId="12066" xr:uid="{00000000-0005-0000-0000-0000EA2E0000}"/>
    <cellStyle name="40% - Accent1 5 6 3 2" xfId="35916" xr:uid="{5981ED9D-431A-46DD-9E48-1E38403598B0}"/>
    <cellStyle name="40% - Accent1 5 6 4" xfId="20021" xr:uid="{00000000-0005-0000-0000-0000EB2E0000}"/>
    <cellStyle name="40% - Accent1 5 6 4 2" xfId="43854" xr:uid="{0F9540B6-26AE-4D28-8FE7-D863561E0BEB}"/>
    <cellStyle name="40% - Accent1 5 6 5" xfId="27975" xr:uid="{7DF4760F-50C8-4DF4-B25A-A7603E28017D}"/>
    <cellStyle name="40% - Accent1 5 7" xfId="5861" xr:uid="{00000000-0005-0000-0000-0000EC2E0000}"/>
    <cellStyle name="40% - Accent1 5 7 2" xfId="13845" xr:uid="{00000000-0005-0000-0000-0000ED2E0000}"/>
    <cellStyle name="40% - Accent1 5 7 2 2" xfId="37689" xr:uid="{6A2FD171-0F7F-4051-A44D-05166A58B37D}"/>
    <cellStyle name="40% - Accent1 5 7 3" xfId="21793" xr:uid="{00000000-0005-0000-0000-0000EE2E0000}"/>
    <cellStyle name="40% - Accent1 5 7 3 2" xfId="45626" xr:uid="{0EE8F377-33FA-47FD-890A-09DD29DD105A}"/>
    <cellStyle name="40% - Accent1 5 7 4" xfId="29748" xr:uid="{784AECE5-B836-46F6-A9B8-C513E875867E}"/>
    <cellStyle name="40% - Accent1 5 8" xfId="9414" xr:uid="{00000000-0005-0000-0000-0000EF2E0000}"/>
    <cellStyle name="40% - Accent1 5 8 2" xfId="17372" xr:uid="{00000000-0005-0000-0000-0000F02E0000}"/>
    <cellStyle name="40% - Accent1 5 8 2 2" xfId="41213" xr:uid="{22CAE963-E888-4849-986A-98AFD5A3584C}"/>
    <cellStyle name="40% - Accent1 5 8 3" xfId="25316" xr:uid="{00000000-0005-0000-0000-0000F12E0000}"/>
    <cellStyle name="40% - Accent1 5 8 3 2" xfId="49149" xr:uid="{7D567A1B-03F9-4FCA-8081-A5FAA5C38647}"/>
    <cellStyle name="40% - Accent1 5 8 4" xfId="33272" xr:uid="{32DAD950-42A4-45BA-AE05-DB86469521EF}"/>
    <cellStyle name="40% - Accent1 5 9" xfId="10310" xr:uid="{00000000-0005-0000-0000-0000F22E0000}"/>
    <cellStyle name="40% - Accent1 5 9 2" xfId="34160" xr:uid="{BBE2AC31-B422-4C6D-8E13-73F6D27293DE}"/>
    <cellStyle name="40% - Accent1 5_Exh G" xfId="2761" xr:uid="{00000000-0005-0000-0000-0000F32E0000}"/>
    <cellStyle name="40% - Accent1 6" xfId="366" xr:uid="{00000000-0005-0000-0000-0000F42E0000}"/>
    <cellStyle name="40% - Accent1 6 10" xfId="18269" xr:uid="{00000000-0005-0000-0000-0000F52E0000}"/>
    <cellStyle name="40% - Accent1 6 10 2" xfId="42102" xr:uid="{769835FB-5D85-4BA3-BAF4-FFB4F617A079}"/>
    <cellStyle name="40% - Accent1 6 11" xfId="26222" xr:uid="{1290CE6C-3977-40B2-A088-6BC32C3DCA04}"/>
    <cellStyle name="40% - Accent1 6 2" xfId="367" xr:uid="{00000000-0005-0000-0000-0000F62E0000}"/>
    <cellStyle name="40% - Accent1 6 2 2" xfId="368" xr:uid="{00000000-0005-0000-0000-0000F72E0000}"/>
    <cellStyle name="40% - Accent1 6 2 2 2" xfId="1396" xr:uid="{00000000-0005-0000-0000-0000F82E0000}"/>
    <cellStyle name="40% - Accent1 6 2 2 2 2" xfId="4926" xr:uid="{00000000-0005-0000-0000-0000F92E0000}"/>
    <cellStyle name="40% - Accent1 6 2 2 2 2 2" xfId="8517" xr:uid="{00000000-0005-0000-0000-0000FA2E0000}"/>
    <cellStyle name="40% - Accent1 6 2 2 2 2 2 2" xfId="16488" xr:uid="{00000000-0005-0000-0000-0000FB2E0000}"/>
    <cellStyle name="40% - Accent1 6 2 2 2 2 2 2 2" xfId="40331" xr:uid="{08F3D843-4992-4C50-AE68-E97B12661B3C}"/>
    <cellStyle name="40% - Accent1 6 2 2 2 2 2 3" xfId="24434" xr:uid="{00000000-0005-0000-0000-0000FC2E0000}"/>
    <cellStyle name="40% - Accent1 6 2 2 2 2 2 3 2" xfId="48267" xr:uid="{24165676-590E-4748-B565-7A4AB09EB3F7}"/>
    <cellStyle name="40% - Accent1 6 2 2 2 2 2 4" xfId="32390" xr:uid="{D2EBD335-41F9-46BF-BB71-B27C82B8ADBB}"/>
    <cellStyle name="40% - Accent1 6 2 2 2 2 3" xfId="12950" xr:uid="{00000000-0005-0000-0000-0000FD2E0000}"/>
    <cellStyle name="40% - Accent1 6 2 2 2 2 3 2" xfId="36800" xr:uid="{89B47A14-7ED2-4282-8550-6861EE1A9E8B}"/>
    <cellStyle name="40% - Accent1 6 2 2 2 2 4" xfId="20905" xr:uid="{00000000-0005-0000-0000-0000FE2E0000}"/>
    <cellStyle name="40% - Accent1 6 2 2 2 2 4 2" xfId="44738" xr:uid="{A29841A7-7939-4DEB-AA46-3CB5BCFEF811}"/>
    <cellStyle name="40% - Accent1 6 2 2 2 2 5" xfId="28859" xr:uid="{15A2F49B-45D3-4FB4-952E-C8F8F18BD97A}"/>
    <cellStyle name="40% - Accent1 6 2 2 2 3" xfId="6758" xr:uid="{00000000-0005-0000-0000-0000FF2E0000}"/>
    <cellStyle name="40% - Accent1 6 2 2 2 3 2" xfId="14730" xr:uid="{00000000-0005-0000-0000-0000002F0000}"/>
    <cellStyle name="40% - Accent1 6 2 2 2 3 2 2" xfId="38573" xr:uid="{10B51212-913A-42AA-AC2B-FFE319CE2207}"/>
    <cellStyle name="40% - Accent1 6 2 2 2 3 3" xfId="22677" xr:uid="{00000000-0005-0000-0000-0000012F0000}"/>
    <cellStyle name="40% - Accent1 6 2 2 2 3 3 2" xfId="46510" xr:uid="{BFBA8F70-8029-4C01-BBC0-A345EDF8BA2F}"/>
    <cellStyle name="40% - Accent1 6 2 2 2 3 4" xfId="30632" xr:uid="{00BCC8B4-9AA5-4563-AF33-0E69BFEF9F53}"/>
    <cellStyle name="40% - Accent1 6 2 2 2 4" xfId="11194" xr:uid="{00000000-0005-0000-0000-0000022F0000}"/>
    <cellStyle name="40% - Accent1 6 2 2 2 4 2" xfId="35044" xr:uid="{C418CFCB-1C1B-49CA-AAE9-A641680B9A38}"/>
    <cellStyle name="40% - Accent1 6 2 2 2 5" xfId="19149" xr:uid="{00000000-0005-0000-0000-0000032F0000}"/>
    <cellStyle name="40% - Accent1 6 2 2 2 5 2" xfId="42982" xr:uid="{943A7728-21E6-4EA3-B5E8-7401725A9E0A}"/>
    <cellStyle name="40% - Accent1 6 2 2 2 6" xfId="27102" xr:uid="{755098E7-A70E-4ADC-94EC-8AA44BA2C3A8}"/>
    <cellStyle name="40% - Accent1 6 2 2 2_Exh G" xfId="2772" xr:uid="{00000000-0005-0000-0000-0000042F0000}"/>
    <cellStyle name="40% - Accent1 6 2 2 3" xfId="4047" xr:uid="{00000000-0005-0000-0000-0000052F0000}"/>
    <cellStyle name="40% - Accent1 6 2 2 3 2" xfId="7639" xr:uid="{00000000-0005-0000-0000-0000062F0000}"/>
    <cellStyle name="40% - Accent1 6 2 2 3 2 2" xfId="15610" xr:uid="{00000000-0005-0000-0000-0000072F0000}"/>
    <cellStyle name="40% - Accent1 6 2 2 3 2 2 2" xfId="39453" xr:uid="{51058B5B-F48F-49EC-8A8D-90F49FABA408}"/>
    <cellStyle name="40% - Accent1 6 2 2 3 2 3" xfId="23556" xr:uid="{00000000-0005-0000-0000-0000082F0000}"/>
    <cellStyle name="40% - Accent1 6 2 2 3 2 3 2" xfId="47389" xr:uid="{CCE743CC-34D4-401D-9DC2-6D4652201B10}"/>
    <cellStyle name="40% - Accent1 6 2 2 3 2 4" xfId="31512" xr:uid="{81B8AE2F-2EDF-467A-BAEE-33F96D5CAB13}"/>
    <cellStyle name="40% - Accent1 6 2 2 3 3" xfId="12072" xr:uid="{00000000-0005-0000-0000-0000092F0000}"/>
    <cellStyle name="40% - Accent1 6 2 2 3 3 2" xfId="35922" xr:uid="{03AEBBEB-3AE2-4F59-8EFD-9BB6AC2D430F}"/>
    <cellStyle name="40% - Accent1 6 2 2 3 4" xfId="20027" xr:uid="{00000000-0005-0000-0000-00000A2F0000}"/>
    <cellStyle name="40% - Accent1 6 2 2 3 4 2" xfId="43860" xr:uid="{EB75DBA3-FBBE-44DD-AD08-EF2BA9A73E42}"/>
    <cellStyle name="40% - Accent1 6 2 2 3 5" xfId="27981" xr:uid="{CFD88E28-C820-4F66-885A-C9BF429E0B33}"/>
    <cellStyle name="40% - Accent1 6 2 2 4" xfId="5867" xr:uid="{00000000-0005-0000-0000-00000B2F0000}"/>
    <cellStyle name="40% - Accent1 6 2 2 4 2" xfId="13851" xr:uid="{00000000-0005-0000-0000-00000C2F0000}"/>
    <cellStyle name="40% - Accent1 6 2 2 4 2 2" xfId="37695" xr:uid="{5F836CF0-2084-4E6F-AB4D-C26E578B29DE}"/>
    <cellStyle name="40% - Accent1 6 2 2 4 3" xfId="21799" xr:uid="{00000000-0005-0000-0000-00000D2F0000}"/>
    <cellStyle name="40% - Accent1 6 2 2 4 3 2" xfId="45632" xr:uid="{9D14FBB3-E740-4648-B379-422409D8F3E7}"/>
    <cellStyle name="40% - Accent1 6 2 2 4 4" xfId="29754" xr:uid="{46A1B738-E2EC-497E-8096-A9CC3CBAE9DC}"/>
    <cellStyle name="40% - Accent1 6 2 2 5" xfId="9420" xr:uid="{00000000-0005-0000-0000-00000E2F0000}"/>
    <cellStyle name="40% - Accent1 6 2 2 5 2" xfId="17378" xr:uid="{00000000-0005-0000-0000-00000F2F0000}"/>
    <cellStyle name="40% - Accent1 6 2 2 5 2 2" xfId="41219" xr:uid="{384DE552-3A39-4A04-98E3-E4D2363725B0}"/>
    <cellStyle name="40% - Accent1 6 2 2 5 3" xfId="25322" xr:uid="{00000000-0005-0000-0000-0000102F0000}"/>
    <cellStyle name="40% - Accent1 6 2 2 5 3 2" xfId="49155" xr:uid="{14586BC5-B774-4E2D-857A-FCC9859E4432}"/>
    <cellStyle name="40% - Accent1 6 2 2 5 4" xfId="33278" xr:uid="{4856417E-4D69-4C32-9356-EC357413493F}"/>
    <cellStyle name="40% - Accent1 6 2 2 6" xfId="10316" xr:uid="{00000000-0005-0000-0000-0000112F0000}"/>
    <cellStyle name="40% - Accent1 6 2 2 6 2" xfId="34166" xr:uid="{A92F9718-B87A-489E-870D-15B0429A35AB}"/>
    <cellStyle name="40% - Accent1 6 2 2 7" xfId="18271" xr:uid="{00000000-0005-0000-0000-0000122F0000}"/>
    <cellStyle name="40% - Accent1 6 2 2 7 2" xfId="42104" xr:uid="{9C885E48-C015-4362-A67A-924EF27AF863}"/>
    <cellStyle name="40% - Accent1 6 2 2 8" xfId="26224" xr:uid="{50A2F7F8-E172-40F2-AB70-39B3C69A7A65}"/>
    <cellStyle name="40% - Accent1 6 2 2_Exh G" xfId="2771" xr:uid="{00000000-0005-0000-0000-0000132F0000}"/>
    <cellStyle name="40% - Accent1 6 2 3" xfId="1395" xr:uid="{00000000-0005-0000-0000-0000142F0000}"/>
    <cellStyle name="40% - Accent1 6 2 3 2" xfId="4925" xr:uid="{00000000-0005-0000-0000-0000152F0000}"/>
    <cellStyle name="40% - Accent1 6 2 3 2 2" xfId="8516" xr:uid="{00000000-0005-0000-0000-0000162F0000}"/>
    <cellStyle name="40% - Accent1 6 2 3 2 2 2" xfId="16487" xr:uid="{00000000-0005-0000-0000-0000172F0000}"/>
    <cellStyle name="40% - Accent1 6 2 3 2 2 2 2" xfId="40330" xr:uid="{E8D0498F-A3E3-4E1B-A17A-44CD3A4E6133}"/>
    <cellStyle name="40% - Accent1 6 2 3 2 2 3" xfId="24433" xr:uid="{00000000-0005-0000-0000-0000182F0000}"/>
    <cellStyle name="40% - Accent1 6 2 3 2 2 3 2" xfId="48266" xr:uid="{46C0B77A-ECC8-4E0B-91B7-24CB148803FA}"/>
    <cellStyle name="40% - Accent1 6 2 3 2 2 4" xfId="32389" xr:uid="{C6F75F4C-30C5-43D0-B067-EA46D60034A9}"/>
    <cellStyle name="40% - Accent1 6 2 3 2 3" xfId="12949" xr:uid="{00000000-0005-0000-0000-0000192F0000}"/>
    <cellStyle name="40% - Accent1 6 2 3 2 3 2" xfId="36799" xr:uid="{DB4E80FF-F9A2-4968-BE64-5C08391BC36F}"/>
    <cellStyle name="40% - Accent1 6 2 3 2 4" xfId="20904" xr:uid="{00000000-0005-0000-0000-00001A2F0000}"/>
    <cellStyle name="40% - Accent1 6 2 3 2 4 2" xfId="44737" xr:uid="{2EDB33D8-E642-4FF7-B352-9FDF84DD8101}"/>
    <cellStyle name="40% - Accent1 6 2 3 2 5" xfId="28858" xr:uid="{A1486206-C284-432D-BC00-520D5B918A92}"/>
    <cellStyle name="40% - Accent1 6 2 3 3" xfId="6757" xr:uid="{00000000-0005-0000-0000-00001B2F0000}"/>
    <cellStyle name="40% - Accent1 6 2 3 3 2" xfId="14729" xr:uid="{00000000-0005-0000-0000-00001C2F0000}"/>
    <cellStyle name="40% - Accent1 6 2 3 3 2 2" xfId="38572" xr:uid="{3192AEF7-DC3F-44E9-A3BD-84808CA0C207}"/>
    <cellStyle name="40% - Accent1 6 2 3 3 3" xfId="22676" xr:uid="{00000000-0005-0000-0000-00001D2F0000}"/>
    <cellStyle name="40% - Accent1 6 2 3 3 3 2" xfId="46509" xr:uid="{6ABFAFEC-00B7-4766-A48C-9973A830E405}"/>
    <cellStyle name="40% - Accent1 6 2 3 3 4" xfId="30631" xr:uid="{DDF5B369-E0CA-40D4-BA87-0ED0591CB036}"/>
    <cellStyle name="40% - Accent1 6 2 3 4" xfId="11193" xr:uid="{00000000-0005-0000-0000-00001E2F0000}"/>
    <cellStyle name="40% - Accent1 6 2 3 4 2" xfId="35043" xr:uid="{38970C70-7EC6-427F-8197-B6F376B6A6D7}"/>
    <cellStyle name="40% - Accent1 6 2 3 5" xfId="19148" xr:uid="{00000000-0005-0000-0000-00001F2F0000}"/>
    <cellStyle name="40% - Accent1 6 2 3 5 2" xfId="42981" xr:uid="{54754EAC-2451-4789-A565-6877648BCCE8}"/>
    <cellStyle name="40% - Accent1 6 2 3 6" xfId="27101" xr:uid="{3066E9B9-1BDD-46F0-94C8-9CEF0EC4D582}"/>
    <cellStyle name="40% - Accent1 6 2 3_Exh G" xfId="2773" xr:uid="{00000000-0005-0000-0000-0000202F0000}"/>
    <cellStyle name="40% - Accent1 6 2 4" xfId="4046" xr:uid="{00000000-0005-0000-0000-0000212F0000}"/>
    <cellStyle name="40% - Accent1 6 2 4 2" xfId="7638" xr:uid="{00000000-0005-0000-0000-0000222F0000}"/>
    <cellStyle name="40% - Accent1 6 2 4 2 2" xfId="15609" xr:uid="{00000000-0005-0000-0000-0000232F0000}"/>
    <cellStyle name="40% - Accent1 6 2 4 2 2 2" xfId="39452" xr:uid="{EF45BC71-A624-4FC5-9671-3910BE96DD8D}"/>
    <cellStyle name="40% - Accent1 6 2 4 2 3" xfId="23555" xr:uid="{00000000-0005-0000-0000-0000242F0000}"/>
    <cellStyle name="40% - Accent1 6 2 4 2 3 2" xfId="47388" xr:uid="{632D7022-4871-4540-B5BA-63DFBD04B403}"/>
    <cellStyle name="40% - Accent1 6 2 4 2 4" xfId="31511" xr:uid="{37B1711E-31C9-4605-9514-FC897292E15D}"/>
    <cellStyle name="40% - Accent1 6 2 4 3" xfId="12071" xr:uid="{00000000-0005-0000-0000-0000252F0000}"/>
    <cellStyle name="40% - Accent1 6 2 4 3 2" xfId="35921" xr:uid="{0CB5D87C-6128-4C7F-B649-0F15EF948B7A}"/>
    <cellStyle name="40% - Accent1 6 2 4 4" xfId="20026" xr:uid="{00000000-0005-0000-0000-0000262F0000}"/>
    <cellStyle name="40% - Accent1 6 2 4 4 2" xfId="43859" xr:uid="{57C0C074-527F-4664-AFDC-FA59F5FC036C}"/>
    <cellStyle name="40% - Accent1 6 2 4 5" xfId="27980" xr:uid="{1E6B25A3-D776-4FD8-894E-7B2D00DB8FBB}"/>
    <cellStyle name="40% - Accent1 6 2 5" xfId="5866" xr:uid="{00000000-0005-0000-0000-0000272F0000}"/>
    <cellStyle name="40% - Accent1 6 2 5 2" xfId="13850" xr:uid="{00000000-0005-0000-0000-0000282F0000}"/>
    <cellStyle name="40% - Accent1 6 2 5 2 2" xfId="37694" xr:uid="{429D6043-526D-42B1-8E15-F3B62C27B46B}"/>
    <cellStyle name="40% - Accent1 6 2 5 3" xfId="21798" xr:uid="{00000000-0005-0000-0000-0000292F0000}"/>
    <cellStyle name="40% - Accent1 6 2 5 3 2" xfId="45631" xr:uid="{59D94D09-996A-4672-8937-53C2BC6D71B6}"/>
    <cellStyle name="40% - Accent1 6 2 5 4" xfId="29753" xr:uid="{16B14BE7-290B-437C-9A8E-C025A9BB5D4F}"/>
    <cellStyle name="40% - Accent1 6 2 6" xfId="9419" xr:uid="{00000000-0005-0000-0000-00002A2F0000}"/>
    <cellStyle name="40% - Accent1 6 2 6 2" xfId="17377" xr:uid="{00000000-0005-0000-0000-00002B2F0000}"/>
    <cellStyle name="40% - Accent1 6 2 6 2 2" xfId="41218" xr:uid="{0C377E07-5437-4E66-8AEC-BDA1134C5602}"/>
    <cellStyle name="40% - Accent1 6 2 6 3" xfId="25321" xr:uid="{00000000-0005-0000-0000-00002C2F0000}"/>
    <cellStyle name="40% - Accent1 6 2 6 3 2" xfId="49154" xr:uid="{060567FA-3FA4-47CC-B62F-714CCD3EE24C}"/>
    <cellStyle name="40% - Accent1 6 2 6 4" xfId="33277" xr:uid="{69CD1718-6826-42C4-B581-178BDAB4C472}"/>
    <cellStyle name="40% - Accent1 6 2 7" xfId="10315" xr:uid="{00000000-0005-0000-0000-00002D2F0000}"/>
    <cellStyle name="40% - Accent1 6 2 7 2" xfId="34165" xr:uid="{AAC11601-E4E7-4FF0-9882-6B5E563456AB}"/>
    <cellStyle name="40% - Accent1 6 2 8" xfId="18270" xr:uid="{00000000-0005-0000-0000-00002E2F0000}"/>
    <cellStyle name="40% - Accent1 6 2 8 2" xfId="42103" xr:uid="{DC18E639-CB9C-4F36-842D-108DA31068C1}"/>
    <cellStyle name="40% - Accent1 6 2 9" xfId="26223" xr:uid="{38358CD0-79D3-4C85-8378-021639193085}"/>
    <cellStyle name="40% - Accent1 6 2_Exh G" xfId="2770" xr:uid="{00000000-0005-0000-0000-00002F2F0000}"/>
    <cellStyle name="40% - Accent1 6 3" xfId="369" xr:uid="{00000000-0005-0000-0000-0000302F0000}"/>
    <cellStyle name="40% - Accent1 6 3 2" xfId="1397" xr:uid="{00000000-0005-0000-0000-0000312F0000}"/>
    <cellStyle name="40% - Accent1 6 3 2 2" xfId="4927" xr:uid="{00000000-0005-0000-0000-0000322F0000}"/>
    <cellStyle name="40% - Accent1 6 3 2 2 2" xfId="8518" xr:uid="{00000000-0005-0000-0000-0000332F0000}"/>
    <cellStyle name="40% - Accent1 6 3 2 2 2 2" xfId="16489" xr:uid="{00000000-0005-0000-0000-0000342F0000}"/>
    <cellStyle name="40% - Accent1 6 3 2 2 2 2 2" xfId="40332" xr:uid="{C765C4C1-0763-4354-941E-B6A380495E25}"/>
    <cellStyle name="40% - Accent1 6 3 2 2 2 3" xfId="24435" xr:uid="{00000000-0005-0000-0000-0000352F0000}"/>
    <cellStyle name="40% - Accent1 6 3 2 2 2 3 2" xfId="48268" xr:uid="{08F36231-25E1-4EB1-8A07-960A5E12DE04}"/>
    <cellStyle name="40% - Accent1 6 3 2 2 2 4" xfId="32391" xr:uid="{75B9D8D3-F206-4F93-978F-E84C8FFE0583}"/>
    <cellStyle name="40% - Accent1 6 3 2 2 3" xfId="12951" xr:uid="{00000000-0005-0000-0000-0000362F0000}"/>
    <cellStyle name="40% - Accent1 6 3 2 2 3 2" xfId="36801" xr:uid="{BB8AB448-6627-4F07-9DE9-7183CD1930F8}"/>
    <cellStyle name="40% - Accent1 6 3 2 2 4" xfId="20906" xr:uid="{00000000-0005-0000-0000-0000372F0000}"/>
    <cellStyle name="40% - Accent1 6 3 2 2 4 2" xfId="44739" xr:uid="{1AE41137-1480-40E4-987A-B729FBE5176E}"/>
    <cellStyle name="40% - Accent1 6 3 2 2 5" xfId="28860" xr:uid="{4E76B35E-A1BB-44DD-A3CA-0CD70D04CF9F}"/>
    <cellStyle name="40% - Accent1 6 3 2 3" xfId="6759" xr:uid="{00000000-0005-0000-0000-0000382F0000}"/>
    <cellStyle name="40% - Accent1 6 3 2 3 2" xfId="14731" xr:uid="{00000000-0005-0000-0000-0000392F0000}"/>
    <cellStyle name="40% - Accent1 6 3 2 3 2 2" xfId="38574" xr:uid="{EE2A08C6-C5B9-412D-870F-B0D3A8FA4E94}"/>
    <cellStyle name="40% - Accent1 6 3 2 3 3" xfId="22678" xr:uid="{00000000-0005-0000-0000-00003A2F0000}"/>
    <cellStyle name="40% - Accent1 6 3 2 3 3 2" xfId="46511" xr:uid="{FEC16893-1828-4654-AA1B-6AEBE84ADCC7}"/>
    <cellStyle name="40% - Accent1 6 3 2 3 4" xfId="30633" xr:uid="{5213D39F-F804-4720-817F-D38B44326748}"/>
    <cellStyle name="40% - Accent1 6 3 2 4" xfId="11195" xr:uid="{00000000-0005-0000-0000-00003B2F0000}"/>
    <cellStyle name="40% - Accent1 6 3 2 4 2" xfId="35045" xr:uid="{783F3393-1D60-4039-A09B-D57C4A13C53D}"/>
    <cellStyle name="40% - Accent1 6 3 2 5" xfId="19150" xr:uid="{00000000-0005-0000-0000-00003C2F0000}"/>
    <cellStyle name="40% - Accent1 6 3 2 5 2" xfId="42983" xr:uid="{C0E21CB3-0127-4972-8884-BEEBB2BBD8F4}"/>
    <cellStyle name="40% - Accent1 6 3 2 6" xfId="27103" xr:uid="{72D6B13B-7E14-4B72-ADB0-9A93F980D968}"/>
    <cellStyle name="40% - Accent1 6 3 2_Exh G" xfId="2775" xr:uid="{00000000-0005-0000-0000-00003D2F0000}"/>
    <cellStyle name="40% - Accent1 6 3 3" xfId="4048" xr:uid="{00000000-0005-0000-0000-00003E2F0000}"/>
    <cellStyle name="40% - Accent1 6 3 3 2" xfId="7640" xr:uid="{00000000-0005-0000-0000-00003F2F0000}"/>
    <cellStyle name="40% - Accent1 6 3 3 2 2" xfId="15611" xr:uid="{00000000-0005-0000-0000-0000402F0000}"/>
    <cellStyle name="40% - Accent1 6 3 3 2 2 2" xfId="39454" xr:uid="{A278CE57-4EEC-40B9-8F3D-0EF900191B92}"/>
    <cellStyle name="40% - Accent1 6 3 3 2 3" xfId="23557" xr:uid="{00000000-0005-0000-0000-0000412F0000}"/>
    <cellStyle name="40% - Accent1 6 3 3 2 3 2" xfId="47390" xr:uid="{A9567D96-AAF4-478A-B104-BD63A850A888}"/>
    <cellStyle name="40% - Accent1 6 3 3 2 4" xfId="31513" xr:uid="{28DF08D9-FE50-4B5C-8B32-BED07B4032EA}"/>
    <cellStyle name="40% - Accent1 6 3 3 3" xfId="12073" xr:uid="{00000000-0005-0000-0000-0000422F0000}"/>
    <cellStyle name="40% - Accent1 6 3 3 3 2" xfId="35923" xr:uid="{12318782-E4D2-46FD-9DF3-5F6B756E4BFE}"/>
    <cellStyle name="40% - Accent1 6 3 3 4" xfId="20028" xr:uid="{00000000-0005-0000-0000-0000432F0000}"/>
    <cellStyle name="40% - Accent1 6 3 3 4 2" xfId="43861" xr:uid="{1FEE03AC-A323-4A55-9C3F-A8A990630FD9}"/>
    <cellStyle name="40% - Accent1 6 3 3 5" xfId="27982" xr:uid="{AF708728-A341-46E4-B897-B55CFC195D0F}"/>
    <cellStyle name="40% - Accent1 6 3 4" xfId="5868" xr:uid="{00000000-0005-0000-0000-0000442F0000}"/>
    <cellStyle name="40% - Accent1 6 3 4 2" xfId="13852" xr:uid="{00000000-0005-0000-0000-0000452F0000}"/>
    <cellStyle name="40% - Accent1 6 3 4 2 2" xfId="37696" xr:uid="{38FBE330-78F3-4A6B-98BE-78B7BE92C893}"/>
    <cellStyle name="40% - Accent1 6 3 4 3" xfId="21800" xr:uid="{00000000-0005-0000-0000-0000462F0000}"/>
    <cellStyle name="40% - Accent1 6 3 4 3 2" xfId="45633" xr:uid="{CBFFC2CF-09CF-4AD6-B8F2-B655E9CCD410}"/>
    <cellStyle name="40% - Accent1 6 3 4 4" xfId="29755" xr:uid="{81D4DB5B-F73D-4E7A-BAD4-514041B8C0C2}"/>
    <cellStyle name="40% - Accent1 6 3 5" xfId="9421" xr:uid="{00000000-0005-0000-0000-0000472F0000}"/>
    <cellStyle name="40% - Accent1 6 3 5 2" xfId="17379" xr:uid="{00000000-0005-0000-0000-0000482F0000}"/>
    <cellStyle name="40% - Accent1 6 3 5 2 2" xfId="41220" xr:uid="{B2B02C9D-92DC-4C39-B18C-8F18B500FB7F}"/>
    <cellStyle name="40% - Accent1 6 3 5 3" xfId="25323" xr:uid="{00000000-0005-0000-0000-0000492F0000}"/>
    <cellStyle name="40% - Accent1 6 3 5 3 2" xfId="49156" xr:uid="{3B6488A3-F01D-4A97-8B5F-B2E3CC955450}"/>
    <cellStyle name="40% - Accent1 6 3 5 4" xfId="33279" xr:uid="{CCD72E50-77E4-443C-AD6D-659F39325586}"/>
    <cellStyle name="40% - Accent1 6 3 6" xfId="10317" xr:uid="{00000000-0005-0000-0000-00004A2F0000}"/>
    <cellStyle name="40% - Accent1 6 3 6 2" xfId="34167" xr:uid="{773E0663-F552-428A-B6CE-BFCB838763D7}"/>
    <cellStyle name="40% - Accent1 6 3 7" xfId="18272" xr:uid="{00000000-0005-0000-0000-00004B2F0000}"/>
    <cellStyle name="40% - Accent1 6 3 7 2" xfId="42105" xr:uid="{75DA7F7F-139D-4039-B273-25CCB1EA3713}"/>
    <cellStyle name="40% - Accent1 6 3 8" xfId="26225" xr:uid="{9B09B36D-FE45-4760-9C20-6CC2A42D6E3B}"/>
    <cellStyle name="40% - Accent1 6 3_Exh G" xfId="2774" xr:uid="{00000000-0005-0000-0000-00004C2F0000}"/>
    <cellStyle name="40% - Accent1 6 4" xfId="942" xr:uid="{00000000-0005-0000-0000-00004D2F0000}"/>
    <cellStyle name="40% - Accent1 6 4 2" xfId="1865" xr:uid="{00000000-0005-0000-0000-00004E2F0000}"/>
    <cellStyle name="40% - Accent1 6 4 2 2" xfId="5383" xr:uid="{00000000-0005-0000-0000-00004F2F0000}"/>
    <cellStyle name="40% - Accent1 6 4 2 2 2" xfId="8974" xr:uid="{00000000-0005-0000-0000-0000502F0000}"/>
    <cellStyle name="40% - Accent1 6 4 2 2 2 2" xfId="16945" xr:uid="{00000000-0005-0000-0000-0000512F0000}"/>
    <cellStyle name="40% - Accent1 6 4 2 2 2 2 2" xfId="40788" xr:uid="{CB095D38-F243-4AF7-A3CD-BE122729CFFB}"/>
    <cellStyle name="40% - Accent1 6 4 2 2 2 3" xfId="24891" xr:uid="{00000000-0005-0000-0000-0000522F0000}"/>
    <cellStyle name="40% - Accent1 6 4 2 2 2 3 2" xfId="48724" xr:uid="{1C0EBC5D-FDA3-4E7A-8DFA-F461FCA92F96}"/>
    <cellStyle name="40% - Accent1 6 4 2 2 2 4" xfId="32847" xr:uid="{82BEE7CF-C99F-417F-966A-054B5EEA6AF7}"/>
    <cellStyle name="40% - Accent1 6 4 2 2 3" xfId="13407" xr:uid="{00000000-0005-0000-0000-0000532F0000}"/>
    <cellStyle name="40% - Accent1 6 4 2 2 3 2" xfId="37257" xr:uid="{9DC4CBDF-D100-4141-BEC4-80E28E82032A}"/>
    <cellStyle name="40% - Accent1 6 4 2 2 4" xfId="21362" xr:uid="{00000000-0005-0000-0000-0000542F0000}"/>
    <cellStyle name="40% - Accent1 6 4 2 2 4 2" xfId="45195" xr:uid="{18EF369A-6823-4377-911E-C8E6105A7C3C}"/>
    <cellStyle name="40% - Accent1 6 4 2 2 5" xfId="29316" xr:uid="{AC4FC301-F194-4DF0-BB97-6F2645E770F8}"/>
    <cellStyle name="40% - Accent1 6 4 2 3" xfId="7215" xr:uid="{00000000-0005-0000-0000-0000552F0000}"/>
    <cellStyle name="40% - Accent1 6 4 2 3 2" xfId="15187" xr:uid="{00000000-0005-0000-0000-0000562F0000}"/>
    <cellStyle name="40% - Accent1 6 4 2 3 2 2" xfId="39030" xr:uid="{1CB0C28F-39F2-446D-A5AA-6E270934FE03}"/>
    <cellStyle name="40% - Accent1 6 4 2 3 3" xfId="23134" xr:uid="{00000000-0005-0000-0000-0000572F0000}"/>
    <cellStyle name="40% - Accent1 6 4 2 3 3 2" xfId="46967" xr:uid="{29EC3FC3-3642-4152-920B-56F23E29D19C}"/>
    <cellStyle name="40% - Accent1 6 4 2 3 4" xfId="31089" xr:uid="{17A82E82-D023-46F2-9BD5-4BECB147AEB8}"/>
    <cellStyle name="40% - Accent1 6 4 2 4" xfId="11651" xr:uid="{00000000-0005-0000-0000-0000582F0000}"/>
    <cellStyle name="40% - Accent1 6 4 2 4 2" xfId="35501" xr:uid="{ED20B045-B3E2-44D8-AD0B-BC01CBC1EE7D}"/>
    <cellStyle name="40% - Accent1 6 4 2 5" xfId="19606" xr:uid="{00000000-0005-0000-0000-0000592F0000}"/>
    <cellStyle name="40% - Accent1 6 4 2 5 2" xfId="43439" xr:uid="{17FDF412-0E70-4E34-9213-3CC0CFC5C179}"/>
    <cellStyle name="40% - Accent1 6 4 2 6" xfId="27559" xr:uid="{45546952-982B-4914-93A8-BB0E9704A001}"/>
    <cellStyle name="40% - Accent1 6 4 2_Exh G" xfId="2777" xr:uid="{00000000-0005-0000-0000-00005A2F0000}"/>
    <cellStyle name="40% - Accent1 6 4 3" xfId="4504" xr:uid="{00000000-0005-0000-0000-00005B2F0000}"/>
    <cellStyle name="40% - Accent1 6 4 3 2" xfId="8096" xr:uid="{00000000-0005-0000-0000-00005C2F0000}"/>
    <cellStyle name="40% - Accent1 6 4 3 2 2" xfId="16067" xr:uid="{00000000-0005-0000-0000-00005D2F0000}"/>
    <cellStyle name="40% - Accent1 6 4 3 2 2 2" xfId="39910" xr:uid="{A3B3597A-04E6-4F60-BF60-091F3505F740}"/>
    <cellStyle name="40% - Accent1 6 4 3 2 3" xfId="24013" xr:uid="{00000000-0005-0000-0000-00005E2F0000}"/>
    <cellStyle name="40% - Accent1 6 4 3 2 3 2" xfId="47846" xr:uid="{C87DE1C1-8770-4524-AE80-B93A1D3432E8}"/>
    <cellStyle name="40% - Accent1 6 4 3 2 4" xfId="31969" xr:uid="{0532C933-7319-4394-AC64-69E5D4E286BB}"/>
    <cellStyle name="40% - Accent1 6 4 3 3" xfId="12529" xr:uid="{00000000-0005-0000-0000-00005F2F0000}"/>
    <cellStyle name="40% - Accent1 6 4 3 3 2" xfId="36379" xr:uid="{799ABBB2-41D3-4AAB-B49C-F0546F918DEE}"/>
    <cellStyle name="40% - Accent1 6 4 3 4" xfId="20484" xr:uid="{00000000-0005-0000-0000-0000602F0000}"/>
    <cellStyle name="40% - Accent1 6 4 3 4 2" xfId="44317" xr:uid="{A6D5AE44-0393-4FEA-BB67-B97B0D7E3FC0}"/>
    <cellStyle name="40% - Accent1 6 4 3 5" xfId="28438" xr:uid="{08A7036E-0F31-43FA-BFE7-E010803E9D52}"/>
    <cellStyle name="40% - Accent1 6 4 4" xfId="6334" xr:uid="{00000000-0005-0000-0000-0000612F0000}"/>
    <cellStyle name="40% - Accent1 6 4 4 2" xfId="14309" xr:uid="{00000000-0005-0000-0000-0000622F0000}"/>
    <cellStyle name="40% - Accent1 6 4 4 2 2" xfId="38152" xr:uid="{B64EF137-4BA2-428E-BB9B-EFDED5BA76CD}"/>
    <cellStyle name="40% - Accent1 6 4 4 3" xfId="22256" xr:uid="{00000000-0005-0000-0000-0000632F0000}"/>
    <cellStyle name="40% - Accent1 6 4 4 3 2" xfId="46089" xr:uid="{731FB91A-4C0B-48D8-8006-607FCA105353}"/>
    <cellStyle name="40% - Accent1 6 4 4 4" xfId="30211" xr:uid="{0D3D74D9-FB89-4C18-9A32-5947339F6877}"/>
    <cellStyle name="40% - Accent1 6 4 5" xfId="9877" xr:uid="{00000000-0005-0000-0000-0000642F0000}"/>
    <cellStyle name="40% - Accent1 6 4 5 2" xfId="17835" xr:uid="{00000000-0005-0000-0000-0000652F0000}"/>
    <cellStyle name="40% - Accent1 6 4 5 2 2" xfId="41676" xr:uid="{F5980E09-00DE-428B-A90F-20E81B8A6ACF}"/>
    <cellStyle name="40% - Accent1 6 4 5 3" xfId="25779" xr:uid="{00000000-0005-0000-0000-0000662F0000}"/>
    <cellStyle name="40% - Accent1 6 4 5 3 2" xfId="49612" xr:uid="{78F3F4BA-E3BD-494F-8EF3-B6F08E6F9CDE}"/>
    <cellStyle name="40% - Accent1 6 4 5 4" xfId="33735" xr:uid="{CD7FE1EF-029D-463A-ABE7-78202C743018}"/>
    <cellStyle name="40% - Accent1 6 4 6" xfId="10773" xr:uid="{00000000-0005-0000-0000-0000672F0000}"/>
    <cellStyle name="40% - Accent1 6 4 6 2" xfId="34623" xr:uid="{BD031F8B-49FE-48F0-9040-8DA03589A265}"/>
    <cellStyle name="40% - Accent1 6 4 7" xfId="18728" xr:uid="{00000000-0005-0000-0000-0000682F0000}"/>
    <cellStyle name="40% - Accent1 6 4 7 2" xfId="42561" xr:uid="{F21D494D-739B-4432-A526-60FEB8640C49}"/>
    <cellStyle name="40% - Accent1 6 4 8" xfId="26681" xr:uid="{F8977E6E-B283-435F-B891-2EE9420801C7}"/>
    <cellStyle name="40% - Accent1 6 4_Exh G" xfId="2776" xr:uid="{00000000-0005-0000-0000-0000692F0000}"/>
    <cellStyle name="40% - Accent1 6 5" xfId="1394" xr:uid="{00000000-0005-0000-0000-00006A2F0000}"/>
    <cellStyle name="40% - Accent1 6 5 2" xfId="4924" xr:uid="{00000000-0005-0000-0000-00006B2F0000}"/>
    <cellStyle name="40% - Accent1 6 5 2 2" xfId="8515" xr:uid="{00000000-0005-0000-0000-00006C2F0000}"/>
    <cellStyle name="40% - Accent1 6 5 2 2 2" xfId="16486" xr:uid="{00000000-0005-0000-0000-00006D2F0000}"/>
    <cellStyle name="40% - Accent1 6 5 2 2 2 2" xfId="40329" xr:uid="{CEA25DE3-6EEC-4724-A5ED-CEF3C51203D3}"/>
    <cellStyle name="40% - Accent1 6 5 2 2 3" xfId="24432" xr:uid="{00000000-0005-0000-0000-00006E2F0000}"/>
    <cellStyle name="40% - Accent1 6 5 2 2 3 2" xfId="48265" xr:uid="{76D948FF-DD78-4925-BEA0-F95DCBDA1048}"/>
    <cellStyle name="40% - Accent1 6 5 2 2 4" xfId="32388" xr:uid="{EDBEFC8F-766D-4473-AD95-6473C1B58F8D}"/>
    <cellStyle name="40% - Accent1 6 5 2 3" xfId="12948" xr:uid="{00000000-0005-0000-0000-00006F2F0000}"/>
    <cellStyle name="40% - Accent1 6 5 2 3 2" xfId="36798" xr:uid="{BAC3017F-F69A-4C82-AF75-35E727964171}"/>
    <cellStyle name="40% - Accent1 6 5 2 4" xfId="20903" xr:uid="{00000000-0005-0000-0000-0000702F0000}"/>
    <cellStyle name="40% - Accent1 6 5 2 4 2" xfId="44736" xr:uid="{E58880CE-68B5-436C-AF00-5E932077917F}"/>
    <cellStyle name="40% - Accent1 6 5 2 5" xfId="28857" xr:uid="{5B00FBC7-A66B-46AC-9348-7BF69BD9E31F}"/>
    <cellStyle name="40% - Accent1 6 5 3" xfId="6756" xr:uid="{00000000-0005-0000-0000-0000712F0000}"/>
    <cellStyle name="40% - Accent1 6 5 3 2" xfId="14728" xr:uid="{00000000-0005-0000-0000-0000722F0000}"/>
    <cellStyle name="40% - Accent1 6 5 3 2 2" xfId="38571" xr:uid="{1E31BD73-CAE5-478C-B434-A037D39E8234}"/>
    <cellStyle name="40% - Accent1 6 5 3 3" xfId="22675" xr:uid="{00000000-0005-0000-0000-0000732F0000}"/>
    <cellStyle name="40% - Accent1 6 5 3 3 2" xfId="46508" xr:uid="{60DFBAD2-F1AA-4D1B-AB07-66414541AA80}"/>
    <cellStyle name="40% - Accent1 6 5 3 4" xfId="30630" xr:uid="{CA03DD28-E29D-4BA0-AC68-79C9A6ACFAB3}"/>
    <cellStyle name="40% - Accent1 6 5 4" xfId="11192" xr:uid="{00000000-0005-0000-0000-0000742F0000}"/>
    <cellStyle name="40% - Accent1 6 5 4 2" xfId="35042" xr:uid="{42EC2E90-EC9C-4A48-85A8-E3D04C8406F5}"/>
    <cellStyle name="40% - Accent1 6 5 5" xfId="19147" xr:uid="{00000000-0005-0000-0000-0000752F0000}"/>
    <cellStyle name="40% - Accent1 6 5 5 2" xfId="42980" xr:uid="{79AC903A-222B-4E15-B089-C6D23526F035}"/>
    <cellStyle name="40% - Accent1 6 5 6" xfId="27100" xr:uid="{DAFB9171-B860-4421-AEE6-BF5FF2B9D04F}"/>
    <cellStyle name="40% - Accent1 6 5_Exh G" xfId="2778" xr:uid="{00000000-0005-0000-0000-0000762F0000}"/>
    <cellStyle name="40% - Accent1 6 6" xfId="4045" xr:uid="{00000000-0005-0000-0000-0000772F0000}"/>
    <cellStyle name="40% - Accent1 6 6 2" xfId="7637" xr:uid="{00000000-0005-0000-0000-0000782F0000}"/>
    <cellStyle name="40% - Accent1 6 6 2 2" xfId="15608" xr:uid="{00000000-0005-0000-0000-0000792F0000}"/>
    <cellStyle name="40% - Accent1 6 6 2 2 2" xfId="39451" xr:uid="{BB75E6FF-46AD-4249-9E03-1E49CF3725B2}"/>
    <cellStyle name="40% - Accent1 6 6 2 3" xfId="23554" xr:uid="{00000000-0005-0000-0000-00007A2F0000}"/>
    <cellStyle name="40% - Accent1 6 6 2 3 2" xfId="47387" xr:uid="{60AE9956-4A0C-4090-AA5C-FF0797256BCF}"/>
    <cellStyle name="40% - Accent1 6 6 2 4" xfId="31510" xr:uid="{35A1A161-C946-4605-BE15-CE0EAC2BC1B7}"/>
    <cellStyle name="40% - Accent1 6 6 3" xfId="12070" xr:uid="{00000000-0005-0000-0000-00007B2F0000}"/>
    <cellStyle name="40% - Accent1 6 6 3 2" xfId="35920" xr:uid="{A5EC3ABF-93B5-4753-9492-32FE013EF1D3}"/>
    <cellStyle name="40% - Accent1 6 6 4" xfId="20025" xr:uid="{00000000-0005-0000-0000-00007C2F0000}"/>
    <cellStyle name="40% - Accent1 6 6 4 2" xfId="43858" xr:uid="{EDFDD3C5-5420-4D64-9C2A-D3B261171101}"/>
    <cellStyle name="40% - Accent1 6 6 5" xfId="27979" xr:uid="{768FF12A-9D2D-46DC-91ED-03DF85B22E5A}"/>
    <cellStyle name="40% - Accent1 6 7" xfId="5865" xr:uid="{00000000-0005-0000-0000-00007D2F0000}"/>
    <cellStyle name="40% - Accent1 6 7 2" xfId="13849" xr:uid="{00000000-0005-0000-0000-00007E2F0000}"/>
    <cellStyle name="40% - Accent1 6 7 2 2" xfId="37693" xr:uid="{08822FDA-43D9-496B-B568-E14753DE377E}"/>
    <cellStyle name="40% - Accent1 6 7 3" xfId="21797" xr:uid="{00000000-0005-0000-0000-00007F2F0000}"/>
    <cellStyle name="40% - Accent1 6 7 3 2" xfId="45630" xr:uid="{7199EA37-B727-4BEB-8037-7995345DC5CC}"/>
    <cellStyle name="40% - Accent1 6 7 4" xfId="29752" xr:uid="{2EA9FF7F-919E-4D06-ACA1-A149F9A6F3B7}"/>
    <cellStyle name="40% - Accent1 6 8" xfId="9418" xr:uid="{00000000-0005-0000-0000-0000802F0000}"/>
    <cellStyle name="40% - Accent1 6 8 2" xfId="17376" xr:uid="{00000000-0005-0000-0000-0000812F0000}"/>
    <cellStyle name="40% - Accent1 6 8 2 2" xfId="41217" xr:uid="{8D765EB7-DE71-4257-B8DF-35701911C447}"/>
    <cellStyle name="40% - Accent1 6 8 3" xfId="25320" xr:uid="{00000000-0005-0000-0000-0000822F0000}"/>
    <cellStyle name="40% - Accent1 6 8 3 2" xfId="49153" xr:uid="{20574385-3667-4FBF-9BD2-64032B754705}"/>
    <cellStyle name="40% - Accent1 6 8 4" xfId="33276" xr:uid="{302F824E-5BDA-4812-BE1C-34578F78DB86}"/>
    <cellStyle name="40% - Accent1 6 9" xfId="10314" xr:uid="{00000000-0005-0000-0000-0000832F0000}"/>
    <cellStyle name="40% - Accent1 6 9 2" xfId="34164" xr:uid="{765FA042-6963-4605-BDA5-D20E8A011D31}"/>
    <cellStyle name="40% - Accent1 6_Exh G" xfId="2769" xr:uid="{00000000-0005-0000-0000-0000842F0000}"/>
    <cellStyle name="40% - Accent1 7" xfId="370" xr:uid="{00000000-0005-0000-0000-0000852F0000}"/>
    <cellStyle name="40% - Accent1 7 10" xfId="18273" xr:uid="{00000000-0005-0000-0000-0000862F0000}"/>
    <cellStyle name="40% - Accent1 7 10 2" xfId="42106" xr:uid="{AB40678D-EFD6-4529-95E8-B1739955B758}"/>
    <cellStyle name="40% - Accent1 7 11" xfId="26226" xr:uid="{7C3F01A5-EAE4-48D4-AFFE-B03E467AFC55}"/>
    <cellStyle name="40% - Accent1 7 2" xfId="371" xr:uid="{00000000-0005-0000-0000-0000872F0000}"/>
    <cellStyle name="40% - Accent1 7 2 2" xfId="372" xr:uid="{00000000-0005-0000-0000-0000882F0000}"/>
    <cellStyle name="40% - Accent1 7 2 2 2" xfId="1400" xr:uid="{00000000-0005-0000-0000-0000892F0000}"/>
    <cellStyle name="40% - Accent1 7 2 2 2 2" xfId="4930" xr:uid="{00000000-0005-0000-0000-00008A2F0000}"/>
    <cellStyle name="40% - Accent1 7 2 2 2 2 2" xfId="8521" xr:uid="{00000000-0005-0000-0000-00008B2F0000}"/>
    <cellStyle name="40% - Accent1 7 2 2 2 2 2 2" xfId="16492" xr:uid="{00000000-0005-0000-0000-00008C2F0000}"/>
    <cellStyle name="40% - Accent1 7 2 2 2 2 2 2 2" xfId="40335" xr:uid="{3765AF6B-036D-4A35-A051-AD1AEFD2A27F}"/>
    <cellStyle name="40% - Accent1 7 2 2 2 2 2 3" xfId="24438" xr:uid="{00000000-0005-0000-0000-00008D2F0000}"/>
    <cellStyle name="40% - Accent1 7 2 2 2 2 2 3 2" xfId="48271" xr:uid="{52DF2C65-3B57-4212-9887-C4F47A3FDB1E}"/>
    <cellStyle name="40% - Accent1 7 2 2 2 2 2 4" xfId="32394" xr:uid="{499839C3-6453-4A90-9E4A-7DB9C443C559}"/>
    <cellStyle name="40% - Accent1 7 2 2 2 2 3" xfId="12954" xr:uid="{00000000-0005-0000-0000-00008E2F0000}"/>
    <cellStyle name="40% - Accent1 7 2 2 2 2 3 2" xfId="36804" xr:uid="{A511C1C5-14B8-4BDE-A39B-11726007EA15}"/>
    <cellStyle name="40% - Accent1 7 2 2 2 2 4" xfId="20909" xr:uid="{00000000-0005-0000-0000-00008F2F0000}"/>
    <cellStyle name="40% - Accent1 7 2 2 2 2 4 2" xfId="44742" xr:uid="{723ACAC7-9F61-40BF-8E22-DDD310817D68}"/>
    <cellStyle name="40% - Accent1 7 2 2 2 2 5" xfId="28863" xr:uid="{4FD348BD-5A76-41D0-AFEF-2598D542DE20}"/>
    <cellStyle name="40% - Accent1 7 2 2 2 3" xfId="6762" xr:uid="{00000000-0005-0000-0000-0000902F0000}"/>
    <cellStyle name="40% - Accent1 7 2 2 2 3 2" xfId="14734" xr:uid="{00000000-0005-0000-0000-0000912F0000}"/>
    <cellStyle name="40% - Accent1 7 2 2 2 3 2 2" xfId="38577" xr:uid="{8129884F-6095-49D5-B9A4-4F4C3AD2ABA9}"/>
    <cellStyle name="40% - Accent1 7 2 2 2 3 3" xfId="22681" xr:uid="{00000000-0005-0000-0000-0000922F0000}"/>
    <cellStyle name="40% - Accent1 7 2 2 2 3 3 2" xfId="46514" xr:uid="{1447A32F-8E4E-411E-973A-337143483D87}"/>
    <cellStyle name="40% - Accent1 7 2 2 2 3 4" xfId="30636" xr:uid="{911825D0-BCE8-4C76-9F92-14520F72E5BB}"/>
    <cellStyle name="40% - Accent1 7 2 2 2 4" xfId="11198" xr:uid="{00000000-0005-0000-0000-0000932F0000}"/>
    <cellStyle name="40% - Accent1 7 2 2 2 4 2" xfId="35048" xr:uid="{CA8C1AC9-129A-48F3-9238-5EDD0E7201D4}"/>
    <cellStyle name="40% - Accent1 7 2 2 2 5" xfId="19153" xr:uid="{00000000-0005-0000-0000-0000942F0000}"/>
    <cellStyle name="40% - Accent1 7 2 2 2 5 2" xfId="42986" xr:uid="{DB020B98-05AF-4605-9843-161B1E2715D1}"/>
    <cellStyle name="40% - Accent1 7 2 2 2 6" xfId="27106" xr:uid="{8B8230E6-47C0-46DE-8B33-DEF960C9E4F0}"/>
    <cellStyle name="40% - Accent1 7 2 2 2_Exh G" xfId="2782" xr:uid="{00000000-0005-0000-0000-0000952F0000}"/>
    <cellStyle name="40% - Accent1 7 2 2 3" xfId="4051" xr:uid="{00000000-0005-0000-0000-0000962F0000}"/>
    <cellStyle name="40% - Accent1 7 2 2 3 2" xfId="7643" xr:uid="{00000000-0005-0000-0000-0000972F0000}"/>
    <cellStyle name="40% - Accent1 7 2 2 3 2 2" xfId="15614" xr:uid="{00000000-0005-0000-0000-0000982F0000}"/>
    <cellStyle name="40% - Accent1 7 2 2 3 2 2 2" xfId="39457" xr:uid="{3D8A4C05-4FBF-4A0C-BBE2-1126912A5D42}"/>
    <cellStyle name="40% - Accent1 7 2 2 3 2 3" xfId="23560" xr:uid="{00000000-0005-0000-0000-0000992F0000}"/>
    <cellStyle name="40% - Accent1 7 2 2 3 2 3 2" xfId="47393" xr:uid="{0930307C-3E92-4413-A13A-475357718606}"/>
    <cellStyle name="40% - Accent1 7 2 2 3 2 4" xfId="31516" xr:uid="{4D156501-E896-443B-BD97-D3FC3123660F}"/>
    <cellStyle name="40% - Accent1 7 2 2 3 3" xfId="12076" xr:uid="{00000000-0005-0000-0000-00009A2F0000}"/>
    <cellStyle name="40% - Accent1 7 2 2 3 3 2" xfId="35926" xr:uid="{3B875F5B-7231-46F4-9AF6-A6FF7F8C7317}"/>
    <cellStyle name="40% - Accent1 7 2 2 3 4" xfId="20031" xr:uid="{00000000-0005-0000-0000-00009B2F0000}"/>
    <cellStyle name="40% - Accent1 7 2 2 3 4 2" xfId="43864" xr:uid="{EE866C20-3488-4A43-ABB7-4E99568AC367}"/>
    <cellStyle name="40% - Accent1 7 2 2 3 5" xfId="27985" xr:uid="{223A0F75-374F-4804-8C5D-F91900734973}"/>
    <cellStyle name="40% - Accent1 7 2 2 4" xfId="5871" xr:uid="{00000000-0005-0000-0000-00009C2F0000}"/>
    <cellStyle name="40% - Accent1 7 2 2 4 2" xfId="13855" xr:uid="{00000000-0005-0000-0000-00009D2F0000}"/>
    <cellStyle name="40% - Accent1 7 2 2 4 2 2" xfId="37699" xr:uid="{E378D693-B938-4F90-B525-10694D98969C}"/>
    <cellStyle name="40% - Accent1 7 2 2 4 3" xfId="21803" xr:uid="{00000000-0005-0000-0000-00009E2F0000}"/>
    <cellStyle name="40% - Accent1 7 2 2 4 3 2" xfId="45636" xr:uid="{E1812A73-CC87-4CDA-B510-D73F77AA34B8}"/>
    <cellStyle name="40% - Accent1 7 2 2 4 4" xfId="29758" xr:uid="{B1683265-1715-44BF-9B24-9D9BD1772F3F}"/>
    <cellStyle name="40% - Accent1 7 2 2 5" xfId="9424" xr:uid="{00000000-0005-0000-0000-00009F2F0000}"/>
    <cellStyle name="40% - Accent1 7 2 2 5 2" xfId="17382" xr:uid="{00000000-0005-0000-0000-0000A02F0000}"/>
    <cellStyle name="40% - Accent1 7 2 2 5 2 2" xfId="41223" xr:uid="{2918955C-F467-4F16-97FD-C791A94EA25B}"/>
    <cellStyle name="40% - Accent1 7 2 2 5 3" xfId="25326" xr:uid="{00000000-0005-0000-0000-0000A12F0000}"/>
    <cellStyle name="40% - Accent1 7 2 2 5 3 2" xfId="49159" xr:uid="{2006AF41-D9DF-4AEF-A76C-A8B0A20191BF}"/>
    <cellStyle name="40% - Accent1 7 2 2 5 4" xfId="33282" xr:uid="{4DBE0277-0141-45D4-AB7B-5D4CE3C677C6}"/>
    <cellStyle name="40% - Accent1 7 2 2 6" xfId="10320" xr:uid="{00000000-0005-0000-0000-0000A22F0000}"/>
    <cellStyle name="40% - Accent1 7 2 2 6 2" xfId="34170" xr:uid="{4F88F01D-E9C2-437B-BC66-F475E044975E}"/>
    <cellStyle name="40% - Accent1 7 2 2 7" xfId="18275" xr:uid="{00000000-0005-0000-0000-0000A32F0000}"/>
    <cellStyle name="40% - Accent1 7 2 2 7 2" xfId="42108" xr:uid="{F0B08718-9663-41BD-9AE6-3CB358899E08}"/>
    <cellStyle name="40% - Accent1 7 2 2 8" xfId="26228" xr:uid="{B4AE4DAE-D3EF-49DC-828E-1791F43B7B64}"/>
    <cellStyle name="40% - Accent1 7 2 2_Exh G" xfId="2781" xr:uid="{00000000-0005-0000-0000-0000A42F0000}"/>
    <cellStyle name="40% - Accent1 7 2 3" xfId="1399" xr:uid="{00000000-0005-0000-0000-0000A52F0000}"/>
    <cellStyle name="40% - Accent1 7 2 3 2" xfId="4929" xr:uid="{00000000-0005-0000-0000-0000A62F0000}"/>
    <cellStyle name="40% - Accent1 7 2 3 2 2" xfId="8520" xr:uid="{00000000-0005-0000-0000-0000A72F0000}"/>
    <cellStyle name="40% - Accent1 7 2 3 2 2 2" xfId="16491" xr:uid="{00000000-0005-0000-0000-0000A82F0000}"/>
    <cellStyle name="40% - Accent1 7 2 3 2 2 2 2" xfId="40334" xr:uid="{C13A8896-108E-4935-A785-9D7FC5476603}"/>
    <cellStyle name="40% - Accent1 7 2 3 2 2 3" xfId="24437" xr:uid="{00000000-0005-0000-0000-0000A92F0000}"/>
    <cellStyle name="40% - Accent1 7 2 3 2 2 3 2" xfId="48270" xr:uid="{8E466E0D-C02A-4375-9D34-6AE4828E42C7}"/>
    <cellStyle name="40% - Accent1 7 2 3 2 2 4" xfId="32393" xr:uid="{69EA0DF3-7B72-4BBF-B103-5B686D1FBA83}"/>
    <cellStyle name="40% - Accent1 7 2 3 2 3" xfId="12953" xr:uid="{00000000-0005-0000-0000-0000AA2F0000}"/>
    <cellStyle name="40% - Accent1 7 2 3 2 3 2" xfId="36803" xr:uid="{BAC6175F-6B12-4C4C-A91F-F3364A0EDDF3}"/>
    <cellStyle name="40% - Accent1 7 2 3 2 4" xfId="20908" xr:uid="{00000000-0005-0000-0000-0000AB2F0000}"/>
    <cellStyle name="40% - Accent1 7 2 3 2 4 2" xfId="44741" xr:uid="{D0E9C65A-EAD4-4115-94E4-400E83AE0571}"/>
    <cellStyle name="40% - Accent1 7 2 3 2 5" xfId="28862" xr:uid="{E3514B5F-EB70-46BA-8415-06E34D2CDF87}"/>
    <cellStyle name="40% - Accent1 7 2 3 3" xfId="6761" xr:uid="{00000000-0005-0000-0000-0000AC2F0000}"/>
    <cellStyle name="40% - Accent1 7 2 3 3 2" xfId="14733" xr:uid="{00000000-0005-0000-0000-0000AD2F0000}"/>
    <cellStyle name="40% - Accent1 7 2 3 3 2 2" xfId="38576" xr:uid="{270C4055-DC2D-485B-A9D4-4164853D2E98}"/>
    <cellStyle name="40% - Accent1 7 2 3 3 3" xfId="22680" xr:uid="{00000000-0005-0000-0000-0000AE2F0000}"/>
    <cellStyle name="40% - Accent1 7 2 3 3 3 2" xfId="46513" xr:uid="{4E4CC153-4795-48C6-BC1D-4C77FBF05E32}"/>
    <cellStyle name="40% - Accent1 7 2 3 3 4" xfId="30635" xr:uid="{8D4CFA42-1452-4C73-8DB7-1C1A3DF58600}"/>
    <cellStyle name="40% - Accent1 7 2 3 4" xfId="11197" xr:uid="{00000000-0005-0000-0000-0000AF2F0000}"/>
    <cellStyle name="40% - Accent1 7 2 3 4 2" xfId="35047" xr:uid="{862AEE47-9A0E-4A10-8B31-C669E8AC7B30}"/>
    <cellStyle name="40% - Accent1 7 2 3 5" xfId="19152" xr:uid="{00000000-0005-0000-0000-0000B02F0000}"/>
    <cellStyle name="40% - Accent1 7 2 3 5 2" xfId="42985" xr:uid="{24B87977-F41C-411C-A27B-BD48ECB94C5C}"/>
    <cellStyle name="40% - Accent1 7 2 3 6" xfId="27105" xr:uid="{BC254F71-D760-4F73-BED6-72E78C104BDC}"/>
    <cellStyle name="40% - Accent1 7 2 3_Exh G" xfId="2783" xr:uid="{00000000-0005-0000-0000-0000B12F0000}"/>
    <cellStyle name="40% - Accent1 7 2 4" xfId="4050" xr:uid="{00000000-0005-0000-0000-0000B22F0000}"/>
    <cellStyle name="40% - Accent1 7 2 4 2" xfId="7642" xr:uid="{00000000-0005-0000-0000-0000B32F0000}"/>
    <cellStyle name="40% - Accent1 7 2 4 2 2" xfId="15613" xr:uid="{00000000-0005-0000-0000-0000B42F0000}"/>
    <cellStyle name="40% - Accent1 7 2 4 2 2 2" xfId="39456" xr:uid="{1D33A179-AADE-43DF-9662-5CFD8FB61B44}"/>
    <cellStyle name="40% - Accent1 7 2 4 2 3" xfId="23559" xr:uid="{00000000-0005-0000-0000-0000B52F0000}"/>
    <cellStyle name="40% - Accent1 7 2 4 2 3 2" xfId="47392" xr:uid="{922FB618-5CCD-4CFB-AC5B-FC5389DDF471}"/>
    <cellStyle name="40% - Accent1 7 2 4 2 4" xfId="31515" xr:uid="{BCBC4A64-4B32-48C9-ADEB-730E8BC90E8D}"/>
    <cellStyle name="40% - Accent1 7 2 4 3" xfId="12075" xr:uid="{00000000-0005-0000-0000-0000B62F0000}"/>
    <cellStyle name="40% - Accent1 7 2 4 3 2" xfId="35925" xr:uid="{41EEA1D2-62B5-4654-8551-CCFA3185442C}"/>
    <cellStyle name="40% - Accent1 7 2 4 4" xfId="20030" xr:uid="{00000000-0005-0000-0000-0000B72F0000}"/>
    <cellStyle name="40% - Accent1 7 2 4 4 2" xfId="43863" xr:uid="{95C82854-FFEA-447B-9958-496431F58F4C}"/>
    <cellStyle name="40% - Accent1 7 2 4 5" xfId="27984" xr:uid="{05445E5A-EBCE-47AC-9A56-24B66B204F1F}"/>
    <cellStyle name="40% - Accent1 7 2 5" xfId="5870" xr:uid="{00000000-0005-0000-0000-0000B82F0000}"/>
    <cellStyle name="40% - Accent1 7 2 5 2" xfId="13854" xr:uid="{00000000-0005-0000-0000-0000B92F0000}"/>
    <cellStyle name="40% - Accent1 7 2 5 2 2" xfId="37698" xr:uid="{93D54CDD-F832-4BA6-8E28-A3938E43F7B2}"/>
    <cellStyle name="40% - Accent1 7 2 5 3" xfId="21802" xr:uid="{00000000-0005-0000-0000-0000BA2F0000}"/>
    <cellStyle name="40% - Accent1 7 2 5 3 2" xfId="45635" xr:uid="{EC4EC6FB-119B-4924-A9EB-71836C16B6D4}"/>
    <cellStyle name="40% - Accent1 7 2 5 4" xfId="29757" xr:uid="{CCAB4C51-C153-4037-9A28-A4BADED83127}"/>
    <cellStyle name="40% - Accent1 7 2 6" xfId="9423" xr:uid="{00000000-0005-0000-0000-0000BB2F0000}"/>
    <cellStyle name="40% - Accent1 7 2 6 2" xfId="17381" xr:uid="{00000000-0005-0000-0000-0000BC2F0000}"/>
    <cellStyle name="40% - Accent1 7 2 6 2 2" xfId="41222" xr:uid="{20A784DF-E162-4909-B210-DE0F4C0E49B4}"/>
    <cellStyle name="40% - Accent1 7 2 6 3" xfId="25325" xr:uid="{00000000-0005-0000-0000-0000BD2F0000}"/>
    <cellStyle name="40% - Accent1 7 2 6 3 2" xfId="49158" xr:uid="{B4E9DCB4-98A4-4AA8-8CC4-D0F2CB67AF0C}"/>
    <cellStyle name="40% - Accent1 7 2 6 4" xfId="33281" xr:uid="{429246A7-209F-42DB-A98C-2F8A34CCE0F5}"/>
    <cellStyle name="40% - Accent1 7 2 7" xfId="10319" xr:uid="{00000000-0005-0000-0000-0000BE2F0000}"/>
    <cellStyle name="40% - Accent1 7 2 7 2" xfId="34169" xr:uid="{B34518ED-324D-4AD3-B4E8-2277D6FC4C37}"/>
    <cellStyle name="40% - Accent1 7 2 8" xfId="18274" xr:uid="{00000000-0005-0000-0000-0000BF2F0000}"/>
    <cellStyle name="40% - Accent1 7 2 8 2" xfId="42107" xr:uid="{B65BA73D-7B31-4E7F-AADB-92BB20CCB74B}"/>
    <cellStyle name="40% - Accent1 7 2 9" xfId="26227" xr:uid="{DE5266F3-4E33-493D-B90B-276D70CCFC34}"/>
    <cellStyle name="40% - Accent1 7 2_Exh G" xfId="2780" xr:uid="{00000000-0005-0000-0000-0000C02F0000}"/>
    <cellStyle name="40% - Accent1 7 3" xfId="373" xr:uid="{00000000-0005-0000-0000-0000C12F0000}"/>
    <cellStyle name="40% - Accent1 7 3 2" xfId="1401" xr:uid="{00000000-0005-0000-0000-0000C22F0000}"/>
    <cellStyle name="40% - Accent1 7 3 2 2" xfId="4931" xr:uid="{00000000-0005-0000-0000-0000C32F0000}"/>
    <cellStyle name="40% - Accent1 7 3 2 2 2" xfId="8522" xr:uid="{00000000-0005-0000-0000-0000C42F0000}"/>
    <cellStyle name="40% - Accent1 7 3 2 2 2 2" xfId="16493" xr:uid="{00000000-0005-0000-0000-0000C52F0000}"/>
    <cellStyle name="40% - Accent1 7 3 2 2 2 2 2" xfId="40336" xr:uid="{B5C3ACB5-C3E3-4EBC-B784-52288D6F1625}"/>
    <cellStyle name="40% - Accent1 7 3 2 2 2 3" xfId="24439" xr:uid="{00000000-0005-0000-0000-0000C62F0000}"/>
    <cellStyle name="40% - Accent1 7 3 2 2 2 3 2" xfId="48272" xr:uid="{1F996818-508E-4571-B488-C33CA4D81F1B}"/>
    <cellStyle name="40% - Accent1 7 3 2 2 2 4" xfId="32395" xr:uid="{6A83E903-100D-4316-9DEE-8884C5B2BDF7}"/>
    <cellStyle name="40% - Accent1 7 3 2 2 3" xfId="12955" xr:uid="{00000000-0005-0000-0000-0000C72F0000}"/>
    <cellStyle name="40% - Accent1 7 3 2 2 3 2" xfId="36805" xr:uid="{C77267FB-84A6-4018-BCC1-216917A415AC}"/>
    <cellStyle name="40% - Accent1 7 3 2 2 4" xfId="20910" xr:uid="{00000000-0005-0000-0000-0000C82F0000}"/>
    <cellStyle name="40% - Accent1 7 3 2 2 4 2" xfId="44743" xr:uid="{67D215EA-AB56-484D-BCA5-9F492A012FAC}"/>
    <cellStyle name="40% - Accent1 7 3 2 2 5" xfId="28864" xr:uid="{6B73A0E3-0348-45EE-A11C-4FD0A573846A}"/>
    <cellStyle name="40% - Accent1 7 3 2 3" xfId="6763" xr:uid="{00000000-0005-0000-0000-0000C92F0000}"/>
    <cellStyle name="40% - Accent1 7 3 2 3 2" xfId="14735" xr:uid="{00000000-0005-0000-0000-0000CA2F0000}"/>
    <cellStyle name="40% - Accent1 7 3 2 3 2 2" xfId="38578" xr:uid="{0575661F-500B-4178-B5B7-01F6B38CC654}"/>
    <cellStyle name="40% - Accent1 7 3 2 3 3" xfId="22682" xr:uid="{00000000-0005-0000-0000-0000CB2F0000}"/>
    <cellStyle name="40% - Accent1 7 3 2 3 3 2" xfId="46515" xr:uid="{D2A43B7F-A73A-41D2-A3FD-27D835D5F01E}"/>
    <cellStyle name="40% - Accent1 7 3 2 3 4" xfId="30637" xr:uid="{57CEBD28-78CA-429B-BC98-AE8BEC13070F}"/>
    <cellStyle name="40% - Accent1 7 3 2 4" xfId="11199" xr:uid="{00000000-0005-0000-0000-0000CC2F0000}"/>
    <cellStyle name="40% - Accent1 7 3 2 4 2" xfId="35049" xr:uid="{2676DC62-603D-4632-BC31-B9AB246A3E35}"/>
    <cellStyle name="40% - Accent1 7 3 2 5" xfId="19154" xr:uid="{00000000-0005-0000-0000-0000CD2F0000}"/>
    <cellStyle name="40% - Accent1 7 3 2 5 2" xfId="42987" xr:uid="{ADCAA19B-CA15-405D-9C69-96A856D234D6}"/>
    <cellStyle name="40% - Accent1 7 3 2 6" xfId="27107" xr:uid="{024C892B-4128-4B6F-87B3-5C3A297DB6E1}"/>
    <cellStyle name="40% - Accent1 7 3 2_Exh G" xfId="2785" xr:uid="{00000000-0005-0000-0000-0000CE2F0000}"/>
    <cellStyle name="40% - Accent1 7 3 3" xfId="4052" xr:uid="{00000000-0005-0000-0000-0000CF2F0000}"/>
    <cellStyle name="40% - Accent1 7 3 3 2" xfId="7644" xr:uid="{00000000-0005-0000-0000-0000D02F0000}"/>
    <cellStyle name="40% - Accent1 7 3 3 2 2" xfId="15615" xr:uid="{00000000-0005-0000-0000-0000D12F0000}"/>
    <cellStyle name="40% - Accent1 7 3 3 2 2 2" xfId="39458" xr:uid="{61864EF7-55BC-4EC2-8AFC-C096ED0FF5CE}"/>
    <cellStyle name="40% - Accent1 7 3 3 2 3" xfId="23561" xr:uid="{00000000-0005-0000-0000-0000D22F0000}"/>
    <cellStyle name="40% - Accent1 7 3 3 2 3 2" xfId="47394" xr:uid="{ED97C0DC-3042-45D9-A0E1-EBDE19412F26}"/>
    <cellStyle name="40% - Accent1 7 3 3 2 4" xfId="31517" xr:uid="{C0D1CF80-7AFB-44FF-85C6-A3BCE71FCE6A}"/>
    <cellStyle name="40% - Accent1 7 3 3 3" xfId="12077" xr:uid="{00000000-0005-0000-0000-0000D32F0000}"/>
    <cellStyle name="40% - Accent1 7 3 3 3 2" xfId="35927" xr:uid="{3570CD8B-2658-4DFC-84EA-8A5606502974}"/>
    <cellStyle name="40% - Accent1 7 3 3 4" xfId="20032" xr:uid="{00000000-0005-0000-0000-0000D42F0000}"/>
    <cellStyle name="40% - Accent1 7 3 3 4 2" xfId="43865" xr:uid="{DD3C2A3C-CF55-4D64-9A6D-C89CED1E5824}"/>
    <cellStyle name="40% - Accent1 7 3 3 5" xfId="27986" xr:uid="{C9B52E6C-4540-493A-BABD-4BF3C9B3051E}"/>
    <cellStyle name="40% - Accent1 7 3 4" xfId="5872" xr:uid="{00000000-0005-0000-0000-0000D52F0000}"/>
    <cellStyle name="40% - Accent1 7 3 4 2" xfId="13856" xr:uid="{00000000-0005-0000-0000-0000D62F0000}"/>
    <cellStyle name="40% - Accent1 7 3 4 2 2" xfId="37700" xr:uid="{D0EFE474-88DD-40EA-B2DE-501A35D85E66}"/>
    <cellStyle name="40% - Accent1 7 3 4 3" xfId="21804" xr:uid="{00000000-0005-0000-0000-0000D72F0000}"/>
    <cellStyle name="40% - Accent1 7 3 4 3 2" xfId="45637" xr:uid="{8EF70A5D-F9D3-4680-BE01-C1939322FA24}"/>
    <cellStyle name="40% - Accent1 7 3 4 4" xfId="29759" xr:uid="{E52AD620-6FE7-4F1F-9566-73876FC872DB}"/>
    <cellStyle name="40% - Accent1 7 3 5" xfId="9425" xr:uid="{00000000-0005-0000-0000-0000D82F0000}"/>
    <cellStyle name="40% - Accent1 7 3 5 2" xfId="17383" xr:uid="{00000000-0005-0000-0000-0000D92F0000}"/>
    <cellStyle name="40% - Accent1 7 3 5 2 2" xfId="41224" xr:uid="{F2ECB5DB-C527-4AB8-9DBC-B5E2227A8949}"/>
    <cellStyle name="40% - Accent1 7 3 5 3" xfId="25327" xr:uid="{00000000-0005-0000-0000-0000DA2F0000}"/>
    <cellStyle name="40% - Accent1 7 3 5 3 2" xfId="49160" xr:uid="{5D68CD01-7296-498C-B94E-0F32B405F2E2}"/>
    <cellStyle name="40% - Accent1 7 3 5 4" xfId="33283" xr:uid="{53EA7486-B487-4F85-95FE-DEF975AF365C}"/>
    <cellStyle name="40% - Accent1 7 3 6" xfId="10321" xr:uid="{00000000-0005-0000-0000-0000DB2F0000}"/>
    <cellStyle name="40% - Accent1 7 3 6 2" xfId="34171" xr:uid="{B9778074-8B13-4D2F-892A-EA8E279FC692}"/>
    <cellStyle name="40% - Accent1 7 3 7" xfId="18276" xr:uid="{00000000-0005-0000-0000-0000DC2F0000}"/>
    <cellStyle name="40% - Accent1 7 3 7 2" xfId="42109" xr:uid="{D041DAF8-BE59-4F3A-BE4F-B0ACD418C95E}"/>
    <cellStyle name="40% - Accent1 7 3 8" xfId="26229" xr:uid="{46E3092F-91F6-4944-9EBF-BC023864170C}"/>
    <cellStyle name="40% - Accent1 7 3_Exh G" xfId="2784" xr:uid="{00000000-0005-0000-0000-0000DD2F0000}"/>
    <cellStyle name="40% - Accent1 7 4" xfId="943" xr:uid="{00000000-0005-0000-0000-0000DE2F0000}"/>
    <cellStyle name="40% - Accent1 7 4 2" xfId="1866" xr:uid="{00000000-0005-0000-0000-0000DF2F0000}"/>
    <cellStyle name="40% - Accent1 7 4 2 2" xfId="5384" xr:uid="{00000000-0005-0000-0000-0000E02F0000}"/>
    <cellStyle name="40% - Accent1 7 4 2 2 2" xfId="8975" xr:uid="{00000000-0005-0000-0000-0000E12F0000}"/>
    <cellStyle name="40% - Accent1 7 4 2 2 2 2" xfId="16946" xr:uid="{00000000-0005-0000-0000-0000E22F0000}"/>
    <cellStyle name="40% - Accent1 7 4 2 2 2 2 2" xfId="40789" xr:uid="{E9691A57-9627-4535-8D54-B6C0FABF850A}"/>
    <cellStyle name="40% - Accent1 7 4 2 2 2 3" xfId="24892" xr:uid="{00000000-0005-0000-0000-0000E32F0000}"/>
    <cellStyle name="40% - Accent1 7 4 2 2 2 3 2" xfId="48725" xr:uid="{69726ABB-7CC1-41CE-90C3-892212B7AC01}"/>
    <cellStyle name="40% - Accent1 7 4 2 2 2 4" xfId="32848" xr:uid="{00B2F538-9D91-4C2D-B3C2-54DF90C4EE4C}"/>
    <cellStyle name="40% - Accent1 7 4 2 2 3" xfId="13408" xr:uid="{00000000-0005-0000-0000-0000E42F0000}"/>
    <cellStyle name="40% - Accent1 7 4 2 2 3 2" xfId="37258" xr:uid="{0526B4B3-C4D6-4D61-A6E0-75FB99ABE195}"/>
    <cellStyle name="40% - Accent1 7 4 2 2 4" xfId="21363" xr:uid="{00000000-0005-0000-0000-0000E52F0000}"/>
    <cellStyle name="40% - Accent1 7 4 2 2 4 2" xfId="45196" xr:uid="{F44DE658-F7CA-40E7-943E-618D95C162B4}"/>
    <cellStyle name="40% - Accent1 7 4 2 2 5" xfId="29317" xr:uid="{FF22AE25-C995-4F09-8358-64CF3AE156C3}"/>
    <cellStyle name="40% - Accent1 7 4 2 3" xfId="7216" xr:uid="{00000000-0005-0000-0000-0000E62F0000}"/>
    <cellStyle name="40% - Accent1 7 4 2 3 2" xfId="15188" xr:uid="{00000000-0005-0000-0000-0000E72F0000}"/>
    <cellStyle name="40% - Accent1 7 4 2 3 2 2" xfId="39031" xr:uid="{FB3053A4-2019-41AA-88D8-0880455A1AB4}"/>
    <cellStyle name="40% - Accent1 7 4 2 3 3" xfId="23135" xr:uid="{00000000-0005-0000-0000-0000E82F0000}"/>
    <cellStyle name="40% - Accent1 7 4 2 3 3 2" xfId="46968" xr:uid="{5A93C4C8-9D94-451B-880D-10219DE78FB3}"/>
    <cellStyle name="40% - Accent1 7 4 2 3 4" xfId="31090" xr:uid="{C9E256E3-4C40-4795-9131-6FAF95901102}"/>
    <cellStyle name="40% - Accent1 7 4 2 4" xfId="11652" xr:uid="{00000000-0005-0000-0000-0000E92F0000}"/>
    <cellStyle name="40% - Accent1 7 4 2 4 2" xfId="35502" xr:uid="{2AA9BA0C-C934-4D51-9488-59135739F590}"/>
    <cellStyle name="40% - Accent1 7 4 2 5" xfId="19607" xr:uid="{00000000-0005-0000-0000-0000EA2F0000}"/>
    <cellStyle name="40% - Accent1 7 4 2 5 2" xfId="43440" xr:uid="{A3622C76-745E-49A1-B4CA-26B38D55777A}"/>
    <cellStyle name="40% - Accent1 7 4 2 6" xfId="27560" xr:uid="{8455785E-0000-452C-8266-40527382C981}"/>
    <cellStyle name="40% - Accent1 7 4 2_Exh G" xfId="2787" xr:uid="{00000000-0005-0000-0000-0000EB2F0000}"/>
    <cellStyle name="40% - Accent1 7 4 3" xfId="4505" xr:uid="{00000000-0005-0000-0000-0000EC2F0000}"/>
    <cellStyle name="40% - Accent1 7 4 3 2" xfId="8097" xr:uid="{00000000-0005-0000-0000-0000ED2F0000}"/>
    <cellStyle name="40% - Accent1 7 4 3 2 2" xfId="16068" xr:uid="{00000000-0005-0000-0000-0000EE2F0000}"/>
    <cellStyle name="40% - Accent1 7 4 3 2 2 2" xfId="39911" xr:uid="{DAD69624-4401-42A3-88BB-38A36572A825}"/>
    <cellStyle name="40% - Accent1 7 4 3 2 3" xfId="24014" xr:uid="{00000000-0005-0000-0000-0000EF2F0000}"/>
    <cellStyle name="40% - Accent1 7 4 3 2 3 2" xfId="47847" xr:uid="{8364CC05-77A6-4C36-A8FA-63C81AB011AE}"/>
    <cellStyle name="40% - Accent1 7 4 3 2 4" xfId="31970" xr:uid="{90A8C2A0-0649-480C-9A42-9F0C2C322FB5}"/>
    <cellStyle name="40% - Accent1 7 4 3 3" xfId="12530" xr:uid="{00000000-0005-0000-0000-0000F02F0000}"/>
    <cellStyle name="40% - Accent1 7 4 3 3 2" xfId="36380" xr:uid="{F8804E91-921A-42FF-A66A-59479324249E}"/>
    <cellStyle name="40% - Accent1 7 4 3 4" xfId="20485" xr:uid="{00000000-0005-0000-0000-0000F12F0000}"/>
    <cellStyle name="40% - Accent1 7 4 3 4 2" xfId="44318" xr:uid="{0AB69A17-A30E-405A-8FDD-CCC8A2C8DF5E}"/>
    <cellStyle name="40% - Accent1 7 4 3 5" xfId="28439" xr:uid="{C9462C7B-24D4-4462-BD9C-5A2C248B668E}"/>
    <cellStyle name="40% - Accent1 7 4 4" xfId="6335" xr:uid="{00000000-0005-0000-0000-0000F22F0000}"/>
    <cellStyle name="40% - Accent1 7 4 4 2" xfId="14310" xr:uid="{00000000-0005-0000-0000-0000F32F0000}"/>
    <cellStyle name="40% - Accent1 7 4 4 2 2" xfId="38153" xr:uid="{C4516035-CDBE-4DD2-95F3-41EE5CC2538D}"/>
    <cellStyle name="40% - Accent1 7 4 4 3" xfId="22257" xr:uid="{00000000-0005-0000-0000-0000F42F0000}"/>
    <cellStyle name="40% - Accent1 7 4 4 3 2" xfId="46090" xr:uid="{AEA68594-2866-459F-BC5B-DB0E6282767A}"/>
    <cellStyle name="40% - Accent1 7 4 4 4" xfId="30212" xr:uid="{9781B242-9102-4829-BEC6-2B106A524EC3}"/>
    <cellStyle name="40% - Accent1 7 4 5" xfId="9878" xr:uid="{00000000-0005-0000-0000-0000F52F0000}"/>
    <cellStyle name="40% - Accent1 7 4 5 2" xfId="17836" xr:uid="{00000000-0005-0000-0000-0000F62F0000}"/>
    <cellStyle name="40% - Accent1 7 4 5 2 2" xfId="41677" xr:uid="{E790F68F-FE11-4FA3-922F-CD648221BED5}"/>
    <cellStyle name="40% - Accent1 7 4 5 3" xfId="25780" xr:uid="{00000000-0005-0000-0000-0000F72F0000}"/>
    <cellStyle name="40% - Accent1 7 4 5 3 2" xfId="49613" xr:uid="{B46665E3-697D-4F41-9DD7-690606D007BD}"/>
    <cellStyle name="40% - Accent1 7 4 5 4" xfId="33736" xr:uid="{45232DC9-389C-48AB-9F12-B5DFF279D121}"/>
    <cellStyle name="40% - Accent1 7 4 6" xfId="10774" xr:uid="{00000000-0005-0000-0000-0000F82F0000}"/>
    <cellStyle name="40% - Accent1 7 4 6 2" xfId="34624" xr:uid="{86D2C246-F41D-4FCE-A924-27D1490C4D9C}"/>
    <cellStyle name="40% - Accent1 7 4 7" xfId="18729" xr:uid="{00000000-0005-0000-0000-0000F92F0000}"/>
    <cellStyle name="40% - Accent1 7 4 7 2" xfId="42562" xr:uid="{2225217F-42A7-4AD1-8DD2-421D36377C86}"/>
    <cellStyle name="40% - Accent1 7 4 8" xfId="26682" xr:uid="{A33E810F-ECC5-4609-B628-5CD8338BE898}"/>
    <cellStyle name="40% - Accent1 7 4_Exh G" xfId="2786" xr:uid="{00000000-0005-0000-0000-0000FA2F0000}"/>
    <cellStyle name="40% - Accent1 7 5" xfId="1398" xr:uid="{00000000-0005-0000-0000-0000FB2F0000}"/>
    <cellStyle name="40% - Accent1 7 5 2" xfId="4928" xr:uid="{00000000-0005-0000-0000-0000FC2F0000}"/>
    <cellStyle name="40% - Accent1 7 5 2 2" xfId="8519" xr:uid="{00000000-0005-0000-0000-0000FD2F0000}"/>
    <cellStyle name="40% - Accent1 7 5 2 2 2" xfId="16490" xr:uid="{00000000-0005-0000-0000-0000FE2F0000}"/>
    <cellStyle name="40% - Accent1 7 5 2 2 2 2" xfId="40333" xr:uid="{99E4B688-CE2E-4089-A2D1-4378CAD98FF7}"/>
    <cellStyle name="40% - Accent1 7 5 2 2 3" xfId="24436" xr:uid="{00000000-0005-0000-0000-0000FF2F0000}"/>
    <cellStyle name="40% - Accent1 7 5 2 2 3 2" xfId="48269" xr:uid="{5DA6DE2D-7E88-4F9B-B30C-6FEC9AD36940}"/>
    <cellStyle name="40% - Accent1 7 5 2 2 4" xfId="32392" xr:uid="{95C4825C-07FB-496F-99D6-0280C2A10CCC}"/>
    <cellStyle name="40% - Accent1 7 5 2 3" xfId="12952" xr:uid="{00000000-0005-0000-0000-000000300000}"/>
    <cellStyle name="40% - Accent1 7 5 2 3 2" xfId="36802" xr:uid="{C7DF71ED-D639-4048-A64C-42B72D91A852}"/>
    <cellStyle name="40% - Accent1 7 5 2 4" xfId="20907" xr:uid="{00000000-0005-0000-0000-000001300000}"/>
    <cellStyle name="40% - Accent1 7 5 2 4 2" xfId="44740" xr:uid="{62DFDD5A-EFAD-4A59-B83F-32813481286E}"/>
    <cellStyle name="40% - Accent1 7 5 2 5" xfId="28861" xr:uid="{927D2F6C-5B5B-4EB2-B97D-89D78D01F57A}"/>
    <cellStyle name="40% - Accent1 7 5 3" xfId="6760" xr:uid="{00000000-0005-0000-0000-000002300000}"/>
    <cellStyle name="40% - Accent1 7 5 3 2" xfId="14732" xr:uid="{00000000-0005-0000-0000-000003300000}"/>
    <cellStyle name="40% - Accent1 7 5 3 2 2" xfId="38575" xr:uid="{F36744F5-0E5E-45DE-A69F-E99680EB2E78}"/>
    <cellStyle name="40% - Accent1 7 5 3 3" xfId="22679" xr:uid="{00000000-0005-0000-0000-000004300000}"/>
    <cellStyle name="40% - Accent1 7 5 3 3 2" xfId="46512" xr:uid="{30A37CE0-B149-42AA-9702-4D1A483EC496}"/>
    <cellStyle name="40% - Accent1 7 5 3 4" xfId="30634" xr:uid="{87C56FFB-2952-4042-A29E-B666B9D999FA}"/>
    <cellStyle name="40% - Accent1 7 5 4" xfId="11196" xr:uid="{00000000-0005-0000-0000-000005300000}"/>
    <cellStyle name="40% - Accent1 7 5 4 2" xfId="35046" xr:uid="{04C0D183-D727-41BC-A292-9D43D8F708E9}"/>
    <cellStyle name="40% - Accent1 7 5 5" xfId="19151" xr:uid="{00000000-0005-0000-0000-000006300000}"/>
    <cellStyle name="40% - Accent1 7 5 5 2" xfId="42984" xr:uid="{A88485A5-477C-45DB-9FAD-FD5138E3F8DA}"/>
    <cellStyle name="40% - Accent1 7 5 6" xfId="27104" xr:uid="{3071FA92-174A-4237-A578-46B18B696F7D}"/>
    <cellStyle name="40% - Accent1 7 5_Exh G" xfId="2788" xr:uid="{00000000-0005-0000-0000-000007300000}"/>
    <cellStyle name="40% - Accent1 7 6" xfId="4049" xr:uid="{00000000-0005-0000-0000-000008300000}"/>
    <cellStyle name="40% - Accent1 7 6 2" xfId="7641" xr:uid="{00000000-0005-0000-0000-000009300000}"/>
    <cellStyle name="40% - Accent1 7 6 2 2" xfId="15612" xr:uid="{00000000-0005-0000-0000-00000A300000}"/>
    <cellStyle name="40% - Accent1 7 6 2 2 2" xfId="39455" xr:uid="{680DC8CD-0F93-4ABA-BB24-1A1CF1CFB8EF}"/>
    <cellStyle name="40% - Accent1 7 6 2 3" xfId="23558" xr:uid="{00000000-0005-0000-0000-00000B300000}"/>
    <cellStyle name="40% - Accent1 7 6 2 3 2" xfId="47391" xr:uid="{4DC35A4D-A74B-482A-A6A0-E2F6209FC7E6}"/>
    <cellStyle name="40% - Accent1 7 6 2 4" xfId="31514" xr:uid="{3B62271B-B06D-4331-8935-68FDD318E037}"/>
    <cellStyle name="40% - Accent1 7 6 3" xfId="12074" xr:uid="{00000000-0005-0000-0000-00000C300000}"/>
    <cellStyle name="40% - Accent1 7 6 3 2" xfId="35924" xr:uid="{F56C15DA-A8CC-49AB-A2FB-BD26E6BB7345}"/>
    <cellStyle name="40% - Accent1 7 6 4" xfId="20029" xr:uid="{00000000-0005-0000-0000-00000D300000}"/>
    <cellStyle name="40% - Accent1 7 6 4 2" xfId="43862" xr:uid="{C7CEE2E6-195B-42F2-9B5F-4CB54EF750D3}"/>
    <cellStyle name="40% - Accent1 7 6 5" xfId="27983" xr:uid="{A9CF2F5F-50BC-4E7B-A926-3BF299BE6A7C}"/>
    <cellStyle name="40% - Accent1 7 7" xfId="5869" xr:uid="{00000000-0005-0000-0000-00000E300000}"/>
    <cellStyle name="40% - Accent1 7 7 2" xfId="13853" xr:uid="{00000000-0005-0000-0000-00000F300000}"/>
    <cellStyle name="40% - Accent1 7 7 2 2" xfId="37697" xr:uid="{C21F1211-2E41-447A-ACE6-802B7B8E47FA}"/>
    <cellStyle name="40% - Accent1 7 7 3" xfId="21801" xr:uid="{00000000-0005-0000-0000-000010300000}"/>
    <cellStyle name="40% - Accent1 7 7 3 2" xfId="45634" xr:uid="{F728B920-F414-4332-A54B-D27A5065BF79}"/>
    <cellStyle name="40% - Accent1 7 7 4" xfId="29756" xr:uid="{67D6529B-6B80-4B5C-966B-8DB356D75BC3}"/>
    <cellStyle name="40% - Accent1 7 8" xfId="9422" xr:uid="{00000000-0005-0000-0000-000011300000}"/>
    <cellStyle name="40% - Accent1 7 8 2" xfId="17380" xr:uid="{00000000-0005-0000-0000-000012300000}"/>
    <cellStyle name="40% - Accent1 7 8 2 2" xfId="41221" xr:uid="{6BD6D598-B248-44AC-9478-260B009F13E4}"/>
    <cellStyle name="40% - Accent1 7 8 3" xfId="25324" xr:uid="{00000000-0005-0000-0000-000013300000}"/>
    <cellStyle name="40% - Accent1 7 8 3 2" xfId="49157" xr:uid="{692949AF-DAD8-42FF-81E1-E89E09EFFDC6}"/>
    <cellStyle name="40% - Accent1 7 8 4" xfId="33280" xr:uid="{6D7B633B-00A5-4564-B494-43B122A0BB1D}"/>
    <cellStyle name="40% - Accent1 7 9" xfId="10318" xr:uid="{00000000-0005-0000-0000-000014300000}"/>
    <cellStyle name="40% - Accent1 7 9 2" xfId="34168" xr:uid="{95D793BA-0F4F-4D0E-BFB4-546F76914CF1}"/>
    <cellStyle name="40% - Accent1 7_Exh G" xfId="2779" xr:uid="{00000000-0005-0000-0000-000015300000}"/>
    <cellStyle name="40% - Accent1 8" xfId="374" xr:uid="{00000000-0005-0000-0000-000016300000}"/>
    <cellStyle name="40% - Accent1 8 10" xfId="18277" xr:uid="{00000000-0005-0000-0000-000017300000}"/>
    <cellStyle name="40% - Accent1 8 10 2" xfId="42110" xr:uid="{54AB38C7-35DE-456C-84F2-D2D3CE75D0FA}"/>
    <cellStyle name="40% - Accent1 8 11" xfId="26230" xr:uid="{4218CD80-979F-442D-B0AA-E23BD441405F}"/>
    <cellStyle name="40% - Accent1 8 2" xfId="375" xr:uid="{00000000-0005-0000-0000-000018300000}"/>
    <cellStyle name="40% - Accent1 8 2 2" xfId="376" xr:uid="{00000000-0005-0000-0000-000019300000}"/>
    <cellStyle name="40% - Accent1 8 2 2 2" xfId="1404" xr:uid="{00000000-0005-0000-0000-00001A300000}"/>
    <cellStyle name="40% - Accent1 8 2 2 2 2" xfId="4934" xr:uid="{00000000-0005-0000-0000-00001B300000}"/>
    <cellStyle name="40% - Accent1 8 2 2 2 2 2" xfId="8525" xr:uid="{00000000-0005-0000-0000-00001C300000}"/>
    <cellStyle name="40% - Accent1 8 2 2 2 2 2 2" xfId="16496" xr:uid="{00000000-0005-0000-0000-00001D300000}"/>
    <cellStyle name="40% - Accent1 8 2 2 2 2 2 2 2" xfId="40339" xr:uid="{ADAAE90E-B37E-420D-885F-DCC66DBC9A22}"/>
    <cellStyle name="40% - Accent1 8 2 2 2 2 2 3" xfId="24442" xr:uid="{00000000-0005-0000-0000-00001E300000}"/>
    <cellStyle name="40% - Accent1 8 2 2 2 2 2 3 2" xfId="48275" xr:uid="{937E099C-3110-4E7F-BD02-BECC4DE2B000}"/>
    <cellStyle name="40% - Accent1 8 2 2 2 2 2 4" xfId="32398" xr:uid="{DDA6A8DC-2AED-4CAD-BD7E-F674947FCCBB}"/>
    <cellStyle name="40% - Accent1 8 2 2 2 2 3" xfId="12958" xr:uid="{00000000-0005-0000-0000-00001F300000}"/>
    <cellStyle name="40% - Accent1 8 2 2 2 2 3 2" xfId="36808" xr:uid="{C62AFB69-0D48-48B8-AC56-2A31821C53EA}"/>
    <cellStyle name="40% - Accent1 8 2 2 2 2 4" xfId="20913" xr:uid="{00000000-0005-0000-0000-000020300000}"/>
    <cellStyle name="40% - Accent1 8 2 2 2 2 4 2" xfId="44746" xr:uid="{1F3232A7-F2A8-4E4D-A997-EA5F1125CAFD}"/>
    <cellStyle name="40% - Accent1 8 2 2 2 2 5" xfId="28867" xr:uid="{749E4322-F9C8-4EE6-9AF7-66563EF3BBB3}"/>
    <cellStyle name="40% - Accent1 8 2 2 2 3" xfId="6766" xr:uid="{00000000-0005-0000-0000-000021300000}"/>
    <cellStyle name="40% - Accent1 8 2 2 2 3 2" xfId="14738" xr:uid="{00000000-0005-0000-0000-000022300000}"/>
    <cellStyle name="40% - Accent1 8 2 2 2 3 2 2" xfId="38581" xr:uid="{3F27D284-5EA2-44A7-B30F-9B54125AEBD6}"/>
    <cellStyle name="40% - Accent1 8 2 2 2 3 3" xfId="22685" xr:uid="{00000000-0005-0000-0000-000023300000}"/>
    <cellStyle name="40% - Accent1 8 2 2 2 3 3 2" xfId="46518" xr:uid="{82DD645C-9690-432C-9B99-C38E5165510A}"/>
    <cellStyle name="40% - Accent1 8 2 2 2 3 4" xfId="30640" xr:uid="{A19F2797-7B59-4A6B-9582-1C62F1FA598D}"/>
    <cellStyle name="40% - Accent1 8 2 2 2 4" xfId="11202" xr:uid="{00000000-0005-0000-0000-000024300000}"/>
    <cellStyle name="40% - Accent1 8 2 2 2 4 2" xfId="35052" xr:uid="{7053428A-BFA8-4AB5-BFEB-E80BE69094C4}"/>
    <cellStyle name="40% - Accent1 8 2 2 2 5" xfId="19157" xr:uid="{00000000-0005-0000-0000-000025300000}"/>
    <cellStyle name="40% - Accent1 8 2 2 2 5 2" xfId="42990" xr:uid="{B483E2FC-20F0-4B6C-ACCE-0F586C0429A1}"/>
    <cellStyle name="40% - Accent1 8 2 2 2 6" xfId="27110" xr:uid="{A00C5AD4-A4DC-4085-951D-F40C2228B834}"/>
    <cellStyle name="40% - Accent1 8 2 2 2_Exh G" xfId="2792" xr:uid="{00000000-0005-0000-0000-000026300000}"/>
    <cellStyle name="40% - Accent1 8 2 2 3" xfId="4055" xr:uid="{00000000-0005-0000-0000-000027300000}"/>
    <cellStyle name="40% - Accent1 8 2 2 3 2" xfId="7647" xr:uid="{00000000-0005-0000-0000-000028300000}"/>
    <cellStyle name="40% - Accent1 8 2 2 3 2 2" xfId="15618" xr:uid="{00000000-0005-0000-0000-000029300000}"/>
    <cellStyle name="40% - Accent1 8 2 2 3 2 2 2" xfId="39461" xr:uid="{9B57358F-92FD-4064-BAB8-A395E5F693D9}"/>
    <cellStyle name="40% - Accent1 8 2 2 3 2 3" xfId="23564" xr:uid="{00000000-0005-0000-0000-00002A300000}"/>
    <cellStyle name="40% - Accent1 8 2 2 3 2 3 2" xfId="47397" xr:uid="{89A31828-C488-4854-99F2-0A8A4E0F155E}"/>
    <cellStyle name="40% - Accent1 8 2 2 3 2 4" xfId="31520" xr:uid="{EED5357F-D327-42C1-A859-B5AA26AB426F}"/>
    <cellStyle name="40% - Accent1 8 2 2 3 3" xfId="12080" xr:uid="{00000000-0005-0000-0000-00002B300000}"/>
    <cellStyle name="40% - Accent1 8 2 2 3 3 2" xfId="35930" xr:uid="{2267A184-1F84-4B66-8627-54F1641A03E7}"/>
    <cellStyle name="40% - Accent1 8 2 2 3 4" xfId="20035" xr:uid="{00000000-0005-0000-0000-00002C300000}"/>
    <cellStyle name="40% - Accent1 8 2 2 3 4 2" xfId="43868" xr:uid="{3F1AD32A-8AB9-4302-AB4A-ED6B097389E7}"/>
    <cellStyle name="40% - Accent1 8 2 2 3 5" xfId="27989" xr:uid="{66CC7F3A-D293-43E3-893C-733D0DF7889C}"/>
    <cellStyle name="40% - Accent1 8 2 2 4" xfId="5875" xr:uid="{00000000-0005-0000-0000-00002D300000}"/>
    <cellStyle name="40% - Accent1 8 2 2 4 2" xfId="13859" xr:uid="{00000000-0005-0000-0000-00002E300000}"/>
    <cellStyle name="40% - Accent1 8 2 2 4 2 2" xfId="37703" xr:uid="{6FDD36DF-20CF-49C5-8FB3-322C98B41A6D}"/>
    <cellStyle name="40% - Accent1 8 2 2 4 3" xfId="21807" xr:uid="{00000000-0005-0000-0000-00002F300000}"/>
    <cellStyle name="40% - Accent1 8 2 2 4 3 2" xfId="45640" xr:uid="{C6D1B22C-1E03-4DB0-ADFA-D5FAE4B364A4}"/>
    <cellStyle name="40% - Accent1 8 2 2 4 4" xfId="29762" xr:uid="{4E7159E0-461A-412E-AA78-FDA3C39F6BE0}"/>
    <cellStyle name="40% - Accent1 8 2 2 5" xfId="9428" xr:uid="{00000000-0005-0000-0000-000030300000}"/>
    <cellStyle name="40% - Accent1 8 2 2 5 2" xfId="17386" xr:uid="{00000000-0005-0000-0000-000031300000}"/>
    <cellStyle name="40% - Accent1 8 2 2 5 2 2" xfId="41227" xr:uid="{60D36C8B-EF4D-4270-86A0-BEE829663D49}"/>
    <cellStyle name="40% - Accent1 8 2 2 5 3" xfId="25330" xr:uid="{00000000-0005-0000-0000-000032300000}"/>
    <cellStyle name="40% - Accent1 8 2 2 5 3 2" xfId="49163" xr:uid="{46B86941-22AF-4242-B739-CA1B5C1326F8}"/>
    <cellStyle name="40% - Accent1 8 2 2 5 4" xfId="33286" xr:uid="{765A0FE1-F0FE-4156-BE61-077C19E06B98}"/>
    <cellStyle name="40% - Accent1 8 2 2 6" xfId="10324" xr:uid="{00000000-0005-0000-0000-000033300000}"/>
    <cellStyle name="40% - Accent1 8 2 2 6 2" xfId="34174" xr:uid="{8544415D-701A-43AB-86F2-21015B997DE6}"/>
    <cellStyle name="40% - Accent1 8 2 2 7" xfId="18279" xr:uid="{00000000-0005-0000-0000-000034300000}"/>
    <cellStyle name="40% - Accent1 8 2 2 7 2" xfId="42112" xr:uid="{C98A5181-B30F-4DF4-BE31-9902D2720B10}"/>
    <cellStyle name="40% - Accent1 8 2 2 8" xfId="26232" xr:uid="{E799A89F-C41D-4037-B881-426062704D19}"/>
    <cellStyle name="40% - Accent1 8 2 2_Exh G" xfId="2791" xr:uid="{00000000-0005-0000-0000-000035300000}"/>
    <cellStyle name="40% - Accent1 8 2 3" xfId="1403" xr:uid="{00000000-0005-0000-0000-000036300000}"/>
    <cellStyle name="40% - Accent1 8 2 3 2" xfId="4933" xr:uid="{00000000-0005-0000-0000-000037300000}"/>
    <cellStyle name="40% - Accent1 8 2 3 2 2" xfId="8524" xr:uid="{00000000-0005-0000-0000-000038300000}"/>
    <cellStyle name="40% - Accent1 8 2 3 2 2 2" xfId="16495" xr:uid="{00000000-0005-0000-0000-000039300000}"/>
    <cellStyle name="40% - Accent1 8 2 3 2 2 2 2" xfId="40338" xr:uid="{1F78E3ED-E944-4EA9-9933-931FAFB9C45D}"/>
    <cellStyle name="40% - Accent1 8 2 3 2 2 3" xfId="24441" xr:uid="{00000000-0005-0000-0000-00003A300000}"/>
    <cellStyle name="40% - Accent1 8 2 3 2 2 3 2" xfId="48274" xr:uid="{90945C7F-74BD-44B1-A788-8114E8B4269D}"/>
    <cellStyle name="40% - Accent1 8 2 3 2 2 4" xfId="32397" xr:uid="{9E349F7A-86C9-4550-BA2A-2D5FEA4FECF0}"/>
    <cellStyle name="40% - Accent1 8 2 3 2 3" xfId="12957" xr:uid="{00000000-0005-0000-0000-00003B300000}"/>
    <cellStyle name="40% - Accent1 8 2 3 2 3 2" xfId="36807" xr:uid="{078F466E-DEF9-4788-848C-F2B63FBB5E38}"/>
    <cellStyle name="40% - Accent1 8 2 3 2 4" xfId="20912" xr:uid="{00000000-0005-0000-0000-00003C300000}"/>
    <cellStyle name="40% - Accent1 8 2 3 2 4 2" xfId="44745" xr:uid="{8F7772F7-4FA4-4050-8B45-575323B7A312}"/>
    <cellStyle name="40% - Accent1 8 2 3 2 5" xfId="28866" xr:uid="{A3F74314-7A71-497C-BCA1-99A7396AA720}"/>
    <cellStyle name="40% - Accent1 8 2 3 3" xfId="6765" xr:uid="{00000000-0005-0000-0000-00003D300000}"/>
    <cellStyle name="40% - Accent1 8 2 3 3 2" xfId="14737" xr:uid="{00000000-0005-0000-0000-00003E300000}"/>
    <cellStyle name="40% - Accent1 8 2 3 3 2 2" xfId="38580" xr:uid="{289B4CFE-CF68-4C05-B1E7-29E4F337BB8E}"/>
    <cellStyle name="40% - Accent1 8 2 3 3 3" xfId="22684" xr:uid="{00000000-0005-0000-0000-00003F300000}"/>
    <cellStyle name="40% - Accent1 8 2 3 3 3 2" xfId="46517" xr:uid="{E56C9C1B-1FDD-4FA6-9D40-19176F88039B}"/>
    <cellStyle name="40% - Accent1 8 2 3 3 4" xfId="30639" xr:uid="{320119AC-DF47-4A19-B6E6-D27684A02887}"/>
    <cellStyle name="40% - Accent1 8 2 3 4" xfId="11201" xr:uid="{00000000-0005-0000-0000-000040300000}"/>
    <cellStyle name="40% - Accent1 8 2 3 4 2" xfId="35051" xr:uid="{143339A0-8104-4143-9EC9-E4F20EAA29DD}"/>
    <cellStyle name="40% - Accent1 8 2 3 5" xfId="19156" xr:uid="{00000000-0005-0000-0000-000041300000}"/>
    <cellStyle name="40% - Accent1 8 2 3 5 2" xfId="42989" xr:uid="{14C5DC56-9F36-4D10-AB95-7B7E25562108}"/>
    <cellStyle name="40% - Accent1 8 2 3 6" xfId="27109" xr:uid="{7B9079C5-BABC-4700-A3EF-9AD95C6C342E}"/>
    <cellStyle name="40% - Accent1 8 2 3_Exh G" xfId="2793" xr:uid="{00000000-0005-0000-0000-000042300000}"/>
    <cellStyle name="40% - Accent1 8 2 4" xfId="4054" xr:uid="{00000000-0005-0000-0000-000043300000}"/>
    <cellStyle name="40% - Accent1 8 2 4 2" xfId="7646" xr:uid="{00000000-0005-0000-0000-000044300000}"/>
    <cellStyle name="40% - Accent1 8 2 4 2 2" xfId="15617" xr:uid="{00000000-0005-0000-0000-000045300000}"/>
    <cellStyle name="40% - Accent1 8 2 4 2 2 2" xfId="39460" xr:uid="{C1C23CF7-66A3-4E99-ADF1-ABEFF8BDBBDC}"/>
    <cellStyle name="40% - Accent1 8 2 4 2 3" xfId="23563" xr:uid="{00000000-0005-0000-0000-000046300000}"/>
    <cellStyle name="40% - Accent1 8 2 4 2 3 2" xfId="47396" xr:uid="{108A4443-161B-4804-81F7-5C8838CA060A}"/>
    <cellStyle name="40% - Accent1 8 2 4 2 4" xfId="31519" xr:uid="{F24C8C99-6A81-425F-BB40-72794B1889FC}"/>
    <cellStyle name="40% - Accent1 8 2 4 3" xfId="12079" xr:uid="{00000000-0005-0000-0000-000047300000}"/>
    <cellStyle name="40% - Accent1 8 2 4 3 2" xfId="35929" xr:uid="{13E36A6F-DEFA-4BA5-B17F-4D3B6B2384E4}"/>
    <cellStyle name="40% - Accent1 8 2 4 4" xfId="20034" xr:uid="{00000000-0005-0000-0000-000048300000}"/>
    <cellStyle name="40% - Accent1 8 2 4 4 2" xfId="43867" xr:uid="{5378E14C-2469-44FD-B1ED-0EEE3F3DB469}"/>
    <cellStyle name="40% - Accent1 8 2 4 5" xfId="27988" xr:uid="{A06CB2E8-A280-4347-93E6-C551E1D184D6}"/>
    <cellStyle name="40% - Accent1 8 2 5" xfId="5874" xr:uid="{00000000-0005-0000-0000-000049300000}"/>
    <cellStyle name="40% - Accent1 8 2 5 2" xfId="13858" xr:uid="{00000000-0005-0000-0000-00004A300000}"/>
    <cellStyle name="40% - Accent1 8 2 5 2 2" xfId="37702" xr:uid="{21C35B2F-A9A8-45DC-968D-88A8CC31DB7C}"/>
    <cellStyle name="40% - Accent1 8 2 5 3" xfId="21806" xr:uid="{00000000-0005-0000-0000-00004B300000}"/>
    <cellStyle name="40% - Accent1 8 2 5 3 2" xfId="45639" xr:uid="{47E155CA-B11F-4DC8-B9D9-11EA6B2B12A7}"/>
    <cellStyle name="40% - Accent1 8 2 5 4" xfId="29761" xr:uid="{F1A5DFD8-A634-4A4D-AA2B-C7E16BE6FCF8}"/>
    <cellStyle name="40% - Accent1 8 2 6" xfId="9427" xr:uid="{00000000-0005-0000-0000-00004C300000}"/>
    <cellStyle name="40% - Accent1 8 2 6 2" xfId="17385" xr:uid="{00000000-0005-0000-0000-00004D300000}"/>
    <cellStyle name="40% - Accent1 8 2 6 2 2" xfId="41226" xr:uid="{C92094D0-BDAA-4204-8452-3D3DC1487A02}"/>
    <cellStyle name="40% - Accent1 8 2 6 3" xfId="25329" xr:uid="{00000000-0005-0000-0000-00004E300000}"/>
    <cellStyle name="40% - Accent1 8 2 6 3 2" xfId="49162" xr:uid="{38585C6D-4BB8-4B48-A988-95F526302608}"/>
    <cellStyle name="40% - Accent1 8 2 6 4" xfId="33285" xr:uid="{1B4F4609-BDAC-47A0-9380-385531B17D61}"/>
    <cellStyle name="40% - Accent1 8 2 7" xfId="10323" xr:uid="{00000000-0005-0000-0000-00004F300000}"/>
    <cellStyle name="40% - Accent1 8 2 7 2" xfId="34173" xr:uid="{AC45A32A-27D7-47E9-BACA-9E7F398C02E7}"/>
    <cellStyle name="40% - Accent1 8 2 8" xfId="18278" xr:uid="{00000000-0005-0000-0000-000050300000}"/>
    <cellStyle name="40% - Accent1 8 2 8 2" xfId="42111" xr:uid="{AEBEDBE5-1006-4A18-B15D-CEA51FFB48F2}"/>
    <cellStyle name="40% - Accent1 8 2 9" xfId="26231" xr:uid="{23BB4EE7-61BD-43F9-A6BD-EE02DBE8AA51}"/>
    <cellStyle name="40% - Accent1 8 2_Exh G" xfId="2790" xr:uid="{00000000-0005-0000-0000-000051300000}"/>
    <cellStyle name="40% - Accent1 8 3" xfId="377" xr:uid="{00000000-0005-0000-0000-000052300000}"/>
    <cellStyle name="40% - Accent1 8 3 2" xfId="1405" xr:uid="{00000000-0005-0000-0000-000053300000}"/>
    <cellStyle name="40% - Accent1 8 3 2 2" xfId="4935" xr:uid="{00000000-0005-0000-0000-000054300000}"/>
    <cellStyle name="40% - Accent1 8 3 2 2 2" xfId="8526" xr:uid="{00000000-0005-0000-0000-000055300000}"/>
    <cellStyle name="40% - Accent1 8 3 2 2 2 2" xfId="16497" xr:uid="{00000000-0005-0000-0000-000056300000}"/>
    <cellStyle name="40% - Accent1 8 3 2 2 2 2 2" xfId="40340" xr:uid="{EF9F887E-3826-4645-81DF-6D2144BE6552}"/>
    <cellStyle name="40% - Accent1 8 3 2 2 2 3" xfId="24443" xr:uid="{00000000-0005-0000-0000-000057300000}"/>
    <cellStyle name="40% - Accent1 8 3 2 2 2 3 2" xfId="48276" xr:uid="{488EE78C-D040-4014-9FE4-AFF997D970FF}"/>
    <cellStyle name="40% - Accent1 8 3 2 2 2 4" xfId="32399" xr:uid="{6B2122FC-9EB1-4206-B27A-514856FF48B6}"/>
    <cellStyle name="40% - Accent1 8 3 2 2 3" xfId="12959" xr:uid="{00000000-0005-0000-0000-000058300000}"/>
    <cellStyle name="40% - Accent1 8 3 2 2 3 2" xfId="36809" xr:uid="{3D5C65A2-8691-4B81-836B-79EFE5116D7A}"/>
    <cellStyle name="40% - Accent1 8 3 2 2 4" xfId="20914" xr:uid="{00000000-0005-0000-0000-000059300000}"/>
    <cellStyle name="40% - Accent1 8 3 2 2 4 2" xfId="44747" xr:uid="{676E5ADB-F583-4F51-B857-2838C7FE7080}"/>
    <cellStyle name="40% - Accent1 8 3 2 2 5" xfId="28868" xr:uid="{8DDBEA66-E229-4057-B436-0FD4FDAF2254}"/>
    <cellStyle name="40% - Accent1 8 3 2 3" xfId="6767" xr:uid="{00000000-0005-0000-0000-00005A300000}"/>
    <cellStyle name="40% - Accent1 8 3 2 3 2" xfId="14739" xr:uid="{00000000-0005-0000-0000-00005B300000}"/>
    <cellStyle name="40% - Accent1 8 3 2 3 2 2" xfId="38582" xr:uid="{2CF981BC-8805-4A4B-8624-6E3600FC2500}"/>
    <cellStyle name="40% - Accent1 8 3 2 3 3" xfId="22686" xr:uid="{00000000-0005-0000-0000-00005C300000}"/>
    <cellStyle name="40% - Accent1 8 3 2 3 3 2" xfId="46519" xr:uid="{7B8E6D45-5C7C-443B-ACAC-57B822AA5A99}"/>
    <cellStyle name="40% - Accent1 8 3 2 3 4" xfId="30641" xr:uid="{944E3D2F-8FCA-4C7A-80B4-66C988D2834A}"/>
    <cellStyle name="40% - Accent1 8 3 2 4" xfId="11203" xr:uid="{00000000-0005-0000-0000-00005D300000}"/>
    <cellStyle name="40% - Accent1 8 3 2 4 2" xfId="35053" xr:uid="{49023E62-9A02-4239-8BBD-DEE8E29AF621}"/>
    <cellStyle name="40% - Accent1 8 3 2 5" xfId="19158" xr:uid="{00000000-0005-0000-0000-00005E300000}"/>
    <cellStyle name="40% - Accent1 8 3 2 5 2" xfId="42991" xr:uid="{F830072A-38B5-44A5-9CCE-7319DE6C8125}"/>
    <cellStyle name="40% - Accent1 8 3 2 6" xfId="27111" xr:uid="{615C8D83-C62F-4E60-B335-36D3920E18F6}"/>
    <cellStyle name="40% - Accent1 8 3 2_Exh G" xfId="2795" xr:uid="{00000000-0005-0000-0000-00005F300000}"/>
    <cellStyle name="40% - Accent1 8 3 3" xfId="4056" xr:uid="{00000000-0005-0000-0000-000060300000}"/>
    <cellStyle name="40% - Accent1 8 3 3 2" xfId="7648" xr:uid="{00000000-0005-0000-0000-000061300000}"/>
    <cellStyle name="40% - Accent1 8 3 3 2 2" xfId="15619" xr:uid="{00000000-0005-0000-0000-000062300000}"/>
    <cellStyle name="40% - Accent1 8 3 3 2 2 2" xfId="39462" xr:uid="{916FCB34-6D06-4D85-A542-919413911804}"/>
    <cellStyle name="40% - Accent1 8 3 3 2 3" xfId="23565" xr:uid="{00000000-0005-0000-0000-000063300000}"/>
    <cellStyle name="40% - Accent1 8 3 3 2 3 2" xfId="47398" xr:uid="{7CA6F346-1CEE-4B64-9968-60D8BFEB178B}"/>
    <cellStyle name="40% - Accent1 8 3 3 2 4" xfId="31521" xr:uid="{3FCBF402-3243-4C1C-ADE1-FBB69BFBC891}"/>
    <cellStyle name="40% - Accent1 8 3 3 3" xfId="12081" xr:uid="{00000000-0005-0000-0000-000064300000}"/>
    <cellStyle name="40% - Accent1 8 3 3 3 2" xfId="35931" xr:uid="{762FF98B-8915-42D9-8C04-FAD0AE7AAB5D}"/>
    <cellStyle name="40% - Accent1 8 3 3 4" xfId="20036" xr:uid="{00000000-0005-0000-0000-000065300000}"/>
    <cellStyle name="40% - Accent1 8 3 3 4 2" xfId="43869" xr:uid="{DAF77472-CF62-4EC9-B46A-85B632E936D5}"/>
    <cellStyle name="40% - Accent1 8 3 3 5" xfId="27990" xr:uid="{E75A466E-9879-4253-A593-1477F6C8DD39}"/>
    <cellStyle name="40% - Accent1 8 3 4" xfId="5876" xr:uid="{00000000-0005-0000-0000-000066300000}"/>
    <cellStyle name="40% - Accent1 8 3 4 2" xfId="13860" xr:uid="{00000000-0005-0000-0000-000067300000}"/>
    <cellStyle name="40% - Accent1 8 3 4 2 2" xfId="37704" xr:uid="{FC695B15-64D1-4A23-BAD8-25454C5C9412}"/>
    <cellStyle name="40% - Accent1 8 3 4 3" xfId="21808" xr:uid="{00000000-0005-0000-0000-000068300000}"/>
    <cellStyle name="40% - Accent1 8 3 4 3 2" xfId="45641" xr:uid="{D2850EF7-C9F1-457B-B2E9-1D951128C3E8}"/>
    <cellStyle name="40% - Accent1 8 3 4 4" xfId="29763" xr:uid="{B05C3F5C-9FEB-4054-8E5D-7CB5E608E530}"/>
    <cellStyle name="40% - Accent1 8 3 5" xfId="9429" xr:uid="{00000000-0005-0000-0000-000069300000}"/>
    <cellStyle name="40% - Accent1 8 3 5 2" xfId="17387" xr:uid="{00000000-0005-0000-0000-00006A300000}"/>
    <cellStyle name="40% - Accent1 8 3 5 2 2" xfId="41228" xr:uid="{896FF0FB-1001-403B-9137-CD7A876D814D}"/>
    <cellStyle name="40% - Accent1 8 3 5 3" xfId="25331" xr:uid="{00000000-0005-0000-0000-00006B300000}"/>
    <cellStyle name="40% - Accent1 8 3 5 3 2" xfId="49164" xr:uid="{8B5D4051-20F5-47AE-9E5B-000C6BF958E0}"/>
    <cellStyle name="40% - Accent1 8 3 5 4" xfId="33287" xr:uid="{6BDE2AA5-AC0A-4E0F-9492-B9FC7A962066}"/>
    <cellStyle name="40% - Accent1 8 3 6" xfId="10325" xr:uid="{00000000-0005-0000-0000-00006C300000}"/>
    <cellStyle name="40% - Accent1 8 3 6 2" xfId="34175" xr:uid="{FA3A0F36-96CF-4696-8E30-D7C31207B100}"/>
    <cellStyle name="40% - Accent1 8 3 7" xfId="18280" xr:uid="{00000000-0005-0000-0000-00006D300000}"/>
    <cellStyle name="40% - Accent1 8 3 7 2" xfId="42113" xr:uid="{8325C306-F5C0-4A9F-978D-92AD1A17DEA9}"/>
    <cellStyle name="40% - Accent1 8 3 8" xfId="26233" xr:uid="{00DA4FF2-19E0-43ED-BB45-D5B59B0B2043}"/>
    <cellStyle name="40% - Accent1 8 3_Exh G" xfId="2794" xr:uid="{00000000-0005-0000-0000-00006E300000}"/>
    <cellStyle name="40% - Accent1 8 4" xfId="944" xr:uid="{00000000-0005-0000-0000-00006F300000}"/>
    <cellStyle name="40% - Accent1 8 4 2" xfId="1867" xr:uid="{00000000-0005-0000-0000-000070300000}"/>
    <cellStyle name="40% - Accent1 8 4 2 2" xfId="5385" xr:uid="{00000000-0005-0000-0000-000071300000}"/>
    <cellStyle name="40% - Accent1 8 4 2 2 2" xfId="8976" xr:uid="{00000000-0005-0000-0000-000072300000}"/>
    <cellStyle name="40% - Accent1 8 4 2 2 2 2" xfId="16947" xr:uid="{00000000-0005-0000-0000-000073300000}"/>
    <cellStyle name="40% - Accent1 8 4 2 2 2 2 2" xfId="40790" xr:uid="{8E3DA0EE-E811-41F4-AE02-277E51FEE4FF}"/>
    <cellStyle name="40% - Accent1 8 4 2 2 2 3" xfId="24893" xr:uid="{00000000-0005-0000-0000-000074300000}"/>
    <cellStyle name="40% - Accent1 8 4 2 2 2 3 2" xfId="48726" xr:uid="{C9AC0920-E6E7-4A17-BDF4-13C01084E926}"/>
    <cellStyle name="40% - Accent1 8 4 2 2 2 4" xfId="32849" xr:uid="{F835088F-9315-461C-8059-C87EE949500E}"/>
    <cellStyle name="40% - Accent1 8 4 2 2 3" xfId="13409" xr:uid="{00000000-0005-0000-0000-000075300000}"/>
    <cellStyle name="40% - Accent1 8 4 2 2 3 2" xfId="37259" xr:uid="{8EE8AAC2-03A4-4C3B-B8B1-001D9814884A}"/>
    <cellStyle name="40% - Accent1 8 4 2 2 4" xfId="21364" xr:uid="{00000000-0005-0000-0000-000076300000}"/>
    <cellStyle name="40% - Accent1 8 4 2 2 4 2" xfId="45197" xr:uid="{1FC5BE7B-4A6F-44CA-8F29-410AADF402F1}"/>
    <cellStyle name="40% - Accent1 8 4 2 2 5" xfId="29318" xr:uid="{E80A7F58-1738-4323-9B6B-F062F668818C}"/>
    <cellStyle name="40% - Accent1 8 4 2 3" xfId="7217" xr:uid="{00000000-0005-0000-0000-000077300000}"/>
    <cellStyle name="40% - Accent1 8 4 2 3 2" xfId="15189" xr:uid="{00000000-0005-0000-0000-000078300000}"/>
    <cellStyle name="40% - Accent1 8 4 2 3 2 2" xfId="39032" xr:uid="{074B9D04-F6F1-4A37-99AC-FBF55A38E575}"/>
    <cellStyle name="40% - Accent1 8 4 2 3 3" xfId="23136" xr:uid="{00000000-0005-0000-0000-000079300000}"/>
    <cellStyle name="40% - Accent1 8 4 2 3 3 2" xfId="46969" xr:uid="{3A495C13-483B-4E0B-9714-37ADBD5EAD00}"/>
    <cellStyle name="40% - Accent1 8 4 2 3 4" xfId="31091" xr:uid="{2EDF3F0F-E8EA-4135-9C1B-764AF8115D7B}"/>
    <cellStyle name="40% - Accent1 8 4 2 4" xfId="11653" xr:uid="{00000000-0005-0000-0000-00007A300000}"/>
    <cellStyle name="40% - Accent1 8 4 2 4 2" xfId="35503" xr:uid="{7B16A1E2-EC61-4DB7-BD98-83C0408A3BC3}"/>
    <cellStyle name="40% - Accent1 8 4 2 5" xfId="19608" xr:uid="{00000000-0005-0000-0000-00007B300000}"/>
    <cellStyle name="40% - Accent1 8 4 2 5 2" xfId="43441" xr:uid="{9D6D003E-CB94-4F01-AE28-E6300CF7978C}"/>
    <cellStyle name="40% - Accent1 8 4 2 6" xfId="27561" xr:uid="{7AC50535-928A-4F97-BF36-2673CC27B9EF}"/>
    <cellStyle name="40% - Accent1 8 4 2_Exh G" xfId="2797" xr:uid="{00000000-0005-0000-0000-00007C300000}"/>
    <cellStyle name="40% - Accent1 8 4 3" xfId="4506" xr:uid="{00000000-0005-0000-0000-00007D300000}"/>
    <cellStyle name="40% - Accent1 8 4 3 2" xfId="8098" xr:uid="{00000000-0005-0000-0000-00007E300000}"/>
    <cellStyle name="40% - Accent1 8 4 3 2 2" xfId="16069" xr:uid="{00000000-0005-0000-0000-00007F300000}"/>
    <cellStyle name="40% - Accent1 8 4 3 2 2 2" xfId="39912" xr:uid="{7935495A-FB9B-43F0-B31B-5AA0EC63459D}"/>
    <cellStyle name="40% - Accent1 8 4 3 2 3" xfId="24015" xr:uid="{00000000-0005-0000-0000-000080300000}"/>
    <cellStyle name="40% - Accent1 8 4 3 2 3 2" xfId="47848" xr:uid="{DC2B5B71-CA6A-4835-BB86-12E3C8A2B300}"/>
    <cellStyle name="40% - Accent1 8 4 3 2 4" xfId="31971" xr:uid="{4E2B78D9-1126-4BF5-8F3D-40B087712FBD}"/>
    <cellStyle name="40% - Accent1 8 4 3 3" xfId="12531" xr:uid="{00000000-0005-0000-0000-000081300000}"/>
    <cellStyle name="40% - Accent1 8 4 3 3 2" xfId="36381" xr:uid="{57FDEDBF-29E2-492B-A4FD-4F3EDBCC8293}"/>
    <cellStyle name="40% - Accent1 8 4 3 4" xfId="20486" xr:uid="{00000000-0005-0000-0000-000082300000}"/>
    <cellStyle name="40% - Accent1 8 4 3 4 2" xfId="44319" xr:uid="{F9B02860-48CF-430E-9DFA-1BFC8E26BFE3}"/>
    <cellStyle name="40% - Accent1 8 4 3 5" xfId="28440" xr:uid="{C0D60774-1ABB-4DD0-9722-E7897E92D910}"/>
    <cellStyle name="40% - Accent1 8 4 4" xfId="6336" xr:uid="{00000000-0005-0000-0000-000083300000}"/>
    <cellStyle name="40% - Accent1 8 4 4 2" xfId="14311" xr:uid="{00000000-0005-0000-0000-000084300000}"/>
    <cellStyle name="40% - Accent1 8 4 4 2 2" xfId="38154" xr:uid="{C6BE0222-9D91-4243-ABFB-AEFE6A7A7B88}"/>
    <cellStyle name="40% - Accent1 8 4 4 3" xfId="22258" xr:uid="{00000000-0005-0000-0000-000085300000}"/>
    <cellStyle name="40% - Accent1 8 4 4 3 2" xfId="46091" xr:uid="{E3F671E6-6859-416F-9125-096A821259A7}"/>
    <cellStyle name="40% - Accent1 8 4 4 4" xfId="30213" xr:uid="{9977BBA9-AA38-45BD-B3F9-6093C4E1481F}"/>
    <cellStyle name="40% - Accent1 8 4 5" xfId="9879" xr:uid="{00000000-0005-0000-0000-000086300000}"/>
    <cellStyle name="40% - Accent1 8 4 5 2" xfId="17837" xr:uid="{00000000-0005-0000-0000-000087300000}"/>
    <cellStyle name="40% - Accent1 8 4 5 2 2" xfId="41678" xr:uid="{1DAE4D89-7CCD-41AF-BEE2-A9EC467A7E89}"/>
    <cellStyle name="40% - Accent1 8 4 5 3" xfId="25781" xr:uid="{00000000-0005-0000-0000-000088300000}"/>
    <cellStyle name="40% - Accent1 8 4 5 3 2" xfId="49614" xr:uid="{B663906F-4EC6-46C6-9C5C-95AF71854391}"/>
    <cellStyle name="40% - Accent1 8 4 5 4" xfId="33737" xr:uid="{4F332C4A-9BCA-4C0C-8FFA-575E30FEF6ED}"/>
    <cellStyle name="40% - Accent1 8 4 6" xfId="10775" xr:uid="{00000000-0005-0000-0000-000089300000}"/>
    <cellStyle name="40% - Accent1 8 4 6 2" xfId="34625" xr:uid="{1D03A9BB-DF35-4C84-94E1-901F01575E13}"/>
    <cellStyle name="40% - Accent1 8 4 7" xfId="18730" xr:uid="{00000000-0005-0000-0000-00008A300000}"/>
    <cellStyle name="40% - Accent1 8 4 7 2" xfId="42563" xr:uid="{726A5D3E-DC9E-463D-BC63-0ED660229A37}"/>
    <cellStyle name="40% - Accent1 8 4 8" xfId="26683" xr:uid="{1FD7393A-393C-424F-85B0-08BB8268C313}"/>
    <cellStyle name="40% - Accent1 8 4_Exh G" xfId="2796" xr:uid="{00000000-0005-0000-0000-00008B300000}"/>
    <cellStyle name="40% - Accent1 8 5" xfId="1402" xr:uid="{00000000-0005-0000-0000-00008C300000}"/>
    <cellStyle name="40% - Accent1 8 5 2" xfId="4932" xr:uid="{00000000-0005-0000-0000-00008D300000}"/>
    <cellStyle name="40% - Accent1 8 5 2 2" xfId="8523" xr:uid="{00000000-0005-0000-0000-00008E300000}"/>
    <cellStyle name="40% - Accent1 8 5 2 2 2" xfId="16494" xr:uid="{00000000-0005-0000-0000-00008F300000}"/>
    <cellStyle name="40% - Accent1 8 5 2 2 2 2" xfId="40337" xr:uid="{B920D2EE-BFF3-44E7-80C7-20BA176B394C}"/>
    <cellStyle name="40% - Accent1 8 5 2 2 3" xfId="24440" xr:uid="{00000000-0005-0000-0000-000090300000}"/>
    <cellStyle name="40% - Accent1 8 5 2 2 3 2" xfId="48273" xr:uid="{EBD0BE0E-7899-4988-8E07-B23B7C5AA315}"/>
    <cellStyle name="40% - Accent1 8 5 2 2 4" xfId="32396" xr:uid="{1FCAB527-467E-44AA-8F66-4E61AE0293AB}"/>
    <cellStyle name="40% - Accent1 8 5 2 3" xfId="12956" xr:uid="{00000000-0005-0000-0000-000091300000}"/>
    <cellStyle name="40% - Accent1 8 5 2 3 2" xfId="36806" xr:uid="{82EB7EDB-A2F6-4721-A8A5-604CC17809EF}"/>
    <cellStyle name="40% - Accent1 8 5 2 4" xfId="20911" xr:uid="{00000000-0005-0000-0000-000092300000}"/>
    <cellStyle name="40% - Accent1 8 5 2 4 2" xfId="44744" xr:uid="{1E2CB84D-BF43-4B1B-858F-8F39A6BC5D11}"/>
    <cellStyle name="40% - Accent1 8 5 2 5" xfId="28865" xr:uid="{F8C4A08C-B175-4107-B245-6416490932C7}"/>
    <cellStyle name="40% - Accent1 8 5 3" xfId="6764" xr:uid="{00000000-0005-0000-0000-000093300000}"/>
    <cellStyle name="40% - Accent1 8 5 3 2" xfId="14736" xr:uid="{00000000-0005-0000-0000-000094300000}"/>
    <cellStyle name="40% - Accent1 8 5 3 2 2" xfId="38579" xr:uid="{C2AB691E-FB93-4530-9694-B2E9650354A5}"/>
    <cellStyle name="40% - Accent1 8 5 3 3" xfId="22683" xr:uid="{00000000-0005-0000-0000-000095300000}"/>
    <cellStyle name="40% - Accent1 8 5 3 3 2" xfId="46516" xr:uid="{47149F5A-74A2-4BA7-A412-E1FBAC7E84C2}"/>
    <cellStyle name="40% - Accent1 8 5 3 4" xfId="30638" xr:uid="{A1E4EEC2-D49F-402C-A463-73457807E4A3}"/>
    <cellStyle name="40% - Accent1 8 5 4" xfId="11200" xr:uid="{00000000-0005-0000-0000-000096300000}"/>
    <cellStyle name="40% - Accent1 8 5 4 2" xfId="35050" xr:uid="{96E4C272-3C4D-4B5F-A802-EC609DA9415C}"/>
    <cellStyle name="40% - Accent1 8 5 5" xfId="19155" xr:uid="{00000000-0005-0000-0000-000097300000}"/>
    <cellStyle name="40% - Accent1 8 5 5 2" xfId="42988" xr:uid="{A4BC06E5-0DE7-4300-BE7F-514118B71890}"/>
    <cellStyle name="40% - Accent1 8 5 6" xfId="27108" xr:uid="{EEB8136D-E031-4DD6-9BD2-FE0CA2C03459}"/>
    <cellStyle name="40% - Accent1 8 5_Exh G" xfId="2798" xr:uid="{00000000-0005-0000-0000-000098300000}"/>
    <cellStyle name="40% - Accent1 8 6" xfId="4053" xr:uid="{00000000-0005-0000-0000-000099300000}"/>
    <cellStyle name="40% - Accent1 8 6 2" xfId="7645" xr:uid="{00000000-0005-0000-0000-00009A300000}"/>
    <cellStyle name="40% - Accent1 8 6 2 2" xfId="15616" xr:uid="{00000000-0005-0000-0000-00009B300000}"/>
    <cellStyle name="40% - Accent1 8 6 2 2 2" xfId="39459" xr:uid="{46F5FBE6-5C83-4C5D-BB4C-B6CC0F8D1A5B}"/>
    <cellStyle name="40% - Accent1 8 6 2 3" xfId="23562" xr:uid="{00000000-0005-0000-0000-00009C300000}"/>
    <cellStyle name="40% - Accent1 8 6 2 3 2" xfId="47395" xr:uid="{59664B3F-0102-4C53-AD7C-0FDA7A8B2386}"/>
    <cellStyle name="40% - Accent1 8 6 2 4" xfId="31518" xr:uid="{F3D0B469-4177-4C36-90D0-26AEF084DC8B}"/>
    <cellStyle name="40% - Accent1 8 6 3" xfId="12078" xr:uid="{00000000-0005-0000-0000-00009D300000}"/>
    <cellStyle name="40% - Accent1 8 6 3 2" xfId="35928" xr:uid="{307C929C-EA15-43E4-9ECA-5666BD2DCC70}"/>
    <cellStyle name="40% - Accent1 8 6 4" xfId="20033" xr:uid="{00000000-0005-0000-0000-00009E300000}"/>
    <cellStyle name="40% - Accent1 8 6 4 2" xfId="43866" xr:uid="{E422627E-113D-41BD-9801-640F745FA920}"/>
    <cellStyle name="40% - Accent1 8 6 5" xfId="27987" xr:uid="{349307BF-E644-4379-B739-116F025D8755}"/>
    <cellStyle name="40% - Accent1 8 7" xfId="5873" xr:uid="{00000000-0005-0000-0000-00009F300000}"/>
    <cellStyle name="40% - Accent1 8 7 2" xfId="13857" xr:uid="{00000000-0005-0000-0000-0000A0300000}"/>
    <cellStyle name="40% - Accent1 8 7 2 2" xfId="37701" xr:uid="{77B3D360-76D9-4F24-9FE9-BCF58499EE1E}"/>
    <cellStyle name="40% - Accent1 8 7 3" xfId="21805" xr:uid="{00000000-0005-0000-0000-0000A1300000}"/>
    <cellStyle name="40% - Accent1 8 7 3 2" xfId="45638" xr:uid="{CAA9F9A3-A358-4D33-B041-28D05DDF5178}"/>
    <cellStyle name="40% - Accent1 8 7 4" xfId="29760" xr:uid="{D5FF8960-6330-4776-9CA6-06F6943A6F43}"/>
    <cellStyle name="40% - Accent1 8 8" xfId="9426" xr:uid="{00000000-0005-0000-0000-0000A2300000}"/>
    <cellStyle name="40% - Accent1 8 8 2" xfId="17384" xr:uid="{00000000-0005-0000-0000-0000A3300000}"/>
    <cellStyle name="40% - Accent1 8 8 2 2" xfId="41225" xr:uid="{77A8DCE7-4575-40D1-B752-7AC32E8C2FD5}"/>
    <cellStyle name="40% - Accent1 8 8 3" xfId="25328" xr:uid="{00000000-0005-0000-0000-0000A4300000}"/>
    <cellStyle name="40% - Accent1 8 8 3 2" xfId="49161" xr:uid="{3CE57328-FB64-4402-BA8B-BBF6EDD5EF50}"/>
    <cellStyle name="40% - Accent1 8 8 4" xfId="33284" xr:uid="{3DC00321-B8F8-436C-8422-FDA35F515E09}"/>
    <cellStyle name="40% - Accent1 8 9" xfId="10322" xr:uid="{00000000-0005-0000-0000-0000A5300000}"/>
    <cellStyle name="40% - Accent1 8 9 2" xfId="34172" xr:uid="{01E14FBB-C4DF-4935-BEA4-24DC65C40969}"/>
    <cellStyle name="40% - Accent1 8_Exh G" xfId="2789" xr:uid="{00000000-0005-0000-0000-0000A6300000}"/>
    <cellStyle name="40% - Accent1 9" xfId="378" xr:uid="{00000000-0005-0000-0000-0000A7300000}"/>
    <cellStyle name="40% - Accent1 9 10" xfId="18281" xr:uid="{00000000-0005-0000-0000-0000A8300000}"/>
    <cellStyle name="40% - Accent1 9 10 2" xfId="42114" xr:uid="{E89E55CA-4790-47CF-BD28-363CDFFF22C1}"/>
    <cellStyle name="40% - Accent1 9 11" xfId="26234" xr:uid="{8076E4C5-501E-4475-9357-0A3DF812CA3E}"/>
    <cellStyle name="40% - Accent1 9 2" xfId="379" xr:uid="{00000000-0005-0000-0000-0000A9300000}"/>
    <cellStyle name="40% - Accent1 9 2 2" xfId="380" xr:uid="{00000000-0005-0000-0000-0000AA300000}"/>
    <cellStyle name="40% - Accent1 9 2 2 2" xfId="1408" xr:uid="{00000000-0005-0000-0000-0000AB300000}"/>
    <cellStyle name="40% - Accent1 9 2 2 2 2" xfId="4938" xr:uid="{00000000-0005-0000-0000-0000AC300000}"/>
    <cellStyle name="40% - Accent1 9 2 2 2 2 2" xfId="8529" xr:uid="{00000000-0005-0000-0000-0000AD300000}"/>
    <cellStyle name="40% - Accent1 9 2 2 2 2 2 2" xfId="16500" xr:uid="{00000000-0005-0000-0000-0000AE300000}"/>
    <cellStyle name="40% - Accent1 9 2 2 2 2 2 2 2" xfId="40343" xr:uid="{26F7BBC4-E721-4B55-8D64-5E4FBB4027CA}"/>
    <cellStyle name="40% - Accent1 9 2 2 2 2 2 3" xfId="24446" xr:uid="{00000000-0005-0000-0000-0000AF300000}"/>
    <cellStyle name="40% - Accent1 9 2 2 2 2 2 3 2" xfId="48279" xr:uid="{1BE91D17-B5FF-4A6B-A9FA-541997928F78}"/>
    <cellStyle name="40% - Accent1 9 2 2 2 2 2 4" xfId="32402" xr:uid="{5688844A-46E6-4A62-A3EA-8C2F464B02D0}"/>
    <cellStyle name="40% - Accent1 9 2 2 2 2 3" xfId="12962" xr:uid="{00000000-0005-0000-0000-0000B0300000}"/>
    <cellStyle name="40% - Accent1 9 2 2 2 2 3 2" xfId="36812" xr:uid="{CFE5FD01-2206-44B0-8242-F3AE67B6866D}"/>
    <cellStyle name="40% - Accent1 9 2 2 2 2 4" xfId="20917" xr:uid="{00000000-0005-0000-0000-0000B1300000}"/>
    <cellStyle name="40% - Accent1 9 2 2 2 2 4 2" xfId="44750" xr:uid="{73D293F8-B16C-4F5D-8741-490622AA655D}"/>
    <cellStyle name="40% - Accent1 9 2 2 2 2 5" xfId="28871" xr:uid="{2D1C6665-7EDD-43DA-8079-E8296612CE2D}"/>
    <cellStyle name="40% - Accent1 9 2 2 2 3" xfId="6770" xr:uid="{00000000-0005-0000-0000-0000B2300000}"/>
    <cellStyle name="40% - Accent1 9 2 2 2 3 2" xfId="14742" xr:uid="{00000000-0005-0000-0000-0000B3300000}"/>
    <cellStyle name="40% - Accent1 9 2 2 2 3 2 2" xfId="38585" xr:uid="{B3E051AB-8ACB-4133-ABF3-DF7CC307D27A}"/>
    <cellStyle name="40% - Accent1 9 2 2 2 3 3" xfId="22689" xr:uid="{00000000-0005-0000-0000-0000B4300000}"/>
    <cellStyle name="40% - Accent1 9 2 2 2 3 3 2" xfId="46522" xr:uid="{2DCFE1D2-AEDF-4A10-98E4-F6B189DF6983}"/>
    <cellStyle name="40% - Accent1 9 2 2 2 3 4" xfId="30644" xr:uid="{4CDDC887-4A7E-4C54-9ED6-F207E74FCB1A}"/>
    <cellStyle name="40% - Accent1 9 2 2 2 4" xfId="11206" xr:uid="{00000000-0005-0000-0000-0000B5300000}"/>
    <cellStyle name="40% - Accent1 9 2 2 2 4 2" xfId="35056" xr:uid="{DD18F320-923B-4D77-97C7-9C80D5A4591A}"/>
    <cellStyle name="40% - Accent1 9 2 2 2 5" xfId="19161" xr:uid="{00000000-0005-0000-0000-0000B6300000}"/>
    <cellStyle name="40% - Accent1 9 2 2 2 5 2" xfId="42994" xr:uid="{0F027FAE-2658-41E5-A330-2C86006F3B1B}"/>
    <cellStyle name="40% - Accent1 9 2 2 2 6" xfId="27114" xr:uid="{99DA9D92-FCB9-4D5C-A5A5-0359CB2F3941}"/>
    <cellStyle name="40% - Accent1 9 2 2 2_Exh G" xfId="2802" xr:uid="{00000000-0005-0000-0000-0000B7300000}"/>
    <cellStyle name="40% - Accent1 9 2 2 3" xfId="4059" xr:uid="{00000000-0005-0000-0000-0000B8300000}"/>
    <cellStyle name="40% - Accent1 9 2 2 3 2" xfId="7651" xr:uid="{00000000-0005-0000-0000-0000B9300000}"/>
    <cellStyle name="40% - Accent1 9 2 2 3 2 2" xfId="15622" xr:uid="{00000000-0005-0000-0000-0000BA300000}"/>
    <cellStyle name="40% - Accent1 9 2 2 3 2 2 2" xfId="39465" xr:uid="{F23F1A05-5497-4BA5-ACEC-EC8CEA0F01DC}"/>
    <cellStyle name="40% - Accent1 9 2 2 3 2 3" xfId="23568" xr:uid="{00000000-0005-0000-0000-0000BB300000}"/>
    <cellStyle name="40% - Accent1 9 2 2 3 2 3 2" xfId="47401" xr:uid="{35443D9C-C4E7-45EE-88FB-001106F2B468}"/>
    <cellStyle name="40% - Accent1 9 2 2 3 2 4" xfId="31524" xr:uid="{0F745104-B66E-4818-B6F9-5A2B436EF85A}"/>
    <cellStyle name="40% - Accent1 9 2 2 3 3" xfId="12084" xr:uid="{00000000-0005-0000-0000-0000BC300000}"/>
    <cellStyle name="40% - Accent1 9 2 2 3 3 2" xfId="35934" xr:uid="{7FF75368-9843-4CEA-BD18-1C0BC54B40D9}"/>
    <cellStyle name="40% - Accent1 9 2 2 3 4" xfId="20039" xr:uid="{00000000-0005-0000-0000-0000BD300000}"/>
    <cellStyle name="40% - Accent1 9 2 2 3 4 2" xfId="43872" xr:uid="{E874BE79-411A-4294-A868-0971E41ABB38}"/>
    <cellStyle name="40% - Accent1 9 2 2 3 5" xfId="27993" xr:uid="{9A287B50-AEA5-44BE-9A22-E87D55884283}"/>
    <cellStyle name="40% - Accent1 9 2 2 4" xfId="5879" xr:uid="{00000000-0005-0000-0000-0000BE300000}"/>
    <cellStyle name="40% - Accent1 9 2 2 4 2" xfId="13863" xr:uid="{00000000-0005-0000-0000-0000BF300000}"/>
    <cellStyle name="40% - Accent1 9 2 2 4 2 2" xfId="37707" xr:uid="{3A180271-3B8F-44A4-A631-549F9D21F871}"/>
    <cellStyle name="40% - Accent1 9 2 2 4 3" xfId="21811" xr:uid="{00000000-0005-0000-0000-0000C0300000}"/>
    <cellStyle name="40% - Accent1 9 2 2 4 3 2" xfId="45644" xr:uid="{CB961AB9-5AC8-4E0A-B117-E63D4FC09C5D}"/>
    <cellStyle name="40% - Accent1 9 2 2 4 4" xfId="29766" xr:uid="{F23724EC-4AC0-4B3E-978E-68B7565C1705}"/>
    <cellStyle name="40% - Accent1 9 2 2 5" xfId="9432" xr:uid="{00000000-0005-0000-0000-0000C1300000}"/>
    <cellStyle name="40% - Accent1 9 2 2 5 2" xfId="17390" xr:uid="{00000000-0005-0000-0000-0000C2300000}"/>
    <cellStyle name="40% - Accent1 9 2 2 5 2 2" xfId="41231" xr:uid="{72EDE576-D215-4FF2-80DB-350FCAED9FD7}"/>
    <cellStyle name="40% - Accent1 9 2 2 5 3" xfId="25334" xr:uid="{00000000-0005-0000-0000-0000C3300000}"/>
    <cellStyle name="40% - Accent1 9 2 2 5 3 2" xfId="49167" xr:uid="{FC85BDCA-1875-4053-9A09-6990704B5EAD}"/>
    <cellStyle name="40% - Accent1 9 2 2 5 4" xfId="33290" xr:uid="{D0915BE5-C146-4327-B1C3-92DEE4421A53}"/>
    <cellStyle name="40% - Accent1 9 2 2 6" xfId="10328" xr:uid="{00000000-0005-0000-0000-0000C4300000}"/>
    <cellStyle name="40% - Accent1 9 2 2 6 2" xfId="34178" xr:uid="{B3B9F602-1852-4058-8F85-60632782098D}"/>
    <cellStyle name="40% - Accent1 9 2 2 7" xfId="18283" xr:uid="{00000000-0005-0000-0000-0000C5300000}"/>
    <cellStyle name="40% - Accent1 9 2 2 7 2" xfId="42116" xr:uid="{FCC8F664-CE01-4F5E-B036-27E2CD9B763A}"/>
    <cellStyle name="40% - Accent1 9 2 2 8" xfId="26236" xr:uid="{5B795EB7-006A-4CD5-A3AA-5B475C7FB306}"/>
    <cellStyle name="40% - Accent1 9 2 2_Exh G" xfId="2801" xr:uid="{00000000-0005-0000-0000-0000C6300000}"/>
    <cellStyle name="40% - Accent1 9 2 3" xfId="1407" xr:uid="{00000000-0005-0000-0000-0000C7300000}"/>
    <cellStyle name="40% - Accent1 9 2 3 2" xfId="4937" xr:uid="{00000000-0005-0000-0000-0000C8300000}"/>
    <cellStyle name="40% - Accent1 9 2 3 2 2" xfId="8528" xr:uid="{00000000-0005-0000-0000-0000C9300000}"/>
    <cellStyle name="40% - Accent1 9 2 3 2 2 2" xfId="16499" xr:uid="{00000000-0005-0000-0000-0000CA300000}"/>
    <cellStyle name="40% - Accent1 9 2 3 2 2 2 2" xfId="40342" xr:uid="{58535D58-14E7-45B8-AB53-3C06DAABE3D9}"/>
    <cellStyle name="40% - Accent1 9 2 3 2 2 3" xfId="24445" xr:uid="{00000000-0005-0000-0000-0000CB300000}"/>
    <cellStyle name="40% - Accent1 9 2 3 2 2 3 2" xfId="48278" xr:uid="{E9078FA2-CFCD-4B6F-9C62-3C12C5FCC708}"/>
    <cellStyle name="40% - Accent1 9 2 3 2 2 4" xfId="32401" xr:uid="{91F73C7F-BFF2-4B96-B836-FC0F80A41BF2}"/>
    <cellStyle name="40% - Accent1 9 2 3 2 3" xfId="12961" xr:uid="{00000000-0005-0000-0000-0000CC300000}"/>
    <cellStyle name="40% - Accent1 9 2 3 2 3 2" xfId="36811" xr:uid="{C0AEBE93-B110-40AF-80E3-C40EE9603A69}"/>
    <cellStyle name="40% - Accent1 9 2 3 2 4" xfId="20916" xr:uid="{00000000-0005-0000-0000-0000CD300000}"/>
    <cellStyle name="40% - Accent1 9 2 3 2 4 2" xfId="44749" xr:uid="{EFE4220B-EAE8-4BCC-A2CF-F24BF0247619}"/>
    <cellStyle name="40% - Accent1 9 2 3 2 5" xfId="28870" xr:uid="{0ADA0350-B3DD-4AD8-820D-17A0B9912091}"/>
    <cellStyle name="40% - Accent1 9 2 3 3" xfId="6769" xr:uid="{00000000-0005-0000-0000-0000CE300000}"/>
    <cellStyle name="40% - Accent1 9 2 3 3 2" xfId="14741" xr:uid="{00000000-0005-0000-0000-0000CF300000}"/>
    <cellStyle name="40% - Accent1 9 2 3 3 2 2" xfId="38584" xr:uid="{F3293531-C1EB-4EE4-A8D4-FE6A25A6EE21}"/>
    <cellStyle name="40% - Accent1 9 2 3 3 3" xfId="22688" xr:uid="{00000000-0005-0000-0000-0000D0300000}"/>
    <cellStyle name="40% - Accent1 9 2 3 3 3 2" xfId="46521" xr:uid="{8501EF98-071C-46D9-9EE0-E330E0FB6C89}"/>
    <cellStyle name="40% - Accent1 9 2 3 3 4" xfId="30643" xr:uid="{589B41E4-23F6-4576-AAB5-4E08B7C84717}"/>
    <cellStyle name="40% - Accent1 9 2 3 4" xfId="11205" xr:uid="{00000000-0005-0000-0000-0000D1300000}"/>
    <cellStyle name="40% - Accent1 9 2 3 4 2" xfId="35055" xr:uid="{F08DFADA-675F-43EF-AD62-0D3C072DE3E8}"/>
    <cellStyle name="40% - Accent1 9 2 3 5" xfId="19160" xr:uid="{00000000-0005-0000-0000-0000D2300000}"/>
    <cellStyle name="40% - Accent1 9 2 3 5 2" xfId="42993" xr:uid="{6BF80C2D-5615-4F80-9437-976DCBFE32F7}"/>
    <cellStyle name="40% - Accent1 9 2 3 6" xfId="27113" xr:uid="{9DFEF171-BE8E-4F68-B5D2-0959506B2F2F}"/>
    <cellStyle name="40% - Accent1 9 2 3_Exh G" xfId="2803" xr:uid="{00000000-0005-0000-0000-0000D3300000}"/>
    <cellStyle name="40% - Accent1 9 2 4" xfId="4058" xr:uid="{00000000-0005-0000-0000-0000D4300000}"/>
    <cellStyle name="40% - Accent1 9 2 4 2" xfId="7650" xr:uid="{00000000-0005-0000-0000-0000D5300000}"/>
    <cellStyle name="40% - Accent1 9 2 4 2 2" xfId="15621" xr:uid="{00000000-0005-0000-0000-0000D6300000}"/>
    <cellStyle name="40% - Accent1 9 2 4 2 2 2" xfId="39464" xr:uid="{5A501C1C-312C-4ABC-91FE-F8FD73F6A863}"/>
    <cellStyle name="40% - Accent1 9 2 4 2 3" xfId="23567" xr:uid="{00000000-0005-0000-0000-0000D7300000}"/>
    <cellStyle name="40% - Accent1 9 2 4 2 3 2" xfId="47400" xr:uid="{6241FE7A-616A-4F75-9E83-6B22DD56CB7B}"/>
    <cellStyle name="40% - Accent1 9 2 4 2 4" xfId="31523" xr:uid="{DAC321E0-C587-4FB7-827A-B558CC742374}"/>
    <cellStyle name="40% - Accent1 9 2 4 3" xfId="12083" xr:uid="{00000000-0005-0000-0000-0000D8300000}"/>
    <cellStyle name="40% - Accent1 9 2 4 3 2" xfId="35933" xr:uid="{B18A44BC-2B21-4935-B6B1-F2B7D892B114}"/>
    <cellStyle name="40% - Accent1 9 2 4 4" xfId="20038" xr:uid="{00000000-0005-0000-0000-0000D9300000}"/>
    <cellStyle name="40% - Accent1 9 2 4 4 2" xfId="43871" xr:uid="{3996122E-DA19-48F7-9A61-0B16885DA5C6}"/>
    <cellStyle name="40% - Accent1 9 2 4 5" xfId="27992" xr:uid="{80536FD9-2BDB-4918-8DA8-0B367E552386}"/>
    <cellStyle name="40% - Accent1 9 2 5" xfId="5878" xr:uid="{00000000-0005-0000-0000-0000DA300000}"/>
    <cellStyle name="40% - Accent1 9 2 5 2" xfId="13862" xr:uid="{00000000-0005-0000-0000-0000DB300000}"/>
    <cellStyle name="40% - Accent1 9 2 5 2 2" xfId="37706" xr:uid="{A7A46262-BB70-42C8-9F3D-544C68382FDB}"/>
    <cellStyle name="40% - Accent1 9 2 5 3" xfId="21810" xr:uid="{00000000-0005-0000-0000-0000DC300000}"/>
    <cellStyle name="40% - Accent1 9 2 5 3 2" xfId="45643" xr:uid="{794D23CC-E857-40C6-8C48-E9D2C3E35C86}"/>
    <cellStyle name="40% - Accent1 9 2 5 4" xfId="29765" xr:uid="{BE6C4805-DD78-4719-AE04-85BBF00E51D3}"/>
    <cellStyle name="40% - Accent1 9 2 6" xfId="9431" xr:uid="{00000000-0005-0000-0000-0000DD300000}"/>
    <cellStyle name="40% - Accent1 9 2 6 2" xfId="17389" xr:uid="{00000000-0005-0000-0000-0000DE300000}"/>
    <cellStyle name="40% - Accent1 9 2 6 2 2" xfId="41230" xr:uid="{653AACE2-235F-4E79-BEEF-0B0EEE2F6590}"/>
    <cellStyle name="40% - Accent1 9 2 6 3" xfId="25333" xr:uid="{00000000-0005-0000-0000-0000DF300000}"/>
    <cellStyle name="40% - Accent1 9 2 6 3 2" xfId="49166" xr:uid="{71C39451-BE25-4960-B938-72C4B21099FA}"/>
    <cellStyle name="40% - Accent1 9 2 6 4" xfId="33289" xr:uid="{37EC0304-53D5-4EA5-8060-047A0F8E5EE5}"/>
    <cellStyle name="40% - Accent1 9 2 7" xfId="10327" xr:uid="{00000000-0005-0000-0000-0000E0300000}"/>
    <cellStyle name="40% - Accent1 9 2 7 2" xfId="34177" xr:uid="{00773E69-6F72-407B-83D2-FBB7964B131C}"/>
    <cellStyle name="40% - Accent1 9 2 8" xfId="18282" xr:uid="{00000000-0005-0000-0000-0000E1300000}"/>
    <cellStyle name="40% - Accent1 9 2 8 2" xfId="42115" xr:uid="{3FF560E8-096B-4D9E-8611-39CCFC4B6735}"/>
    <cellStyle name="40% - Accent1 9 2 9" xfId="26235" xr:uid="{B5BABDE7-5841-4AA5-8EA9-7B4C70C8989D}"/>
    <cellStyle name="40% - Accent1 9 2_Exh G" xfId="2800" xr:uid="{00000000-0005-0000-0000-0000E2300000}"/>
    <cellStyle name="40% - Accent1 9 3" xfId="381" xr:uid="{00000000-0005-0000-0000-0000E3300000}"/>
    <cellStyle name="40% - Accent1 9 3 2" xfId="1409" xr:uid="{00000000-0005-0000-0000-0000E4300000}"/>
    <cellStyle name="40% - Accent1 9 3 2 2" xfId="4939" xr:uid="{00000000-0005-0000-0000-0000E5300000}"/>
    <cellStyle name="40% - Accent1 9 3 2 2 2" xfId="8530" xr:uid="{00000000-0005-0000-0000-0000E6300000}"/>
    <cellStyle name="40% - Accent1 9 3 2 2 2 2" xfId="16501" xr:uid="{00000000-0005-0000-0000-0000E7300000}"/>
    <cellStyle name="40% - Accent1 9 3 2 2 2 2 2" xfId="40344" xr:uid="{918C8713-DECA-4DD6-AA91-A9A387338C83}"/>
    <cellStyle name="40% - Accent1 9 3 2 2 2 3" xfId="24447" xr:uid="{00000000-0005-0000-0000-0000E8300000}"/>
    <cellStyle name="40% - Accent1 9 3 2 2 2 3 2" xfId="48280" xr:uid="{C4B1DCD0-413C-4230-A1B4-3F81DEF9B025}"/>
    <cellStyle name="40% - Accent1 9 3 2 2 2 4" xfId="32403" xr:uid="{74453579-10B2-4D93-9960-6E4E3D0864E3}"/>
    <cellStyle name="40% - Accent1 9 3 2 2 3" xfId="12963" xr:uid="{00000000-0005-0000-0000-0000E9300000}"/>
    <cellStyle name="40% - Accent1 9 3 2 2 3 2" xfId="36813" xr:uid="{D88B493C-4FFF-4858-917E-A7091DD78AF2}"/>
    <cellStyle name="40% - Accent1 9 3 2 2 4" xfId="20918" xr:uid="{00000000-0005-0000-0000-0000EA300000}"/>
    <cellStyle name="40% - Accent1 9 3 2 2 4 2" xfId="44751" xr:uid="{83B5BCF0-3309-4524-AC48-13CD388DB436}"/>
    <cellStyle name="40% - Accent1 9 3 2 2 5" xfId="28872" xr:uid="{F3F3A605-D532-435A-BD46-B370BE0D48C5}"/>
    <cellStyle name="40% - Accent1 9 3 2 3" xfId="6771" xr:uid="{00000000-0005-0000-0000-0000EB300000}"/>
    <cellStyle name="40% - Accent1 9 3 2 3 2" xfId="14743" xr:uid="{00000000-0005-0000-0000-0000EC300000}"/>
    <cellStyle name="40% - Accent1 9 3 2 3 2 2" xfId="38586" xr:uid="{A955FD89-13DC-4B2E-9353-AF1FDF5A91CD}"/>
    <cellStyle name="40% - Accent1 9 3 2 3 3" xfId="22690" xr:uid="{00000000-0005-0000-0000-0000ED300000}"/>
    <cellStyle name="40% - Accent1 9 3 2 3 3 2" xfId="46523" xr:uid="{4538FAE3-59B1-495B-94D5-ED044D14D474}"/>
    <cellStyle name="40% - Accent1 9 3 2 3 4" xfId="30645" xr:uid="{494E3C89-78B4-4CBE-A777-5D40A75D5D2B}"/>
    <cellStyle name="40% - Accent1 9 3 2 4" xfId="11207" xr:uid="{00000000-0005-0000-0000-0000EE300000}"/>
    <cellStyle name="40% - Accent1 9 3 2 4 2" xfId="35057" xr:uid="{E5926B42-6E4E-4545-959A-36B700150024}"/>
    <cellStyle name="40% - Accent1 9 3 2 5" xfId="19162" xr:uid="{00000000-0005-0000-0000-0000EF300000}"/>
    <cellStyle name="40% - Accent1 9 3 2 5 2" xfId="42995" xr:uid="{89D93322-450B-4593-B3C3-58A5D04A8EF9}"/>
    <cellStyle name="40% - Accent1 9 3 2 6" xfId="27115" xr:uid="{FB58C508-15CC-40A0-BF14-437D43684178}"/>
    <cellStyle name="40% - Accent1 9 3 2_Exh G" xfId="2805" xr:uid="{00000000-0005-0000-0000-0000F0300000}"/>
    <cellStyle name="40% - Accent1 9 3 3" xfId="4060" xr:uid="{00000000-0005-0000-0000-0000F1300000}"/>
    <cellStyle name="40% - Accent1 9 3 3 2" xfId="7652" xr:uid="{00000000-0005-0000-0000-0000F2300000}"/>
    <cellStyle name="40% - Accent1 9 3 3 2 2" xfId="15623" xr:uid="{00000000-0005-0000-0000-0000F3300000}"/>
    <cellStyle name="40% - Accent1 9 3 3 2 2 2" xfId="39466" xr:uid="{A0D28260-26AB-4EED-8174-0C2F8D65D970}"/>
    <cellStyle name="40% - Accent1 9 3 3 2 3" xfId="23569" xr:uid="{00000000-0005-0000-0000-0000F4300000}"/>
    <cellStyle name="40% - Accent1 9 3 3 2 3 2" xfId="47402" xr:uid="{354E712F-B684-4F54-A526-84DD6AAF59EC}"/>
    <cellStyle name="40% - Accent1 9 3 3 2 4" xfId="31525" xr:uid="{5B7E4264-CB74-4749-9CD4-6D842F401D69}"/>
    <cellStyle name="40% - Accent1 9 3 3 3" xfId="12085" xr:uid="{00000000-0005-0000-0000-0000F5300000}"/>
    <cellStyle name="40% - Accent1 9 3 3 3 2" xfId="35935" xr:uid="{111DE60A-C9C0-49C5-B2BE-5BFF295939C7}"/>
    <cellStyle name="40% - Accent1 9 3 3 4" xfId="20040" xr:uid="{00000000-0005-0000-0000-0000F6300000}"/>
    <cellStyle name="40% - Accent1 9 3 3 4 2" xfId="43873" xr:uid="{223CC62A-6EAF-411A-A665-34A14BB1FD46}"/>
    <cellStyle name="40% - Accent1 9 3 3 5" xfId="27994" xr:uid="{0680E6AA-0BCE-4402-B897-C56372CEBB23}"/>
    <cellStyle name="40% - Accent1 9 3 4" xfId="5880" xr:uid="{00000000-0005-0000-0000-0000F7300000}"/>
    <cellStyle name="40% - Accent1 9 3 4 2" xfId="13864" xr:uid="{00000000-0005-0000-0000-0000F8300000}"/>
    <cellStyle name="40% - Accent1 9 3 4 2 2" xfId="37708" xr:uid="{5C309894-0AA8-465D-B762-6D8964669234}"/>
    <cellStyle name="40% - Accent1 9 3 4 3" xfId="21812" xr:uid="{00000000-0005-0000-0000-0000F9300000}"/>
    <cellStyle name="40% - Accent1 9 3 4 3 2" xfId="45645" xr:uid="{0C6D67C7-E5C0-4997-8BCB-94325E514B05}"/>
    <cellStyle name="40% - Accent1 9 3 4 4" xfId="29767" xr:uid="{61B9AB84-9A30-4527-AACE-EC994A56B6B8}"/>
    <cellStyle name="40% - Accent1 9 3 5" xfId="9433" xr:uid="{00000000-0005-0000-0000-0000FA300000}"/>
    <cellStyle name="40% - Accent1 9 3 5 2" xfId="17391" xr:uid="{00000000-0005-0000-0000-0000FB300000}"/>
    <cellStyle name="40% - Accent1 9 3 5 2 2" xfId="41232" xr:uid="{2A5474BF-BB9C-4984-A47A-97599C088B81}"/>
    <cellStyle name="40% - Accent1 9 3 5 3" xfId="25335" xr:uid="{00000000-0005-0000-0000-0000FC300000}"/>
    <cellStyle name="40% - Accent1 9 3 5 3 2" xfId="49168" xr:uid="{94117A63-C6E3-48B0-9939-4301F70579C2}"/>
    <cellStyle name="40% - Accent1 9 3 5 4" xfId="33291" xr:uid="{57AB44DE-5ADF-4AC6-B622-35EE95E8785D}"/>
    <cellStyle name="40% - Accent1 9 3 6" xfId="10329" xr:uid="{00000000-0005-0000-0000-0000FD300000}"/>
    <cellStyle name="40% - Accent1 9 3 6 2" xfId="34179" xr:uid="{D5B65B95-148A-473E-9AE4-AD4A0920C93E}"/>
    <cellStyle name="40% - Accent1 9 3 7" xfId="18284" xr:uid="{00000000-0005-0000-0000-0000FE300000}"/>
    <cellStyle name="40% - Accent1 9 3 7 2" xfId="42117" xr:uid="{F87A3AA1-0C3F-44F6-B478-7A6574678663}"/>
    <cellStyle name="40% - Accent1 9 3 8" xfId="26237" xr:uid="{E16F6645-F1E9-48E5-9580-16ACE9FF2357}"/>
    <cellStyle name="40% - Accent1 9 3_Exh G" xfId="2804" xr:uid="{00000000-0005-0000-0000-0000FF300000}"/>
    <cellStyle name="40% - Accent1 9 4" xfId="945" xr:uid="{00000000-0005-0000-0000-000000310000}"/>
    <cellStyle name="40% - Accent1 9 4 2" xfId="1868" xr:uid="{00000000-0005-0000-0000-000001310000}"/>
    <cellStyle name="40% - Accent1 9 4 2 2" xfId="5386" xr:uid="{00000000-0005-0000-0000-000002310000}"/>
    <cellStyle name="40% - Accent1 9 4 2 2 2" xfId="8977" xr:uid="{00000000-0005-0000-0000-000003310000}"/>
    <cellStyle name="40% - Accent1 9 4 2 2 2 2" xfId="16948" xr:uid="{00000000-0005-0000-0000-000004310000}"/>
    <cellStyle name="40% - Accent1 9 4 2 2 2 2 2" xfId="40791" xr:uid="{11FC25FD-884A-4DC8-BF08-DA89CF1DA037}"/>
    <cellStyle name="40% - Accent1 9 4 2 2 2 3" xfId="24894" xr:uid="{00000000-0005-0000-0000-000005310000}"/>
    <cellStyle name="40% - Accent1 9 4 2 2 2 3 2" xfId="48727" xr:uid="{D391EB21-541A-4308-B97D-F635CE384607}"/>
    <cellStyle name="40% - Accent1 9 4 2 2 2 4" xfId="32850" xr:uid="{C1270A15-F766-465C-94A2-8F25F5F33E7E}"/>
    <cellStyle name="40% - Accent1 9 4 2 2 3" xfId="13410" xr:uid="{00000000-0005-0000-0000-000006310000}"/>
    <cellStyle name="40% - Accent1 9 4 2 2 3 2" xfId="37260" xr:uid="{18C11095-01D7-43C8-B566-86B06429095D}"/>
    <cellStyle name="40% - Accent1 9 4 2 2 4" xfId="21365" xr:uid="{00000000-0005-0000-0000-000007310000}"/>
    <cellStyle name="40% - Accent1 9 4 2 2 4 2" xfId="45198" xr:uid="{92289D83-F8F3-4318-A331-D62187D2D5D6}"/>
    <cellStyle name="40% - Accent1 9 4 2 2 5" xfId="29319" xr:uid="{21315D66-64AA-47BD-8E04-24BF215D1BF9}"/>
    <cellStyle name="40% - Accent1 9 4 2 3" xfId="7218" xr:uid="{00000000-0005-0000-0000-000008310000}"/>
    <cellStyle name="40% - Accent1 9 4 2 3 2" xfId="15190" xr:uid="{00000000-0005-0000-0000-000009310000}"/>
    <cellStyle name="40% - Accent1 9 4 2 3 2 2" xfId="39033" xr:uid="{371A63D0-AAC8-4165-B4E7-FC14B56B0963}"/>
    <cellStyle name="40% - Accent1 9 4 2 3 3" xfId="23137" xr:uid="{00000000-0005-0000-0000-00000A310000}"/>
    <cellStyle name="40% - Accent1 9 4 2 3 3 2" xfId="46970" xr:uid="{961C431E-0098-4C7C-AA7C-1FD8E9EC6D45}"/>
    <cellStyle name="40% - Accent1 9 4 2 3 4" xfId="31092" xr:uid="{7FDF2F15-FEB3-4076-A647-6F0B2F0FBE88}"/>
    <cellStyle name="40% - Accent1 9 4 2 4" xfId="11654" xr:uid="{00000000-0005-0000-0000-00000B310000}"/>
    <cellStyle name="40% - Accent1 9 4 2 4 2" xfId="35504" xr:uid="{8B94A804-0F2E-48E8-B1A6-769D0D64CEEA}"/>
    <cellStyle name="40% - Accent1 9 4 2 5" xfId="19609" xr:uid="{00000000-0005-0000-0000-00000C310000}"/>
    <cellStyle name="40% - Accent1 9 4 2 5 2" xfId="43442" xr:uid="{B2D33166-8413-4193-A17B-C20B51B90BBE}"/>
    <cellStyle name="40% - Accent1 9 4 2 6" xfId="27562" xr:uid="{78EFB29E-3191-4C1F-A937-C2688CE1048B}"/>
    <cellStyle name="40% - Accent1 9 4 2_Exh G" xfId="2807" xr:uid="{00000000-0005-0000-0000-00000D310000}"/>
    <cellStyle name="40% - Accent1 9 4 3" xfId="4507" xr:uid="{00000000-0005-0000-0000-00000E310000}"/>
    <cellStyle name="40% - Accent1 9 4 3 2" xfId="8099" xr:uid="{00000000-0005-0000-0000-00000F310000}"/>
    <cellStyle name="40% - Accent1 9 4 3 2 2" xfId="16070" xr:uid="{00000000-0005-0000-0000-000010310000}"/>
    <cellStyle name="40% - Accent1 9 4 3 2 2 2" xfId="39913" xr:uid="{5D153436-881F-41C8-BF4A-1164FF984086}"/>
    <cellStyle name="40% - Accent1 9 4 3 2 3" xfId="24016" xr:uid="{00000000-0005-0000-0000-000011310000}"/>
    <cellStyle name="40% - Accent1 9 4 3 2 3 2" xfId="47849" xr:uid="{67D25713-F313-4C9C-9646-19AB9771BF96}"/>
    <cellStyle name="40% - Accent1 9 4 3 2 4" xfId="31972" xr:uid="{0A5D79E7-0D3F-4C29-9EF3-AAAB6F213837}"/>
    <cellStyle name="40% - Accent1 9 4 3 3" xfId="12532" xr:uid="{00000000-0005-0000-0000-000012310000}"/>
    <cellStyle name="40% - Accent1 9 4 3 3 2" xfId="36382" xr:uid="{ABB93DAD-3375-4A15-A503-92C0C541EF97}"/>
    <cellStyle name="40% - Accent1 9 4 3 4" xfId="20487" xr:uid="{00000000-0005-0000-0000-000013310000}"/>
    <cellStyle name="40% - Accent1 9 4 3 4 2" xfId="44320" xr:uid="{073403F6-EF54-40A4-AE82-BEB0783D9139}"/>
    <cellStyle name="40% - Accent1 9 4 3 5" xfId="28441" xr:uid="{0F0953CA-910F-4C12-8AE5-26D9F85AC194}"/>
    <cellStyle name="40% - Accent1 9 4 4" xfId="6337" xr:uid="{00000000-0005-0000-0000-000014310000}"/>
    <cellStyle name="40% - Accent1 9 4 4 2" xfId="14312" xr:uid="{00000000-0005-0000-0000-000015310000}"/>
    <cellStyle name="40% - Accent1 9 4 4 2 2" xfId="38155" xr:uid="{21EB34FA-40B6-4D42-9A40-56FA6A6D492F}"/>
    <cellStyle name="40% - Accent1 9 4 4 3" xfId="22259" xr:uid="{00000000-0005-0000-0000-000016310000}"/>
    <cellStyle name="40% - Accent1 9 4 4 3 2" xfId="46092" xr:uid="{6D7C569B-577D-401F-A2D0-8A6EEFB0A91B}"/>
    <cellStyle name="40% - Accent1 9 4 4 4" xfId="30214" xr:uid="{16CCE5E5-D581-464C-8727-7097DE34A208}"/>
    <cellStyle name="40% - Accent1 9 4 5" xfId="9880" xr:uid="{00000000-0005-0000-0000-000017310000}"/>
    <cellStyle name="40% - Accent1 9 4 5 2" xfId="17838" xr:uid="{00000000-0005-0000-0000-000018310000}"/>
    <cellStyle name="40% - Accent1 9 4 5 2 2" xfId="41679" xr:uid="{26348C0F-A969-4633-BCFD-55F4B70602A6}"/>
    <cellStyle name="40% - Accent1 9 4 5 3" xfId="25782" xr:uid="{00000000-0005-0000-0000-000019310000}"/>
    <cellStyle name="40% - Accent1 9 4 5 3 2" xfId="49615" xr:uid="{1B51A562-58D0-4B00-9894-5EDEA50B52E5}"/>
    <cellStyle name="40% - Accent1 9 4 5 4" xfId="33738" xr:uid="{7CC01F79-2A8F-418D-AFA7-D1A644F894A2}"/>
    <cellStyle name="40% - Accent1 9 4 6" xfId="10776" xr:uid="{00000000-0005-0000-0000-00001A310000}"/>
    <cellStyle name="40% - Accent1 9 4 6 2" xfId="34626" xr:uid="{F334179B-BAE1-4189-ABE5-1CAC2409803B}"/>
    <cellStyle name="40% - Accent1 9 4 7" xfId="18731" xr:uid="{00000000-0005-0000-0000-00001B310000}"/>
    <cellStyle name="40% - Accent1 9 4 7 2" xfId="42564" xr:uid="{5A66F01F-AD71-4D5E-AAAF-B98E3C1041CB}"/>
    <cellStyle name="40% - Accent1 9 4 8" xfId="26684" xr:uid="{131CB495-061F-4EF1-B261-BAE264C0B7F9}"/>
    <cellStyle name="40% - Accent1 9 4_Exh G" xfId="2806" xr:uid="{00000000-0005-0000-0000-00001C310000}"/>
    <cellStyle name="40% - Accent1 9 5" xfId="1406" xr:uid="{00000000-0005-0000-0000-00001D310000}"/>
    <cellStyle name="40% - Accent1 9 5 2" xfId="4936" xr:uid="{00000000-0005-0000-0000-00001E310000}"/>
    <cellStyle name="40% - Accent1 9 5 2 2" xfId="8527" xr:uid="{00000000-0005-0000-0000-00001F310000}"/>
    <cellStyle name="40% - Accent1 9 5 2 2 2" xfId="16498" xr:uid="{00000000-0005-0000-0000-000020310000}"/>
    <cellStyle name="40% - Accent1 9 5 2 2 2 2" xfId="40341" xr:uid="{C5BF1FC5-A9D6-4E87-97CD-CFB05D32AE9E}"/>
    <cellStyle name="40% - Accent1 9 5 2 2 3" xfId="24444" xr:uid="{00000000-0005-0000-0000-000021310000}"/>
    <cellStyle name="40% - Accent1 9 5 2 2 3 2" xfId="48277" xr:uid="{D65A7057-A145-4D4C-B9EF-B13B93673CF4}"/>
    <cellStyle name="40% - Accent1 9 5 2 2 4" xfId="32400" xr:uid="{61587672-1201-4AE9-A386-E9C579E7EB4A}"/>
    <cellStyle name="40% - Accent1 9 5 2 3" xfId="12960" xr:uid="{00000000-0005-0000-0000-000022310000}"/>
    <cellStyle name="40% - Accent1 9 5 2 3 2" xfId="36810" xr:uid="{53B2FBA5-6614-469C-A67A-38F3282FA665}"/>
    <cellStyle name="40% - Accent1 9 5 2 4" xfId="20915" xr:uid="{00000000-0005-0000-0000-000023310000}"/>
    <cellStyle name="40% - Accent1 9 5 2 4 2" xfId="44748" xr:uid="{E91A3318-F3FE-43AE-879E-C4E564821573}"/>
    <cellStyle name="40% - Accent1 9 5 2 5" xfId="28869" xr:uid="{D16B8225-544E-4951-AD37-016708C9A0D8}"/>
    <cellStyle name="40% - Accent1 9 5 3" xfId="6768" xr:uid="{00000000-0005-0000-0000-000024310000}"/>
    <cellStyle name="40% - Accent1 9 5 3 2" xfId="14740" xr:uid="{00000000-0005-0000-0000-000025310000}"/>
    <cellStyle name="40% - Accent1 9 5 3 2 2" xfId="38583" xr:uid="{7F0D68FD-3989-41A7-A6D1-602EB3292C73}"/>
    <cellStyle name="40% - Accent1 9 5 3 3" xfId="22687" xr:uid="{00000000-0005-0000-0000-000026310000}"/>
    <cellStyle name="40% - Accent1 9 5 3 3 2" xfId="46520" xr:uid="{89909733-9E00-4B83-903A-7DD987E3B047}"/>
    <cellStyle name="40% - Accent1 9 5 3 4" xfId="30642" xr:uid="{55E73942-D9F5-44D8-A0C1-B49BC2A4EC7D}"/>
    <cellStyle name="40% - Accent1 9 5 4" xfId="11204" xr:uid="{00000000-0005-0000-0000-000027310000}"/>
    <cellStyle name="40% - Accent1 9 5 4 2" xfId="35054" xr:uid="{90745A6B-12CC-4180-ACD4-F7A0ECACD49E}"/>
    <cellStyle name="40% - Accent1 9 5 5" xfId="19159" xr:uid="{00000000-0005-0000-0000-000028310000}"/>
    <cellStyle name="40% - Accent1 9 5 5 2" xfId="42992" xr:uid="{7CE62A9A-8998-4F94-B762-40F471FFB43D}"/>
    <cellStyle name="40% - Accent1 9 5 6" xfId="27112" xr:uid="{A0CA4CE9-3A2F-4AA7-95F6-F8E5A97E8E91}"/>
    <cellStyle name="40% - Accent1 9 5_Exh G" xfId="2808" xr:uid="{00000000-0005-0000-0000-000029310000}"/>
    <cellStyle name="40% - Accent1 9 6" xfId="4057" xr:uid="{00000000-0005-0000-0000-00002A310000}"/>
    <cellStyle name="40% - Accent1 9 6 2" xfId="7649" xr:uid="{00000000-0005-0000-0000-00002B310000}"/>
    <cellStyle name="40% - Accent1 9 6 2 2" xfId="15620" xr:uid="{00000000-0005-0000-0000-00002C310000}"/>
    <cellStyle name="40% - Accent1 9 6 2 2 2" xfId="39463" xr:uid="{DB3A92F5-4CA4-49BD-B200-123461BD7AE4}"/>
    <cellStyle name="40% - Accent1 9 6 2 3" xfId="23566" xr:uid="{00000000-0005-0000-0000-00002D310000}"/>
    <cellStyle name="40% - Accent1 9 6 2 3 2" xfId="47399" xr:uid="{C5B1D57B-C9F7-435B-854A-989CD6D2C39B}"/>
    <cellStyle name="40% - Accent1 9 6 2 4" xfId="31522" xr:uid="{08F9FEDB-6198-4120-9A16-2964778C1213}"/>
    <cellStyle name="40% - Accent1 9 6 3" xfId="12082" xr:uid="{00000000-0005-0000-0000-00002E310000}"/>
    <cellStyle name="40% - Accent1 9 6 3 2" xfId="35932" xr:uid="{3EC0DCD7-B43C-4C34-B3C6-CE34B88A8C34}"/>
    <cellStyle name="40% - Accent1 9 6 4" xfId="20037" xr:uid="{00000000-0005-0000-0000-00002F310000}"/>
    <cellStyle name="40% - Accent1 9 6 4 2" xfId="43870" xr:uid="{D899E92E-ABC7-43EE-8ACB-F8B98BD10D52}"/>
    <cellStyle name="40% - Accent1 9 6 5" xfId="27991" xr:uid="{7F93CBDB-45D9-4F81-8BE5-2E6A69086270}"/>
    <cellStyle name="40% - Accent1 9 7" xfId="5877" xr:uid="{00000000-0005-0000-0000-000030310000}"/>
    <cellStyle name="40% - Accent1 9 7 2" xfId="13861" xr:uid="{00000000-0005-0000-0000-000031310000}"/>
    <cellStyle name="40% - Accent1 9 7 2 2" xfId="37705" xr:uid="{D4B29905-0CC4-4BB8-984A-BEA83A5F29A2}"/>
    <cellStyle name="40% - Accent1 9 7 3" xfId="21809" xr:uid="{00000000-0005-0000-0000-000032310000}"/>
    <cellStyle name="40% - Accent1 9 7 3 2" xfId="45642" xr:uid="{75AB0643-A771-46A4-9EDD-A94F4A29EF27}"/>
    <cellStyle name="40% - Accent1 9 7 4" xfId="29764" xr:uid="{BA46C102-800B-4891-8928-4D6E13D14779}"/>
    <cellStyle name="40% - Accent1 9 8" xfId="9430" xr:uid="{00000000-0005-0000-0000-000033310000}"/>
    <cellStyle name="40% - Accent1 9 8 2" xfId="17388" xr:uid="{00000000-0005-0000-0000-000034310000}"/>
    <cellStyle name="40% - Accent1 9 8 2 2" xfId="41229" xr:uid="{022493F0-26F3-461C-877A-155CBD653D84}"/>
    <cellStyle name="40% - Accent1 9 8 3" xfId="25332" xr:uid="{00000000-0005-0000-0000-000035310000}"/>
    <cellStyle name="40% - Accent1 9 8 3 2" xfId="49165" xr:uid="{8329760B-F7FC-415F-9214-642227AC25B2}"/>
    <cellStyle name="40% - Accent1 9 8 4" xfId="33288" xr:uid="{BB19D116-3BDA-4570-AE95-54C28B742F37}"/>
    <cellStyle name="40% - Accent1 9 9" xfId="10326" xr:uid="{00000000-0005-0000-0000-000036310000}"/>
    <cellStyle name="40% - Accent1 9 9 2" xfId="34176" xr:uid="{082615D7-7BB0-451D-84B9-9C7A0E6E951C}"/>
    <cellStyle name="40% - Accent1 9_Exh G" xfId="2799" xr:uid="{00000000-0005-0000-0000-000037310000}"/>
    <cellStyle name="40% - Accent2" xfId="49700" builtinId="35" customBuiltin="1"/>
    <cellStyle name="40% - Accent2 10" xfId="382" xr:uid="{00000000-0005-0000-0000-000038310000}"/>
    <cellStyle name="40% - Accent2 10 10" xfId="18285" xr:uid="{00000000-0005-0000-0000-000039310000}"/>
    <cellStyle name="40% - Accent2 10 10 2" xfId="42118" xr:uid="{70D64DB4-B8C9-4FF6-B132-F48CA97E19A3}"/>
    <cellStyle name="40% - Accent2 10 11" xfId="26238" xr:uid="{A89CFCDC-D4AA-42B6-8311-1BF93AFA47E5}"/>
    <cellStyle name="40% - Accent2 10 2" xfId="383" xr:uid="{00000000-0005-0000-0000-00003A310000}"/>
    <cellStyle name="40% - Accent2 10 2 2" xfId="384" xr:uid="{00000000-0005-0000-0000-00003B310000}"/>
    <cellStyle name="40% - Accent2 10 2 2 2" xfId="1412" xr:uid="{00000000-0005-0000-0000-00003C310000}"/>
    <cellStyle name="40% - Accent2 10 2 2 2 2" xfId="4942" xr:uid="{00000000-0005-0000-0000-00003D310000}"/>
    <cellStyle name="40% - Accent2 10 2 2 2 2 2" xfId="8533" xr:uid="{00000000-0005-0000-0000-00003E310000}"/>
    <cellStyle name="40% - Accent2 10 2 2 2 2 2 2" xfId="16504" xr:uid="{00000000-0005-0000-0000-00003F310000}"/>
    <cellStyle name="40% - Accent2 10 2 2 2 2 2 2 2" xfId="40347" xr:uid="{C289B30F-8F54-4226-95B2-CD3310E6014C}"/>
    <cellStyle name="40% - Accent2 10 2 2 2 2 2 3" xfId="24450" xr:uid="{00000000-0005-0000-0000-000040310000}"/>
    <cellStyle name="40% - Accent2 10 2 2 2 2 2 3 2" xfId="48283" xr:uid="{386F78ED-792A-49C8-9558-86F5299F9697}"/>
    <cellStyle name="40% - Accent2 10 2 2 2 2 2 4" xfId="32406" xr:uid="{41EFF96E-461F-4249-AF3E-69341F26876D}"/>
    <cellStyle name="40% - Accent2 10 2 2 2 2 3" xfId="12966" xr:uid="{00000000-0005-0000-0000-000041310000}"/>
    <cellStyle name="40% - Accent2 10 2 2 2 2 3 2" xfId="36816" xr:uid="{634E2535-3838-4E6D-A3D0-6A8F19C0B6D7}"/>
    <cellStyle name="40% - Accent2 10 2 2 2 2 4" xfId="20921" xr:uid="{00000000-0005-0000-0000-000042310000}"/>
    <cellStyle name="40% - Accent2 10 2 2 2 2 4 2" xfId="44754" xr:uid="{DA8CBB45-B58B-48AE-B5A6-775ABF4688DA}"/>
    <cellStyle name="40% - Accent2 10 2 2 2 2 5" xfId="28875" xr:uid="{0998AD8F-64A7-4319-9C8C-FA94AD8073F6}"/>
    <cellStyle name="40% - Accent2 10 2 2 2 3" xfId="6774" xr:uid="{00000000-0005-0000-0000-000043310000}"/>
    <cellStyle name="40% - Accent2 10 2 2 2 3 2" xfId="14746" xr:uid="{00000000-0005-0000-0000-000044310000}"/>
    <cellStyle name="40% - Accent2 10 2 2 2 3 2 2" xfId="38589" xr:uid="{D342521B-8ACA-4DE4-8494-E1FB774A37B2}"/>
    <cellStyle name="40% - Accent2 10 2 2 2 3 3" xfId="22693" xr:uid="{00000000-0005-0000-0000-000045310000}"/>
    <cellStyle name="40% - Accent2 10 2 2 2 3 3 2" xfId="46526" xr:uid="{1216095D-2299-405E-B257-2572DD6A3AD0}"/>
    <cellStyle name="40% - Accent2 10 2 2 2 3 4" xfId="30648" xr:uid="{5635E4A4-975C-4754-A56C-38BC119520C7}"/>
    <cellStyle name="40% - Accent2 10 2 2 2 4" xfId="11210" xr:uid="{00000000-0005-0000-0000-000046310000}"/>
    <cellStyle name="40% - Accent2 10 2 2 2 4 2" xfId="35060" xr:uid="{1510215B-A213-4FCD-AFB5-0523534B0C2B}"/>
    <cellStyle name="40% - Accent2 10 2 2 2 5" xfId="19165" xr:uid="{00000000-0005-0000-0000-000047310000}"/>
    <cellStyle name="40% - Accent2 10 2 2 2 5 2" xfId="42998" xr:uid="{7477D1E6-B747-4E93-BB33-7EE5F9371050}"/>
    <cellStyle name="40% - Accent2 10 2 2 2 6" xfId="27118" xr:uid="{8E7B1BCD-F840-48AE-952C-242B39E5B291}"/>
    <cellStyle name="40% - Accent2 10 2 2 2_Exh G" xfId="2812" xr:uid="{00000000-0005-0000-0000-000048310000}"/>
    <cellStyle name="40% - Accent2 10 2 2 3" xfId="4063" xr:uid="{00000000-0005-0000-0000-000049310000}"/>
    <cellStyle name="40% - Accent2 10 2 2 3 2" xfId="7655" xr:uid="{00000000-0005-0000-0000-00004A310000}"/>
    <cellStyle name="40% - Accent2 10 2 2 3 2 2" xfId="15626" xr:uid="{00000000-0005-0000-0000-00004B310000}"/>
    <cellStyle name="40% - Accent2 10 2 2 3 2 2 2" xfId="39469" xr:uid="{2AC63329-37E1-4DBD-BE0C-65ABD2B6C75C}"/>
    <cellStyle name="40% - Accent2 10 2 2 3 2 3" xfId="23572" xr:uid="{00000000-0005-0000-0000-00004C310000}"/>
    <cellStyle name="40% - Accent2 10 2 2 3 2 3 2" xfId="47405" xr:uid="{FF7BBBE9-9118-444E-8998-30A1572A22C1}"/>
    <cellStyle name="40% - Accent2 10 2 2 3 2 4" xfId="31528" xr:uid="{D86F2E6D-7540-4DB1-88C0-3230613FF438}"/>
    <cellStyle name="40% - Accent2 10 2 2 3 3" xfId="12088" xr:uid="{00000000-0005-0000-0000-00004D310000}"/>
    <cellStyle name="40% - Accent2 10 2 2 3 3 2" xfId="35938" xr:uid="{BB369CC7-8CC6-4CFC-8D95-7CEBA4A19BE6}"/>
    <cellStyle name="40% - Accent2 10 2 2 3 4" xfId="20043" xr:uid="{00000000-0005-0000-0000-00004E310000}"/>
    <cellStyle name="40% - Accent2 10 2 2 3 4 2" xfId="43876" xr:uid="{7D9895EA-0116-446E-B56C-D21EBAA722BC}"/>
    <cellStyle name="40% - Accent2 10 2 2 3 5" xfId="27997" xr:uid="{E5774CAE-7D5E-49D3-8C73-A43DC317A0C8}"/>
    <cellStyle name="40% - Accent2 10 2 2 4" xfId="5883" xr:uid="{00000000-0005-0000-0000-00004F310000}"/>
    <cellStyle name="40% - Accent2 10 2 2 4 2" xfId="13867" xr:uid="{00000000-0005-0000-0000-000050310000}"/>
    <cellStyle name="40% - Accent2 10 2 2 4 2 2" xfId="37711" xr:uid="{AD855680-A278-48E0-A511-8A17C39FB939}"/>
    <cellStyle name="40% - Accent2 10 2 2 4 3" xfId="21815" xr:uid="{00000000-0005-0000-0000-000051310000}"/>
    <cellStyle name="40% - Accent2 10 2 2 4 3 2" xfId="45648" xr:uid="{C62EE004-2196-49B4-8E92-94E85DA197A7}"/>
    <cellStyle name="40% - Accent2 10 2 2 4 4" xfId="29770" xr:uid="{A0F5A921-682B-4C78-A5C9-C227DF372736}"/>
    <cellStyle name="40% - Accent2 10 2 2 5" xfId="9436" xr:uid="{00000000-0005-0000-0000-000052310000}"/>
    <cellStyle name="40% - Accent2 10 2 2 5 2" xfId="17394" xr:uid="{00000000-0005-0000-0000-000053310000}"/>
    <cellStyle name="40% - Accent2 10 2 2 5 2 2" xfId="41235" xr:uid="{9955DAE0-67EE-443A-AFD5-62A92409E7FB}"/>
    <cellStyle name="40% - Accent2 10 2 2 5 3" xfId="25338" xr:uid="{00000000-0005-0000-0000-000054310000}"/>
    <cellStyle name="40% - Accent2 10 2 2 5 3 2" xfId="49171" xr:uid="{5A4E6D46-8D87-4B95-A4E3-AEE25B5285DA}"/>
    <cellStyle name="40% - Accent2 10 2 2 5 4" xfId="33294" xr:uid="{270DA43F-ECFA-4DD7-93F5-1CE05D6B977C}"/>
    <cellStyle name="40% - Accent2 10 2 2 6" xfId="10332" xr:uid="{00000000-0005-0000-0000-000055310000}"/>
    <cellStyle name="40% - Accent2 10 2 2 6 2" xfId="34182" xr:uid="{D6402C48-3FDF-42D4-9F13-715EFE34E879}"/>
    <cellStyle name="40% - Accent2 10 2 2 7" xfId="18287" xr:uid="{00000000-0005-0000-0000-000056310000}"/>
    <cellStyle name="40% - Accent2 10 2 2 7 2" xfId="42120" xr:uid="{AD0A7350-3070-49FB-9223-6A6DC2FC9CE3}"/>
    <cellStyle name="40% - Accent2 10 2 2 8" xfId="26240" xr:uid="{224BF34D-772E-4B26-9496-37D8DEAA6873}"/>
    <cellStyle name="40% - Accent2 10 2 2_Exh G" xfId="2811" xr:uid="{00000000-0005-0000-0000-000057310000}"/>
    <cellStyle name="40% - Accent2 10 2 3" xfId="1411" xr:uid="{00000000-0005-0000-0000-000058310000}"/>
    <cellStyle name="40% - Accent2 10 2 3 2" xfId="4941" xr:uid="{00000000-0005-0000-0000-000059310000}"/>
    <cellStyle name="40% - Accent2 10 2 3 2 2" xfId="8532" xr:uid="{00000000-0005-0000-0000-00005A310000}"/>
    <cellStyle name="40% - Accent2 10 2 3 2 2 2" xfId="16503" xr:uid="{00000000-0005-0000-0000-00005B310000}"/>
    <cellStyle name="40% - Accent2 10 2 3 2 2 2 2" xfId="40346" xr:uid="{0C627F1C-9948-4BAF-817F-8977DF8497DA}"/>
    <cellStyle name="40% - Accent2 10 2 3 2 2 3" xfId="24449" xr:uid="{00000000-0005-0000-0000-00005C310000}"/>
    <cellStyle name="40% - Accent2 10 2 3 2 2 3 2" xfId="48282" xr:uid="{9ADE5116-3B84-400E-B0D5-076AB76C236B}"/>
    <cellStyle name="40% - Accent2 10 2 3 2 2 4" xfId="32405" xr:uid="{92038FEF-68E2-4C7F-999C-1233088DAF40}"/>
    <cellStyle name="40% - Accent2 10 2 3 2 3" xfId="12965" xr:uid="{00000000-0005-0000-0000-00005D310000}"/>
    <cellStyle name="40% - Accent2 10 2 3 2 3 2" xfId="36815" xr:uid="{D99A74A5-A96D-4DE4-B2AB-C0E52FA872E7}"/>
    <cellStyle name="40% - Accent2 10 2 3 2 4" xfId="20920" xr:uid="{00000000-0005-0000-0000-00005E310000}"/>
    <cellStyle name="40% - Accent2 10 2 3 2 4 2" xfId="44753" xr:uid="{93F3C652-DD53-4A86-9639-CAA89EB3F0B7}"/>
    <cellStyle name="40% - Accent2 10 2 3 2 5" xfId="28874" xr:uid="{5D0E483D-ED8D-43ED-AB2C-80F7E76B98DA}"/>
    <cellStyle name="40% - Accent2 10 2 3 3" xfId="6773" xr:uid="{00000000-0005-0000-0000-00005F310000}"/>
    <cellStyle name="40% - Accent2 10 2 3 3 2" xfId="14745" xr:uid="{00000000-0005-0000-0000-000060310000}"/>
    <cellStyle name="40% - Accent2 10 2 3 3 2 2" xfId="38588" xr:uid="{A7F6B444-5A3E-4EFD-9BA6-BFA892634E74}"/>
    <cellStyle name="40% - Accent2 10 2 3 3 3" xfId="22692" xr:uid="{00000000-0005-0000-0000-000061310000}"/>
    <cellStyle name="40% - Accent2 10 2 3 3 3 2" xfId="46525" xr:uid="{3C9B7579-9E40-4C87-B735-EC25697E90E4}"/>
    <cellStyle name="40% - Accent2 10 2 3 3 4" xfId="30647" xr:uid="{D95C3F8D-0BB3-4D13-9178-35B68262218C}"/>
    <cellStyle name="40% - Accent2 10 2 3 4" xfId="11209" xr:uid="{00000000-0005-0000-0000-000062310000}"/>
    <cellStyle name="40% - Accent2 10 2 3 4 2" xfId="35059" xr:uid="{483F06FC-28D2-448E-9B84-431FA8D879C7}"/>
    <cellStyle name="40% - Accent2 10 2 3 5" xfId="19164" xr:uid="{00000000-0005-0000-0000-000063310000}"/>
    <cellStyle name="40% - Accent2 10 2 3 5 2" xfId="42997" xr:uid="{25446A1A-1E8D-4DB9-95E9-5FAC4520A32C}"/>
    <cellStyle name="40% - Accent2 10 2 3 6" xfId="27117" xr:uid="{5FF7B602-6A97-4D2C-A5B4-EF62E8B39C53}"/>
    <cellStyle name="40% - Accent2 10 2 3_Exh G" xfId="2813" xr:uid="{00000000-0005-0000-0000-000064310000}"/>
    <cellStyle name="40% - Accent2 10 2 4" xfId="4062" xr:uid="{00000000-0005-0000-0000-000065310000}"/>
    <cellStyle name="40% - Accent2 10 2 4 2" xfId="7654" xr:uid="{00000000-0005-0000-0000-000066310000}"/>
    <cellStyle name="40% - Accent2 10 2 4 2 2" xfId="15625" xr:uid="{00000000-0005-0000-0000-000067310000}"/>
    <cellStyle name="40% - Accent2 10 2 4 2 2 2" xfId="39468" xr:uid="{C4F1E9DE-6CEF-4594-98C9-024747DFE96F}"/>
    <cellStyle name="40% - Accent2 10 2 4 2 3" xfId="23571" xr:uid="{00000000-0005-0000-0000-000068310000}"/>
    <cellStyle name="40% - Accent2 10 2 4 2 3 2" xfId="47404" xr:uid="{DF4D3911-5B89-4227-A6F2-AA5EF90E91CB}"/>
    <cellStyle name="40% - Accent2 10 2 4 2 4" xfId="31527" xr:uid="{8F5D512A-6FFF-4333-9D55-911225AFB111}"/>
    <cellStyle name="40% - Accent2 10 2 4 3" xfId="12087" xr:uid="{00000000-0005-0000-0000-000069310000}"/>
    <cellStyle name="40% - Accent2 10 2 4 3 2" xfId="35937" xr:uid="{3BA94470-7773-4576-B7E1-4CD037B1B965}"/>
    <cellStyle name="40% - Accent2 10 2 4 4" xfId="20042" xr:uid="{00000000-0005-0000-0000-00006A310000}"/>
    <cellStyle name="40% - Accent2 10 2 4 4 2" xfId="43875" xr:uid="{EF251F4E-FD7A-4099-AFB5-A65EA6F50F70}"/>
    <cellStyle name="40% - Accent2 10 2 4 5" xfId="27996" xr:uid="{A34E669D-0623-473C-89A7-A8BE2DD4B835}"/>
    <cellStyle name="40% - Accent2 10 2 5" xfId="5882" xr:uid="{00000000-0005-0000-0000-00006B310000}"/>
    <cellStyle name="40% - Accent2 10 2 5 2" xfId="13866" xr:uid="{00000000-0005-0000-0000-00006C310000}"/>
    <cellStyle name="40% - Accent2 10 2 5 2 2" xfId="37710" xr:uid="{BEA6009B-38E9-4A02-8861-3A1F08BCED9C}"/>
    <cellStyle name="40% - Accent2 10 2 5 3" xfId="21814" xr:uid="{00000000-0005-0000-0000-00006D310000}"/>
    <cellStyle name="40% - Accent2 10 2 5 3 2" xfId="45647" xr:uid="{C6FDC6C5-6EA8-4A23-B5A1-3E7B4B5AF93C}"/>
    <cellStyle name="40% - Accent2 10 2 5 4" xfId="29769" xr:uid="{31549852-FAF9-4947-B326-0602666290AA}"/>
    <cellStyle name="40% - Accent2 10 2 6" xfId="9435" xr:uid="{00000000-0005-0000-0000-00006E310000}"/>
    <cellStyle name="40% - Accent2 10 2 6 2" xfId="17393" xr:uid="{00000000-0005-0000-0000-00006F310000}"/>
    <cellStyle name="40% - Accent2 10 2 6 2 2" xfId="41234" xr:uid="{CD299FC6-3990-4B40-80A9-4BC0CAC2A4A9}"/>
    <cellStyle name="40% - Accent2 10 2 6 3" xfId="25337" xr:uid="{00000000-0005-0000-0000-000070310000}"/>
    <cellStyle name="40% - Accent2 10 2 6 3 2" xfId="49170" xr:uid="{FA9AF5CE-D23A-485D-800D-11988E8054F4}"/>
    <cellStyle name="40% - Accent2 10 2 6 4" xfId="33293" xr:uid="{FF28A62A-BDF3-4C6A-8FC3-61C2AC12594C}"/>
    <cellStyle name="40% - Accent2 10 2 7" xfId="10331" xr:uid="{00000000-0005-0000-0000-000071310000}"/>
    <cellStyle name="40% - Accent2 10 2 7 2" xfId="34181" xr:uid="{DFEAE378-C836-41BF-9FD1-98D391E83A11}"/>
    <cellStyle name="40% - Accent2 10 2 8" xfId="18286" xr:uid="{00000000-0005-0000-0000-000072310000}"/>
    <cellStyle name="40% - Accent2 10 2 8 2" xfId="42119" xr:uid="{6FFC511D-C804-4933-9B27-975A3CD23C9C}"/>
    <cellStyle name="40% - Accent2 10 2 9" xfId="26239" xr:uid="{79AFD50D-3BD3-4560-9665-4C1CAC2B1844}"/>
    <cellStyle name="40% - Accent2 10 2_Exh G" xfId="2810" xr:uid="{00000000-0005-0000-0000-000073310000}"/>
    <cellStyle name="40% - Accent2 10 3" xfId="385" xr:uid="{00000000-0005-0000-0000-000074310000}"/>
    <cellStyle name="40% - Accent2 10 3 2" xfId="1413" xr:uid="{00000000-0005-0000-0000-000075310000}"/>
    <cellStyle name="40% - Accent2 10 3 2 2" xfId="4943" xr:uid="{00000000-0005-0000-0000-000076310000}"/>
    <cellStyle name="40% - Accent2 10 3 2 2 2" xfId="8534" xr:uid="{00000000-0005-0000-0000-000077310000}"/>
    <cellStyle name="40% - Accent2 10 3 2 2 2 2" xfId="16505" xr:uid="{00000000-0005-0000-0000-000078310000}"/>
    <cellStyle name="40% - Accent2 10 3 2 2 2 2 2" xfId="40348" xr:uid="{72B34B2E-2A09-40A2-95C9-F6EB1DE03A7B}"/>
    <cellStyle name="40% - Accent2 10 3 2 2 2 3" xfId="24451" xr:uid="{00000000-0005-0000-0000-000079310000}"/>
    <cellStyle name="40% - Accent2 10 3 2 2 2 3 2" xfId="48284" xr:uid="{AF8E1EBA-581A-49D9-AA4A-3E5B944D5C64}"/>
    <cellStyle name="40% - Accent2 10 3 2 2 2 4" xfId="32407" xr:uid="{39ADB3E1-4510-4D0D-B829-9B65F074AEBC}"/>
    <cellStyle name="40% - Accent2 10 3 2 2 3" xfId="12967" xr:uid="{00000000-0005-0000-0000-00007A310000}"/>
    <cellStyle name="40% - Accent2 10 3 2 2 3 2" xfId="36817" xr:uid="{448667E7-EA35-4C4C-AF50-0E2F3F08FA3A}"/>
    <cellStyle name="40% - Accent2 10 3 2 2 4" xfId="20922" xr:uid="{00000000-0005-0000-0000-00007B310000}"/>
    <cellStyle name="40% - Accent2 10 3 2 2 4 2" xfId="44755" xr:uid="{56B82E55-ED49-4527-830B-7E4AF30FC87E}"/>
    <cellStyle name="40% - Accent2 10 3 2 2 5" xfId="28876" xr:uid="{F88DBA2C-1C65-4BEF-B19B-58A9B061E3DC}"/>
    <cellStyle name="40% - Accent2 10 3 2 3" xfId="6775" xr:uid="{00000000-0005-0000-0000-00007C310000}"/>
    <cellStyle name="40% - Accent2 10 3 2 3 2" xfId="14747" xr:uid="{00000000-0005-0000-0000-00007D310000}"/>
    <cellStyle name="40% - Accent2 10 3 2 3 2 2" xfId="38590" xr:uid="{6424B57F-ED00-4AAE-B760-84A266ECFA9D}"/>
    <cellStyle name="40% - Accent2 10 3 2 3 3" xfId="22694" xr:uid="{00000000-0005-0000-0000-00007E310000}"/>
    <cellStyle name="40% - Accent2 10 3 2 3 3 2" xfId="46527" xr:uid="{9F8953D6-5048-487F-88F5-E3D4AEF3F94D}"/>
    <cellStyle name="40% - Accent2 10 3 2 3 4" xfId="30649" xr:uid="{40A820EE-5E21-462F-BEA2-9025F2E43697}"/>
    <cellStyle name="40% - Accent2 10 3 2 4" xfId="11211" xr:uid="{00000000-0005-0000-0000-00007F310000}"/>
    <cellStyle name="40% - Accent2 10 3 2 4 2" xfId="35061" xr:uid="{533DAFC7-22C6-4F91-9D0D-28BA7449FB24}"/>
    <cellStyle name="40% - Accent2 10 3 2 5" xfId="19166" xr:uid="{00000000-0005-0000-0000-000080310000}"/>
    <cellStyle name="40% - Accent2 10 3 2 5 2" xfId="42999" xr:uid="{4F31AD82-560B-47B7-9BAB-D73B7AD07F24}"/>
    <cellStyle name="40% - Accent2 10 3 2 6" xfId="27119" xr:uid="{F40BC93D-5A44-4552-BE54-9E2728CC9439}"/>
    <cellStyle name="40% - Accent2 10 3 2_Exh G" xfId="2815" xr:uid="{00000000-0005-0000-0000-000081310000}"/>
    <cellStyle name="40% - Accent2 10 3 3" xfId="4064" xr:uid="{00000000-0005-0000-0000-000082310000}"/>
    <cellStyle name="40% - Accent2 10 3 3 2" xfId="7656" xr:uid="{00000000-0005-0000-0000-000083310000}"/>
    <cellStyle name="40% - Accent2 10 3 3 2 2" xfId="15627" xr:uid="{00000000-0005-0000-0000-000084310000}"/>
    <cellStyle name="40% - Accent2 10 3 3 2 2 2" xfId="39470" xr:uid="{559BD692-2272-42A1-BD84-F53A868E976E}"/>
    <cellStyle name="40% - Accent2 10 3 3 2 3" xfId="23573" xr:uid="{00000000-0005-0000-0000-000085310000}"/>
    <cellStyle name="40% - Accent2 10 3 3 2 3 2" xfId="47406" xr:uid="{D1D629A1-0AFE-4822-8765-C7AD78E2BA17}"/>
    <cellStyle name="40% - Accent2 10 3 3 2 4" xfId="31529" xr:uid="{8D255CFE-363B-4E15-8E14-06364F339F6E}"/>
    <cellStyle name="40% - Accent2 10 3 3 3" xfId="12089" xr:uid="{00000000-0005-0000-0000-000086310000}"/>
    <cellStyle name="40% - Accent2 10 3 3 3 2" xfId="35939" xr:uid="{F8F93A72-C339-4407-AD1A-2C77C6534B60}"/>
    <cellStyle name="40% - Accent2 10 3 3 4" xfId="20044" xr:uid="{00000000-0005-0000-0000-000087310000}"/>
    <cellStyle name="40% - Accent2 10 3 3 4 2" xfId="43877" xr:uid="{27833A64-3F56-4DBA-ADB1-1FA055CEC978}"/>
    <cellStyle name="40% - Accent2 10 3 3 5" xfId="27998" xr:uid="{E821D183-8F96-460B-9180-113ABDD3308E}"/>
    <cellStyle name="40% - Accent2 10 3 4" xfId="5884" xr:uid="{00000000-0005-0000-0000-000088310000}"/>
    <cellStyle name="40% - Accent2 10 3 4 2" xfId="13868" xr:uid="{00000000-0005-0000-0000-000089310000}"/>
    <cellStyle name="40% - Accent2 10 3 4 2 2" xfId="37712" xr:uid="{7EB3D49E-FE2F-4FA3-A880-750CD49A3334}"/>
    <cellStyle name="40% - Accent2 10 3 4 3" xfId="21816" xr:uid="{00000000-0005-0000-0000-00008A310000}"/>
    <cellStyle name="40% - Accent2 10 3 4 3 2" xfId="45649" xr:uid="{FC1E19BD-AF67-491F-B04A-3A6F31441ADA}"/>
    <cellStyle name="40% - Accent2 10 3 4 4" xfId="29771" xr:uid="{8A318C04-F0DB-4FA7-83BF-EB6147DF4271}"/>
    <cellStyle name="40% - Accent2 10 3 5" xfId="9437" xr:uid="{00000000-0005-0000-0000-00008B310000}"/>
    <cellStyle name="40% - Accent2 10 3 5 2" xfId="17395" xr:uid="{00000000-0005-0000-0000-00008C310000}"/>
    <cellStyle name="40% - Accent2 10 3 5 2 2" xfId="41236" xr:uid="{95F846A2-B3E3-461B-A8A6-6F73475ACAF1}"/>
    <cellStyle name="40% - Accent2 10 3 5 3" xfId="25339" xr:uid="{00000000-0005-0000-0000-00008D310000}"/>
    <cellStyle name="40% - Accent2 10 3 5 3 2" xfId="49172" xr:uid="{977EF684-C3A5-4334-BA0F-0BC13DB5E3F0}"/>
    <cellStyle name="40% - Accent2 10 3 5 4" xfId="33295" xr:uid="{74543CDF-1AEC-40E8-B83B-AD1154EC3631}"/>
    <cellStyle name="40% - Accent2 10 3 6" xfId="10333" xr:uid="{00000000-0005-0000-0000-00008E310000}"/>
    <cellStyle name="40% - Accent2 10 3 6 2" xfId="34183" xr:uid="{CBA23BF3-A551-4AA5-880B-0AE4A6314946}"/>
    <cellStyle name="40% - Accent2 10 3 7" xfId="18288" xr:uid="{00000000-0005-0000-0000-00008F310000}"/>
    <cellStyle name="40% - Accent2 10 3 7 2" xfId="42121" xr:uid="{D0B9C5E5-2EBF-494A-9182-AF8EBBA25BD3}"/>
    <cellStyle name="40% - Accent2 10 3 8" xfId="26241" xr:uid="{DFACBAAE-49E0-417C-AC01-9167B934CC0D}"/>
    <cellStyle name="40% - Accent2 10 3_Exh G" xfId="2814" xr:uid="{00000000-0005-0000-0000-000090310000}"/>
    <cellStyle name="40% - Accent2 10 4" xfId="946" xr:uid="{00000000-0005-0000-0000-000091310000}"/>
    <cellStyle name="40% - Accent2 10 5" xfId="1410" xr:uid="{00000000-0005-0000-0000-000092310000}"/>
    <cellStyle name="40% - Accent2 10 5 2" xfId="4940" xr:uid="{00000000-0005-0000-0000-000093310000}"/>
    <cellStyle name="40% - Accent2 10 5 2 2" xfId="8531" xr:uid="{00000000-0005-0000-0000-000094310000}"/>
    <cellStyle name="40% - Accent2 10 5 2 2 2" xfId="16502" xr:uid="{00000000-0005-0000-0000-000095310000}"/>
    <cellStyle name="40% - Accent2 10 5 2 2 2 2" xfId="40345" xr:uid="{352DE82A-FBFC-496E-A111-B05ABCF0B945}"/>
    <cellStyle name="40% - Accent2 10 5 2 2 3" xfId="24448" xr:uid="{00000000-0005-0000-0000-000096310000}"/>
    <cellStyle name="40% - Accent2 10 5 2 2 3 2" xfId="48281" xr:uid="{9F2818E5-2C42-43AF-A178-3F55B1BB2C6C}"/>
    <cellStyle name="40% - Accent2 10 5 2 2 4" xfId="32404" xr:uid="{F41046BF-D3A9-4C62-A79A-824318C4AEF2}"/>
    <cellStyle name="40% - Accent2 10 5 2 3" xfId="12964" xr:uid="{00000000-0005-0000-0000-000097310000}"/>
    <cellStyle name="40% - Accent2 10 5 2 3 2" xfId="36814" xr:uid="{3777F400-AF31-42FC-A85F-8CB63823B5B7}"/>
    <cellStyle name="40% - Accent2 10 5 2 4" xfId="20919" xr:uid="{00000000-0005-0000-0000-000098310000}"/>
    <cellStyle name="40% - Accent2 10 5 2 4 2" xfId="44752" xr:uid="{6C8F7814-F420-477E-B6A3-4705CE0272FC}"/>
    <cellStyle name="40% - Accent2 10 5 2 5" xfId="28873" xr:uid="{4083307F-7461-4281-93C0-781CCA33AA84}"/>
    <cellStyle name="40% - Accent2 10 5 3" xfId="6772" xr:uid="{00000000-0005-0000-0000-000099310000}"/>
    <cellStyle name="40% - Accent2 10 5 3 2" xfId="14744" xr:uid="{00000000-0005-0000-0000-00009A310000}"/>
    <cellStyle name="40% - Accent2 10 5 3 2 2" xfId="38587" xr:uid="{3741C42D-55C3-4A89-9374-0424A886EEAA}"/>
    <cellStyle name="40% - Accent2 10 5 3 3" xfId="22691" xr:uid="{00000000-0005-0000-0000-00009B310000}"/>
    <cellStyle name="40% - Accent2 10 5 3 3 2" xfId="46524" xr:uid="{469D2C3E-77CA-484E-B7C1-CA2CCE5084EC}"/>
    <cellStyle name="40% - Accent2 10 5 3 4" xfId="30646" xr:uid="{9844BD06-7374-434A-B855-BA6676A868F9}"/>
    <cellStyle name="40% - Accent2 10 5 4" xfId="11208" xr:uid="{00000000-0005-0000-0000-00009C310000}"/>
    <cellStyle name="40% - Accent2 10 5 4 2" xfId="35058" xr:uid="{3D8B5BAC-B8D4-464E-8988-8C8688480B97}"/>
    <cellStyle name="40% - Accent2 10 5 5" xfId="19163" xr:uid="{00000000-0005-0000-0000-00009D310000}"/>
    <cellStyle name="40% - Accent2 10 5 5 2" xfId="42996" xr:uid="{D7C378E0-37E5-4996-8552-730D1337F87A}"/>
    <cellStyle name="40% - Accent2 10 5 6" xfId="27116" xr:uid="{767F17A6-8D33-4EA3-BAFC-4AF211314358}"/>
    <cellStyle name="40% - Accent2 10 5_Exh G" xfId="2816" xr:uid="{00000000-0005-0000-0000-00009E310000}"/>
    <cellStyle name="40% - Accent2 10 6" xfId="4061" xr:uid="{00000000-0005-0000-0000-00009F310000}"/>
    <cellStyle name="40% - Accent2 10 6 2" xfId="7653" xr:uid="{00000000-0005-0000-0000-0000A0310000}"/>
    <cellStyle name="40% - Accent2 10 6 2 2" xfId="15624" xr:uid="{00000000-0005-0000-0000-0000A1310000}"/>
    <cellStyle name="40% - Accent2 10 6 2 2 2" xfId="39467" xr:uid="{48DF5E7B-A8B5-48F7-A698-7A89F0FAE74F}"/>
    <cellStyle name="40% - Accent2 10 6 2 3" xfId="23570" xr:uid="{00000000-0005-0000-0000-0000A2310000}"/>
    <cellStyle name="40% - Accent2 10 6 2 3 2" xfId="47403" xr:uid="{2ACAD3B0-1826-4C47-97CC-565A4F3DED3F}"/>
    <cellStyle name="40% - Accent2 10 6 2 4" xfId="31526" xr:uid="{858721C8-AF63-4FE8-A636-600ED6AD0120}"/>
    <cellStyle name="40% - Accent2 10 6 3" xfId="12086" xr:uid="{00000000-0005-0000-0000-0000A3310000}"/>
    <cellStyle name="40% - Accent2 10 6 3 2" xfId="35936" xr:uid="{072FAEB5-1AB4-4A91-9B07-569651013465}"/>
    <cellStyle name="40% - Accent2 10 6 4" xfId="20041" xr:uid="{00000000-0005-0000-0000-0000A4310000}"/>
    <cellStyle name="40% - Accent2 10 6 4 2" xfId="43874" xr:uid="{62A75978-2D53-45C6-BF4C-16F28CAE4B3E}"/>
    <cellStyle name="40% - Accent2 10 6 5" xfId="27995" xr:uid="{02A7EF8A-974F-4CCA-9747-DAC7D4B6083F}"/>
    <cellStyle name="40% - Accent2 10 7" xfId="5881" xr:uid="{00000000-0005-0000-0000-0000A5310000}"/>
    <cellStyle name="40% - Accent2 10 7 2" xfId="13865" xr:uid="{00000000-0005-0000-0000-0000A6310000}"/>
    <cellStyle name="40% - Accent2 10 7 2 2" xfId="37709" xr:uid="{9330B93A-7DE4-45E5-909C-C68E3BAB8F18}"/>
    <cellStyle name="40% - Accent2 10 7 3" xfId="21813" xr:uid="{00000000-0005-0000-0000-0000A7310000}"/>
    <cellStyle name="40% - Accent2 10 7 3 2" xfId="45646" xr:uid="{7AEBBDFE-D415-4641-85C8-599802B89E99}"/>
    <cellStyle name="40% - Accent2 10 7 4" xfId="29768" xr:uid="{B7CAD412-DEB7-434C-B686-ADE61E605ED2}"/>
    <cellStyle name="40% - Accent2 10 8" xfId="9434" xr:uid="{00000000-0005-0000-0000-0000A8310000}"/>
    <cellStyle name="40% - Accent2 10 8 2" xfId="17392" xr:uid="{00000000-0005-0000-0000-0000A9310000}"/>
    <cellStyle name="40% - Accent2 10 8 2 2" xfId="41233" xr:uid="{DB7B518A-6300-4778-93B3-5E5C3158B781}"/>
    <cellStyle name="40% - Accent2 10 8 3" xfId="25336" xr:uid="{00000000-0005-0000-0000-0000AA310000}"/>
    <cellStyle name="40% - Accent2 10 8 3 2" xfId="49169" xr:uid="{E4E6574E-0D0E-4C2A-8C77-8626E29D3197}"/>
    <cellStyle name="40% - Accent2 10 8 4" xfId="33292" xr:uid="{A3EA0B45-4090-44F8-803F-AB1575D9D620}"/>
    <cellStyle name="40% - Accent2 10 9" xfId="10330" xr:uid="{00000000-0005-0000-0000-0000AB310000}"/>
    <cellStyle name="40% - Accent2 10 9 2" xfId="34180" xr:uid="{2CE6DBDA-11A4-430F-9937-89F38EBF64BB}"/>
    <cellStyle name="40% - Accent2 10_Exh G" xfId="2809" xr:uid="{00000000-0005-0000-0000-0000AC310000}"/>
    <cellStyle name="40% - Accent2 11" xfId="386" xr:uid="{00000000-0005-0000-0000-0000AD310000}"/>
    <cellStyle name="40% - Accent2 11 10" xfId="26242" xr:uid="{16E2BEE0-1061-4A81-92A6-F90EAB348A5E}"/>
    <cellStyle name="40% - Accent2 11 2" xfId="387" xr:uid="{00000000-0005-0000-0000-0000AE310000}"/>
    <cellStyle name="40% - Accent2 11 2 2" xfId="388" xr:uid="{00000000-0005-0000-0000-0000AF310000}"/>
    <cellStyle name="40% - Accent2 11 2 2 2" xfId="1416" xr:uid="{00000000-0005-0000-0000-0000B0310000}"/>
    <cellStyle name="40% - Accent2 11 2 2 2 2" xfId="4946" xr:uid="{00000000-0005-0000-0000-0000B1310000}"/>
    <cellStyle name="40% - Accent2 11 2 2 2 2 2" xfId="8537" xr:uid="{00000000-0005-0000-0000-0000B2310000}"/>
    <cellStyle name="40% - Accent2 11 2 2 2 2 2 2" xfId="16508" xr:uid="{00000000-0005-0000-0000-0000B3310000}"/>
    <cellStyle name="40% - Accent2 11 2 2 2 2 2 2 2" xfId="40351" xr:uid="{9802817C-64DD-4D44-B2AC-5CD2AF93EFF7}"/>
    <cellStyle name="40% - Accent2 11 2 2 2 2 2 3" xfId="24454" xr:uid="{00000000-0005-0000-0000-0000B4310000}"/>
    <cellStyle name="40% - Accent2 11 2 2 2 2 2 3 2" xfId="48287" xr:uid="{097C8A67-5077-46A4-91B7-DC78BBDB75B6}"/>
    <cellStyle name="40% - Accent2 11 2 2 2 2 2 4" xfId="32410" xr:uid="{40B8ECD9-D16E-4475-A277-C4EA17045FA6}"/>
    <cellStyle name="40% - Accent2 11 2 2 2 2 3" xfId="12970" xr:uid="{00000000-0005-0000-0000-0000B5310000}"/>
    <cellStyle name="40% - Accent2 11 2 2 2 2 3 2" xfId="36820" xr:uid="{B758E30E-5006-49F8-8010-84FAA551D651}"/>
    <cellStyle name="40% - Accent2 11 2 2 2 2 4" xfId="20925" xr:uid="{00000000-0005-0000-0000-0000B6310000}"/>
    <cellStyle name="40% - Accent2 11 2 2 2 2 4 2" xfId="44758" xr:uid="{99E1D6CA-CFCA-4D37-BD6C-540B3FD4B939}"/>
    <cellStyle name="40% - Accent2 11 2 2 2 2 5" xfId="28879" xr:uid="{F1CA7C07-032F-415A-B1B0-A7A6825B8D17}"/>
    <cellStyle name="40% - Accent2 11 2 2 2 3" xfId="6778" xr:uid="{00000000-0005-0000-0000-0000B7310000}"/>
    <cellStyle name="40% - Accent2 11 2 2 2 3 2" xfId="14750" xr:uid="{00000000-0005-0000-0000-0000B8310000}"/>
    <cellStyle name="40% - Accent2 11 2 2 2 3 2 2" xfId="38593" xr:uid="{1DB30A6B-7064-427F-89D9-CFE4A6117B82}"/>
    <cellStyle name="40% - Accent2 11 2 2 2 3 3" xfId="22697" xr:uid="{00000000-0005-0000-0000-0000B9310000}"/>
    <cellStyle name="40% - Accent2 11 2 2 2 3 3 2" xfId="46530" xr:uid="{843745F1-4E49-4061-A8EC-CCF894972F41}"/>
    <cellStyle name="40% - Accent2 11 2 2 2 3 4" xfId="30652" xr:uid="{9C50C980-5694-4DA0-9310-39E669436D6F}"/>
    <cellStyle name="40% - Accent2 11 2 2 2 4" xfId="11214" xr:uid="{00000000-0005-0000-0000-0000BA310000}"/>
    <cellStyle name="40% - Accent2 11 2 2 2 4 2" xfId="35064" xr:uid="{F86C7F67-0529-49F1-B7D0-A2D088008111}"/>
    <cellStyle name="40% - Accent2 11 2 2 2 5" xfId="19169" xr:uid="{00000000-0005-0000-0000-0000BB310000}"/>
    <cellStyle name="40% - Accent2 11 2 2 2 5 2" xfId="43002" xr:uid="{3467256D-6072-41D2-9737-01B655A9B8AE}"/>
    <cellStyle name="40% - Accent2 11 2 2 2 6" xfId="27122" xr:uid="{C02A2FD8-3CAB-4A03-BEEC-9F0E2938FA4F}"/>
    <cellStyle name="40% - Accent2 11 2 2 2_Exh G" xfId="2820" xr:uid="{00000000-0005-0000-0000-0000BC310000}"/>
    <cellStyle name="40% - Accent2 11 2 2 3" xfId="4067" xr:uid="{00000000-0005-0000-0000-0000BD310000}"/>
    <cellStyle name="40% - Accent2 11 2 2 3 2" xfId="7659" xr:uid="{00000000-0005-0000-0000-0000BE310000}"/>
    <cellStyle name="40% - Accent2 11 2 2 3 2 2" xfId="15630" xr:uid="{00000000-0005-0000-0000-0000BF310000}"/>
    <cellStyle name="40% - Accent2 11 2 2 3 2 2 2" xfId="39473" xr:uid="{E363F9FB-B1C0-434D-B1BC-7DD38BFA2FBE}"/>
    <cellStyle name="40% - Accent2 11 2 2 3 2 3" xfId="23576" xr:uid="{00000000-0005-0000-0000-0000C0310000}"/>
    <cellStyle name="40% - Accent2 11 2 2 3 2 3 2" xfId="47409" xr:uid="{00C06BC2-F64F-4FF1-9108-27426AADBC3F}"/>
    <cellStyle name="40% - Accent2 11 2 2 3 2 4" xfId="31532" xr:uid="{328B9C1C-A52D-4224-845D-F727E272E076}"/>
    <cellStyle name="40% - Accent2 11 2 2 3 3" xfId="12092" xr:uid="{00000000-0005-0000-0000-0000C1310000}"/>
    <cellStyle name="40% - Accent2 11 2 2 3 3 2" xfId="35942" xr:uid="{C40C90EA-8565-4A3E-AABA-EC792817606B}"/>
    <cellStyle name="40% - Accent2 11 2 2 3 4" xfId="20047" xr:uid="{00000000-0005-0000-0000-0000C2310000}"/>
    <cellStyle name="40% - Accent2 11 2 2 3 4 2" xfId="43880" xr:uid="{4ADBD945-DEE7-4C2D-96DB-8B03E1D48771}"/>
    <cellStyle name="40% - Accent2 11 2 2 3 5" xfId="28001" xr:uid="{A2BBAD42-124C-4E19-8616-7FDC119E0E2B}"/>
    <cellStyle name="40% - Accent2 11 2 2 4" xfId="5887" xr:uid="{00000000-0005-0000-0000-0000C3310000}"/>
    <cellStyle name="40% - Accent2 11 2 2 4 2" xfId="13871" xr:uid="{00000000-0005-0000-0000-0000C4310000}"/>
    <cellStyle name="40% - Accent2 11 2 2 4 2 2" xfId="37715" xr:uid="{3065D7AA-0273-4779-838A-E25205DD1936}"/>
    <cellStyle name="40% - Accent2 11 2 2 4 3" xfId="21819" xr:uid="{00000000-0005-0000-0000-0000C5310000}"/>
    <cellStyle name="40% - Accent2 11 2 2 4 3 2" xfId="45652" xr:uid="{DCAF9348-8F27-477D-9F1E-560679E6B8FF}"/>
    <cellStyle name="40% - Accent2 11 2 2 4 4" xfId="29774" xr:uid="{13787FF9-AC58-4666-9E49-D5DA23622E8C}"/>
    <cellStyle name="40% - Accent2 11 2 2 5" xfId="9440" xr:uid="{00000000-0005-0000-0000-0000C6310000}"/>
    <cellStyle name="40% - Accent2 11 2 2 5 2" xfId="17398" xr:uid="{00000000-0005-0000-0000-0000C7310000}"/>
    <cellStyle name="40% - Accent2 11 2 2 5 2 2" xfId="41239" xr:uid="{0C2042EB-A0EA-4141-A1B3-8A12C150CD66}"/>
    <cellStyle name="40% - Accent2 11 2 2 5 3" xfId="25342" xr:uid="{00000000-0005-0000-0000-0000C8310000}"/>
    <cellStyle name="40% - Accent2 11 2 2 5 3 2" xfId="49175" xr:uid="{D9DA5F06-49F5-40C3-A74F-CA203D58BBC9}"/>
    <cellStyle name="40% - Accent2 11 2 2 5 4" xfId="33298" xr:uid="{6B36A17D-1A3B-4C0B-AF8F-0549FFEB2211}"/>
    <cellStyle name="40% - Accent2 11 2 2 6" xfId="10336" xr:uid="{00000000-0005-0000-0000-0000C9310000}"/>
    <cellStyle name="40% - Accent2 11 2 2 6 2" xfId="34186" xr:uid="{DAA7AD96-CEAD-4D83-A283-2393BE360D8D}"/>
    <cellStyle name="40% - Accent2 11 2 2 7" xfId="18291" xr:uid="{00000000-0005-0000-0000-0000CA310000}"/>
    <cellStyle name="40% - Accent2 11 2 2 7 2" xfId="42124" xr:uid="{CDA1E0BC-B53F-4E3A-B3E3-AA1A0CC2B5E1}"/>
    <cellStyle name="40% - Accent2 11 2 2 8" xfId="26244" xr:uid="{6FA2FC99-042A-475F-AD9B-633227B39A5D}"/>
    <cellStyle name="40% - Accent2 11 2 2_Exh G" xfId="2819" xr:uid="{00000000-0005-0000-0000-0000CB310000}"/>
    <cellStyle name="40% - Accent2 11 2 3" xfId="1415" xr:uid="{00000000-0005-0000-0000-0000CC310000}"/>
    <cellStyle name="40% - Accent2 11 2 3 2" xfId="4945" xr:uid="{00000000-0005-0000-0000-0000CD310000}"/>
    <cellStyle name="40% - Accent2 11 2 3 2 2" xfId="8536" xr:uid="{00000000-0005-0000-0000-0000CE310000}"/>
    <cellStyle name="40% - Accent2 11 2 3 2 2 2" xfId="16507" xr:uid="{00000000-0005-0000-0000-0000CF310000}"/>
    <cellStyle name="40% - Accent2 11 2 3 2 2 2 2" xfId="40350" xr:uid="{CB6D1DF2-BC38-4DCA-83EE-34615E129B11}"/>
    <cellStyle name="40% - Accent2 11 2 3 2 2 3" xfId="24453" xr:uid="{00000000-0005-0000-0000-0000D0310000}"/>
    <cellStyle name="40% - Accent2 11 2 3 2 2 3 2" xfId="48286" xr:uid="{F669FB85-B767-49DA-8BC4-E68BC1B1C16E}"/>
    <cellStyle name="40% - Accent2 11 2 3 2 2 4" xfId="32409" xr:uid="{EE1B7800-901E-421D-926B-2D68F92E67F3}"/>
    <cellStyle name="40% - Accent2 11 2 3 2 3" xfId="12969" xr:uid="{00000000-0005-0000-0000-0000D1310000}"/>
    <cellStyle name="40% - Accent2 11 2 3 2 3 2" xfId="36819" xr:uid="{16A27FCB-A3B7-4251-B0F7-850F3C42D1AA}"/>
    <cellStyle name="40% - Accent2 11 2 3 2 4" xfId="20924" xr:uid="{00000000-0005-0000-0000-0000D2310000}"/>
    <cellStyle name="40% - Accent2 11 2 3 2 4 2" xfId="44757" xr:uid="{F946BC50-7B25-4166-A655-EF03A45F51EF}"/>
    <cellStyle name="40% - Accent2 11 2 3 2 5" xfId="28878" xr:uid="{2D515C5A-DD1F-432E-B06B-2E700E71A4FE}"/>
    <cellStyle name="40% - Accent2 11 2 3 3" xfId="6777" xr:uid="{00000000-0005-0000-0000-0000D3310000}"/>
    <cellStyle name="40% - Accent2 11 2 3 3 2" xfId="14749" xr:uid="{00000000-0005-0000-0000-0000D4310000}"/>
    <cellStyle name="40% - Accent2 11 2 3 3 2 2" xfId="38592" xr:uid="{DDD0BA77-E3BE-42B3-9218-E5750FF303B9}"/>
    <cellStyle name="40% - Accent2 11 2 3 3 3" xfId="22696" xr:uid="{00000000-0005-0000-0000-0000D5310000}"/>
    <cellStyle name="40% - Accent2 11 2 3 3 3 2" xfId="46529" xr:uid="{E039901B-AA53-4CD8-BA7B-68763F3AA1A0}"/>
    <cellStyle name="40% - Accent2 11 2 3 3 4" xfId="30651" xr:uid="{3073875A-110D-4AB0-BB3C-40AE791E146E}"/>
    <cellStyle name="40% - Accent2 11 2 3 4" xfId="11213" xr:uid="{00000000-0005-0000-0000-0000D6310000}"/>
    <cellStyle name="40% - Accent2 11 2 3 4 2" xfId="35063" xr:uid="{30C55099-096C-4DCF-BBDE-7A97133D256D}"/>
    <cellStyle name="40% - Accent2 11 2 3 5" xfId="19168" xr:uid="{00000000-0005-0000-0000-0000D7310000}"/>
    <cellStyle name="40% - Accent2 11 2 3 5 2" xfId="43001" xr:uid="{A18107D8-D576-418F-9D04-0781DED80310}"/>
    <cellStyle name="40% - Accent2 11 2 3 6" xfId="27121" xr:uid="{F843BB27-CE9C-4D16-A853-655513B7597B}"/>
    <cellStyle name="40% - Accent2 11 2 3_Exh G" xfId="2821" xr:uid="{00000000-0005-0000-0000-0000D8310000}"/>
    <cellStyle name="40% - Accent2 11 2 4" xfId="4066" xr:uid="{00000000-0005-0000-0000-0000D9310000}"/>
    <cellStyle name="40% - Accent2 11 2 4 2" xfId="7658" xr:uid="{00000000-0005-0000-0000-0000DA310000}"/>
    <cellStyle name="40% - Accent2 11 2 4 2 2" xfId="15629" xr:uid="{00000000-0005-0000-0000-0000DB310000}"/>
    <cellStyle name="40% - Accent2 11 2 4 2 2 2" xfId="39472" xr:uid="{E2F8B5A3-CF11-433D-95E1-55D0DE3EB61A}"/>
    <cellStyle name="40% - Accent2 11 2 4 2 3" xfId="23575" xr:uid="{00000000-0005-0000-0000-0000DC310000}"/>
    <cellStyle name="40% - Accent2 11 2 4 2 3 2" xfId="47408" xr:uid="{76E415C5-28E9-40C1-AF1A-953715516F22}"/>
    <cellStyle name="40% - Accent2 11 2 4 2 4" xfId="31531" xr:uid="{5A36C1F0-C1FD-4AE0-9766-B966666A7457}"/>
    <cellStyle name="40% - Accent2 11 2 4 3" xfId="12091" xr:uid="{00000000-0005-0000-0000-0000DD310000}"/>
    <cellStyle name="40% - Accent2 11 2 4 3 2" xfId="35941" xr:uid="{96BCEF71-A485-4C04-8BF4-F9352B1305EF}"/>
    <cellStyle name="40% - Accent2 11 2 4 4" xfId="20046" xr:uid="{00000000-0005-0000-0000-0000DE310000}"/>
    <cellStyle name="40% - Accent2 11 2 4 4 2" xfId="43879" xr:uid="{0390E031-4014-435D-A67E-54F0754CB072}"/>
    <cellStyle name="40% - Accent2 11 2 4 5" xfId="28000" xr:uid="{7BBE5554-E78C-4988-A309-0A42C4C8001A}"/>
    <cellStyle name="40% - Accent2 11 2 5" xfId="5886" xr:uid="{00000000-0005-0000-0000-0000DF310000}"/>
    <cellStyle name="40% - Accent2 11 2 5 2" xfId="13870" xr:uid="{00000000-0005-0000-0000-0000E0310000}"/>
    <cellStyle name="40% - Accent2 11 2 5 2 2" xfId="37714" xr:uid="{347004D6-B8A6-4F0F-9AEB-EE1936637C16}"/>
    <cellStyle name="40% - Accent2 11 2 5 3" xfId="21818" xr:uid="{00000000-0005-0000-0000-0000E1310000}"/>
    <cellStyle name="40% - Accent2 11 2 5 3 2" xfId="45651" xr:uid="{75C0C64C-B4B7-4C57-9C31-3CAC3A6D4421}"/>
    <cellStyle name="40% - Accent2 11 2 5 4" xfId="29773" xr:uid="{FE4303C3-81CE-407B-ACB8-341DC0A3572D}"/>
    <cellStyle name="40% - Accent2 11 2 6" xfId="9439" xr:uid="{00000000-0005-0000-0000-0000E2310000}"/>
    <cellStyle name="40% - Accent2 11 2 6 2" xfId="17397" xr:uid="{00000000-0005-0000-0000-0000E3310000}"/>
    <cellStyle name="40% - Accent2 11 2 6 2 2" xfId="41238" xr:uid="{175E76D9-1EB3-4596-BD46-CB8DEDF16BD1}"/>
    <cellStyle name="40% - Accent2 11 2 6 3" xfId="25341" xr:uid="{00000000-0005-0000-0000-0000E4310000}"/>
    <cellStyle name="40% - Accent2 11 2 6 3 2" xfId="49174" xr:uid="{553A28CD-A0C2-4635-840F-881B9A6CE529}"/>
    <cellStyle name="40% - Accent2 11 2 6 4" xfId="33297" xr:uid="{E05EC1DC-F195-4C0A-BC4F-DF9F9A50D41D}"/>
    <cellStyle name="40% - Accent2 11 2 7" xfId="10335" xr:uid="{00000000-0005-0000-0000-0000E5310000}"/>
    <cellStyle name="40% - Accent2 11 2 7 2" xfId="34185" xr:uid="{FABB62EA-3755-4E62-9F95-0FE83DCF2E3B}"/>
    <cellStyle name="40% - Accent2 11 2 8" xfId="18290" xr:uid="{00000000-0005-0000-0000-0000E6310000}"/>
    <cellStyle name="40% - Accent2 11 2 8 2" xfId="42123" xr:uid="{CF42698B-CB61-412F-9B02-B63B5F6A0F3B}"/>
    <cellStyle name="40% - Accent2 11 2 9" xfId="26243" xr:uid="{D059AACE-477F-4F99-AB77-1B43ECE873EF}"/>
    <cellStyle name="40% - Accent2 11 2_Exh G" xfId="2818" xr:uid="{00000000-0005-0000-0000-0000E7310000}"/>
    <cellStyle name="40% - Accent2 11 3" xfId="389" xr:uid="{00000000-0005-0000-0000-0000E8310000}"/>
    <cellStyle name="40% - Accent2 11 3 2" xfId="1417" xr:uid="{00000000-0005-0000-0000-0000E9310000}"/>
    <cellStyle name="40% - Accent2 11 3 2 2" xfId="4947" xr:uid="{00000000-0005-0000-0000-0000EA310000}"/>
    <cellStyle name="40% - Accent2 11 3 2 2 2" xfId="8538" xr:uid="{00000000-0005-0000-0000-0000EB310000}"/>
    <cellStyle name="40% - Accent2 11 3 2 2 2 2" xfId="16509" xr:uid="{00000000-0005-0000-0000-0000EC310000}"/>
    <cellStyle name="40% - Accent2 11 3 2 2 2 2 2" xfId="40352" xr:uid="{581E8C7C-19D6-4FE4-9E16-400A40B3C1BA}"/>
    <cellStyle name="40% - Accent2 11 3 2 2 2 3" xfId="24455" xr:uid="{00000000-0005-0000-0000-0000ED310000}"/>
    <cellStyle name="40% - Accent2 11 3 2 2 2 3 2" xfId="48288" xr:uid="{B5D0842B-EDF2-4766-84A7-96F192B42745}"/>
    <cellStyle name="40% - Accent2 11 3 2 2 2 4" xfId="32411" xr:uid="{5E72FDDD-C8BC-434B-9811-40AF93F4F06D}"/>
    <cellStyle name="40% - Accent2 11 3 2 2 3" xfId="12971" xr:uid="{00000000-0005-0000-0000-0000EE310000}"/>
    <cellStyle name="40% - Accent2 11 3 2 2 3 2" xfId="36821" xr:uid="{C3CD1716-D1E5-4723-A6F6-3BE52AC8B35C}"/>
    <cellStyle name="40% - Accent2 11 3 2 2 4" xfId="20926" xr:uid="{00000000-0005-0000-0000-0000EF310000}"/>
    <cellStyle name="40% - Accent2 11 3 2 2 4 2" xfId="44759" xr:uid="{1D62B50C-E3AF-463B-A39F-7210EC3556C1}"/>
    <cellStyle name="40% - Accent2 11 3 2 2 5" xfId="28880" xr:uid="{0F64E554-3EE1-448F-9364-9434FF4E5F0C}"/>
    <cellStyle name="40% - Accent2 11 3 2 3" xfId="6779" xr:uid="{00000000-0005-0000-0000-0000F0310000}"/>
    <cellStyle name="40% - Accent2 11 3 2 3 2" xfId="14751" xr:uid="{00000000-0005-0000-0000-0000F1310000}"/>
    <cellStyle name="40% - Accent2 11 3 2 3 2 2" xfId="38594" xr:uid="{87E9B55B-F6E4-454F-B49E-A6F7D33CA0C6}"/>
    <cellStyle name="40% - Accent2 11 3 2 3 3" xfId="22698" xr:uid="{00000000-0005-0000-0000-0000F2310000}"/>
    <cellStyle name="40% - Accent2 11 3 2 3 3 2" xfId="46531" xr:uid="{C0876B93-E1D4-4348-9316-EA47A7CF97E3}"/>
    <cellStyle name="40% - Accent2 11 3 2 3 4" xfId="30653" xr:uid="{37703C80-9EF8-407F-AA46-CFCC390CA8BD}"/>
    <cellStyle name="40% - Accent2 11 3 2 4" xfId="11215" xr:uid="{00000000-0005-0000-0000-0000F3310000}"/>
    <cellStyle name="40% - Accent2 11 3 2 4 2" xfId="35065" xr:uid="{2878D6DF-933F-4E1B-821C-B564E604487F}"/>
    <cellStyle name="40% - Accent2 11 3 2 5" xfId="19170" xr:uid="{00000000-0005-0000-0000-0000F4310000}"/>
    <cellStyle name="40% - Accent2 11 3 2 5 2" xfId="43003" xr:uid="{56B86E12-39D8-499E-98FC-929BDC5EC6EB}"/>
    <cellStyle name="40% - Accent2 11 3 2 6" xfId="27123" xr:uid="{AEAE8AAB-3C1F-405F-9B59-9CAB3A25D288}"/>
    <cellStyle name="40% - Accent2 11 3 2_Exh G" xfId="2823" xr:uid="{00000000-0005-0000-0000-0000F5310000}"/>
    <cellStyle name="40% - Accent2 11 3 3" xfId="4068" xr:uid="{00000000-0005-0000-0000-0000F6310000}"/>
    <cellStyle name="40% - Accent2 11 3 3 2" xfId="7660" xr:uid="{00000000-0005-0000-0000-0000F7310000}"/>
    <cellStyle name="40% - Accent2 11 3 3 2 2" xfId="15631" xr:uid="{00000000-0005-0000-0000-0000F8310000}"/>
    <cellStyle name="40% - Accent2 11 3 3 2 2 2" xfId="39474" xr:uid="{92214C04-9431-4393-A8E0-7BD1EF7D8DF2}"/>
    <cellStyle name="40% - Accent2 11 3 3 2 3" xfId="23577" xr:uid="{00000000-0005-0000-0000-0000F9310000}"/>
    <cellStyle name="40% - Accent2 11 3 3 2 3 2" xfId="47410" xr:uid="{4AF1B704-65A2-476D-BA9B-5022D5FA17CD}"/>
    <cellStyle name="40% - Accent2 11 3 3 2 4" xfId="31533" xr:uid="{A705D0B8-8DE1-47A9-935A-906F8A2072FA}"/>
    <cellStyle name="40% - Accent2 11 3 3 3" xfId="12093" xr:uid="{00000000-0005-0000-0000-0000FA310000}"/>
    <cellStyle name="40% - Accent2 11 3 3 3 2" xfId="35943" xr:uid="{C625CC45-63D1-4F8A-9DBC-B9EDADBA2CEB}"/>
    <cellStyle name="40% - Accent2 11 3 3 4" xfId="20048" xr:uid="{00000000-0005-0000-0000-0000FB310000}"/>
    <cellStyle name="40% - Accent2 11 3 3 4 2" xfId="43881" xr:uid="{DC0D312E-3ACE-4B49-95B4-F896AD1917E2}"/>
    <cellStyle name="40% - Accent2 11 3 3 5" xfId="28002" xr:uid="{C50E5219-9C68-4E75-86FF-B2AE9D29B4F2}"/>
    <cellStyle name="40% - Accent2 11 3 4" xfId="5888" xr:uid="{00000000-0005-0000-0000-0000FC310000}"/>
    <cellStyle name="40% - Accent2 11 3 4 2" xfId="13872" xr:uid="{00000000-0005-0000-0000-0000FD310000}"/>
    <cellStyle name="40% - Accent2 11 3 4 2 2" xfId="37716" xr:uid="{21487056-E182-4365-818A-091B2A3ACA99}"/>
    <cellStyle name="40% - Accent2 11 3 4 3" xfId="21820" xr:uid="{00000000-0005-0000-0000-0000FE310000}"/>
    <cellStyle name="40% - Accent2 11 3 4 3 2" xfId="45653" xr:uid="{AE6EE265-58DE-411C-8F1D-CCA2FA1AF7CE}"/>
    <cellStyle name="40% - Accent2 11 3 4 4" xfId="29775" xr:uid="{429AA3F0-72B5-4171-A950-16E1B1CA9DA1}"/>
    <cellStyle name="40% - Accent2 11 3 5" xfId="9441" xr:uid="{00000000-0005-0000-0000-0000FF310000}"/>
    <cellStyle name="40% - Accent2 11 3 5 2" xfId="17399" xr:uid="{00000000-0005-0000-0000-000000320000}"/>
    <cellStyle name="40% - Accent2 11 3 5 2 2" xfId="41240" xr:uid="{8771FE24-BD6E-4ECB-B3C9-86F8A41A051B}"/>
    <cellStyle name="40% - Accent2 11 3 5 3" xfId="25343" xr:uid="{00000000-0005-0000-0000-000001320000}"/>
    <cellStyle name="40% - Accent2 11 3 5 3 2" xfId="49176" xr:uid="{2DACDB6C-029F-4A3D-A655-AFD5BAD2364B}"/>
    <cellStyle name="40% - Accent2 11 3 5 4" xfId="33299" xr:uid="{FFE95CA2-482C-495C-851D-32E58BC5B6C7}"/>
    <cellStyle name="40% - Accent2 11 3 6" xfId="10337" xr:uid="{00000000-0005-0000-0000-000002320000}"/>
    <cellStyle name="40% - Accent2 11 3 6 2" xfId="34187" xr:uid="{A6DF0347-6B3A-44AE-B08C-3970F34EAF77}"/>
    <cellStyle name="40% - Accent2 11 3 7" xfId="18292" xr:uid="{00000000-0005-0000-0000-000003320000}"/>
    <cellStyle name="40% - Accent2 11 3 7 2" xfId="42125" xr:uid="{22622000-6276-455B-ACCD-38559E0452A7}"/>
    <cellStyle name="40% - Accent2 11 3 8" xfId="26245" xr:uid="{4CE5457A-EA56-4E7D-A9ED-37A514086922}"/>
    <cellStyle name="40% - Accent2 11 3_Exh G" xfId="2822" xr:uid="{00000000-0005-0000-0000-000004320000}"/>
    <cellStyle name="40% - Accent2 11 4" xfId="1414" xr:uid="{00000000-0005-0000-0000-000005320000}"/>
    <cellStyle name="40% - Accent2 11 4 2" xfId="4944" xr:uid="{00000000-0005-0000-0000-000006320000}"/>
    <cellStyle name="40% - Accent2 11 4 2 2" xfId="8535" xr:uid="{00000000-0005-0000-0000-000007320000}"/>
    <cellStyle name="40% - Accent2 11 4 2 2 2" xfId="16506" xr:uid="{00000000-0005-0000-0000-000008320000}"/>
    <cellStyle name="40% - Accent2 11 4 2 2 2 2" xfId="40349" xr:uid="{DEEC9DB5-F939-478A-8957-23DB349DC756}"/>
    <cellStyle name="40% - Accent2 11 4 2 2 3" xfId="24452" xr:uid="{00000000-0005-0000-0000-000009320000}"/>
    <cellStyle name="40% - Accent2 11 4 2 2 3 2" xfId="48285" xr:uid="{51625CC5-AD3D-47FB-95CB-6072890DD76C}"/>
    <cellStyle name="40% - Accent2 11 4 2 2 4" xfId="32408" xr:uid="{253832A2-0987-4392-9E6B-B6CC7E6A1DF2}"/>
    <cellStyle name="40% - Accent2 11 4 2 3" xfId="12968" xr:uid="{00000000-0005-0000-0000-00000A320000}"/>
    <cellStyle name="40% - Accent2 11 4 2 3 2" xfId="36818" xr:uid="{5398EFE0-99BE-4F2F-BDD6-3B9E11A46669}"/>
    <cellStyle name="40% - Accent2 11 4 2 4" xfId="20923" xr:uid="{00000000-0005-0000-0000-00000B320000}"/>
    <cellStyle name="40% - Accent2 11 4 2 4 2" xfId="44756" xr:uid="{9E04119F-84C5-422B-A4AC-D7FE8E905BAC}"/>
    <cellStyle name="40% - Accent2 11 4 2 5" xfId="28877" xr:uid="{05097386-B3A8-4296-A51C-A75651CFEE4D}"/>
    <cellStyle name="40% - Accent2 11 4 3" xfId="6776" xr:uid="{00000000-0005-0000-0000-00000C320000}"/>
    <cellStyle name="40% - Accent2 11 4 3 2" xfId="14748" xr:uid="{00000000-0005-0000-0000-00000D320000}"/>
    <cellStyle name="40% - Accent2 11 4 3 2 2" xfId="38591" xr:uid="{19C665C5-2EB1-4C95-97FA-826528DD120D}"/>
    <cellStyle name="40% - Accent2 11 4 3 3" xfId="22695" xr:uid="{00000000-0005-0000-0000-00000E320000}"/>
    <cellStyle name="40% - Accent2 11 4 3 3 2" xfId="46528" xr:uid="{2793263B-2C13-40FD-B30B-A8561E1FE23E}"/>
    <cellStyle name="40% - Accent2 11 4 3 4" xfId="30650" xr:uid="{B671B8B5-F7CF-4BD2-A1DC-8FDCCAA0287C}"/>
    <cellStyle name="40% - Accent2 11 4 4" xfId="11212" xr:uid="{00000000-0005-0000-0000-00000F320000}"/>
    <cellStyle name="40% - Accent2 11 4 4 2" xfId="35062" xr:uid="{FEF506D0-1697-4E8C-B49F-05ABCB82C6E4}"/>
    <cellStyle name="40% - Accent2 11 4 5" xfId="19167" xr:uid="{00000000-0005-0000-0000-000010320000}"/>
    <cellStyle name="40% - Accent2 11 4 5 2" xfId="43000" xr:uid="{EB8B5CBD-307D-415F-8C17-782D3BE57C86}"/>
    <cellStyle name="40% - Accent2 11 4 6" xfId="27120" xr:uid="{9BFAC685-C16E-49ED-86C4-629634EA9128}"/>
    <cellStyle name="40% - Accent2 11 4_Exh G" xfId="2824" xr:uid="{00000000-0005-0000-0000-000011320000}"/>
    <cellStyle name="40% - Accent2 11 5" xfId="4065" xr:uid="{00000000-0005-0000-0000-000012320000}"/>
    <cellStyle name="40% - Accent2 11 5 2" xfId="7657" xr:uid="{00000000-0005-0000-0000-000013320000}"/>
    <cellStyle name="40% - Accent2 11 5 2 2" xfId="15628" xr:uid="{00000000-0005-0000-0000-000014320000}"/>
    <cellStyle name="40% - Accent2 11 5 2 2 2" xfId="39471" xr:uid="{D628ABA2-7C45-4CD3-AED9-70449093DB8B}"/>
    <cellStyle name="40% - Accent2 11 5 2 3" xfId="23574" xr:uid="{00000000-0005-0000-0000-000015320000}"/>
    <cellStyle name="40% - Accent2 11 5 2 3 2" xfId="47407" xr:uid="{00AAB044-2272-40C9-9C64-A4CB79CC4D48}"/>
    <cellStyle name="40% - Accent2 11 5 2 4" xfId="31530" xr:uid="{39F8B2F2-A663-44B3-AE13-3AC6083CD41A}"/>
    <cellStyle name="40% - Accent2 11 5 3" xfId="12090" xr:uid="{00000000-0005-0000-0000-000016320000}"/>
    <cellStyle name="40% - Accent2 11 5 3 2" xfId="35940" xr:uid="{F3B57E7A-1CF0-4503-9B6E-388046DB68C1}"/>
    <cellStyle name="40% - Accent2 11 5 4" xfId="20045" xr:uid="{00000000-0005-0000-0000-000017320000}"/>
    <cellStyle name="40% - Accent2 11 5 4 2" xfId="43878" xr:uid="{3329C012-FE7F-4D82-B920-69DF76DA3087}"/>
    <cellStyle name="40% - Accent2 11 5 5" xfId="27999" xr:uid="{6CDCA418-C8BB-4E70-990B-E72BAD0718CF}"/>
    <cellStyle name="40% - Accent2 11 6" xfId="5885" xr:uid="{00000000-0005-0000-0000-000018320000}"/>
    <cellStyle name="40% - Accent2 11 6 2" xfId="13869" xr:uid="{00000000-0005-0000-0000-000019320000}"/>
    <cellStyle name="40% - Accent2 11 6 2 2" xfId="37713" xr:uid="{7357822F-EAAF-4F5A-BC3B-291E3719734C}"/>
    <cellStyle name="40% - Accent2 11 6 3" xfId="21817" xr:uid="{00000000-0005-0000-0000-00001A320000}"/>
    <cellStyle name="40% - Accent2 11 6 3 2" xfId="45650" xr:uid="{67DF308E-3358-4878-A909-3EBEECC3FECF}"/>
    <cellStyle name="40% - Accent2 11 6 4" xfId="29772" xr:uid="{B255CC2D-234B-42DE-A248-1B5DE184B6E8}"/>
    <cellStyle name="40% - Accent2 11 7" xfId="9438" xr:uid="{00000000-0005-0000-0000-00001B320000}"/>
    <cellStyle name="40% - Accent2 11 7 2" xfId="17396" xr:uid="{00000000-0005-0000-0000-00001C320000}"/>
    <cellStyle name="40% - Accent2 11 7 2 2" xfId="41237" xr:uid="{5281715B-4E1E-40BF-9A5C-F0E7650DBD1C}"/>
    <cellStyle name="40% - Accent2 11 7 3" xfId="25340" xr:uid="{00000000-0005-0000-0000-00001D320000}"/>
    <cellStyle name="40% - Accent2 11 7 3 2" xfId="49173" xr:uid="{4193EF48-9ED1-46BF-A4AF-33D3BC374CDB}"/>
    <cellStyle name="40% - Accent2 11 7 4" xfId="33296" xr:uid="{C3629C03-9134-4DF2-B586-F225AEA70D1B}"/>
    <cellStyle name="40% - Accent2 11 8" xfId="10334" xr:uid="{00000000-0005-0000-0000-00001E320000}"/>
    <cellStyle name="40% - Accent2 11 8 2" xfId="34184" xr:uid="{B8C75175-E614-4D5C-BDE9-7BCC4537CFD2}"/>
    <cellStyle name="40% - Accent2 11 9" xfId="18289" xr:uid="{00000000-0005-0000-0000-00001F320000}"/>
    <cellStyle name="40% - Accent2 11 9 2" xfId="42122" xr:uid="{19538466-F396-43AA-A1A5-90144F682238}"/>
    <cellStyle name="40% - Accent2 11_Exh G" xfId="2817" xr:uid="{00000000-0005-0000-0000-000020320000}"/>
    <cellStyle name="40% - Accent2 12" xfId="390" xr:uid="{00000000-0005-0000-0000-000021320000}"/>
    <cellStyle name="40% - Accent2 12 10" xfId="26246" xr:uid="{4C5935BA-76FF-453A-8C94-359AD72B2321}"/>
    <cellStyle name="40% - Accent2 12 2" xfId="391" xr:uid="{00000000-0005-0000-0000-000022320000}"/>
    <cellStyle name="40% - Accent2 12 2 2" xfId="392" xr:uid="{00000000-0005-0000-0000-000023320000}"/>
    <cellStyle name="40% - Accent2 12 2 2 2" xfId="1420" xr:uid="{00000000-0005-0000-0000-000024320000}"/>
    <cellStyle name="40% - Accent2 12 2 2 2 2" xfId="4950" xr:uid="{00000000-0005-0000-0000-000025320000}"/>
    <cellStyle name="40% - Accent2 12 2 2 2 2 2" xfId="8541" xr:uid="{00000000-0005-0000-0000-000026320000}"/>
    <cellStyle name="40% - Accent2 12 2 2 2 2 2 2" xfId="16512" xr:uid="{00000000-0005-0000-0000-000027320000}"/>
    <cellStyle name="40% - Accent2 12 2 2 2 2 2 2 2" xfId="40355" xr:uid="{DDC6C004-E092-4EEB-B98A-F143A1909353}"/>
    <cellStyle name="40% - Accent2 12 2 2 2 2 2 3" xfId="24458" xr:uid="{00000000-0005-0000-0000-000028320000}"/>
    <cellStyle name="40% - Accent2 12 2 2 2 2 2 3 2" xfId="48291" xr:uid="{A61632D7-C661-445D-8C91-AD5CEDCBCA3C}"/>
    <cellStyle name="40% - Accent2 12 2 2 2 2 2 4" xfId="32414" xr:uid="{4D1A4660-3B58-4C36-AC67-A3E0F44FA17E}"/>
    <cellStyle name="40% - Accent2 12 2 2 2 2 3" xfId="12974" xr:uid="{00000000-0005-0000-0000-000029320000}"/>
    <cellStyle name="40% - Accent2 12 2 2 2 2 3 2" xfId="36824" xr:uid="{210FD5E7-051E-4EA8-87FB-7685A3A3FAFB}"/>
    <cellStyle name="40% - Accent2 12 2 2 2 2 4" xfId="20929" xr:uid="{00000000-0005-0000-0000-00002A320000}"/>
    <cellStyle name="40% - Accent2 12 2 2 2 2 4 2" xfId="44762" xr:uid="{1EE9D665-8989-46BC-8097-E6B191E278C0}"/>
    <cellStyle name="40% - Accent2 12 2 2 2 2 5" xfId="28883" xr:uid="{762241BB-D237-4161-90C5-866E82213BF9}"/>
    <cellStyle name="40% - Accent2 12 2 2 2 3" xfId="6782" xr:uid="{00000000-0005-0000-0000-00002B320000}"/>
    <cellStyle name="40% - Accent2 12 2 2 2 3 2" xfId="14754" xr:uid="{00000000-0005-0000-0000-00002C320000}"/>
    <cellStyle name="40% - Accent2 12 2 2 2 3 2 2" xfId="38597" xr:uid="{BDFB3CB6-7B2C-4C24-A5C0-B7BDFEDB0B5C}"/>
    <cellStyle name="40% - Accent2 12 2 2 2 3 3" xfId="22701" xr:uid="{00000000-0005-0000-0000-00002D320000}"/>
    <cellStyle name="40% - Accent2 12 2 2 2 3 3 2" xfId="46534" xr:uid="{0848C9A5-0A81-4012-A328-04E0007C39AC}"/>
    <cellStyle name="40% - Accent2 12 2 2 2 3 4" xfId="30656" xr:uid="{771D994C-CDD8-462C-96C8-B8BAC4B7495A}"/>
    <cellStyle name="40% - Accent2 12 2 2 2 4" xfId="11218" xr:uid="{00000000-0005-0000-0000-00002E320000}"/>
    <cellStyle name="40% - Accent2 12 2 2 2 4 2" xfId="35068" xr:uid="{9ABCC008-5E93-4BEF-BC5E-BD30689A8F91}"/>
    <cellStyle name="40% - Accent2 12 2 2 2 5" xfId="19173" xr:uid="{00000000-0005-0000-0000-00002F320000}"/>
    <cellStyle name="40% - Accent2 12 2 2 2 5 2" xfId="43006" xr:uid="{AC02C8B4-2204-4CF5-BCAC-7F453A363204}"/>
    <cellStyle name="40% - Accent2 12 2 2 2 6" xfId="27126" xr:uid="{D3AFEE30-2CD2-4C29-9640-609FFD187B2A}"/>
    <cellStyle name="40% - Accent2 12 2 2 2_Exh G" xfId="2828" xr:uid="{00000000-0005-0000-0000-000030320000}"/>
    <cellStyle name="40% - Accent2 12 2 2 3" xfId="4071" xr:uid="{00000000-0005-0000-0000-000031320000}"/>
    <cellStyle name="40% - Accent2 12 2 2 3 2" xfId="7663" xr:uid="{00000000-0005-0000-0000-000032320000}"/>
    <cellStyle name="40% - Accent2 12 2 2 3 2 2" xfId="15634" xr:uid="{00000000-0005-0000-0000-000033320000}"/>
    <cellStyle name="40% - Accent2 12 2 2 3 2 2 2" xfId="39477" xr:uid="{885B645A-03D5-487D-87EE-D39B55C0C96D}"/>
    <cellStyle name="40% - Accent2 12 2 2 3 2 3" xfId="23580" xr:uid="{00000000-0005-0000-0000-000034320000}"/>
    <cellStyle name="40% - Accent2 12 2 2 3 2 3 2" xfId="47413" xr:uid="{0B9EC798-5A9A-4988-B11F-A0A8976EC9C5}"/>
    <cellStyle name="40% - Accent2 12 2 2 3 2 4" xfId="31536" xr:uid="{86AF04F5-69E9-4D16-8340-4F49E5FDE280}"/>
    <cellStyle name="40% - Accent2 12 2 2 3 3" xfId="12096" xr:uid="{00000000-0005-0000-0000-000035320000}"/>
    <cellStyle name="40% - Accent2 12 2 2 3 3 2" xfId="35946" xr:uid="{D569E5F6-D1EC-43F0-A786-C4B3C5230D09}"/>
    <cellStyle name="40% - Accent2 12 2 2 3 4" xfId="20051" xr:uid="{00000000-0005-0000-0000-000036320000}"/>
    <cellStyle name="40% - Accent2 12 2 2 3 4 2" xfId="43884" xr:uid="{AF46C24B-35CA-40AC-8EFF-97051BB5BBFD}"/>
    <cellStyle name="40% - Accent2 12 2 2 3 5" xfId="28005" xr:uid="{03F92EA8-0645-4C47-971C-D4FDBC8E6649}"/>
    <cellStyle name="40% - Accent2 12 2 2 4" xfId="5891" xr:uid="{00000000-0005-0000-0000-000037320000}"/>
    <cellStyle name="40% - Accent2 12 2 2 4 2" xfId="13875" xr:uid="{00000000-0005-0000-0000-000038320000}"/>
    <cellStyle name="40% - Accent2 12 2 2 4 2 2" xfId="37719" xr:uid="{4AE443EE-1B74-46A1-9B45-D92D4884AB27}"/>
    <cellStyle name="40% - Accent2 12 2 2 4 3" xfId="21823" xr:uid="{00000000-0005-0000-0000-000039320000}"/>
    <cellStyle name="40% - Accent2 12 2 2 4 3 2" xfId="45656" xr:uid="{5A2D389C-7BDE-4A97-BE12-0CB04796ED86}"/>
    <cellStyle name="40% - Accent2 12 2 2 4 4" xfId="29778" xr:uid="{28B39C68-AA4B-405C-8D5F-D251EE9763AE}"/>
    <cellStyle name="40% - Accent2 12 2 2 5" xfId="9444" xr:uid="{00000000-0005-0000-0000-00003A320000}"/>
    <cellStyle name="40% - Accent2 12 2 2 5 2" xfId="17402" xr:uid="{00000000-0005-0000-0000-00003B320000}"/>
    <cellStyle name="40% - Accent2 12 2 2 5 2 2" xfId="41243" xr:uid="{D41ECE4E-83C3-4B34-836E-4A86458E8D08}"/>
    <cellStyle name="40% - Accent2 12 2 2 5 3" xfId="25346" xr:uid="{00000000-0005-0000-0000-00003C320000}"/>
    <cellStyle name="40% - Accent2 12 2 2 5 3 2" xfId="49179" xr:uid="{9F38E73D-0A87-4FEE-A162-008580C2D2E0}"/>
    <cellStyle name="40% - Accent2 12 2 2 5 4" xfId="33302" xr:uid="{BF228467-006D-4657-92CD-BC1084DB0056}"/>
    <cellStyle name="40% - Accent2 12 2 2 6" xfId="10340" xr:uid="{00000000-0005-0000-0000-00003D320000}"/>
    <cellStyle name="40% - Accent2 12 2 2 6 2" xfId="34190" xr:uid="{C626B015-628F-4EC5-97A8-CE08C161BF17}"/>
    <cellStyle name="40% - Accent2 12 2 2 7" xfId="18295" xr:uid="{00000000-0005-0000-0000-00003E320000}"/>
    <cellStyle name="40% - Accent2 12 2 2 7 2" xfId="42128" xr:uid="{FD37CF4B-5AFA-4A27-97F3-B46172504D8C}"/>
    <cellStyle name="40% - Accent2 12 2 2 8" xfId="26248" xr:uid="{2E68D0CB-630D-4DEA-ABC5-D70353BA6986}"/>
    <cellStyle name="40% - Accent2 12 2 2_Exh G" xfId="2827" xr:uid="{00000000-0005-0000-0000-00003F320000}"/>
    <cellStyle name="40% - Accent2 12 2 3" xfId="1419" xr:uid="{00000000-0005-0000-0000-000040320000}"/>
    <cellStyle name="40% - Accent2 12 2 3 2" xfId="4949" xr:uid="{00000000-0005-0000-0000-000041320000}"/>
    <cellStyle name="40% - Accent2 12 2 3 2 2" xfId="8540" xr:uid="{00000000-0005-0000-0000-000042320000}"/>
    <cellStyle name="40% - Accent2 12 2 3 2 2 2" xfId="16511" xr:uid="{00000000-0005-0000-0000-000043320000}"/>
    <cellStyle name="40% - Accent2 12 2 3 2 2 2 2" xfId="40354" xr:uid="{107E7271-E622-4B39-B2EC-538BB3DC1ECF}"/>
    <cellStyle name="40% - Accent2 12 2 3 2 2 3" xfId="24457" xr:uid="{00000000-0005-0000-0000-000044320000}"/>
    <cellStyle name="40% - Accent2 12 2 3 2 2 3 2" xfId="48290" xr:uid="{BD430860-1A38-429A-8C64-5FA84F5992AE}"/>
    <cellStyle name="40% - Accent2 12 2 3 2 2 4" xfId="32413" xr:uid="{BE684A27-E68F-42F7-827B-219D1D31BCD4}"/>
    <cellStyle name="40% - Accent2 12 2 3 2 3" xfId="12973" xr:uid="{00000000-0005-0000-0000-000045320000}"/>
    <cellStyle name="40% - Accent2 12 2 3 2 3 2" xfId="36823" xr:uid="{A15C2C86-034E-4887-8043-A18F1BFB0A04}"/>
    <cellStyle name="40% - Accent2 12 2 3 2 4" xfId="20928" xr:uid="{00000000-0005-0000-0000-000046320000}"/>
    <cellStyle name="40% - Accent2 12 2 3 2 4 2" xfId="44761" xr:uid="{AC7A1D08-0846-428E-AE83-E6A865C0CC75}"/>
    <cellStyle name="40% - Accent2 12 2 3 2 5" xfId="28882" xr:uid="{6D4CDBE5-BCE8-4259-8578-4D4C55BC63D5}"/>
    <cellStyle name="40% - Accent2 12 2 3 3" xfId="6781" xr:uid="{00000000-0005-0000-0000-000047320000}"/>
    <cellStyle name="40% - Accent2 12 2 3 3 2" xfId="14753" xr:uid="{00000000-0005-0000-0000-000048320000}"/>
    <cellStyle name="40% - Accent2 12 2 3 3 2 2" xfId="38596" xr:uid="{C4195CA7-CDAC-4370-AD9C-FD4529BC04E9}"/>
    <cellStyle name="40% - Accent2 12 2 3 3 3" xfId="22700" xr:uid="{00000000-0005-0000-0000-000049320000}"/>
    <cellStyle name="40% - Accent2 12 2 3 3 3 2" xfId="46533" xr:uid="{201F05C9-95C4-433C-B1D6-4047D97C3BC2}"/>
    <cellStyle name="40% - Accent2 12 2 3 3 4" xfId="30655" xr:uid="{83FAD70B-F7F1-4587-8086-E02C265C48D8}"/>
    <cellStyle name="40% - Accent2 12 2 3 4" xfId="11217" xr:uid="{00000000-0005-0000-0000-00004A320000}"/>
    <cellStyle name="40% - Accent2 12 2 3 4 2" xfId="35067" xr:uid="{7EFB020D-2D74-4FE1-A425-F278FA97AC3F}"/>
    <cellStyle name="40% - Accent2 12 2 3 5" xfId="19172" xr:uid="{00000000-0005-0000-0000-00004B320000}"/>
    <cellStyle name="40% - Accent2 12 2 3 5 2" xfId="43005" xr:uid="{8B877A62-EFEF-4456-A46E-995372092F61}"/>
    <cellStyle name="40% - Accent2 12 2 3 6" xfId="27125" xr:uid="{D977E112-2B23-4E41-8631-E52AD721A04B}"/>
    <cellStyle name="40% - Accent2 12 2 3_Exh G" xfId="2829" xr:uid="{00000000-0005-0000-0000-00004C320000}"/>
    <cellStyle name="40% - Accent2 12 2 4" xfId="4070" xr:uid="{00000000-0005-0000-0000-00004D320000}"/>
    <cellStyle name="40% - Accent2 12 2 4 2" xfId="7662" xr:uid="{00000000-0005-0000-0000-00004E320000}"/>
    <cellStyle name="40% - Accent2 12 2 4 2 2" xfId="15633" xr:uid="{00000000-0005-0000-0000-00004F320000}"/>
    <cellStyle name="40% - Accent2 12 2 4 2 2 2" xfId="39476" xr:uid="{69AA66D3-58E4-4136-9340-42D66AAEAA9E}"/>
    <cellStyle name="40% - Accent2 12 2 4 2 3" xfId="23579" xr:uid="{00000000-0005-0000-0000-000050320000}"/>
    <cellStyle name="40% - Accent2 12 2 4 2 3 2" xfId="47412" xr:uid="{35C5D7BF-D1FB-4917-9623-AAAFA64FEB67}"/>
    <cellStyle name="40% - Accent2 12 2 4 2 4" xfId="31535" xr:uid="{4F4930E7-3275-4B7D-A7C5-313196C2C643}"/>
    <cellStyle name="40% - Accent2 12 2 4 3" xfId="12095" xr:uid="{00000000-0005-0000-0000-000051320000}"/>
    <cellStyle name="40% - Accent2 12 2 4 3 2" xfId="35945" xr:uid="{7AD2517E-952B-460B-9FC8-F3B58BF8DA01}"/>
    <cellStyle name="40% - Accent2 12 2 4 4" xfId="20050" xr:uid="{00000000-0005-0000-0000-000052320000}"/>
    <cellStyle name="40% - Accent2 12 2 4 4 2" xfId="43883" xr:uid="{15A5FF81-E264-4681-A06E-8BDDB2A90E7B}"/>
    <cellStyle name="40% - Accent2 12 2 4 5" xfId="28004" xr:uid="{E49F0E38-602F-437F-BA06-F6713F272984}"/>
    <cellStyle name="40% - Accent2 12 2 5" xfId="5890" xr:uid="{00000000-0005-0000-0000-000053320000}"/>
    <cellStyle name="40% - Accent2 12 2 5 2" xfId="13874" xr:uid="{00000000-0005-0000-0000-000054320000}"/>
    <cellStyle name="40% - Accent2 12 2 5 2 2" xfId="37718" xr:uid="{B90061E0-9E6B-41E8-9737-C3420F81600E}"/>
    <cellStyle name="40% - Accent2 12 2 5 3" xfId="21822" xr:uid="{00000000-0005-0000-0000-000055320000}"/>
    <cellStyle name="40% - Accent2 12 2 5 3 2" xfId="45655" xr:uid="{5E985686-1DD7-4CF2-9463-975165926DB9}"/>
    <cellStyle name="40% - Accent2 12 2 5 4" xfId="29777" xr:uid="{04FDD665-0CB8-4297-82AF-427BA9B31E0C}"/>
    <cellStyle name="40% - Accent2 12 2 6" xfId="9443" xr:uid="{00000000-0005-0000-0000-000056320000}"/>
    <cellStyle name="40% - Accent2 12 2 6 2" xfId="17401" xr:uid="{00000000-0005-0000-0000-000057320000}"/>
    <cellStyle name="40% - Accent2 12 2 6 2 2" xfId="41242" xr:uid="{14CCED84-B6C0-49F4-90EE-A8276310C462}"/>
    <cellStyle name="40% - Accent2 12 2 6 3" xfId="25345" xr:uid="{00000000-0005-0000-0000-000058320000}"/>
    <cellStyle name="40% - Accent2 12 2 6 3 2" xfId="49178" xr:uid="{69BEB8B9-3B4D-443F-B8B5-C7B3E962024E}"/>
    <cellStyle name="40% - Accent2 12 2 6 4" xfId="33301" xr:uid="{4A08A43C-76D9-4E1D-9A5A-381A1F8479AD}"/>
    <cellStyle name="40% - Accent2 12 2 7" xfId="10339" xr:uid="{00000000-0005-0000-0000-000059320000}"/>
    <cellStyle name="40% - Accent2 12 2 7 2" xfId="34189" xr:uid="{FD826B0D-76A4-46FF-9810-F555166EE1A4}"/>
    <cellStyle name="40% - Accent2 12 2 8" xfId="18294" xr:uid="{00000000-0005-0000-0000-00005A320000}"/>
    <cellStyle name="40% - Accent2 12 2 8 2" xfId="42127" xr:uid="{E23DFDDD-C74D-4220-90A5-63A3538756B1}"/>
    <cellStyle name="40% - Accent2 12 2 9" xfId="26247" xr:uid="{9CFD95D6-74E6-4388-8F00-7129058D77C7}"/>
    <cellStyle name="40% - Accent2 12 2_Exh G" xfId="2826" xr:uid="{00000000-0005-0000-0000-00005B320000}"/>
    <cellStyle name="40% - Accent2 12 3" xfId="393" xr:uid="{00000000-0005-0000-0000-00005C320000}"/>
    <cellStyle name="40% - Accent2 12 3 2" xfId="1421" xr:uid="{00000000-0005-0000-0000-00005D320000}"/>
    <cellStyle name="40% - Accent2 12 3 2 2" xfId="4951" xr:uid="{00000000-0005-0000-0000-00005E320000}"/>
    <cellStyle name="40% - Accent2 12 3 2 2 2" xfId="8542" xr:uid="{00000000-0005-0000-0000-00005F320000}"/>
    <cellStyle name="40% - Accent2 12 3 2 2 2 2" xfId="16513" xr:uid="{00000000-0005-0000-0000-000060320000}"/>
    <cellStyle name="40% - Accent2 12 3 2 2 2 2 2" xfId="40356" xr:uid="{27E573CE-7FA6-42A4-A1EA-28DB446F3AD1}"/>
    <cellStyle name="40% - Accent2 12 3 2 2 2 3" xfId="24459" xr:uid="{00000000-0005-0000-0000-000061320000}"/>
    <cellStyle name="40% - Accent2 12 3 2 2 2 3 2" xfId="48292" xr:uid="{1239CFFB-6590-4D72-86B9-24F99917CE88}"/>
    <cellStyle name="40% - Accent2 12 3 2 2 2 4" xfId="32415" xr:uid="{98EC799E-E730-4668-BB62-9DB242FCEC17}"/>
    <cellStyle name="40% - Accent2 12 3 2 2 3" xfId="12975" xr:uid="{00000000-0005-0000-0000-000062320000}"/>
    <cellStyle name="40% - Accent2 12 3 2 2 3 2" xfId="36825" xr:uid="{38E5AFF1-8EB6-4339-B283-39C03FA8CE0D}"/>
    <cellStyle name="40% - Accent2 12 3 2 2 4" xfId="20930" xr:uid="{00000000-0005-0000-0000-000063320000}"/>
    <cellStyle name="40% - Accent2 12 3 2 2 4 2" xfId="44763" xr:uid="{73AC6288-4FB9-41E5-97B6-272B5135AFE0}"/>
    <cellStyle name="40% - Accent2 12 3 2 2 5" xfId="28884" xr:uid="{21497349-7D50-47E6-AB56-34BDDEAED8DF}"/>
    <cellStyle name="40% - Accent2 12 3 2 3" xfId="6783" xr:uid="{00000000-0005-0000-0000-000064320000}"/>
    <cellStyle name="40% - Accent2 12 3 2 3 2" xfId="14755" xr:uid="{00000000-0005-0000-0000-000065320000}"/>
    <cellStyle name="40% - Accent2 12 3 2 3 2 2" xfId="38598" xr:uid="{E3015F91-9168-42F9-8504-7B95EF145698}"/>
    <cellStyle name="40% - Accent2 12 3 2 3 3" xfId="22702" xr:uid="{00000000-0005-0000-0000-000066320000}"/>
    <cellStyle name="40% - Accent2 12 3 2 3 3 2" xfId="46535" xr:uid="{87F6E8B9-3603-4CB2-A6A4-8945167D524C}"/>
    <cellStyle name="40% - Accent2 12 3 2 3 4" xfId="30657" xr:uid="{4B5A8885-DA49-41BC-B783-ED6FEFC8A6F2}"/>
    <cellStyle name="40% - Accent2 12 3 2 4" xfId="11219" xr:uid="{00000000-0005-0000-0000-000067320000}"/>
    <cellStyle name="40% - Accent2 12 3 2 4 2" xfId="35069" xr:uid="{20494394-9463-4580-82C5-E70277E32927}"/>
    <cellStyle name="40% - Accent2 12 3 2 5" xfId="19174" xr:uid="{00000000-0005-0000-0000-000068320000}"/>
    <cellStyle name="40% - Accent2 12 3 2 5 2" xfId="43007" xr:uid="{753CD8B0-9A0E-4681-8ABF-1BD83D0A838E}"/>
    <cellStyle name="40% - Accent2 12 3 2 6" xfId="27127" xr:uid="{57090E4D-0622-4C0B-8D09-D360DA4ECADA}"/>
    <cellStyle name="40% - Accent2 12 3 2_Exh G" xfId="2831" xr:uid="{00000000-0005-0000-0000-000069320000}"/>
    <cellStyle name="40% - Accent2 12 3 3" xfId="4072" xr:uid="{00000000-0005-0000-0000-00006A320000}"/>
    <cellStyle name="40% - Accent2 12 3 3 2" xfId="7664" xr:uid="{00000000-0005-0000-0000-00006B320000}"/>
    <cellStyle name="40% - Accent2 12 3 3 2 2" xfId="15635" xr:uid="{00000000-0005-0000-0000-00006C320000}"/>
    <cellStyle name="40% - Accent2 12 3 3 2 2 2" xfId="39478" xr:uid="{84BD4165-26FE-431F-B8D1-B2C6041D860A}"/>
    <cellStyle name="40% - Accent2 12 3 3 2 3" xfId="23581" xr:uid="{00000000-0005-0000-0000-00006D320000}"/>
    <cellStyle name="40% - Accent2 12 3 3 2 3 2" xfId="47414" xr:uid="{F293D121-0995-42B9-8394-D11653360922}"/>
    <cellStyle name="40% - Accent2 12 3 3 2 4" xfId="31537" xr:uid="{A41FB7E9-89B3-44DA-8ECA-66482C8FAA7D}"/>
    <cellStyle name="40% - Accent2 12 3 3 3" xfId="12097" xr:uid="{00000000-0005-0000-0000-00006E320000}"/>
    <cellStyle name="40% - Accent2 12 3 3 3 2" xfId="35947" xr:uid="{10D89266-61B0-44C2-8F61-727EC1974A1E}"/>
    <cellStyle name="40% - Accent2 12 3 3 4" xfId="20052" xr:uid="{00000000-0005-0000-0000-00006F320000}"/>
    <cellStyle name="40% - Accent2 12 3 3 4 2" xfId="43885" xr:uid="{CDFBBB65-A20F-4441-A6C8-0026347B953C}"/>
    <cellStyle name="40% - Accent2 12 3 3 5" xfId="28006" xr:uid="{60553DCC-158A-4B79-8A5E-D043C6BE6E0E}"/>
    <cellStyle name="40% - Accent2 12 3 4" xfId="5892" xr:uid="{00000000-0005-0000-0000-000070320000}"/>
    <cellStyle name="40% - Accent2 12 3 4 2" xfId="13876" xr:uid="{00000000-0005-0000-0000-000071320000}"/>
    <cellStyle name="40% - Accent2 12 3 4 2 2" xfId="37720" xr:uid="{0CF9085F-957C-4BC0-9E49-64C132FF1052}"/>
    <cellStyle name="40% - Accent2 12 3 4 3" xfId="21824" xr:uid="{00000000-0005-0000-0000-000072320000}"/>
    <cellStyle name="40% - Accent2 12 3 4 3 2" xfId="45657" xr:uid="{24EDF1F9-9B29-4EC6-A559-1E18AF8D26F1}"/>
    <cellStyle name="40% - Accent2 12 3 4 4" xfId="29779" xr:uid="{F61862C5-4C6B-45B4-8BB1-07693FB2F00B}"/>
    <cellStyle name="40% - Accent2 12 3 5" xfId="9445" xr:uid="{00000000-0005-0000-0000-000073320000}"/>
    <cellStyle name="40% - Accent2 12 3 5 2" xfId="17403" xr:uid="{00000000-0005-0000-0000-000074320000}"/>
    <cellStyle name="40% - Accent2 12 3 5 2 2" xfId="41244" xr:uid="{B17E9EC9-242A-4D8F-92D1-A1F09A478F2E}"/>
    <cellStyle name="40% - Accent2 12 3 5 3" xfId="25347" xr:uid="{00000000-0005-0000-0000-000075320000}"/>
    <cellStyle name="40% - Accent2 12 3 5 3 2" xfId="49180" xr:uid="{9811BAB2-F352-4719-804C-1FA0DB9CF54B}"/>
    <cellStyle name="40% - Accent2 12 3 5 4" xfId="33303" xr:uid="{53AC52D0-1587-49BA-A4CF-B76AA3C3382C}"/>
    <cellStyle name="40% - Accent2 12 3 6" xfId="10341" xr:uid="{00000000-0005-0000-0000-000076320000}"/>
    <cellStyle name="40% - Accent2 12 3 6 2" xfId="34191" xr:uid="{015E3133-4C1B-4188-AF69-2F22B5398E0F}"/>
    <cellStyle name="40% - Accent2 12 3 7" xfId="18296" xr:uid="{00000000-0005-0000-0000-000077320000}"/>
    <cellStyle name="40% - Accent2 12 3 7 2" xfId="42129" xr:uid="{029246AE-0A20-496F-B3A7-48DDB03EB50A}"/>
    <cellStyle name="40% - Accent2 12 3 8" xfId="26249" xr:uid="{59C76CC1-41D0-429D-A00D-045465F53F3A}"/>
    <cellStyle name="40% - Accent2 12 3_Exh G" xfId="2830" xr:uid="{00000000-0005-0000-0000-000078320000}"/>
    <cellStyle name="40% - Accent2 12 4" xfId="1418" xr:uid="{00000000-0005-0000-0000-000079320000}"/>
    <cellStyle name="40% - Accent2 12 4 2" xfId="4948" xr:uid="{00000000-0005-0000-0000-00007A320000}"/>
    <cellStyle name="40% - Accent2 12 4 2 2" xfId="8539" xr:uid="{00000000-0005-0000-0000-00007B320000}"/>
    <cellStyle name="40% - Accent2 12 4 2 2 2" xfId="16510" xr:uid="{00000000-0005-0000-0000-00007C320000}"/>
    <cellStyle name="40% - Accent2 12 4 2 2 2 2" xfId="40353" xr:uid="{5C5E7731-6ABA-4199-A106-3E136B88D2CE}"/>
    <cellStyle name="40% - Accent2 12 4 2 2 3" xfId="24456" xr:uid="{00000000-0005-0000-0000-00007D320000}"/>
    <cellStyle name="40% - Accent2 12 4 2 2 3 2" xfId="48289" xr:uid="{8E54B5B4-1232-4E58-9483-F7BC772EAF88}"/>
    <cellStyle name="40% - Accent2 12 4 2 2 4" xfId="32412" xr:uid="{BF0D98D0-96CE-40C6-BA83-5B98402AD3FE}"/>
    <cellStyle name="40% - Accent2 12 4 2 3" xfId="12972" xr:uid="{00000000-0005-0000-0000-00007E320000}"/>
    <cellStyle name="40% - Accent2 12 4 2 3 2" xfId="36822" xr:uid="{EE77A393-A8A9-4BCB-B03C-42E96B22AD3E}"/>
    <cellStyle name="40% - Accent2 12 4 2 4" xfId="20927" xr:uid="{00000000-0005-0000-0000-00007F320000}"/>
    <cellStyle name="40% - Accent2 12 4 2 4 2" xfId="44760" xr:uid="{E7C861C3-7888-4144-B6CF-B90C0B06EC0D}"/>
    <cellStyle name="40% - Accent2 12 4 2 5" xfId="28881" xr:uid="{239EB85C-74FE-4E11-AB6D-D69A5894398C}"/>
    <cellStyle name="40% - Accent2 12 4 3" xfId="6780" xr:uid="{00000000-0005-0000-0000-000080320000}"/>
    <cellStyle name="40% - Accent2 12 4 3 2" xfId="14752" xr:uid="{00000000-0005-0000-0000-000081320000}"/>
    <cellStyle name="40% - Accent2 12 4 3 2 2" xfId="38595" xr:uid="{A90C2A71-2DF7-412E-A7D5-12F3ED769305}"/>
    <cellStyle name="40% - Accent2 12 4 3 3" xfId="22699" xr:uid="{00000000-0005-0000-0000-000082320000}"/>
    <cellStyle name="40% - Accent2 12 4 3 3 2" xfId="46532" xr:uid="{DA37632A-D591-48C0-BD8C-53430E05EC42}"/>
    <cellStyle name="40% - Accent2 12 4 3 4" xfId="30654" xr:uid="{7BE53A74-78C1-4F75-A718-80D74576B0FB}"/>
    <cellStyle name="40% - Accent2 12 4 4" xfId="11216" xr:uid="{00000000-0005-0000-0000-000083320000}"/>
    <cellStyle name="40% - Accent2 12 4 4 2" xfId="35066" xr:uid="{1377F8EF-A642-4255-96E6-571EA7780909}"/>
    <cellStyle name="40% - Accent2 12 4 5" xfId="19171" xr:uid="{00000000-0005-0000-0000-000084320000}"/>
    <cellStyle name="40% - Accent2 12 4 5 2" xfId="43004" xr:uid="{6999EAED-6055-40A7-B6CC-7FE87277430F}"/>
    <cellStyle name="40% - Accent2 12 4 6" xfId="27124" xr:uid="{352ABE84-7845-4EDC-B895-52CB24621F31}"/>
    <cellStyle name="40% - Accent2 12 4_Exh G" xfId="2832" xr:uid="{00000000-0005-0000-0000-000085320000}"/>
    <cellStyle name="40% - Accent2 12 5" xfId="4069" xr:uid="{00000000-0005-0000-0000-000086320000}"/>
    <cellStyle name="40% - Accent2 12 5 2" xfId="7661" xr:uid="{00000000-0005-0000-0000-000087320000}"/>
    <cellStyle name="40% - Accent2 12 5 2 2" xfId="15632" xr:uid="{00000000-0005-0000-0000-000088320000}"/>
    <cellStyle name="40% - Accent2 12 5 2 2 2" xfId="39475" xr:uid="{810BFC1D-15F0-41F6-95E5-F100825B157E}"/>
    <cellStyle name="40% - Accent2 12 5 2 3" xfId="23578" xr:uid="{00000000-0005-0000-0000-000089320000}"/>
    <cellStyle name="40% - Accent2 12 5 2 3 2" xfId="47411" xr:uid="{E98204BE-2AA2-461A-9DC3-60BB14417246}"/>
    <cellStyle name="40% - Accent2 12 5 2 4" xfId="31534" xr:uid="{E1932A5E-9A03-4E7D-A25D-F2C300F1AAC1}"/>
    <cellStyle name="40% - Accent2 12 5 3" xfId="12094" xr:uid="{00000000-0005-0000-0000-00008A320000}"/>
    <cellStyle name="40% - Accent2 12 5 3 2" xfId="35944" xr:uid="{1A657933-6D43-4089-AF5B-CFB12E8D7BCD}"/>
    <cellStyle name="40% - Accent2 12 5 4" xfId="20049" xr:uid="{00000000-0005-0000-0000-00008B320000}"/>
    <cellStyle name="40% - Accent2 12 5 4 2" xfId="43882" xr:uid="{C994D28E-A85B-4230-9E43-9233370D8BA7}"/>
    <cellStyle name="40% - Accent2 12 5 5" xfId="28003" xr:uid="{5EE9B84E-5011-478D-B23D-A76BC284758B}"/>
    <cellStyle name="40% - Accent2 12 6" xfId="5889" xr:uid="{00000000-0005-0000-0000-00008C320000}"/>
    <cellStyle name="40% - Accent2 12 6 2" xfId="13873" xr:uid="{00000000-0005-0000-0000-00008D320000}"/>
    <cellStyle name="40% - Accent2 12 6 2 2" xfId="37717" xr:uid="{34680C2D-B808-45EF-BB1A-C25F933EA14B}"/>
    <cellStyle name="40% - Accent2 12 6 3" xfId="21821" xr:uid="{00000000-0005-0000-0000-00008E320000}"/>
    <cellStyle name="40% - Accent2 12 6 3 2" xfId="45654" xr:uid="{57B62DC2-75A3-4AD2-8515-BDEBE56D59C5}"/>
    <cellStyle name="40% - Accent2 12 6 4" xfId="29776" xr:uid="{84D493A9-1218-4A7E-A89A-A268B7247E37}"/>
    <cellStyle name="40% - Accent2 12 7" xfId="9442" xr:uid="{00000000-0005-0000-0000-00008F320000}"/>
    <cellStyle name="40% - Accent2 12 7 2" xfId="17400" xr:uid="{00000000-0005-0000-0000-000090320000}"/>
    <cellStyle name="40% - Accent2 12 7 2 2" xfId="41241" xr:uid="{5B8375E5-29E9-4B0A-9A27-7BD835603C0C}"/>
    <cellStyle name="40% - Accent2 12 7 3" xfId="25344" xr:uid="{00000000-0005-0000-0000-000091320000}"/>
    <cellStyle name="40% - Accent2 12 7 3 2" xfId="49177" xr:uid="{CB5B0726-7C61-4D81-B1F4-BA360FD0D4E3}"/>
    <cellStyle name="40% - Accent2 12 7 4" xfId="33300" xr:uid="{283C2376-DF05-4AEF-B203-E8D0C0DCEA6A}"/>
    <cellStyle name="40% - Accent2 12 8" xfId="10338" xr:uid="{00000000-0005-0000-0000-000092320000}"/>
    <cellStyle name="40% - Accent2 12 8 2" xfId="34188" xr:uid="{82961EBD-6D49-46FB-8C35-A6A8756A942D}"/>
    <cellStyle name="40% - Accent2 12 9" xfId="18293" xr:uid="{00000000-0005-0000-0000-000093320000}"/>
    <cellStyle name="40% - Accent2 12 9 2" xfId="42126" xr:uid="{97EBBBC7-8BEB-4818-8702-D1D6A0680FF2}"/>
    <cellStyle name="40% - Accent2 12_Exh G" xfId="2825" xr:uid="{00000000-0005-0000-0000-000094320000}"/>
    <cellStyle name="40% - Accent2 13" xfId="394" xr:uid="{00000000-0005-0000-0000-000095320000}"/>
    <cellStyle name="40% - Accent2 13 10" xfId="26250" xr:uid="{2360456E-0248-41E7-8C23-2A08203B98B7}"/>
    <cellStyle name="40% - Accent2 13 2" xfId="395" xr:uid="{00000000-0005-0000-0000-000096320000}"/>
    <cellStyle name="40% - Accent2 13 2 2" xfId="396" xr:uid="{00000000-0005-0000-0000-000097320000}"/>
    <cellStyle name="40% - Accent2 13 2 2 2" xfId="1424" xr:uid="{00000000-0005-0000-0000-000098320000}"/>
    <cellStyle name="40% - Accent2 13 2 2 2 2" xfId="4954" xr:uid="{00000000-0005-0000-0000-000099320000}"/>
    <cellStyle name="40% - Accent2 13 2 2 2 2 2" xfId="8545" xr:uid="{00000000-0005-0000-0000-00009A320000}"/>
    <cellStyle name="40% - Accent2 13 2 2 2 2 2 2" xfId="16516" xr:uid="{00000000-0005-0000-0000-00009B320000}"/>
    <cellStyle name="40% - Accent2 13 2 2 2 2 2 2 2" xfId="40359" xr:uid="{A4C1212F-A1A8-4BC1-8AA9-10AAF33DDAEE}"/>
    <cellStyle name="40% - Accent2 13 2 2 2 2 2 3" xfId="24462" xr:uid="{00000000-0005-0000-0000-00009C320000}"/>
    <cellStyle name="40% - Accent2 13 2 2 2 2 2 3 2" xfId="48295" xr:uid="{8DAF84FE-41FE-49D5-BBE3-D8D794AB2B26}"/>
    <cellStyle name="40% - Accent2 13 2 2 2 2 2 4" xfId="32418" xr:uid="{72A94ECE-2FDA-46A9-806A-9F489A906F20}"/>
    <cellStyle name="40% - Accent2 13 2 2 2 2 3" xfId="12978" xr:uid="{00000000-0005-0000-0000-00009D320000}"/>
    <cellStyle name="40% - Accent2 13 2 2 2 2 3 2" xfId="36828" xr:uid="{E6F405EA-FBBF-429A-8515-18ECC50732BE}"/>
    <cellStyle name="40% - Accent2 13 2 2 2 2 4" xfId="20933" xr:uid="{00000000-0005-0000-0000-00009E320000}"/>
    <cellStyle name="40% - Accent2 13 2 2 2 2 4 2" xfId="44766" xr:uid="{2EAEA612-7900-4F00-B074-E63AE3520EA7}"/>
    <cellStyle name="40% - Accent2 13 2 2 2 2 5" xfId="28887" xr:uid="{FB95370A-A2F3-4A9A-BAFD-B3C882D826E7}"/>
    <cellStyle name="40% - Accent2 13 2 2 2 3" xfId="6786" xr:uid="{00000000-0005-0000-0000-00009F320000}"/>
    <cellStyle name="40% - Accent2 13 2 2 2 3 2" xfId="14758" xr:uid="{00000000-0005-0000-0000-0000A0320000}"/>
    <cellStyle name="40% - Accent2 13 2 2 2 3 2 2" xfId="38601" xr:uid="{6035AF5A-EE0D-425A-B649-D4E58245A6D7}"/>
    <cellStyle name="40% - Accent2 13 2 2 2 3 3" xfId="22705" xr:uid="{00000000-0005-0000-0000-0000A1320000}"/>
    <cellStyle name="40% - Accent2 13 2 2 2 3 3 2" xfId="46538" xr:uid="{39241B76-593C-4397-8021-E6E49F8DA418}"/>
    <cellStyle name="40% - Accent2 13 2 2 2 3 4" xfId="30660" xr:uid="{80F48712-BE83-4D53-96E4-C385B414B742}"/>
    <cellStyle name="40% - Accent2 13 2 2 2 4" xfId="11222" xr:uid="{00000000-0005-0000-0000-0000A2320000}"/>
    <cellStyle name="40% - Accent2 13 2 2 2 4 2" xfId="35072" xr:uid="{0135C29F-2452-4669-87E0-C00D832A9426}"/>
    <cellStyle name="40% - Accent2 13 2 2 2 5" xfId="19177" xr:uid="{00000000-0005-0000-0000-0000A3320000}"/>
    <cellStyle name="40% - Accent2 13 2 2 2 5 2" xfId="43010" xr:uid="{78E48084-4521-4261-B9D0-390FCECC90CE}"/>
    <cellStyle name="40% - Accent2 13 2 2 2 6" xfId="27130" xr:uid="{7E1CCEB1-2FBD-4AE3-8D76-7440025FC1FA}"/>
    <cellStyle name="40% - Accent2 13 2 2 2_Exh G" xfId="2836" xr:uid="{00000000-0005-0000-0000-0000A4320000}"/>
    <cellStyle name="40% - Accent2 13 2 2 3" xfId="4075" xr:uid="{00000000-0005-0000-0000-0000A5320000}"/>
    <cellStyle name="40% - Accent2 13 2 2 3 2" xfId="7667" xr:uid="{00000000-0005-0000-0000-0000A6320000}"/>
    <cellStyle name="40% - Accent2 13 2 2 3 2 2" xfId="15638" xr:uid="{00000000-0005-0000-0000-0000A7320000}"/>
    <cellStyle name="40% - Accent2 13 2 2 3 2 2 2" xfId="39481" xr:uid="{6E792694-DD6B-40C0-8354-59C69D2CDC65}"/>
    <cellStyle name="40% - Accent2 13 2 2 3 2 3" xfId="23584" xr:uid="{00000000-0005-0000-0000-0000A8320000}"/>
    <cellStyle name="40% - Accent2 13 2 2 3 2 3 2" xfId="47417" xr:uid="{6DCC9AF0-FED6-4607-8195-0880052C78DB}"/>
    <cellStyle name="40% - Accent2 13 2 2 3 2 4" xfId="31540" xr:uid="{CEAE2067-C396-43BC-896C-CFDA10792420}"/>
    <cellStyle name="40% - Accent2 13 2 2 3 3" xfId="12100" xr:uid="{00000000-0005-0000-0000-0000A9320000}"/>
    <cellStyle name="40% - Accent2 13 2 2 3 3 2" xfId="35950" xr:uid="{32F73E3A-4392-4714-8285-920A4B51C720}"/>
    <cellStyle name="40% - Accent2 13 2 2 3 4" xfId="20055" xr:uid="{00000000-0005-0000-0000-0000AA320000}"/>
    <cellStyle name="40% - Accent2 13 2 2 3 4 2" xfId="43888" xr:uid="{F92976E9-C4D3-4C01-8367-180A46FFEC3A}"/>
    <cellStyle name="40% - Accent2 13 2 2 3 5" xfId="28009" xr:uid="{BDE48D17-FED6-412D-AA8D-54B3549BB8C0}"/>
    <cellStyle name="40% - Accent2 13 2 2 4" xfId="5895" xr:uid="{00000000-0005-0000-0000-0000AB320000}"/>
    <cellStyle name="40% - Accent2 13 2 2 4 2" xfId="13879" xr:uid="{00000000-0005-0000-0000-0000AC320000}"/>
    <cellStyle name="40% - Accent2 13 2 2 4 2 2" xfId="37723" xr:uid="{C963AE40-8695-4517-AC2C-641778394790}"/>
    <cellStyle name="40% - Accent2 13 2 2 4 3" xfId="21827" xr:uid="{00000000-0005-0000-0000-0000AD320000}"/>
    <cellStyle name="40% - Accent2 13 2 2 4 3 2" xfId="45660" xr:uid="{C0AAF68C-19BA-46F6-A6A5-1119CDF787A2}"/>
    <cellStyle name="40% - Accent2 13 2 2 4 4" xfId="29782" xr:uid="{9917D3CD-AF8A-4F9A-89E8-103849475297}"/>
    <cellStyle name="40% - Accent2 13 2 2 5" xfId="9448" xr:uid="{00000000-0005-0000-0000-0000AE320000}"/>
    <cellStyle name="40% - Accent2 13 2 2 5 2" xfId="17406" xr:uid="{00000000-0005-0000-0000-0000AF320000}"/>
    <cellStyle name="40% - Accent2 13 2 2 5 2 2" xfId="41247" xr:uid="{F8B62426-DA28-40D8-926C-03D9E5B8981A}"/>
    <cellStyle name="40% - Accent2 13 2 2 5 3" xfId="25350" xr:uid="{00000000-0005-0000-0000-0000B0320000}"/>
    <cellStyle name="40% - Accent2 13 2 2 5 3 2" xfId="49183" xr:uid="{07C7B001-6E24-48DF-928B-A8E92FEC28B0}"/>
    <cellStyle name="40% - Accent2 13 2 2 5 4" xfId="33306" xr:uid="{1AD01B89-3CD5-41DA-8EAC-87B566DD450F}"/>
    <cellStyle name="40% - Accent2 13 2 2 6" xfId="10344" xr:uid="{00000000-0005-0000-0000-0000B1320000}"/>
    <cellStyle name="40% - Accent2 13 2 2 6 2" xfId="34194" xr:uid="{40506C1B-B331-488C-A596-8A08D7E4DE4E}"/>
    <cellStyle name="40% - Accent2 13 2 2 7" xfId="18299" xr:uid="{00000000-0005-0000-0000-0000B2320000}"/>
    <cellStyle name="40% - Accent2 13 2 2 7 2" xfId="42132" xr:uid="{9D5926DD-742C-4983-8A05-E7B8662C21C1}"/>
    <cellStyle name="40% - Accent2 13 2 2 8" xfId="26252" xr:uid="{8188E07B-D6BD-4C6D-A15F-20083B7F35BA}"/>
    <cellStyle name="40% - Accent2 13 2 2_Exh G" xfId="2835" xr:uid="{00000000-0005-0000-0000-0000B3320000}"/>
    <cellStyle name="40% - Accent2 13 2 3" xfId="1423" xr:uid="{00000000-0005-0000-0000-0000B4320000}"/>
    <cellStyle name="40% - Accent2 13 2 3 2" xfId="4953" xr:uid="{00000000-0005-0000-0000-0000B5320000}"/>
    <cellStyle name="40% - Accent2 13 2 3 2 2" xfId="8544" xr:uid="{00000000-0005-0000-0000-0000B6320000}"/>
    <cellStyle name="40% - Accent2 13 2 3 2 2 2" xfId="16515" xr:uid="{00000000-0005-0000-0000-0000B7320000}"/>
    <cellStyle name="40% - Accent2 13 2 3 2 2 2 2" xfId="40358" xr:uid="{CAEEE280-31B4-4D7B-ADA0-C3DF030C8DE1}"/>
    <cellStyle name="40% - Accent2 13 2 3 2 2 3" xfId="24461" xr:uid="{00000000-0005-0000-0000-0000B8320000}"/>
    <cellStyle name="40% - Accent2 13 2 3 2 2 3 2" xfId="48294" xr:uid="{BB385FF7-D8CF-4F9E-AB21-FA1672119D52}"/>
    <cellStyle name="40% - Accent2 13 2 3 2 2 4" xfId="32417" xr:uid="{17D76A5D-DD5A-4F08-ADC5-87F79DF1AD2B}"/>
    <cellStyle name="40% - Accent2 13 2 3 2 3" xfId="12977" xr:uid="{00000000-0005-0000-0000-0000B9320000}"/>
    <cellStyle name="40% - Accent2 13 2 3 2 3 2" xfId="36827" xr:uid="{FBFD7AFA-6101-4880-846D-74AD904D62A3}"/>
    <cellStyle name="40% - Accent2 13 2 3 2 4" xfId="20932" xr:uid="{00000000-0005-0000-0000-0000BA320000}"/>
    <cellStyle name="40% - Accent2 13 2 3 2 4 2" xfId="44765" xr:uid="{45633AF3-CDF8-4C91-8E52-DFFFCFCE1B8A}"/>
    <cellStyle name="40% - Accent2 13 2 3 2 5" xfId="28886" xr:uid="{25CA4EFE-4E46-412A-B0A6-F51351210BED}"/>
    <cellStyle name="40% - Accent2 13 2 3 3" xfId="6785" xr:uid="{00000000-0005-0000-0000-0000BB320000}"/>
    <cellStyle name="40% - Accent2 13 2 3 3 2" xfId="14757" xr:uid="{00000000-0005-0000-0000-0000BC320000}"/>
    <cellStyle name="40% - Accent2 13 2 3 3 2 2" xfId="38600" xr:uid="{79F56251-798A-496F-9DA8-BAD6AC125B0D}"/>
    <cellStyle name="40% - Accent2 13 2 3 3 3" xfId="22704" xr:uid="{00000000-0005-0000-0000-0000BD320000}"/>
    <cellStyle name="40% - Accent2 13 2 3 3 3 2" xfId="46537" xr:uid="{9E7EF72D-4FCF-44F0-9A73-F7617325A7C6}"/>
    <cellStyle name="40% - Accent2 13 2 3 3 4" xfId="30659" xr:uid="{657727A1-9543-4112-BC67-A8F2D5072A1B}"/>
    <cellStyle name="40% - Accent2 13 2 3 4" xfId="11221" xr:uid="{00000000-0005-0000-0000-0000BE320000}"/>
    <cellStyle name="40% - Accent2 13 2 3 4 2" xfId="35071" xr:uid="{3C4D75D2-9CC4-4BED-8565-86909669A157}"/>
    <cellStyle name="40% - Accent2 13 2 3 5" xfId="19176" xr:uid="{00000000-0005-0000-0000-0000BF320000}"/>
    <cellStyle name="40% - Accent2 13 2 3 5 2" xfId="43009" xr:uid="{94357C87-1B96-469E-BE6E-F0D3668FF083}"/>
    <cellStyle name="40% - Accent2 13 2 3 6" xfId="27129" xr:uid="{D5BEA558-0998-4F65-82E5-1995D77516B0}"/>
    <cellStyle name="40% - Accent2 13 2 3_Exh G" xfId="2837" xr:uid="{00000000-0005-0000-0000-0000C0320000}"/>
    <cellStyle name="40% - Accent2 13 2 4" xfId="4074" xr:uid="{00000000-0005-0000-0000-0000C1320000}"/>
    <cellStyle name="40% - Accent2 13 2 4 2" xfId="7666" xr:uid="{00000000-0005-0000-0000-0000C2320000}"/>
    <cellStyle name="40% - Accent2 13 2 4 2 2" xfId="15637" xr:uid="{00000000-0005-0000-0000-0000C3320000}"/>
    <cellStyle name="40% - Accent2 13 2 4 2 2 2" xfId="39480" xr:uid="{09E80358-5C91-4C45-856F-6290C9268320}"/>
    <cellStyle name="40% - Accent2 13 2 4 2 3" xfId="23583" xr:uid="{00000000-0005-0000-0000-0000C4320000}"/>
    <cellStyle name="40% - Accent2 13 2 4 2 3 2" xfId="47416" xr:uid="{A6994A96-09D0-47F2-BC04-29FC741EBEAE}"/>
    <cellStyle name="40% - Accent2 13 2 4 2 4" xfId="31539" xr:uid="{4CD7353D-DE40-4180-A565-E0770C80C07A}"/>
    <cellStyle name="40% - Accent2 13 2 4 3" xfId="12099" xr:uid="{00000000-0005-0000-0000-0000C5320000}"/>
    <cellStyle name="40% - Accent2 13 2 4 3 2" xfId="35949" xr:uid="{3FC04AA2-E7D2-42F0-83F3-55D5B66A696D}"/>
    <cellStyle name="40% - Accent2 13 2 4 4" xfId="20054" xr:uid="{00000000-0005-0000-0000-0000C6320000}"/>
    <cellStyle name="40% - Accent2 13 2 4 4 2" xfId="43887" xr:uid="{9CEE0623-E66E-4007-9DE3-6F6A84E8B446}"/>
    <cellStyle name="40% - Accent2 13 2 4 5" xfId="28008" xr:uid="{1C295FFF-CAFC-4871-9FDD-876214FC8C99}"/>
    <cellStyle name="40% - Accent2 13 2 5" xfId="5894" xr:uid="{00000000-0005-0000-0000-0000C7320000}"/>
    <cellStyle name="40% - Accent2 13 2 5 2" xfId="13878" xr:uid="{00000000-0005-0000-0000-0000C8320000}"/>
    <cellStyle name="40% - Accent2 13 2 5 2 2" xfId="37722" xr:uid="{058ED842-F078-4EE7-A37D-DB48D0279879}"/>
    <cellStyle name="40% - Accent2 13 2 5 3" xfId="21826" xr:uid="{00000000-0005-0000-0000-0000C9320000}"/>
    <cellStyle name="40% - Accent2 13 2 5 3 2" xfId="45659" xr:uid="{FFEF97DD-B221-4C2C-8D29-548F9FA1AC9C}"/>
    <cellStyle name="40% - Accent2 13 2 5 4" xfId="29781" xr:uid="{E028BE86-9E7B-436D-A60A-2EE0260C575B}"/>
    <cellStyle name="40% - Accent2 13 2 6" xfId="9447" xr:uid="{00000000-0005-0000-0000-0000CA320000}"/>
    <cellStyle name="40% - Accent2 13 2 6 2" xfId="17405" xr:uid="{00000000-0005-0000-0000-0000CB320000}"/>
    <cellStyle name="40% - Accent2 13 2 6 2 2" xfId="41246" xr:uid="{346C4E26-AA87-4AEC-BB0D-E43CDB0E41D4}"/>
    <cellStyle name="40% - Accent2 13 2 6 3" xfId="25349" xr:uid="{00000000-0005-0000-0000-0000CC320000}"/>
    <cellStyle name="40% - Accent2 13 2 6 3 2" xfId="49182" xr:uid="{6E8C2164-66CC-4881-9B2F-E6817CE0767A}"/>
    <cellStyle name="40% - Accent2 13 2 6 4" xfId="33305" xr:uid="{9F1D34FE-2508-48C2-8431-8D20E5B01668}"/>
    <cellStyle name="40% - Accent2 13 2 7" xfId="10343" xr:uid="{00000000-0005-0000-0000-0000CD320000}"/>
    <cellStyle name="40% - Accent2 13 2 7 2" xfId="34193" xr:uid="{755A2D31-103E-4888-B126-D882D01A8E22}"/>
    <cellStyle name="40% - Accent2 13 2 8" xfId="18298" xr:uid="{00000000-0005-0000-0000-0000CE320000}"/>
    <cellStyle name="40% - Accent2 13 2 8 2" xfId="42131" xr:uid="{C08A64F2-897F-4C24-BD2A-42DD6B898FDA}"/>
    <cellStyle name="40% - Accent2 13 2 9" xfId="26251" xr:uid="{67EFBA04-BBD8-4592-9B6F-EE2F73C24809}"/>
    <cellStyle name="40% - Accent2 13 2_Exh G" xfId="2834" xr:uid="{00000000-0005-0000-0000-0000CF320000}"/>
    <cellStyle name="40% - Accent2 13 3" xfId="397" xr:uid="{00000000-0005-0000-0000-0000D0320000}"/>
    <cellStyle name="40% - Accent2 13 3 2" xfId="1425" xr:uid="{00000000-0005-0000-0000-0000D1320000}"/>
    <cellStyle name="40% - Accent2 13 3 2 2" xfId="4955" xr:uid="{00000000-0005-0000-0000-0000D2320000}"/>
    <cellStyle name="40% - Accent2 13 3 2 2 2" xfId="8546" xr:uid="{00000000-0005-0000-0000-0000D3320000}"/>
    <cellStyle name="40% - Accent2 13 3 2 2 2 2" xfId="16517" xr:uid="{00000000-0005-0000-0000-0000D4320000}"/>
    <cellStyle name="40% - Accent2 13 3 2 2 2 2 2" xfId="40360" xr:uid="{115954FB-8CD3-4347-98C1-30733990E72D}"/>
    <cellStyle name="40% - Accent2 13 3 2 2 2 3" xfId="24463" xr:uid="{00000000-0005-0000-0000-0000D5320000}"/>
    <cellStyle name="40% - Accent2 13 3 2 2 2 3 2" xfId="48296" xr:uid="{740A36CF-1F1B-4F50-96A2-0556DB4209CB}"/>
    <cellStyle name="40% - Accent2 13 3 2 2 2 4" xfId="32419" xr:uid="{79F5FBFD-0F21-4DE5-953B-3C0ED99CF6A2}"/>
    <cellStyle name="40% - Accent2 13 3 2 2 3" xfId="12979" xr:uid="{00000000-0005-0000-0000-0000D6320000}"/>
    <cellStyle name="40% - Accent2 13 3 2 2 3 2" xfId="36829" xr:uid="{04A84C2B-E312-43DA-AF3D-11B0FABA806D}"/>
    <cellStyle name="40% - Accent2 13 3 2 2 4" xfId="20934" xr:uid="{00000000-0005-0000-0000-0000D7320000}"/>
    <cellStyle name="40% - Accent2 13 3 2 2 4 2" xfId="44767" xr:uid="{F9C4E746-E3C7-42F2-B636-EB94A78D821F}"/>
    <cellStyle name="40% - Accent2 13 3 2 2 5" xfId="28888" xr:uid="{C627E227-7150-4CF7-B273-6E91BD9593A7}"/>
    <cellStyle name="40% - Accent2 13 3 2 3" xfId="6787" xr:uid="{00000000-0005-0000-0000-0000D8320000}"/>
    <cellStyle name="40% - Accent2 13 3 2 3 2" xfId="14759" xr:uid="{00000000-0005-0000-0000-0000D9320000}"/>
    <cellStyle name="40% - Accent2 13 3 2 3 2 2" xfId="38602" xr:uid="{17799ABE-AE41-4CE6-87DA-BBEBF56D044A}"/>
    <cellStyle name="40% - Accent2 13 3 2 3 3" xfId="22706" xr:uid="{00000000-0005-0000-0000-0000DA320000}"/>
    <cellStyle name="40% - Accent2 13 3 2 3 3 2" xfId="46539" xr:uid="{F03BC369-E4DC-40E1-8BF4-FAA80F99D708}"/>
    <cellStyle name="40% - Accent2 13 3 2 3 4" xfId="30661" xr:uid="{A286A739-9A66-4788-A88E-5CE9ACF0B437}"/>
    <cellStyle name="40% - Accent2 13 3 2 4" xfId="11223" xr:uid="{00000000-0005-0000-0000-0000DB320000}"/>
    <cellStyle name="40% - Accent2 13 3 2 4 2" xfId="35073" xr:uid="{4907D354-234E-44B6-93CD-A44095972FA4}"/>
    <cellStyle name="40% - Accent2 13 3 2 5" xfId="19178" xr:uid="{00000000-0005-0000-0000-0000DC320000}"/>
    <cellStyle name="40% - Accent2 13 3 2 5 2" xfId="43011" xr:uid="{DAD27DDE-CCBF-4624-9972-55C40862427F}"/>
    <cellStyle name="40% - Accent2 13 3 2 6" xfId="27131" xr:uid="{2109049D-75CA-4CEA-97E4-64B2300943C1}"/>
    <cellStyle name="40% - Accent2 13 3 2_Exh G" xfId="2839" xr:uid="{00000000-0005-0000-0000-0000DD320000}"/>
    <cellStyle name="40% - Accent2 13 3 3" xfId="4076" xr:uid="{00000000-0005-0000-0000-0000DE320000}"/>
    <cellStyle name="40% - Accent2 13 3 3 2" xfId="7668" xr:uid="{00000000-0005-0000-0000-0000DF320000}"/>
    <cellStyle name="40% - Accent2 13 3 3 2 2" xfId="15639" xr:uid="{00000000-0005-0000-0000-0000E0320000}"/>
    <cellStyle name="40% - Accent2 13 3 3 2 2 2" xfId="39482" xr:uid="{65644F0A-800B-465B-B171-259BD6A1BF3B}"/>
    <cellStyle name="40% - Accent2 13 3 3 2 3" xfId="23585" xr:uid="{00000000-0005-0000-0000-0000E1320000}"/>
    <cellStyle name="40% - Accent2 13 3 3 2 3 2" xfId="47418" xr:uid="{B75392EE-CF70-41EE-A9AA-EF43942C90BD}"/>
    <cellStyle name="40% - Accent2 13 3 3 2 4" xfId="31541" xr:uid="{CE1FBAF0-C3CA-49E0-B514-5EA694C5F792}"/>
    <cellStyle name="40% - Accent2 13 3 3 3" xfId="12101" xr:uid="{00000000-0005-0000-0000-0000E2320000}"/>
    <cellStyle name="40% - Accent2 13 3 3 3 2" xfId="35951" xr:uid="{C60D4092-5A24-424D-8C63-93DD14869C8F}"/>
    <cellStyle name="40% - Accent2 13 3 3 4" xfId="20056" xr:uid="{00000000-0005-0000-0000-0000E3320000}"/>
    <cellStyle name="40% - Accent2 13 3 3 4 2" xfId="43889" xr:uid="{54BCD3EA-BF45-44AA-8FC6-E790521A926A}"/>
    <cellStyle name="40% - Accent2 13 3 3 5" xfId="28010" xr:uid="{C2BCDB90-1326-405F-B71C-A9467CF130CF}"/>
    <cellStyle name="40% - Accent2 13 3 4" xfId="5896" xr:uid="{00000000-0005-0000-0000-0000E4320000}"/>
    <cellStyle name="40% - Accent2 13 3 4 2" xfId="13880" xr:uid="{00000000-0005-0000-0000-0000E5320000}"/>
    <cellStyle name="40% - Accent2 13 3 4 2 2" xfId="37724" xr:uid="{A26F2504-A6CD-4059-B397-80A5A28018C4}"/>
    <cellStyle name="40% - Accent2 13 3 4 3" xfId="21828" xr:uid="{00000000-0005-0000-0000-0000E6320000}"/>
    <cellStyle name="40% - Accent2 13 3 4 3 2" xfId="45661" xr:uid="{397542D3-B62B-42FD-9BB9-8FC6138094F6}"/>
    <cellStyle name="40% - Accent2 13 3 4 4" xfId="29783" xr:uid="{A8D582E7-4846-42D6-A173-7759EB3B3D0E}"/>
    <cellStyle name="40% - Accent2 13 3 5" xfId="9449" xr:uid="{00000000-0005-0000-0000-0000E7320000}"/>
    <cellStyle name="40% - Accent2 13 3 5 2" xfId="17407" xr:uid="{00000000-0005-0000-0000-0000E8320000}"/>
    <cellStyle name="40% - Accent2 13 3 5 2 2" xfId="41248" xr:uid="{80CF0E9A-65B8-4BC6-8B92-072E8E95DE04}"/>
    <cellStyle name="40% - Accent2 13 3 5 3" xfId="25351" xr:uid="{00000000-0005-0000-0000-0000E9320000}"/>
    <cellStyle name="40% - Accent2 13 3 5 3 2" xfId="49184" xr:uid="{23FA79CA-36A5-465C-99C9-D63C96CD1BC8}"/>
    <cellStyle name="40% - Accent2 13 3 5 4" xfId="33307" xr:uid="{9C8F76C9-CC1F-46E8-B392-E074CBA18AC8}"/>
    <cellStyle name="40% - Accent2 13 3 6" xfId="10345" xr:uid="{00000000-0005-0000-0000-0000EA320000}"/>
    <cellStyle name="40% - Accent2 13 3 6 2" xfId="34195" xr:uid="{2C37FEB6-FD77-427D-A496-4710872CC943}"/>
    <cellStyle name="40% - Accent2 13 3 7" xfId="18300" xr:uid="{00000000-0005-0000-0000-0000EB320000}"/>
    <cellStyle name="40% - Accent2 13 3 7 2" xfId="42133" xr:uid="{FF61D243-04B6-4A8D-9D7B-37F3054C7199}"/>
    <cellStyle name="40% - Accent2 13 3 8" xfId="26253" xr:uid="{CD2CBA4B-E086-445F-8324-84CB20578AA3}"/>
    <cellStyle name="40% - Accent2 13 3_Exh G" xfId="2838" xr:uid="{00000000-0005-0000-0000-0000EC320000}"/>
    <cellStyle name="40% - Accent2 13 4" xfId="1422" xr:uid="{00000000-0005-0000-0000-0000ED320000}"/>
    <cellStyle name="40% - Accent2 13 4 2" xfId="4952" xr:uid="{00000000-0005-0000-0000-0000EE320000}"/>
    <cellStyle name="40% - Accent2 13 4 2 2" xfId="8543" xr:uid="{00000000-0005-0000-0000-0000EF320000}"/>
    <cellStyle name="40% - Accent2 13 4 2 2 2" xfId="16514" xr:uid="{00000000-0005-0000-0000-0000F0320000}"/>
    <cellStyle name="40% - Accent2 13 4 2 2 2 2" xfId="40357" xr:uid="{F44CFB28-8B8E-4495-97DA-C97FBD4B36B4}"/>
    <cellStyle name="40% - Accent2 13 4 2 2 3" xfId="24460" xr:uid="{00000000-0005-0000-0000-0000F1320000}"/>
    <cellStyle name="40% - Accent2 13 4 2 2 3 2" xfId="48293" xr:uid="{9071A79C-7403-42E3-8B5C-B4D75B44E8D6}"/>
    <cellStyle name="40% - Accent2 13 4 2 2 4" xfId="32416" xr:uid="{3A686A56-AAA5-45F8-A640-D63910460131}"/>
    <cellStyle name="40% - Accent2 13 4 2 3" xfId="12976" xr:uid="{00000000-0005-0000-0000-0000F2320000}"/>
    <cellStyle name="40% - Accent2 13 4 2 3 2" xfId="36826" xr:uid="{33FC6731-971B-40AB-A03C-CD73828DD9F8}"/>
    <cellStyle name="40% - Accent2 13 4 2 4" xfId="20931" xr:uid="{00000000-0005-0000-0000-0000F3320000}"/>
    <cellStyle name="40% - Accent2 13 4 2 4 2" xfId="44764" xr:uid="{EFC9A43D-0133-4B4D-BF5D-5417FA7FFEE3}"/>
    <cellStyle name="40% - Accent2 13 4 2 5" xfId="28885" xr:uid="{7DF16267-7591-456A-B5A5-B1FBD21E5B6D}"/>
    <cellStyle name="40% - Accent2 13 4 3" xfId="6784" xr:uid="{00000000-0005-0000-0000-0000F4320000}"/>
    <cellStyle name="40% - Accent2 13 4 3 2" xfId="14756" xr:uid="{00000000-0005-0000-0000-0000F5320000}"/>
    <cellStyle name="40% - Accent2 13 4 3 2 2" xfId="38599" xr:uid="{5D2D2E30-E268-4B3B-B302-2C0AE39E4874}"/>
    <cellStyle name="40% - Accent2 13 4 3 3" xfId="22703" xr:uid="{00000000-0005-0000-0000-0000F6320000}"/>
    <cellStyle name="40% - Accent2 13 4 3 3 2" xfId="46536" xr:uid="{F820D9CA-046A-475D-AE3E-F5F83CC284AC}"/>
    <cellStyle name="40% - Accent2 13 4 3 4" xfId="30658" xr:uid="{62A0F472-FED2-4D02-9417-7305D72CF25A}"/>
    <cellStyle name="40% - Accent2 13 4 4" xfId="11220" xr:uid="{00000000-0005-0000-0000-0000F7320000}"/>
    <cellStyle name="40% - Accent2 13 4 4 2" xfId="35070" xr:uid="{FE77C8F0-D7BA-4547-BEF9-C2667FB54EA2}"/>
    <cellStyle name="40% - Accent2 13 4 5" xfId="19175" xr:uid="{00000000-0005-0000-0000-0000F8320000}"/>
    <cellStyle name="40% - Accent2 13 4 5 2" xfId="43008" xr:uid="{D0D698AB-2D0F-46B7-AB22-9B27518AEC1A}"/>
    <cellStyle name="40% - Accent2 13 4 6" xfId="27128" xr:uid="{D489F114-F684-4888-90D3-B00508219D5E}"/>
    <cellStyle name="40% - Accent2 13 4_Exh G" xfId="2840" xr:uid="{00000000-0005-0000-0000-0000F9320000}"/>
    <cellStyle name="40% - Accent2 13 5" xfId="4073" xr:uid="{00000000-0005-0000-0000-0000FA320000}"/>
    <cellStyle name="40% - Accent2 13 5 2" xfId="7665" xr:uid="{00000000-0005-0000-0000-0000FB320000}"/>
    <cellStyle name="40% - Accent2 13 5 2 2" xfId="15636" xr:uid="{00000000-0005-0000-0000-0000FC320000}"/>
    <cellStyle name="40% - Accent2 13 5 2 2 2" xfId="39479" xr:uid="{B6C3E0F4-8C4A-4D78-B143-0ECFBBCAD1A7}"/>
    <cellStyle name="40% - Accent2 13 5 2 3" xfId="23582" xr:uid="{00000000-0005-0000-0000-0000FD320000}"/>
    <cellStyle name="40% - Accent2 13 5 2 3 2" xfId="47415" xr:uid="{49A6A795-F6BE-4970-9EA6-2254AB0820C6}"/>
    <cellStyle name="40% - Accent2 13 5 2 4" xfId="31538" xr:uid="{D49F4824-76CC-4441-9DF4-E8D776A49BD2}"/>
    <cellStyle name="40% - Accent2 13 5 3" xfId="12098" xr:uid="{00000000-0005-0000-0000-0000FE320000}"/>
    <cellStyle name="40% - Accent2 13 5 3 2" xfId="35948" xr:uid="{9BEFA9F1-6667-4297-B7A0-86154C9D30FC}"/>
    <cellStyle name="40% - Accent2 13 5 4" xfId="20053" xr:uid="{00000000-0005-0000-0000-0000FF320000}"/>
    <cellStyle name="40% - Accent2 13 5 4 2" xfId="43886" xr:uid="{2EEDF8C8-6CD1-4568-9CE6-E4ABD02A60F4}"/>
    <cellStyle name="40% - Accent2 13 5 5" xfId="28007" xr:uid="{416E08A6-ABCB-43CF-A98F-446471906BA0}"/>
    <cellStyle name="40% - Accent2 13 6" xfId="5893" xr:uid="{00000000-0005-0000-0000-000000330000}"/>
    <cellStyle name="40% - Accent2 13 6 2" xfId="13877" xr:uid="{00000000-0005-0000-0000-000001330000}"/>
    <cellStyle name="40% - Accent2 13 6 2 2" xfId="37721" xr:uid="{E2E4BA15-54FD-4CD8-AA39-F49ACA0567FD}"/>
    <cellStyle name="40% - Accent2 13 6 3" xfId="21825" xr:uid="{00000000-0005-0000-0000-000002330000}"/>
    <cellStyle name="40% - Accent2 13 6 3 2" xfId="45658" xr:uid="{7113E17D-1EB3-4022-AC34-AC4D7C981AD9}"/>
    <cellStyle name="40% - Accent2 13 6 4" xfId="29780" xr:uid="{34ED8C80-F8E8-448C-893D-FF1D1D8C3A03}"/>
    <cellStyle name="40% - Accent2 13 7" xfId="9446" xr:uid="{00000000-0005-0000-0000-000003330000}"/>
    <cellStyle name="40% - Accent2 13 7 2" xfId="17404" xr:uid="{00000000-0005-0000-0000-000004330000}"/>
    <cellStyle name="40% - Accent2 13 7 2 2" xfId="41245" xr:uid="{E54E1310-6FC9-4A39-99B2-D571DF995EBA}"/>
    <cellStyle name="40% - Accent2 13 7 3" xfId="25348" xr:uid="{00000000-0005-0000-0000-000005330000}"/>
    <cellStyle name="40% - Accent2 13 7 3 2" xfId="49181" xr:uid="{7705D7A3-EE63-485C-BA22-57BD200A7A2C}"/>
    <cellStyle name="40% - Accent2 13 7 4" xfId="33304" xr:uid="{51A046C9-26D3-4A56-8E62-3AB6406AC120}"/>
    <cellStyle name="40% - Accent2 13 8" xfId="10342" xr:uid="{00000000-0005-0000-0000-000006330000}"/>
    <cellStyle name="40% - Accent2 13 8 2" xfId="34192" xr:uid="{51129DBE-1CEB-4CFF-B2DA-3468A3002CEE}"/>
    <cellStyle name="40% - Accent2 13 9" xfId="18297" xr:uid="{00000000-0005-0000-0000-000007330000}"/>
    <cellStyle name="40% - Accent2 13 9 2" xfId="42130" xr:uid="{76FCAA12-B105-4077-9587-09DAA039EB07}"/>
    <cellStyle name="40% - Accent2 13_Exh G" xfId="2833" xr:uid="{00000000-0005-0000-0000-000008330000}"/>
    <cellStyle name="40% - Accent2 14" xfId="398" xr:uid="{00000000-0005-0000-0000-000009330000}"/>
    <cellStyle name="40% - Accent2 14 2" xfId="399" xr:uid="{00000000-0005-0000-0000-00000A330000}"/>
    <cellStyle name="40% - Accent2 14 2 2" xfId="1427" xr:uid="{00000000-0005-0000-0000-00000B330000}"/>
    <cellStyle name="40% - Accent2 14 2 2 2" xfId="4957" xr:uid="{00000000-0005-0000-0000-00000C330000}"/>
    <cellStyle name="40% - Accent2 14 2 2 2 2" xfId="8548" xr:uid="{00000000-0005-0000-0000-00000D330000}"/>
    <cellStyle name="40% - Accent2 14 2 2 2 2 2" xfId="16519" xr:uid="{00000000-0005-0000-0000-00000E330000}"/>
    <cellStyle name="40% - Accent2 14 2 2 2 2 2 2" xfId="40362" xr:uid="{5BCD6900-64B0-4F4B-95A9-FCC0F57E9969}"/>
    <cellStyle name="40% - Accent2 14 2 2 2 2 3" xfId="24465" xr:uid="{00000000-0005-0000-0000-00000F330000}"/>
    <cellStyle name="40% - Accent2 14 2 2 2 2 3 2" xfId="48298" xr:uid="{D3B1FF6B-5FA7-4461-A854-281162470E7C}"/>
    <cellStyle name="40% - Accent2 14 2 2 2 2 4" xfId="32421" xr:uid="{AAF4CFB9-9656-45E1-AC35-EDDB14520AC3}"/>
    <cellStyle name="40% - Accent2 14 2 2 2 3" xfId="12981" xr:uid="{00000000-0005-0000-0000-000010330000}"/>
    <cellStyle name="40% - Accent2 14 2 2 2 3 2" xfId="36831" xr:uid="{06E517E7-6317-4A18-A89D-C28EFFBF0CC8}"/>
    <cellStyle name="40% - Accent2 14 2 2 2 4" xfId="20936" xr:uid="{00000000-0005-0000-0000-000011330000}"/>
    <cellStyle name="40% - Accent2 14 2 2 2 4 2" xfId="44769" xr:uid="{8CA2056E-E24E-47F1-A435-12315F1C5E5F}"/>
    <cellStyle name="40% - Accent2 14 2 2 2 5" xfId="28890" xr:uid="{EF6F0859-DDB1-4354-A339-018B74145450}"/>
    <cellStyle name="40% - Accent2 14 2 2 3" xfId="6789" xr:uid="{00000000-0005-0000-0000-000012330000}"/>
    <cellStyle name="40% - Accent2 14 2 2 3 2" xfId="14761" xr:uid="{00000000-0005-0000-0000-000013330000}"/>
    <cellStyle name="40% - Accent2 14 2 2 3 2 2" xfId="38604" xr:uid="{CBBB4017-BD98-4565-A294-73C620B84FA2}"/>
    <cellStyle name="40% - Accent2 14 2 2 3 3" xfId="22708" xr:uid="{00000000-0005-0000-0000-000014330000}"/>
    <cellStyle name="40% - Accent2 14 2 2 3 3 2" xfId="46541" xr:uid="{1CA40BE3-AD7C-4C6E-B0B4-69A6885CEEF7}"/>
    <cellStyle name="40% - Accent2 14 2 2 3 4" xfId="30663" xr:uid="{25B75122-C144-4991-BC74-B13A7319ED8D}"/>
    <cellStyle name="40% - Accent2 14 2 2 4" xfId="11225" xr:uid="{00000000-0005-0000-0000-000015330000}"/>
    <cellStyle name="40% - Accent2 14 2 2 4 2" xfId="35075" xr:uid="{E408DE37-7CDE-4AC1-AF63-0F1473542789}"/>
    <cellStyle name="40% - Accent2 14 2 2 5" xfId="19180" xr:uid="{00000000-0005-0000-0000-000016330000}"/>
    <cellStyle name="40% - Accent2 14 2 2 5 2" xfId="43013" xr:uid="{2AE498A1-3F5D-42BF-9FEF-F6E2DA5B207C}"/>
    <cellStyle name="40% - Accent2 14 2 2 6" xfId="27133" xr:uid="{2A937D53-9D42-48E6-98B3-EB6E9F201EDF}"/>
    <cellStyle name="40% - Accent2 14 2 2_Exh G" xfId="2843" xr:uid="{00000000-0005-0000-0000-000017330000}"/>
    <cellStyle name="40% - Accent2 14 2 3" xfId="4078" xr:uid="{00000000-0005-0000-0000-000018330000}"/>
    <cellStyle name="40% - Accent2 14 2 3 2" xfId="7670" xr:uid="{00000000-0005-0000-0000-000019330000}"/>
    <cellStyle name="40% - Accent2 14 2 3 2 2" xfId="15641" xr:uid="{00000000-0005-0000-0000-00001A330000}"/>
    <cellStyle name="40% - Accent2 14 2 3 2 2 2" xfId="39484" xr:uid="{33CBE5A2-E569-43E3-A79D-61DDE748089B}"/>
    <cellStyle name="40% - Accent2 14 2 3 2 3" xfId="23587" xr:uid="{00000000-0005-0000-0000-00001B330000}"/>
    <cellStyle name="40% - Accent2 14 2 3 2 3 2" xfId="47420" xr:uid="{3A83C96F-68A3-4C1D-8215-FBED9607F9F7}"/>
    <cellStyle name="40% - Accent2 14 2 3 2 4" xfId="31543" xr:uid="{5155371B-71F7-4E70-BFEF-593D2F66C3B5}"/>
    <cellStyle name="40% - Accent2 14 2 3 3" xfId="12103" xr:uid="{00000000-0005-0000-0000-00001C330000}"/>
    <cellStyle name="40% - Accent2 14 2 3 3 2" xfId="35953" xr:uid="{D3F8FA12-B286-477E-8BD5-19FA369ED405}"/>
    <cellStyle name="40% - Accent2 14 2 3 4" xfId="20058" xr:uid="{00000000-0005-0000-0000-00001D330000}"/>
    <cellStyle name="40% - Accent2 14 2 3 4 2" xfId="43891" xr:uid="{3187B58E-4DE1-4409-816B-E335571B8331}"/>
    <cellStyle name="40% - Accent2 14 2 3 5" xfId="28012" xr:uid="{F0117494-93D6-4DD2-8A4D-77C3382965F6}"/>
    <cellStyle name="40% - Accent2 14 2 4" xfId="5898" xr:uid="{00000000-0005-0000-0000-00001E330000}"/>
    <cellStyle name="40% - Accent2 14 2 4 2" xfId="13882" xr:uid="{00000000-0005-0000-0000-00001F330000}"/>
    <cellStyle name="40% - Accent2 14 2 4 2 2" xfId="37726" xr:uid="{F7A9EE28-90B5-43B6-A6B8-47845CDFEDFC}"/>
    <cellStyle name="40% - Accent2 14 2 4 3" xfId="21830" xr:uid="{00000000-0005-0000-0000-000020330000}"/>
    <cellStyle name="40% - Accent2 14 2 4 3 2" xfId="45663" xr:uid="{90CC8162-9423-4A46-9B99-D3ECF1268FE7}"/>
    <cellStyle name="40% - Accent2 14 2 4 4" xfId="29785" xr:uid="{E7F73187-6A3F-4D46-8594-9CA4BDBAD683}"/>
    <cellStyle name="40% - Accent2 14 2 5" xfId="9451" xr:uid="{00000000-0005-0000-0000-000021330000}"/>
    <cellStyle name="40% - Accent2 14 2 5 2" xfId="17409" xr:uid="{00000000-0005-0000-0000-000022330000}"/>
    <cellStyle name="40% - Accent2 14 2 5 2 2" xfId="41250" xr:uid="{C89F7B87-6562-44B5-915D-080971FCABB9}"/>
    <cellStyle name="40% - Accent2 14 2 5 3" xfId="25353" xr:uid="{00000000-0005-0000-0000-000023330000}"/>
    <cellStyle name="40% - Accent2 14 2 5 3 2" xfId="49186" xr:uid="{D3E5D7BF-657B-432B-9E00-4C7F952E6C36}"/>
    <cellStyle name="40% - Accent2 14 2 5 4" xfId="33309" xr:uid="{846ABE02-D305-40A5-9E85-D28DE4E30652}"/>
    <cellStyle name="40% - Accent2 14 2 6" xfId="10347" xr:uid="{00000000-0005-0000-0000-000024330000}"/>
    <cellStyle name="40% - Accent2 14 2 6 2" xfId="34197" xr:uid="{D52227BB-BA41-4E98-9789-A2B3FB8A8264}"/>
    <cellStyle name="40% - Accent2 14 2 7" xfId="18302" xr:uid="{00000000-0005-0000-0000-000025330000}"/>
    <cellStyle name="40% - Accent2 14 2 7 2" xfId="42135" xr:uid="{EB762E25-1B3E-4C1B-AEE8-368B4465636D}"/>
    <cellStyle name="40% - Accent2 14 2 8" xfId="26255" xr:uid="{F032B6F2-417B-46C7-9442-181265A35095}"/>
    <cellStyle name="40% - Accent2 14 2_Exh G" xfId="2842" xr:uid="{00000000-0005-0000-0000-000026330000}"/>
    <cellStyle name="40% - Accent2 14 3" xfId="1426" xr:uid="{00000000-0005-0000-0000-000027330000}"/>
    <cellStyle name="40% - Accent2 14 3 2" xfId="4956" xr:uid="{00000000-0005-0000-0000-000028330000}"/>
    <cellStyle name="40% - Accent2 14 3 2 2" xfId="8547" xr:uid="{00000000-0005-0000-0000-000029330000}"/>
    <cellStyle name="40% - Accent2 14 3 2 2 2" xfId="16518" xr:uid="{00000000-0005-0000-0000-00002A330000}"/>
    <cellStyle name="40% - Accent2 14 3 2 2 2 2" xfId="40361" xr:uid="{622DB176-5096-487D-92DC-DD1E2732CCED}"/>
    <cellStyle name="40% - Accent2 14 3 2 2 3" xfId="24464" xr:uid="{00000000-0005-0000-0000-00002B330000}"/>
    <cellStyle name="40% - Accent2 14 3 2 2 3 2" xfId="48297" xr:uid="{EF0C8C9A-CB5E-4B9F-9D8B-3E3D7988B320}"/>
    <cellStyle name="40% - Accent2 14 3 2 2 4" xfId="32420" xr:uid="{FFD52264-D402-4870-A0B2-6C7F2F1FDB0A}"/>
    <cellStyle name="40% - Accent2 14 3 2 3" xfId="12980" xr:uid="{00000000-0005-0000-0000-00002C330000}"/>
    <cellStyle name="40% - Accent2 14 3 2 3 2" xfId="36830" xr:uid="{EC51033A-20EA-4886-917E-D2BB5C2292F8}"/>
    <cellStyle name="40% - Accent2 14 3 2 4" xfId="20935" xr:uid="{00000000-0005-0000-0000-00002D330000}"/>
    <cellStyle name="40% - Accent2 14 3 2 4 2" xfId="44768" xr:uid="{99ADF378-F8C2-47C4-B8CA-DEBA2085AFB1}"/>
    <cellStyle name="40% - Accent2 14 3 2 5" xfId="28889" xr:uid="{F58B32F6-CD11-4E98-B5B6-1F028035A9E8}"/>
    <cellStyle name="40% - Accent2 14 3 3" xfId="6788" xr:uid="{00000000-0005-0000-0000-00002E330000}"/>
    <cellStyle name="40% - Accent2 14 3 3 2" xfId="14760" xr:uid="{00000000-0005-0000-0000-00002F330000}"/>
    <cellStyle name="40% - Accent2 14 3 3 2 2" xfId="38603" xr:uid="{B151DCC5-E065-4684-9339-D9C1767299E7}"/>
    <cellStyle name="40% - Accent2 14 3 3 3" xfId="22707" xr:uid="{00000000-0005-0000-0000-000030330000}"/>
    <cellStyle name="40% - Accent2 14 3 3 3 2" xfId="46540" xr:uid="{559C8068-AD02-4B51-BFC9-8F6A7CA168B5}"/>
    <cellStyle name="40% - Accent2 14 3 3 4" xfId="30662" xr:uid="{EDA31C9C-0777-4FD1-9B72-45A1619B3DF7}"/>
    <cellStyle name="40% - Accent2 14 3 4" xfId="11224" xr:uid="{00000000-0005-0000-0000-000031330000}"/>
    <cellStyle name="40% - Accent2 14 3 4 2" xfId="35074" xr:uid="{2A1C0570-67D7-4319-AB5D-5C10A1373B01}"/>
    <cellStyle name="40% - Accent2 14 3 5" xfId="19179" xr:uid="{00000000-0005-0000-0000-000032330000}"/>
    <cellStyle name="40% - Accent2 14 3 5 2" xfId="43012" xr:uid="{CC3D39BD-134E-4FD5-9309-0AC960A9BE31}"/>
    <cellStyle name="40% - Accent2 14 3 6" xfId="27132" xr:uid="{55990E36-8A6F-446B-9079-FBC9FD2A0BB7}"/>
    <cellStyle name="40% - Accent2 14 3_Exh G" xfId="2844" xr:uid="{00000000-0005-0000-0000-000033330000}"/>
    <cellStyle name="40% - Accent2 14 4" xfId="4077" xr:uid="{00000000-0005-0000-0000-000034330000}"/>
    <cellStyle name="40% - Accent2 14 4 2" xfId="7669" xr:uid="{00000000-0005-0000-0000-000035330000}"/>
    <cellStyle name="40% - Accent2 14 4 2 2" xfId="15640" xr:uid="{00000000-0005-0000-0000-000036330000}"/>
    <cellStyle name="40% - Accent2 14 4 2 2 2" xfId="39483" xr:uid="{C8E9A2AD-F311-423C-A5CD-4CE7986D976C}"/>
    <cellStyle name="40% - Accent2 14 4 2 3" xfId="23586" xr:uid="{00000000-0005-0000-0000-000037330000}"/>
    <cellStyle name="40% - Accent2 14 4 2 3 2" xfId="47419" xr:uid="{CE654F12-F8AF-44D7-A29F-3CEE66FB90A0}"/>
    <cellStyle name="40% - Accent2 14 4 2 4" xfId="31542" xr:uid="{437A25C4-7DD5-4055-B29D-04BBCB5730B1}"/>
    <cellStyle name="40% - Accent2 14 4 3" xfId="12102" xr:uid="{00000000-0005-0000-0000-000038330000}"/>
    <cellStyle name="40% - Accent2 14 4 3 2" xfId="35952" xr:uid="{EA55A769-1960-40D1-8B7F-09A511392233}"/>
    <cellStyle name="40% - Accent2 14 4 4" xfId="20057" xr:uid="{00000000-0005-0000-0000-000039330000}"/>
    <cellStyle name="40% - Accent2 14 4 4 2" xfId="43890" xr:uid="{8BFF4497-0623-4846-87C1-027B321BC0BB}"/>
    <cellStyle name="40% - Accent2 14 4 5" xfId="28011" xr:uid="{339E766F-B9C1-493A-8FF1-18A56A93CCDA}"/>
    <cellStyle name="40% - Accent2 14 5" xfId="5897" xr:uid="{00000000-0005-0000-0000-00003A330000}"/>
    <cellStyle name="40% - Accent2 14 5 2" xfId="13881" xr:uid="{00000000-0005-0000-0000-00003B330000}"/>
    <cellStyle name="40% - Accent2 14 5 2 2" xfId="37725" xr:uid="{3A47972C-0B5B-4EF2-8345-C985FD32522F}"/>
    <cellStyle name="40% - Accent2 14 5 3" xfId="21829" xr:uid="{00000000-0005-0000-0000-00003C330000}"/>
    <cellStyle name="40% - Accent2 14 5 3 2" xfId="45662" xr:uid="{B7BBA4F2-462B-4F65-B4CD-7F2477CF7957}"/>
    <cellStyle name="40% - Accent2 14 5 4" xfId="29784" xr:uid="{807FFC79-23B6-4729-9E4D-8FA680160BC0}"/>
    <cellStyle name="40% - Accent2 14 6" xfId="9450" xr:uid="{00000000-0005-0000-0000-00003D330000}"/>
    <cellStyle name="40% - Accent2 14 6 2" xfId="17408" xr:uid="{00000000-0005-0000-0000-00003E330000}"/>
    <cellStyle name="40% - Accent2 14 6 2 2" xfId="41249" xr:uid="{593593EF-3E24-4904-BB3E-3AE7DF45B7C7}"/>
    <cellStyle name="40% - Accent2 14 6 3" xfId="25352" xr:uid="{00000000-0005-0000-0000-00003F330000}"/>
    <cellStyle name="40% - Accent2 14 6 3 2" xfId="49185" xr:uid="{A81ECAC8-E146-425B-A675-9152A5725A26}"/>
    <cellStyle name="40% - Accent2 14 6 4" xfId="33308" xr:uid="{B7A2F412-C2F1-415A-8A90-FB37EF2098E5}"/>
    <cellStyle name="40% - Accent2 14 7" xfId="10346" xr:uid="{00000000-0005-0000-0000-000040330000}"/>
    <cellStyle name="40% - Accent2 14 7 2" xfId="34196" xr:uid="{FE56F25D-B69F-4E9A-A676-C45975E7F909}"/>
    <cellStyle name="40% - Accent2 14 8" xfId="18301" xr:uid="{00000000-0005-0000-0000-000041330000}"/>
    <cellStyle name="40% - Accent2 14 8 2" xfId="42134" xr:uid="{A6E5846C-BA29-42BC-9FC5-36854BDD3E42}"/>
    <cellStyle name="40% - Accent2 14 9" xfId="26254" xr:uid="{D84C2C7E-360A-4A1A-BC60-A5461E1B812A}"/>
    <cellStyle name="40% - Accent2 14_Exh G" xfId="2841" xr:uid="{00000000-0005-0000-0000-000042330000}"/>
    <cellStyle name="40% - Accent2 15" xfId="400" xr:uid="{00000000-0005-0000-0000-000043330000}"/>
    <cellStyle name="40% - Accent2 15 2" xfId="1428" xr:uid="{00000000-0005-0000-0000-000044330000}"/>
    <cellStyle name="40% - Accent2 15 2 2" xfId="4958" xr:uid="{00000000-0005-0000-0000-000045330000}"/>
    <cellStyle name="40% - Accent2 15 2 2 2" xfId="8549" xr:uid="{00000000-0005-0000-0000-000046330000}"/>
    <cellStyle name="40% - Accent2 15 2 2 2 2" xfId="16520" xr:uid="{00000000-0005-0000-0000-000047330000}"/>
    <cellStyle name="40% - Accent2 15 2 2 2 2 2" xfId="40363" xr:uid="{BBD629FC-1D4B-40B7-963F-D8BE6B56D2B7}"/>
    <cellStyle name="40% - Accent2 15 2 2 2 3" xfId="24466" xr:uid="{00000000-0005-0000-0000-000048330000}"/>
    <cellStyle name="40% - Accent2 15 2 2 2 3 2" xfId="48299" xr:uid="{FA710B56-7A62-4035-9DE7-F1C8907232B2}"/>
    <cellStyle name="40% - Accent2 15 2 2 2 4" xfId="32422" xr:uid="{3C52763E-3743-46FF-B561-F189190F9BB0}"/>
    <cellStyle name="40% - Accent2 15 2 2 3" xfId="12982" xr:uid="{00000000-0005-0000-0000-000049330000}"/>
    <cellStyle name="40% - Accent2 15 2 2 3 2" xfId="36832" xr:uid="{58671501-D65A-42AF-91F2-3ED187829A5A}"/>
    <cellStyle name="40% - Accent2 15 2 2 4" xfId="20937" xr:uid="{00000000-0005-0000-0000-00004A330000}"/>
    <cellStyle name="40% - Accent2 15 2 2 4 2" xfId="44770" xr:uid="{73D6F0D4-67A4-4629-974B-99AFCCD3D012}"/>
    <cellStyle name="40% - Accent2 15 2 2 5" xfId="28891" xr:uid="{4401E994-E647-4D19-8002-00C75633A2D5}"/>
    <cellStyle name="40% - Accent2 15 2 3" xfId="6790" xr:uid="{00000000-0005-0000-0000-00004B330000}"/>
    <cellStyle name="40% - Accent2 15 2 3 2" xfId="14762" xr:uid="{00000000-0005-0000-0000-00004C330000}"/>
    <cellStyle name="40% - Accent2 15 2 3 2 2" xfId="38605" xr:uid="{82E83214-415C-467F-BFE1-113304F01C3A}"/>
    <cellStyle name="40% - Accent2 15 2 3 3" xfId="22709" xr:uid="{00000000-0005-0000-0000-00004D330000}"/>
    <cellStyle name="40% - Accent2 15 2 3 3 2" xfId="46542" xr:uid="{E57D98E2-19BC-49DF-B4C4-E6F96E4D2ABE}"/>
    <cellStyle name="40% - Accent2 15 2 3 4" xfId="30664" xr:uid="{2668F8E7-E11D-4099-8F1E-B482C32DBD5E}"/>
    <cellStyle name="40% - Accent2 15 2 4" xfId="11226" xr:uid="{00000000-0005-0000-0000-00004E330000}"/>
    <cellStyle name="40% - Accent2 15 2 4 2" xfId="35076" xr:uid="{BF86416A-1381-4F8E-88CB-AC3162787038}"/>
    <cellStyle name="40% - Accent2 15 2 5" xfId="19181" xr:uid="{00000000-0005-0000-0000-00004F330000}"/>
    <cellStyle name="40% - Accent2 15 2 5 2" xfId="43014" xr:uid="{977CFF5C-2C24-46AF-A437-A9F447BF0875}"/>
    <cellStyle name="40% - Accent2 15 2 6" xfId="27134" xr:uid="{CA2CE4AD-3447-48B6-803F-5381D6768C93}"/>
    <cellStyle name="40% - Accent2 15 2_Exh G" xfId="2846" xr:uid="{00000000-0005-0000-0000-000050330000}"/>
    <cellStyle name="40% - Accent2 15 3" xfId="4079" xr:uid="{00000000-0005-0000-0000-000051330000}"/>
    <cellStyle name="40% - Accent2 15 3 2" xfId="7671" xr:uid="{00000000-0005-0000-0000-000052330000}"/>
    <cellStyle name="40% - Accent2 15 3 2 2" xfId="15642" xr:uid="{00000000-0005-0000-0000-000053330000}"/>
    <cellStyle name="40% - Accent2 15 3 2 2 2" xfId="39485" xr:uid="{A9DD2CAE-B0CE-4AE4-832F-E521A1DBD7D8}"/>
    <cellStyle name="40% - Accent2 15 3 2 3" xfId="23588" xr:uid="{00000000-0005-0000-0000-000054330000}"/>
    <cellStyle name="40% - Accent2 15 3 2 3 2" xfId="47421" xr:uid="{1728C54A-C708-465D-88B7-56D3126D99F1}"/>
    <cellStyle name="40% - Accent2 15 3 2 4" xfId="31544" xr:uid="{A07F3ED7-BAD4-4FF1-9503-3676140D721F}"/>
    <cellStyle name="40% - Accent2 15 3 3" xfId="12104" xr:uid="{00000000-0005-0000-0000-000055330000}"/>
    <cellStyle name="40% - Accent2 15 3 3 2" xfId="35954" xr:uid="{3B696EAC-3C1F-4923-B020-0F0EA57F9FE6}"/>
    <cellStyle name="40% - Accent2 15 3 4" xfId="20059" xr:uid="{00000000-0005-0000-0000-000056330000}"/>
    <cellStyle name="40% - Accent2 15 3 4 2" xfId="43892" xr:uid="{87FAE86E-871C-4E18-847B-C9AA3A58C5D1}"/>
    <cellStyle name="40% - Accent2 15 3 5" xfId="28013" xr:uid="{B562DE6E-F1EB-4028-86E2-FF3C95A73714}"/>
    <cellStyle name="40% - Accent2 15 4" xfId="5899" xr:uid="{00000000-0005-0000-0000-000057330000}"/>
    <cellStyle name="40% - Accent2 15 4 2" xfId="13883" xr:uid="{00000000-0005-0000-0000-000058330000}"/>
    <cellStyle name="40% - Accent2 15 4 2 2" xfId="37727" xr:uid="{2ACFF2D9-221C-4FEF-93D6-1048B402A7E5}"/>
    <cellStyle name="40% - Accent2 15 4 3" xfId="21831" xr:uid="{00000000-0005-0000-0000-000059330000}"/>
    <cellStyle name="40% - Accent2 15 4 3 2" xfId="45664" xr:uid="{D7A749E6-B0E0-4631-B1D8-16A8F555ED62}"/>
    <cellStyle name="40% - Accent2 15 4 4" xfId="29786" xr:uid="{ABFBEC5D-1CD0-4C96-8357-304CAC38BA1F}"/>
    <cellStyle name="40% - Accent2 15 5" xfId="9452" xr:uid="{00000000-0005-0000-0000-00005A330000}"/>
    <cellStyle name="40% - Accent2 15 5 2" xfId="17410" xr:uid="{00000000-0005-0000-0000-00005B330000}"/>
    <cellStyle name="40% - Accent2 15 5 2 2" xfId="41251" xr:uid="{9B9C3694-2C8F-411D-BFEA-11B6D6E16EEF}"/>
    <cellStyle name="40% - Accent2 15 5 3" xfId="25354" xr:uid="{00000000-0005-0000-0000-00005C330000}"/>
    <cellStyle name="40% - Accent2 15 5 3 2" xfId="49187" xr:uid="{E81D17DB-D153-4DF3-B7BF-B01DEF321113}"/>
    <cellStyle name="40% - Accent2 15 5 4" xfId="33310" xr:uid="{D0FADDD5-151C-4CAF-8569-9021E9DB380F}"/>
    <cellStyle name="40% - Accent2 15 6" xfId="10348" xr:uid="{00000000-0005-0000-0000-00005D330000}"/>
    <cellStyle name="40% - Accent2 15 6 2" xfId="34198" xr:uid="{69FC264F-C2E7-4AEF-A2F0-E64AB7D6FA1F}"/>
    <cellStyle name="40% - Accent2 15 7" xfId="18303" xr:uid="{00000000-0005-0000-0000-00005E330000}"/>
    <cellStyle name="40% - Accent2 15 7 2" xfId="42136" xr:uid="{5AC02A05-1006-425D-BF1F-A4C08ECDC8BC}"/>
    <cellStyle name="40% - Accent2 15 8" xfId="26256" xr:uid="{0444DF05-B5DB-4B91-820A-B38B739833EF}"/>
    <cellStyle name="40% - Accent2 15_Exh G" xfId="2845" xr:uid="{00000000-0005-0000-0000-00005F330000}"/>
    <cellStyle name="40% - Accent2 16" xfId="850" xr:uid="{00000000-0005-0000-0000-000060330000}"/>
    <cellStyle name="40% - Accent2 16 2" xfId="1789" xr:uid="{00000000-0005-0000-0000-000061330000}"/>
    <cellStyle name="40% - Accent2 16 2 2" xfId="5310" xr:uid="{00000000-0005-0000-0000-000062330000}"/>
    <cellStyle name="40% - Accent2 16 2 2 2" xfId="8901" xr:uid="{00000000-0005-0000-0000-000063330000}"/>
    <cellStyle name="40% - Accent2 16 2 2 2 2" xfId="16872" xr:uid="{00000000-0005-0000-0000-000064330000}"/>
    <cellStyle name="40% - Accent2 16 2 2 2 2 2" xfId="40715" xr:uid="{EB2E2BEE-77BB-47E0-A745-5DE68C3FB72D}"/>
    <cellStyle name="40% - Accent2 16 2 2 2 3" xfId="24818" xr:uid="{00000000-0005-0000-0000-000065330000}"/>
    <cellStyle name="40% - Accent2 16 2 2 2 3 2" xfId="48651" xr:uid="{A25B7889-45B0-41DA-8BC7-36D8E944C15F}"/>
    <cellStyle name="40% - Accent2 16 2 2 2 4" xfId="32774" xr:uid="{2A6ECFD4-AB33-4D69-94F2-6C7900CE118B}"/>
    <cellStyle name="40% - Accent2 16 2 2 3" xfId="13334" xr:uid="{00000000-0005-0000-0000-000066330000}"/>
    <cellStyle name="40% - Accent2 16 2 2 3 2" xfId="37184" xr:uid="{3FF9626B-DC6C-4F9E-8E16-602DCD0BC782}"/>
    <cellStyle name="40% - Accent2 16 2 2 4" xfId="21289" xr:uid="{00000000-0005-0000-0000-000067330000}"/>
    <cellStyle name="40% - Accent2 16 2 2 4 2" xfId="45122" xr:uid="{7E517849-7A7D-426B-969C-EF6B470B40D5}"/>
    <cellStyle name="40% - Accent2 16 2 2 5" xfId="29243" xr:uid="{7585FDB2-041C-4FA1-92D0-92861A455509}"/>
    <cellStyle name="40% - Accent2 16 2 3" xfId="7142" xr:uid="{00000000-0005-0000-0000-000068330000}"/>
    <cellStyle name="40% - Accent2 16 2 3 2" xfId="15114" xr:uid="{00000000-0005-0000-0000-000069330000}"/>
    <cellStyle name="40% - Accent2 16 2 3 2 2" xfId="38957" xr:uid="{9971F014-2222-4996-A49C-5F2D763CC6C0}"/>
    <cellStyle name="40% - Accent2 16 2 3 3" xfId="23061" xr:uid="{00000000-0005-0000-0000-00006A330000}"/>
    <cellStyle name="40% - Accent2 16 2 3 3 2" xfId="46894" xr:uid="{4F9D556A-2865-411E-8320-45E6F3CCCCD5}"/>
    <cellStyle name="40% - Accent2 16 2 3 4" xfId="31016" xr:uid="{FCCEBCEF-5A94-4981-A7B3-3149FC56D493}"/>
    <cellStyle name="40% - Accent2 16 2 4" xfId="11578" xr:uid="{00000000-0005-0000-0000-00006B330000}"/>
    <cellStyle name="40% - Accent2 16 2 4 2" xfId="35428" xr:uid="{E65C365A-AF55-4561-B1A9-A9DAD06C4CEB}"/>
    <cellStyle name="40% - Accent2 16 2 5" xfId="19533" xr:uid="{00000000-0005-0000-0000-00006C330000}"/>
    <cellStyle name="40% - Accent2 16 2 5 2" xfId="43366" xr:uid="{7E088073-C607-47F8-AED8-351503C5FAE1}"/>
    <cellStyle name="40% - Accent2 16 2 6" xfId="27486" xr:uid="{EE4DB1D5-4513-44A8-A0E7-1D9268D8521E}"/>
    <cellStyle name="40% - Accent2 16 2_Exh G" xfId="2848" xr:uid="{00000000-0005-0000-0000-00006D330000}"/>
    <cellStyle name="40% - Accent2 16 3" xfId="4431" xr:uid="{00000000-0005-0000-0000-00006E330000}"/>
    <cellStyle name="40% - Accent2 16 3 2" xfId="8023" xr:uid="{00000000-0005-0000-0000-00006F330000}"/>
    <cellStyle name="40% - Accent2 16 3 2 2" xfId="15994" xr:uid="{00000000-0005-0000-0000-000070330000}"/>
    <cellStyle name="40% - Accent2 16 3 2 2 2" xfId="39837" xr:uid="{BAEC4DDC-7E2C-48BF-910D-89B9BBBCDAB3}"/>
    <cellStyle name="40% - Accent2 16 3 2 3" xfId="23940" xr:uid="{00000000-0005-0000-0000-000071330000}"/>
    <cellStyle name="40% - Accent2 16 3 2 3 2" xfId="47773" xr:uid="{47168757-45FC-4CE9-B43C-997E133C560D}"/>
    <cellStyle name="40% - Accent2 16 3 2 4" xfId="31896" xr:uid="{3EE055EB-1285-47D9-8053-9C785FEDF63D}"/>
    <cellStyle name="40% - Accent2 16 3 3" xfId="12456" xr:uid="{00000000-0005-0000-0000-000072330000}"/>
    <cellStyle name="40% - Accent2 16 3 3 2" xfId="36306" xr:uid="{DE16D37E-344E-4BD4-8A8D-3B0086D181B6}"/>
    <cellStyle name="40% - Accent2 16 3 4" xfId="20411" xr:uid="{00000000-0005-0000-0000-000073330000}"/>
    <cellStyle name="40% - Accent2 16 3 4 2" xfId="44244" xr:uid="{4598585F-3774-42A4-ADE5-D6E4CAAF79C7}"/>
    <cellStyle name="40% - Accent2 16 3 5" xfId="28365" xr:uid="{CB91BBD2-40A4-4D2D-8538-796B4EC9DAF2}"/>
    <cellStyle name="40% - Accent2 16 4" xfId="6261" xr:uid="{00000000-0005-0000-0000-000074330000}"/>
    <cellStyle name="40% - Accent2 16 4 2" xfId="14236" xr:uid="{00000000-0005-0000-0000-000075330000}"/>
    <cellStyle name="40% - Accent2 16 4 2 2" xfId="38079" xr:uid="{E1BFB2BB-6451-4DA7-BD9B-373634DD3A0C}"/>
    <cellStyle name="40% - Accent2 16 4 3" xfId="22183" xr:uid="{00000000-0005-0000-0000-000076330000}"/>
    <cellStyle name="40% - Accent2 16 4 3 2" xfId="46016" xr:uid="{845AC612-E55E-4BC4-8503-AA431D3E1048}"/>
    <cellStyle name="40% - Accent2 16 4 4" xfId="30138" xr:uid="{8F626C47-2C73-4967-8000-4589F072CBC5}"/>
    <cellStyle name="40% - Accent2 16 5" xfId="9804" xr:uid="{00000000-0005-0000-0000-000077330000}"/>
    <cellStyle name="40% - Accent2 16 5 2" xfId="17762" xr:uid="{00000000-0005-0000-0000-000078330000}"/>
    <cellStyle name="40% - Accent2 16 5 2 2" xfId="41603" xr:uid="{27C282DE-43D1-43A5-98E5-77A400715EB0}"/>
    <cellStyle name="40% - Accent2 16 5 3" xfId="25706" xr:uid="{00000000-0005-0000-0000-000079330000}"/>
    <cellStyle name="40% - Accent2 16 5 3 2" xfId="49539" xr:uid="{EB5C33BB-7A6E-4AB4-BE2F-BD213287C9B6}"/>
    <cellStyle name="40% - Accent2 16 5 4" xfId="33662" xr:uid="{EFC6639B-F5F5-4AC4-953F-32C90492E494}"/>
    <cellStyle name="40% - Accent2 16 6" xfId="10700" xr:uid="{00000000-0005-0000-0000-00007A330000}"/>
    <cellStyle name="40% - Accent2 16 6 2" xfId="34550" xr:uid="{0CC85BAA-D0DF-42E7-B2E1-9816759141D2}"/>
    <cellStyle name="40% - Accent2 16 7" xfId="18655" xr:uid="{00000000-0005-0000-0000-00007B330000}"/>
    <cellStyle name="40% - Accent2 16 7 2" xfId="42488" xr:uid="{A1DC6AFA-3BF2-4D95-851D-036C013DF3C6}"/>
    <cellStyle name="40% - Accent2 16 8" xfId="26608" xr:uid="{5ECC5C46-EE5F-410D-AAA1-8B78F0A94D0C}"/>
    <cellStyle name="40% - Accent2 16_Exh G" xfId="2847" xr:uid="{00000000-0005-0000-0000-00007C330000}"/>
    <cellStyle name="40% - Accent2 17" xfId="49798" xr:uid="{934B2669-FC89-4786-8809-887C9D873CF5}"/>
    <cellStyle name="40% - Accent2 2" xfId="401" xr:uid="{00000000-0005-0000-0000-00007D330000}"/>
    <cellStyle name="40% - Accent2 2 10" xfId="18304" xr:uid="{00000000-0005-0000-0000-00007E330000}"/>
    <cellStyle name="40% - Accent2 2 10 2" xfId="42137" xr:uid="{7B6368AB-05A5-4D88-A020-AE4EA4BDD3C5}"/>
    <cellStyle name="40% - Accent2 2 11" xfId="26257" xr:uid="{6C3904DB-0280-4397-857B-EB52800E2EC6}"/>
    <cellStyle name="40% - Accent2 2 12" xfId="49783" xr:uid="{5715E6A7-F654-4C3D-8C00-95E516144BEE}"/>
    <cellStyle name="40% - Accent2 2 13" xfId="49811" xr:uid="{E8829EC1-FC92-4745-93C9-4787E6015ADC}"/>
    <cellStyle name="40% - Accent2 2 2" xfId="402" xr:uid="{00000000-0005-0000-0000-00007F330000}"/>
    <cellStyle name="40% - Accent2 2 2 10" xfId="26258" xr:uid="{FD06B539-C595-47F3-A0FE-7124C2542900}"/>
    <cellStyle name="40% - Accent2 2 2 2" xfId="403" xr:uid="{00000000-0005-0000-0000-000080330000}"/>
    <cellStyle name="40% - Accent2 2 2 2 2" xfId="1431" xr:uid="{00000000-0005-0000-0000-000081330000}"/>
    <cellStyle name="40% - Accent2 2 2 2 2 2" xfId="4961" xr:uid="{00000000-0005-0000-0000-000082330000}"/>
    <cellStyle name="40% - Accent2 2 2 2 2 2 2" xfId="8552" xr:uid="{00000000-0005-0000-0000-000083330000}"/>
    <cellStyle name="40% - Accent2 2 2 2 2 2 2 2" xfId="16523" xr:uid="{00000000-0005-0000-0000-000084330000}"/>
    <cellStyle name="40% - Accent2 2 2 2 2 2 2 2 2" xfId="40366" xr:uid="{1704DBB4-EA1E-450A-9F34-24EEFC7C4CD5}"/>
    <cellStyle name="40% - Accent2 2 2 2 2 2 2 3" xfId="24469" xr:uid="{00000000-0005-0000-0000-000085330000}"/>
    <cellStyle name="40% - Accent2 2 2 2 2 2 2 3 2" xfId="48302" xr:uid="{DEA78F36-2CBB-43EF-97D1-7F64B087397A}"/>
    <cellStyle name="40% - Accent2 2 2 2 2 2 2 4" xfId="32425" xr:uid="{7D890616-FB50-44E9-985A-10893739D7E2}"/>
    <cellStyle name="40% - Accent2 2 2 2 2 2 3" xfId="12985" xr:uid="{00000000-0005-0000-0000-000086330000}"/>
    <cellStyle name="40% - Accent2 2 2 2 2 2 3 2" xfId="36835" xr:uid="{F1E0A8C5-E44C-451E-BD06-12BA6BF92338}"/>
    <cellStyle name="40% - Accent2 2 2 2 2 2 4" xfId="20940" xr:uid="{00000000-0005-0000-0000-000087330000}"/>
    <cellStyle name="40% - Accent2 2 2 2 2 2 4 2" xfId="44773" xr:uid="{60B0F8A5-A39F-4FB3-8CC1-9415A7022E22}"/>
    <cellStyle name="40% - Accent2 2 2 2 2 2 5" xfId="28894" xr:uid="{E09C96FF-2C0F-45D3-9A36-E21F28DF5DB6}"/>
    <cellStyle name="40% - Accent2 2 2 2 2 3" xfId="6793" xr:uid="{00000000-0005-0000-0000-000088330000}"/>
    <cellStyle name="40% - Accent2 2 2 2 2 3 2" xfId="14765" xr:uid="{00000000-0005-0000-0000-000089330000}"/>
    <cellStyle name="40% - Accent2 2 2 2 2 3 2 2" xfId="38608" xr:uid="{1200CF8C-F03E-4E2B-A3B8-A4A8F8204194}"/>
    <cellStyle name="40% - Accent2 2 2 2 2 3 3" xfId="22712" xr:uid="{00000000-0005-0000-0000-00008A330000}"/>
    <cellStyle name="40% - Accent2 2 2 2 2 3 3 2" xfId="46545" xr:uid="{3F12C9F8-4AF6-40D2-9666-154E58528E22}"/>
    <cellStyle name="40% - Accent2 2 2 2 2 3 4" xfId="30667" xr:uid="{4BFE675C-4C2C-4374-A177-003E536923A7}"/>
    <cellStyle name="40% - Accent2 2 2 2 2 4" xfId="11229" xr:uid="{00000000-0005-0000-0000-00008B330000}"/>
    <cellStyle name="40% - Accent2 2 2 2 2 4 2" xfId="35079" xr:uid="{F3832FFD-456D-47DB-9EAF-7F9BB9C762B8}"/>
    <cellStyle name="40% - Accent2 2 2 2 2 5" xfId="19184" xr:uid="{00000000-0005-0000-0000-00008C330000}"/>
    <cellStyle name="40% - Accent2 2 2 2 2 5 2" xfId="43017" xr:uid="{7DD76765-D454-4F30-B67F-B7E8748506E9}"/>
    <cellStyle name="40% - Accent2 2 2 2 2 6" xfId="27137" xr:uid="{FB38D6C1-2566-4FE9-AE5E-659A1E490B2C}"/>
    <cellStyle name="40% - Accent2 2 2 2 2_Exh G" xfId="2852" xr:uid="{00000000-0005-0000-0000-00008D330000}"/>
    <cellStyle name="40% - Accent2 2 2 2 3" xfId="4082" xr:uid="{00000000-0005-0000-0000-00008E330000}"/>
    <cellStyle name="40% - Accent2 2 2 2 3 2" xfId="7674" xr:uid="{00000000-0005-0000-0000-00008F330000}"/>
    <cellStyle name="40% - Accent2 2 2 2 3 2 2" xfId="15645" xr:uid="{00000000-0005-0000-0000-000090330000}"/>
    <cellStyle name="40% - Accent2 2 2 2 3 2 2 2" xfId="39488" xr:uid="{22B861F1-ED6F-4BA2-A777-083DFCAF2C48}"/>
    <cellStyle name="40% - Accent2 2 2 2 3 2 3" xfId="23591" xr:uid="{00000000-0005-0000-0000-000091330000}"/>
    <cellStyle name="40% - Accent2 2 2 2 3 2 3 2" xfId="47424" xr:uid="{84235A2B-BE47-4E6B-B4E3-0ED36184F13B}"/>
    <cellStyle name="40% - Accent2 2 2 2 3 2 4" xfId="31547" xr:uid="{355E0774-F7D6-4A03-9C4C-E397C3B75BF5}"/>
    <cellStyle name="40% - Accent2 2 2 2 3 3" xfId="12107" xr:uid="{00000000-0005-0000-0000-000092330000}"/>
    <cellStyle name="40% - Accent2 2 2 2 3 3 2" xfId="35957" xr:uid="{EED9B4D2-A309-4CD0-BBE8-5C8D35AAD386}"/>
    <cellStyle name="40% - Accent2 2 2 2 3 4" xfId="20062" xr:uid="{00000000-0005-0000-0000-000093330000}"/>
    <cellStyle name="40% - Accent2 2 2 2 3 4 2" xfId="43895" xr:uid="{131AED72-64F7-4402-BEF2-5394AC92DDD5}"/>
    <cellStyle name="40% - Accent2 2 2 2 3 5" xfId="28016" xr:uid="{045F714F-E76F-4289-8733-6988955263A8}"/>
    <cellStyle name="40% - Accent2 2 2 2 4" xfId="5902" xr:uid="{00000000-0005-0000-0000-000094330000}"/>
    <cellStyle name="40% - Accent2 2 2 2 4 2" xfId="13886" xr:uid="{00000000-0005-0000-0000-000095330000}"/>
    <cellStyle name="40% - Accent2 2 2 2 4 2 2" xfId="37730" xr:uid="{A6816FCF-1082-4BA8-A6A0-86B510E90CFA}"/>
    <cellStyle name="40% - Accent2 2 2 2 4 3" xfId="21834" xr:uid="{00000000-0005-0000-0000-000096330000}"/>
    <cellStyle name="40% - Accent2 2 2 2 4 3 2" xfId="45667" xr:uid="{F886982C-200C-4A96-9245-F45C6E66D6B6}"/>
    <cellStyle name="40% - Accent2 2 2 2 4 4" xfId="29789" xr:uid="{F2B366B6-2437-48DD-8557-2CA83E353738}"/>
    <cellStyle name="40% - Accent2 2 2 2 5" xfId="9455" xr:uid="{00000000-0005-0000-0000-000097330000}"/>
    <cellStyle name="40% - Accent2 2 2 2 5 2" xfId="17413" xr:uid="{00000000-0005-0000-0000-000098330000}"/>
    <cellStyle name="40% - Accent2 2 2 2 5 2 2" xfId="41254" xr:uid="{5E61F4DE-084B-4847-B5AE-24A611D345AE}"/>
    <cellStyle name="40% - Accent2 2 2 2 5 3" xfId="25357" xr:uid="{00000000-0005-0000-0000-000099330000}"/>
    <cellStyle name="40% - Accent2 2 2 2 5 3 2" xfId="49190" xr:uid="{DEF3D8EE-834A-4C9D-B28B-00942A1BA150}"/>
    <cellStyle name="40% - Accent2 2 2 2 5 4" xfId="33313" xr:uid="{DA78D494-C1D0-46F9-8EBE-C824D28CB01F}"/>
    <cellStyle name="40% - Accent2 2 2 2 6" xfId="10351" xr:uid="{00000000-0005-0000-0000-00009A330000}"/>
    <cellStyle name="40% - Accent2 2 2 2 6 2" xfId="34201" xr:uid="{311778E9-6F4A-4722-AB49-8FB01E7AAD39}"/>
    <cellStyle name="40% - Accent2 2 2 2 7" xfId="18306" xr:uid="{00000000-0005-0000-0000-00009B330000}"/>
    <cellStyle name="40% - Accent2 2 2 2 7 2" xfId="42139" xr:uid="{ECCC43AE-60A5-4E4A-BBA9-98F5E4F74613}"/>
    <cellStyle name="40% - Accent2 2 2 2 8" xfId="26259" xr:uid="{A9283E2C-A44B-4312-A9E0-CF995AF945F3}"/>
    <cellStyle name="40% - Accent2 2 2 2_Exh G" xfId="2851" xr:uid="{00000000-0005-0000-0000-00009C330000}"/>
    <cellStyle name="40% - Accent2 2 2 3" xfId="948" xr:uid="{00000000-0005-0000-0000-00009D330000}"/>
    <cellStyle name="40% - Accent2 2 2 3 2" xfId="1870" xr:uid="{00000000-0005-0000-0000-00009E330000}"/>
    <cellStyle name="40% - Accent2 2 2 3 2 2" xfId="5388" xr:uid="{00000000-0005-0000-0000-00009F330000}"/>
    <cellStyle name="40% - Accent2 2 2 3 2 2 2" xfId="8979" xr:uid="{00000000-0005-0000-0000-0000A0330000}"/>
    <cellStyle name="40% - Accent2 2 2 3 2 2 2 2" xfId="16950" xr:uid="{00000000-0005-0000-0000-0000A1330000}"/>
    <cellStyle name="40% - Accent2 2 2 3 2 2 2 2 2" xfId="40793" xr:uid="{765DCC54-8167-4C09-A614-37BE1AC5FA9E}"/>
    <cellStyle name="40% - Accent2 2 2 3 2 2 2 3" xfId="24896" xr:uid="{00000000-0005-0000-0000-0000A2330000}"/>
    <cellStyle name="40% - Accent2 2 2 3 2 2 2 3 2" xfId="48729" xr:uid="{4C0283D4-135E-44AC-8F53-D9498ED187CC}"/>
    <cellStyle name="40% - Accent2 2 2 3 2 2 2 4" xfId="32852" xr:uid="{DE923CFC-A2EA-4841-8CA8-859A4A13F1D0}"/>
    <cellStyle name="40% - Accent2 2 2 3 2 2 3" xfId="13412" xr:uid="{00000000-0005-0000-0000-0000A3330000}"/>
    <cellStyle name="40% - Accent2 2 2 3 2 2 3 2" xfId="37262" xr:uid="{70C341DF-7DCD-423D-9D59-32E3050E510B}"/>
    <cellStyle name="40% - Accent2 2 2 3 2 2 4" xfId="21367" xr:uid="{00000000-0005-0000-0000-0000A4330000}"/>
    <cellStyle name="40% - Accent2 2 2 3 2 2 4 2" xfId="45200" xr:uid="{20B16816-1373-4DD8-BE13-5421B0105114}"/>
    <cellStyle name="40% - Accent2 2 2 3 2 2 5" xfId="29321" xr:uid="{4DEC3F04-7614-490E-BB30-4F0374B0B508}"/>
    <cellStyle name="40% - Accent2 2 2 3 2 3" xfId="7220" xr:uid="{00000000-0005-0000-0000-0000A5330000}"/>
    <cellStyle name="40% - Accent2 2 2 3 2 3 2" xfId="15192" xr:uid="{00000000-0005-0000-0000-0000A6330000}"/>
    <cellStyle name="40% - Accent2 2 2 3 2 3 2 2" xfId="39035" xr:uid="{DDCDCADA-8421-4F8D-B802-7875F150EE47}"/>
    <cellStyle name="40% - Accent2 2 2 3 2 3 3" xfId="23139" xr:uid="{00000000-0005-0000-0000-0000A7330000}"/>
    <cellStyle name="40% - Accent2 2 2 3 2 3 3 2" xfId="46972" xr:uid="{DDC9F4B0-E82F-45E3-AD1C-161381185CC4}"/>
    <cellStyle name="40% - Accent2 2 2 3 2 3 4" xfId="31094" xr:uid="{00D51E91-EF68-44DF-AEF8-16147D9796B6}"/>
    <cellStyle name="40% - Accent2 2 2 3 2 4" xfId="11656" xr:uid="{00000000-0005-0000-0000-0000A8330000}"/>
    <cellStyle name="40% - Accent2 2 2 3 2 4 2" xfId="35506" xr:uid="{066DF82C-5DF1-4954-BF29-C9D04D4288DC}"/>
    <cellStyle name="40% - Accent2 2 2 3 2 5" xfId="19611" xr:uid="{00000000-0005-0000-0000-0000A9330000}"/>
    <cellStyle name="40% - Accent2 2 2 3 2 5 2" xfId="43444" xr:uid="{5FC8B52D-17B2-4A2C-8E9B-65CD36A12AF6}"/>
    <cellStyle name="40% - Accent2 2 2 3 2 6" xfId="27564" xr:uid="{9BECA483-3E4E-45A1-8679-42711C76628B}"/>
    <cellStyle name="40% - Accent2 2 2 3 2_Exh G" xfId="2854" xr:uid="{00000000-0005-0000-0000-0000AA330000}"/>
    <cellStyle name="40% - Accent2 2 2 3 3" xfId="4509" xr:uid="{00000000-0005-0000-0000-0000AB330000}"/>
    <cellStyle name="40% - Accent2 2 2 3 3 2" xfId="8101" xr:uid="{00000000-0005-0000-0000-0000AC330000}"/>
    <cellStyle name="40% - Accent2 2 2 3 3 2 2" xfId="16072" xr:uid="{00000000-0005-0000-0000-0000AD330000}"/>
    <cellStyle name="40% - Accent2 2 2 3 3 2 2 2" xfId="39915" xr:uid="{A2FE9FBB-9DA1-4B78-ABF0-9DA7841B5164}"/>
    <cellStyle name="40% - Accent2 2 2 3 3 2 3" xfId="24018" xr:uid="{00000000-0005-0000-0000-0000AE330000}"/>
    <cellStyle name="40% - Accent2 2 2 3 3 2 3 2" xfId="47851" xr:uid="{37781BFE-2DEC-498F-A192-5E564F662A41}"/>
    <cellStyle name="40% - Accent2 2 2 3 3 2 4" xfId="31974" xr:uid="{10BB9A32-809D-45A6-8056-D49D02847505}"/>
    <cellStyle name="40% - Accent2 2 2 3 3 3" xfId="12534" xr:uid="{00000000-0005-0000-0000-0000AF330000}"/>
    <cellStyle name="40% - Accent2 2 2 3 3 3 2" xfId="36384" xr:uid="{F062052F-B75D-45B0-BDB5-F14DB4C17C55}"/>
    <cellStyle name="40% - Accent2 2 2 3 3 4" xfId="20489" xr:uid="{00000000-0005-0000-0000-0000B0330000}"/>
    <cellStyle name="40% - Accent2 2 2 3 3 4 2" xfId="44322" xr:uid="{473616B6-F7C1-4CD3-864B-19A0004E8B41}"/>
    <cellStyle name="40% - Accent2 2 2 3 3 5" xfId="28443" xr:uid="{6D8F8EC3-A626-4F45-8E3A-A69F75F604FD}"/>
    <cellStyle name="40% - Accent2 2 2 3 4" xfId="6339" xr:uid="{00000000-0005-0000-0000-0000B1330000}"/>
    <cellStyle name="40% - Accent2 2 2 3 4 2" xfId="14314" xr:uid="{00000000-0005-0000-0000-0000B2330000}"/>
    <cellStyle name="40% - Accent2 2 2 3 4 2 2" xfId="38157" xr:uid="{9FBAB19A-9E73-4050-9C78-6CA05FF67454}"/>
    <cellStyle name="40% - Accent2 2 2 3 4 3" xfId="22261" xr:uid="{00000000-0005-0000-0000-0000B3330000}"/>
    <cellStyle name="40% - Accent2 2 2 3 4 3 2" xfId="46094" xr:uid="{CC4406E7-3E66-49B8-A845-505D88E50B8B}"/>
    <cellStyle name="40% - Accent2 2 2 3 4 4" xfId="30216" xr:uid="{0D9FECE6-3C8A-445A-870D-2FC750D74A75}"/>
    <cellStyle name="40% - Accent2 2 2 3 5" xfId="9882" xr:uid="{00000000-0005-0000-0000-0000B4330000}"/>
    <cellStyle name="40% - Accent2 2 2 3 5 2" xfId="17840" xr:uid="{00000000-0005-0000-0000-0000B5330000}"/>
    <cellStyle name="40% - Accent2 2 2 3 5 2 2" xfId="41681" xr:uid="{5EAE8648-C21A-431E-ACB1-3F61E5D89504}"/>
    <cellStyle name="40% - Accent2 2 2 3 5 3" xfId="25784" xr:uid="{00000000-0005-0000-0000-0000B6330000}"/>
    <cellStyle name="40% - Accent2 2 2 3 5 3 2" xfId="49617" xr:uid="{1D581DC6-A3B6-4365-B19E-4BA1B1C7AA41}"/>
    <cellStyle name="40% - Accent2 2 2 3 5 4" xfId="33740" xr:uid="{DEFEB960-E317-4CBE-B0F1-BDB2394011C4}"/>
    <cellStyle name="40% - Accent2 2 2 3 6" xfId="10778" xr:uid="{00000000-0005-0000-0000-0000B7330000}"/>
    <cellStyle name="40% - Accent2 2 2 3 6 2" xfId="34628" xr:uid="{231155F1-5D0C-4B9B-A51B-021CF9723F40}"/>
    <cellStyle name="40% - Accent2 2 2 3 7" xfId="18733" xr:uid="{00000000-0005-0000-0000-0000B8330000}"/>
    <cellStyle name="40% - Accent2 2 2 3 7 2" xfId="42566" xr:uid="{7D2436E7-5EEB-4D02-8373-981CEAABBD46}"/>
    <cellStyle name="40% - Accent2 2 2 3 8" xfId="26686" xr:uid="{169CE96A-7E81-47F0-BE7C-035E291F1E1C}"/>
    <cellStyle name="40% - Accent2 2 2 3_Exh G" xfId="2853" xr:uid="{00000000-0005-0000-0000-0000B9330000}"/>
    <cellStyle name="40% - Accent2 2 2 4" xfId="1430" xr:uid="{00000000-0005-0000-0000-0000BA330000}"/>
    <cellStyle name="40% - Accent2 2 2 4 2" xfId="4960" xr:uid="{00000000-0005-0000-0000-0000BB330000}"/>
    <cellStyle name="40% - Accent2 2 2 4 2 2" xfId="8551" xr:uid="{00000000-0005-0000-0000-0000BC330000}"/>
    <cellStyle name="40% - Accent2 2 2 4 2 2 2" xfId="16522" xr:uid="{00000000-0005-0000-0000-0000BD330000}"/>
    <cellStyle name="40% - Accent2 2 2 4 2 2 2 2" xfId="40365" xr:uid="{4206BB36-C6CE-4B4E-AE29-9F45F0FB6608}"/>
    <cellStyle name="40% - Accent2 2 2 4 2 2 3" xfId="24468" xr:uid="{00000000-0005-0000-0000-0000BE330000}"/>
    <cellStyle name="40% - Accent2 2 2 4 2 2 3 2" xfId="48301" xr:uid="{85AF9448-7616-40A9-8DE6-2C82895E3D47}"/>
    <cellStyle name="40% - Accent2 2 2 4 2 2 4" xfId="32424" xr:uid="{E4D672BD-6556-4CBE-A077-1044DC23D6D3}"/>
    <cellStyle name="40% - Accent2 2 2 4 2 3" xfId="12984" xr:uid="{00000000-0005-0000-0000-0000BF330000}"/>
    <cellStyle name="40% - Accent2 2 2 4 2 3 2" xfId="36834" xr:uid="{E2819DDF-AAAD-4640-A1F4-EDAAC7F3B78A}"/>
    <cellStyle name="40% - Accent2 2 2 4 2 4" xfId="20939" xr:uid="{00000000-0005-0000-0000-0000C0330000}"/>
    <cellStyle name="40% - Accent2 2 2 4 2 4 2" xfId="44772" xr:uid="{613D892E-79A0-47EB-BB39-E555535003CE}"/>
    <cellStyle name="40% - Accent2 2 2 4 2 5" xfId="28893" xr:uid="{0866C027-DF17-4ABA-B6B3-63E1F97CECDC}"/>
    <cellStyle name="40% - Accent2 2 2 4 3" xfId="6792" xr:uid="{00000000-0005-0000-0000-0000C1330000}"/>
    <cellStyle name="40% - Accent2 2 2 4 3 2" xfId="14764" xr:uid="{00000000-0005-0000-0000-0000C2330000}"/>
    <cellStyle name="40% - Accent2 2 2 4 3 2 2" xfId="38607" xr:uid="{26450BFB-C389-42D2-AB36-D2D7ECA5EDD0}"/>
    <cellStyle name="40% - Accent2 2 2 4 3 3" xfId="22711" xr:uid="{00000000-0005-0000-0000-0000C3330000}"/>
    <cellStyle name="40% - Accent2 2 2 4 3 3 2" xfId="46544" xr:uid="{BA4946F8-D1C1-44D9-B15D-577537A43229}"/>
    <cellStyle name="40% - Accent2 2 2 4 3 4" xfId="30666" xr:uid="{E8595A5C-2032-45F9-8F94-E22C0A025FA4}"/>
    <cellStyle name="40% - Accent2 2 2 4 4" xfId="11228" xr:uid="{00000000-0005-0000-0000-0000C4330000}"/>
    <cellStyle name="40% - Accent2 2 2 4 4 2" xfId="35078" xr:uid="{7A4372D0-FDE5-4F50-84ED-85AC4FCB0FD0}"/>
    <cellStyle name="40% - Accent2 2 2 4 5" xfId="19183" xr:uid="{00000000-0005-0000-0000-0000C5330000}"/>
    <cellStyle name="40% - Accent2 2 2 4 5 2" xfId="43016" xr:uid="{27364803-79BE-4CB8-B11E-C68166896EF4}"/>
    <cellStyle name="40% - Accent2 2 2 4 6" xfId="27136" xr:uid="{687B6FB5-E07C-4B7F-A16A-6C01FD03130D}"/>
    <cellStyle name="40% - Accent2 2 2 4_Exh G" xfId="2855" xr:uid="{00000000-0005-0000-0000-0000C6330000}"/>
    <cellStyle name="40% - Accent2 2 2 5" xfId="4081" xr:uid="{00000000-0005-0000-0000-0000C7330000}"/>
    <cellStyle name="40% - Accent2 2 2 5 2" xfId="7673" xr:uid="{00000000-0005-0000-0000-0000C8330000}"/>
    <cellStyle name="40% - Accent2 2 2 5 2 2" xfId="15644" xr:uid="{00000000-0005-0000-0000-0000C9330000}"/>
    <cellStyle name="40% - Accent2 2 2 5 2 2 2" xfId="39487" xr:uid="{EA53F49D-EC24-45E4-9980-FDDF64643A38}"/>
    <cellStyle name="40% - Accent2 2 2 5 2 3" xfId="23590" xr:uid="{00000000-0005-0000-0000-0000CA330000}"/>
    <cellStyle name="40% - Accent2 2 2 5 2 3 2" xfId="47423" xr:uid="{B63A41A5-A346-42E8-8C73-9C7C78B39572}"/>
    <cellStyle name="40% - Accent2 2 2 5 2 4" xfId="31546" xr:uid="{E3873716-BD8B-4231-9802-2697EA31F3EA}"/>
    <cellStyle name="40% - Accent2 2 2 5 3" xfId="12106" xr:uid="{00000000-0005-0000-0000-0000CB330000}"/>
    <cellStyle name="40% - Accent2 2 2 5 3 2" xfId="35956" xr:uid="{9C259F39-FD8C-4592-BC5D-7D7093087C2C}"/>
    <cellStyle name="40% - Accent2 2 2 5 4" xfId="20061" xr:uid="{00000000-0005-0000-0000-0000CC330000}"/>
    <cellStyle name="40% - Accent2 2 2 5 4 2" xfId="43894" xr:uid="{ACA132E2-C92C-4A36-B713-43E4B920C596}"/>
    <cellStyle name="40% - Accent2 2 2 5 5" xfId="28015" xr:uid="{75A11D2C-4DEC-482E-8161-15309735037C}"/>
    <cellStyle name="40% - Accent2 2 2 6" xfId="5901" xr:uid="{00000000-0005-0000-0000-0000CD330000}"/>
    <cellStyle name="40% - Accent2 2 2 6 2" xfId="13885" xr:uid="{00000000-0005-0000-0000-0000CE330000}"/>
    <cellStyle name="40% - Accent2 2 2 6 2 2" xfId="37729" xr:uid="{AB7B055F-2D92-45C0-83F6-D2B830239009}"/>
    <cellStyle name="40% - Accent2 2 2 6 3" xfId="21833" xr:uid="{00000000-0005-0000-0000-0000CF330000}"/>
    <cellStyle name="40% - Accent2 2 2 6 3 2" xfId="45666" xr:uid="{9B0959F6-0647-46FB-9BDF-0D4D14628893}"/>
    <cellStyle name="40% - Accent2 2 2 6 4" xfId="29788" xr:uid="{8FE5BC22-8AC4-4AAC-84DB-E1E098DC8EC7}"/>
    <cellStyle name="40% - Accent2 2 2 7" xfId="9454" xr:uid="{00000000-0005-0000-0000-0000D0330000}"/>
    <cellStyle name="40% - Accent2 2 2 7 2" xfId="17412" xr:uid="{00000000-0005-0000-0000-0000D1330000}"/>
    <cellStyle name="40% - Accent2 2 2 7 2 2" xfId="41253" xr:uid="{9A173E69-7E7D-4512-9CB7-5EDA09F81927}"/>
    <cellStyle name="40% - Accent2 2 2 7 3" xfId="25356" xr:uid="{00000000-0005-0000-0000-0000D2330000}"/>
    <cellStyle name="40% - Accent2 2 2 7 3 2" xfId="49189" xr:uid="{614FF4A9-6309-40C2-97D7-F76EB74A4E36}"/>
    <cellStyle name="40% - Accent2 2 2 7 4" xfId="33312" xr:uid="{9E9619AC-64BD-4CEF-9E40-28BD45BC675C}"/>
    <cellStyle name="40% - Accent2 2 2 8" xfId="10350" xr:uid="{00000000-0005-0000-0000-0000D3330000}"/>
    <cellStyle name="40% - Accent2 2 2 8 2" xfId="34200" xr:uid="{771516FD-CFB8-479B-B10B-E8A357C25E3C}"/>
    <cellStyle name="40% - Accent2 2 2 9" xfId="18305" xr:uid="{00000000-0005-0000-0000-0000D4330000}"/>
    <cellStyle name="40% - Accent2 2 2 9 2" xfId="42138" xr:uid="{6B6197CF-8507-4DF3-A78E-7BC21450131A}"/>
    <cellStyle name="40% - Accent2 2 2_Exh G" xfId="2850" xr:uid="{00000000-0005-0000-0000-0000D5330000}"/>
    <cellStyle name="40% - Accent2 2 3" xfId="404" xr:uid="{00000000-0005-0000-0000-0000D6330000}"/>
    <cellStyle name="40% - Accent2 2 3 2" xfId="1432" xr:uid="{00000000-0005-0000-0000-0000D7330000}"/>
    <cellStyle name="40% - Accent2 2 3 2 2" xfId="4962" xr:uid="{00000000-0005-0000-0000-0000D8330000}"/>
    <cellStyle name="40% - Accent2 2 3 2 2 2" xfId="8553" xr:uid="{00000000-0005-0000-0000-0000D9330000}"/>
    <cellStyle name="40% - Accent2 2 3 2 2 2 2" xfId="16524" xr:uid="{00000000-0005-0000-0000-0000DA330000}"/>
    <cellStyle name="40% - Accent2 2 3 2 2 2 2 2" xfId="40367" xr:uid="{974B6D21-3FC0-4B7E-83DC-028B5DD89F4A}"/>
    <cellStyle name="40% - Accent2 2 3 2 2 2 3" xfId="24470" xr:uid="{00000000-0005-0000-0000-0000DB330000}"/>
    <cellStyle name="40% - Accent2 2 3 2 2 2 3 2" xfId="48303" xr:uid="{DB5D4509-986A-4747-9D6B-AA6C52647FCF}"/>
    <cellStyle name="40% - Accent2 2 3 2 2 2 4" xfId="32426" xr:uid="{ECAA99BD-66CF-41FE-A438-E6A6BF4F18FA}"/>
    <cellStyle name="40% - Accent2 2 3 2 2 3" xfId="12986" xr:uid="{00000000-0005-0000-0000-0000DC330000}"/>
    <cellStyle name="40% - Accent2 2 3 2 2 3 2" xfId="36836" xr:uid="{D28A24E1-BE61-4377-B4AC-7C5DDC75484F}"/>
    <cellStyle name="40% - Accent2 2 3 2 2 4" xfId="20941" xr:uid="{00000000-0005-0000-0000-0000DD330000}"/>
    <cellStyle name="40% - Accent2 2 3 2 2 4 2" xfId="44774" xr:uid="{1DB9A4D0-47DB-4CB0-9DAC-5B599A40C73F}"/>
    <cellStyle name="40% - Accent2 2 3 2 2 5" xfId="28895" xr:uid="{2C8DC5B1-60DC-4DCD-B0A0-DAE06610A7DD}"/>
    <cellStyle name="40% - Accent2 2 3 2 3" xfId="6794" xr:uid="{00000000-0005-0000-0000-0000DE330000}"/>
    <cellStyle name="40% - Accent2 2 3 2 3 2" xfId="14766" xr:uid="{00000000-0005-0000-0000-0000DF330000}"/>
    <cellStyle name="40% - Accent2 2 3 2 3 2 2" xfId="38609" xr:uid="{82359C74-B943-4692-A899-9D153987E1C8}"/>
    <cellStyle name="40% - Accent2 2 3 2 3 3" xfId="22713" xr:uid="{00000000-0005-0000-0000-0000E0330000}"/>
    <cellStyle name="40% - Accent2 2 3 2 3 3 2" xfId="46546" xr:uid="{3E44DA10-023B-465B-B832-E8BCDC88EBDC}"/>
    <cellStyle name="40% - Accent2 2 3 2 3 4" xfId="30668" xr:uid="{2A09457D-447B-4539-9EA6-B06507CAC52B}"/>
    <cellStyle name="40% - Accent2 2 3 2 4" xfId="11230" xr:uid="{00000000-0005-0000-0000-0000E1330000}"/>
    <cellStyle name="40% - Accent2 2 3 2 4 2" xfId="35080" xr:uid="{B93A0673-5DA9-4C8D-9A8F-659E85C40338}"/>
    <cellStyle name="40% - Accent2 2 3 2 5" xfId="19185" xr:uid="{00000000-0005-0000-0000-0000E2330000}"/>
    <cellStyle name="40% - Accent2 2 3 2 5 2" xfId="43018" xr:uid="{7DA4E2C9-576D-4A3E-A510-C92D7E0086B7}"/>
    <cellStyle name="40% - Accent2 2 3 2 6" xfId="27138" xr:uid="{B6EE3830-F157-4F53-8D65-C2E841436372}"/>
    <cellStyle name="40% - Accent2 2 3 2_Exh G" xfId="2857" xr:uid="{00000000-0005-0000-0000-0000E3330000}"/>
    <cellStyle name="40% - Accent2 2 3 3" xfId="4083" xr:uid="{00000000-0005-0000-0000-0000E4330000}"/>
    <cellStyle name="40% - Accent2 2 3 3 2" xfId="7675" xr:uid="{00000000-0005-0000-0000-0000E5330000}"/>
    <cellStyle name="40% - Accent2 2 3 3 2 2" xfId="15646" xr:uid="{00000000-0005-0000-0000-0000E6330000}"/>
    <cellStyle name="40% - Accent2 2 3 3 2 2 2" xfId="39489" xr:uid="{5ADC4333-76A1-44A5-96FE-AFD72045F87D}"/>
    <cellStyle name="40% - Accent2 2 3 3 2 3" xfId="23592" xr:uid="{00000000-0005-0000-0000-0000E7330000}"/>
    <cellStyle name="40% - Accent2 2 3 3 2 3 2" xfId="47425" xr:uid="{D4F81AD4-DD10-4E6A-B776-1BAE8B397F4E}"/>
    <cellStyle name="40% - Accent2 2 3 3 2 4" xfId="31548" xr:uid="{BA96CA90-6044-41D3-9D88-F45253F9F25E}"/>
    <cellStyle name="40% - Accent2 2 3 3 3" xfId="12108" xr:uid="{00000000-0005-0000-0000-0000E8330000}"/>
    <cellStyle name="40% - Accent2 2 3 3 3 2" xfId="35958" xr:uid="{F3FDF94E-83B0-444F-8258-EB929609BC50}"/>
    <cellStyle name="40% - Accent2 2 3 3 4" xfId="20063" xr:uid="{00000000-0005-0000-0000-0000E9330000}"/>
    <cellStyle name="40% - Accent2 2 3 3 4 2" xfId="43896" xr:uid="{0306D9DB-474C-470A-9D14-2D47587BC467}"/>
    <cellStyle name="40% - Accent2 2 3 3 5" xfId="28017" xr:uid="{33D44F29-4645-4A28-B614-1AF1F599F0F8}"/>
    <cellStyle name="40% - Accent2 2 3 4" xfId="5903" xr:uid="{00000000-0005-0000-0000-0000EA330000}"/>
    <cellStyle name="40% - Accent2 2 3 4 2" xfId="13887" xr:uid="{00000000-0005-0000-0000-0000EB330000}"/>
    <cellStyle name="40% - Accent2 2 3 4 2 2" xfId="37731" xr:uid="{BA4AECBE-0E3C-485D-97EA-5F0D5AFE303B}"/>
    <cellStyle name="40% - Accent2 2 3 4 3" xfId="21835" xr:uid="{00000000-0005-0000-0000-0000EC330000}"/>
    <cellStyle name="40% - Accent2 2 3 4 3 2" xfId="45668" xr:uid="{070AB0B4-A0D6-4638-9965-AB6AE848DE8E}"/>
    <cellStyle name="40% - Accent2 2 3 4 4" xfId="29790" xr:uid="{D45FCE2E-9E30-42AF-8CD7-95B631E43B30}"/>
    <cellStyle name="40% - Accent2 2 3 5" xfId="9456" xr:uid="{00000000-0005-0000-0000-0000ED330000}"/>
    <cellStyle name="40% - Accent2 2 3 5 2" xfId="17414" xr:uid="{00000000-0005-0000-0000-0000EE330000}"/>
    <cellStyle name="40% - Accent2 2 3 5 2 2" xfId="41255" xr:uid="{56D3B245-3FC2-4752-AED2-6A54E466C329}"/>
    <cellStyle name="40% - Accent2 2 3 5 3" xfId="25358" xr:uid="{00000000-0005-0000-0000-0000EF330000}"/>
    <cellStyle name="40% - Accent2 2 3 5 3 2" xfId="49191" xr:uid="{0822C299-D287-4F52-990A-F199BFDD8589}"/>
    <cellStyle name="40% - Accent2 2 3 5 4" xfId="33314" xr:uid="{65F111E4-A43E-4193-9F6C-2E83B5EA25AC}"/>
    <cellStyle name="40% - Accent2 2 3 6" xfId="10352" xr:uid="{00000000-0005-0000-0000-0000F0330000}"/>
    <cellStyle name="40% - Accent2 2 3 6 2" xfId="34202" xr:uid="{6572B18A-64BB-49DA-A463-50724204CCF5}"/>
    <cellStyle name="40% - Accent2 2 3 7" xfId="18307" xr:uid="{00000000-0005-0000-0000-0000F1330000}"/>
    <cellStyle name="40% - Accent2 2 3 7 2" xfId="42140" xr:uid="{7BC3E964-CD3B-443D-BCB7-A2639B2A8FD2}"/>
    <cellStyle name="40% - Accent2 2 3 8" xfId="26260" xr:uid="{6663CD58-7528-4D87-915C-6DDEFB6C551C}"/>
    <cellStyle name="40% - Accent2 2 3_Exh G" xfId="2856" xr:uid="{00000000-0005-0000-0000-0000F2330000}"/>
    <cellStyle name="40% - Accent2 2 4" xfId="947" xr:uid="{00000000-0005-0000-0000-0000F3330000}"/>
    <cellStyle name="40% - Accent2 2 4 2" xfId="1869" xr:uid="{00000000-0005-0000-0000-0000F4330000}"/>
    <cellStyle name="40% - Accent2 2 4 2 2" xfId="5387" xr:uid="{00000000-0005-0000-0000-0000F5330000}"/>
    <cellStyle name="40% - Accent2 2 4 2 2 2" xfId="8978" xr:uid="{00000000-0005-0000-0000-0000F6330000}"/>
    <cellStyle name="40% - Accent2 2 4 2 2 2 2" xfId="16949" xr:uid="{00000000-0005-0000-0000-0000F7330000}"/>
    <cellStyle name="40% - Accent2 2 4 2 2 2 2 2" xfId="40792" xr:uid="{99AF3BC1-C898-4C42-8D37-EC54D6429561}"/>
    <cellStyle name="40% - Accent2 2 4 2 2 2 3" xfId="24895" xr:uid="{00000000-0005-0000-0000-0000F8330000}"/>
    <cellStyle name="40% - Accent2 2 4 2 2 2 3 2" xfId="48728" xr:uid="{9BB7A0FF-FD35-4637-8344-9E0D89407524}"/>
    <cellStyle name="40% - Accent2 2 4 2 2 2 4" xfId="32851" xr:uid="{E4534421-A8C9-4F45-9597-F16EB884BCC0}"/>
    <cellStyle name="40% - Accent2 2 4 2 2 3" xfId="13411" xr:uid="{00000000-0005-0000-0000-0000F9330000}"/>
    <cellStyle name="40% - Accent2 2 4 2 2 3 2" xfId="37261" xr:uid="{31D24031-70DF-48AB-8816-21362D5BE085}"/>
    <cellStyle name="40% - Accent2 2 4 2 2 4" xfId="21366" xr:uid="{00000000-0005-0000-0000-0000FA330000}"/>
    <cellStyle name="40% - Accent2 2 4 2 2 4 2" xfId="45199" xr:uid="{A4B66D71-AAA5-45C3-BDEB-473D87EE58EE}"/>
    <cellStyle name="40% - Accent2 2 4 2 2 5" xfId="29320" xr:uid="{EED42B63-1AF2-4B04-96B9-F9980C856ADE}"/>
    <cellStyle name="40% - Accent2 2 4 2 3" xfId="7219" xr:uid="{00000000-0005-0000-0000-0000FB330000}"/>
    <cellStyle name="40% - Accent2 2 4 2 3 2" xfId="15191" xr:uid="{00000000-0005-0000-0000-0000FC330000}"/>
    <cellStyle name="40% - Accent2 2 4 2 3 2 2" xfId="39034" xr:uid="{95A5113C-A762-4B84-8D08-65D7BE4CA330}"/>
    <cellStyle name="40% - Accent2 2 4 2 3 3" xfId="23138" xr:uid="{00000000-0005-0000-0000-0000FD330000}"/>
    <cellStyle name="40% - Accent2 2 4 2 3 3 2" xfId="46971" xr:uid="{001E1183-4C98-4E23-9A07-28DAA3550381}"/>
    <cellStyle name="40% - Accent2 2 4 2 3 4" xfId="31093" xr:uid="{F6ABF4B8-9097-46AC-9495-970C226FBFAD}"/>
    <cellStyle name="40% - Accent2 2 4 2 4" xfId="11655" xr:uid="{00000000-0005-0000-0000-0000FE330000}"/>
    <cellStyle name="40% - Accent2 2 4 2 4 2" xfId="35505" xr:uid="{62645AB1-3C26-4793-871F-2C8FB4669EBD}"/>
    <cellStyle name="40% - Accent2 2 4 2 5" xfId="19610" xr:uid="{00000000-0005-0000-0000-0000FF330000}"/>
    <cellStyle name="40% - Accent2 2 4 2 5 2" xfId="43443" xr:uid="{FAE4C790-6A5D-4C3B-BD04-B52783BE7927}"/>
    <cellStyle name="40% - Accent2 2 4 2 6" xfId="27563" xr:uid="{B4878711-68CA-4464-AD13-128BB15CF73B}"/>
    <cellStyle name="40% - Accent2 2 4 2_Exh G" xfId="2859" xr:uid="{00000000-0005-0000-0000-000000340000}"/>
    <cellStyle name="40% - Accent2 2 4 3" xfId="4508" xr:uid="{00000000-0005-0000-0000-000001340000}"/>
    <cellStyle name="40% - Accent2 2 4 3 2" xfId="8100" xr:uid="{00000000-0005-0000-0000-000002340000}"/>
    <cellStyle name="40% - Accent2 2 4 3 2 2" xfId="16071" xr:uid="{00000000-0005-0000-0000-000003340000}"/>
    <cellStyle name="40% - Accent2 2 4 3 2 2 2" xfId="39914" xr:uid="{48956BC4-0F8D-43B5-8726-F4F6DCC66A18}"/>
    <cellStyle name="40% - Accent2 2 4 3 2 3" xfId="24017" xr:uid="{00000000-0005-0000-0000-000004340000}"/>
    <cellStyle name="40% - Accent2 2 4 3 2 3 2" xfId="47850" xr:uid="{AF74FC03-D0EB-4290-94D9-7A53F7D64B50}"/>
    <cellStyle name="40% - Accent2 2 4 3 2 4" xfId="31973" xr:uid="{6759DDF4-44B4-4B90-8F16-FAB74C520C33}"/>
    <cellStyle name="40% - Accent2 2 4 3 3" xfId="12533" xr:uid="{00000000-0005-0000-0000-000005340000}"/>
    <cellStyle name="40% - Accent2 2 4 3 3 2" xfId="36383" xr:uid="{7BD2B6A1-0598-413E-835D-676789C2FE41}"/>
    <cellStyle name="40% - Accent2 2 4 3 4" xfId="20488" xr:uid="{00000000-0005-0000-0000-000006340000}"/>
    <cellStyle name="40% - Accent2 2 4 3 4 2" xfId="44321" xr:uid="{3775A701-44C7-4011-9B2C-2FEB8E12BA81}"/>
    <cellStyle name="40% - Accent2 2 4 3 5" xfId="28442" xr:uid="{07B8D10B-7B00-48B7-A953-D2C7F0F11124}"/>
    <cellStyle name="40% - Accent2 2 4 4" xfId="6338" xr:uid="{00000000-0005-0000-0000-000007340000}"/>
    <cellStyle name="40% - Accent2 2 4 4 2" xfId="14313" xr:uid="{00000000-0005-0000-0000-000008340000}"/>
    <cellStyle name="40% - Accent2 2 4 4 2 2" xfId="38156" xr:uid="{39531239-90EC-4537-AA1C-6CA302E8AAD1}"/>
    <cellStyle name="40% - Accent2 2 4 4 3" xfId="22260" xr:uid="{00000000-0005-0000-0000-000009340000}"/>
    <cellStyle name="40% - Accent2 2 4 4 3 2" xfId="46093" xr:uid="{E2F8C587-D8AB-481D-82FD-BCDA665AA9F0}"/>
    <cellStyle name="40% - Accent2 2 4 4 4" xfId="30215" xr:uid="{A5664C72-93AE-4977-A789-85538ACD4D53}"/>
    <cellStyle name="40% - Accent2 2 4 5" xfId="9881" xr:uid="{00000000-0005-0000-0000-00000A340000}"/>
    <cellStyle name="40% - Accent2 2 4 5 2" xfId="17839" xr:uid="{00000000-0005-0000-0000-00000B340000}"/>
    <cellStyle name="40% - Accent2 2 4 5 2 2" xfId="41680" xr:uid="{54D9D43A-0A10-4A0C-A4B5-B38A5EF97C4E}"/>
    <cellStyle name="40% - Accent2 2 4 5 3" xfId="25783" xr:uid="{00000000-0005-0000-0000-00000C340000}"/>
    <cellStyle name="40% - Accent2 2 4 5 3 2" xfId="49616" xr:uid="{0A9F3D53-F7E7-46B1-A106-AC7CAF5874F0}"/>
    <cellStyle name="40% - Accent2 2 4 5 4" xfId="33739" xr:uid="{34E33349-25D2-4B0D-ABC1-70CCD0E0ACD4}"/>
    <cellStyle name="40% - Accent2 2 4 6" xfId="10777" xr:uid="{00000000-0005-0000-0000-00000D340000}"/>
    <cellStyle name="40% - Accent2 2 4 6 2" xfId="34627" xr:uid="{8EC8E62E-85A7-42BE-94A8-9E185473F009}"/>
    <cellStyle name="40% - Accent2 2 4 7" xfId="18732" xr:uid="{00000000-0005-0000-0000-00000E340000}"/>
    <cellStyle name="40% - Accent2 2 4 7 2" xfId="42565" xr:uid="{508A3345-F75C-47AF-B525-7973D75EBBBF}"/>
    <cellStyle name="40% - Accent2 2 4 8" xfId="26685" xr:uid="{CA12F307-F22E-4257-95B5-B5533607E20E}"/>
    <cellStyle name="40% - Accent2 2 4_Exh G" xfId="2858" xr:uid="{00000000-0005-0000-0000-00000F340000}"/>
    <cellStyle name="40% - Accent2 2 5" xfId="1429" xr:uid="{00000000-0005-0000-0000-000010340000}"/>
    <cellStyle name="40% - Accent2 2 5 2" xfId="4959" xr:uid="{00000000-0005-0000-0000-000011340000}"/>
    <cellStyle name="40% - Accent2 2 5 2 2" xfId="8550" xr:uid="{00000000-0005-0000-0000-000012340000}"/>
    <cellStyle name="40% - Accent2 2 5 2 2 2" xfId="16521" xr:uid="{00000000-0005-0000-0000-000013340000}"/>
    <cellStyle name="40% - Accent2 2 5 2 2 2 2" xfId="40364" xr:uid="{ED28DED3-39A4-4DAC-B692-AA7EE2E52226}"/>
    <cellStyle name="40% - Accent2 2 5 2 2 3" xfId="24467" xr:uid="{00000000-0005-0000-0000-000014340000}"/>
    <cellStyle name="40% - Accent2 2 5 2 2 3 2" xfId="48300" xr:uid="{4ACC6D24-8C36-41F3-B900-260A912F5DB3}"/>
    <cellStyle name="40% - Accent2 2 5 2 2 4" xfId="32423" xr:uid="{67A3EAA9-ED59-47FE-8F98-00247BF61BBF}"/>
    <cellStyle name="40% - Accent2 2 5 2 3" xfId="12983" xr:uid="{00000000-0005-0000-0000-000015340000}"/>
    <cellStyle name="40% - Accent2 2 5 2 3 2" xfId="36833" xr:uid="{E0209ED1-BEA5-4599-B4E8-AF657C495783}"/>
    <cellStyle name="40% - Accent2 2 5 2 4" xfId="20938" xr:uid="{00000000-0005-0000-0000-000016340000}"/>
    <cellStyle name="40% - Accent2 2 5 2 4 2" xfId="44771" xr:uid="{11AD4076-D570-4B6B-87BC-86693C8516A4}"/>
    <cellStyle name="40% - Accent2 2 5 2 5" xfId="28892" xr:uid="{D44A404B-DE7F-4A3C-AA58-ED8AE4269661}"/>
    <cellStyle name="40% - Accent2 2 5 3" xfId="6791" xr:uid="{00000000-0005-0000-0000-000017340000}"/>
    <cellStyle name="40% - Accent2 2 5 3 2" xfId="14763" xr:uid="{00000000-0005-0000-0000-000018340000}"/>
    <cellStyle name="40% - Accent2 2 5 3 2 2" xfId="38606" xr:uid="{7480AD45-B4A6-4BA2-AE19-E85BB94FB11A}"/>
    <cellStyle name="40% - Accent2 2 5 3 3" xfId="22710" xr:uid="{00000000-0005-0000-0000-000019340000}"/>
    <cellStyle name="40% - Accent2 2 5 3 3 2" xfId="46543" xr:uid="{2E69AA3F-46F3-47A4-A161-305855687077}"/>
    <cellStyle name="40% - Accent2 2 5 3 4" xfId="30665" xr:uid="{7DEAF733-027E-4581-9375-EEAEA676AFB0}"/>
    <cellStyle name="40% - Accent2 2 5 4" xfId="11227" xr:uid="{00000000-0005-0000-0000-00001A340000}"/>
    <cellStyle name="40% - Accent2 2 5 4 2" xfId="35077" xr:uid="{98DE3902-A764-42BD-870E-31AFADF1338C}"/>
    <cellStyle name="40% - Accent2 2 5 5" xfId="19182" xr:uid="{00000000-0005-0000-0000-00001B340000}"/>
    <cellStyle name="40% - Accent2 2 5 5 2" xfId="43015" xr:uid="{7D3E5D37-F69C-4650-9CF3-EAA56A386112}"/>
    <cellStyle name="40% - Accent2 2 5 6" xfId="27135" xr:uid="{8B70A05D-6C97-42BB-856F-78D4C2FF133E}"/>
    <cellStyle name="40% - Accent2 2 5_Exh G" xfId="2860" xr:uid="{00000000-0005-0000-0000-00001C340000}"/>
    <cellStyle name="40% - Accent2 2 6" xfId="4080" xr:uid="{00000000-0005-0000-0000-00001D340000}"/>
    <cellStyle name="40% - Accent2 2 6 2" xfId="7672" xr:uid="{00000000-0005-0000-0000-00001E340000}"/>
    <cellStyle name="40% - Accent2 2 6 2 2" xfId="15643" xr:uid="{00000000-0005-0000-0000-00001F340000}"/>
    <cellStyle name="40% - Accent2 2 6 2 2 2" xfId="39486" xr:uid="{0B88C24E-FF88-4BFB-B2DF-46E43A0003B3}"/>
    <cellStyle name="40% - Accent2 2 6 2 3" xfId="23589" xr:uid="{00000000-0005-0000-0000-000020340000}"/>
    <cellStyle name="40% - Accent2 2 6 2 3 2" xfId="47422" xr:uid="{A7BFCCFD-A604-462A-9711-A4C8938B6D4F}"/>
    <cellStyle name="40% - Accent2 2 6 2 4" xfId="31545" xr:uid="{685680A9-E51C-42E4-BA56-35C90AD5A994}"/>
    <cellStyle name="40% - Accent2 2 6 3" xfId="12105" xr:uid="{00000000-0005-0000-0000-000021340000}"/>
    <cellStyle name="40% - Accent2 2 6 3 2" xfId="35955" xr:uid="{F48BD261-1FCF-4469-825E-1C6E4F738815}"/>
    <cellStyle name="40% - Accent2 2 6 4" xfId="20060" xr:uid="{00000000-0005-0000-0000-000022340000}"/>
    <cellStyle name="40% - Accent2 2 6 4 2" xfId="43893" xr:uid="{8C22AFE4-0109-456B-81B4-3030380B94DF}"/>
    <cellStyle name="40% - Accent2 2 6 5" xfId="28014" xr:uid="{2EB2030F-C28A-46EF-8214-79C3F2D79052}"/>
    <cellStyle name="40% - Accent2 2 7" xfId="5900" xr:uid="{00000000-0005-0000-0000-000023340000}"/>
    <cellStyle name="40% - Accent2 2 7 2" xfId="13884" xr:uid="{00000000-0005-0000-0000-000024340000}"/>
    <cellStyle name="40% - Accent2 2 7 2 2" xfId="37728" xr:uid="{81D67CCD-1A1F-4127-9D5D-57886D1BD049}"/>
    <cellStyle name="40% - Accent2 2 7 3" xfId="21832" xr:uid="{00000000-0005-0000-0000-000025340000}"/>
    <cellStyle name="40% - Accent2 2 7 3 2" xfId="45665" xr:uid="{FF433155-8725-4AE5-B148-8EDD334151D9}"/>
    <cellStyle name="40% - Accent2 2 7 4" xfId="29787" xr:uid="{1338D655-8A91-4108-B313-2F7E037990D8}"/>
    <cellStyle name="40% - Accent2 2 8" xfId="9453" xr:uid="{00000000-0005-0000-0000-000026340000}"/>
    <cellStyle name="40% - Accent2 2 8 2" xfId="17411" xr:uid="{00000000-0005-0000-0000-000027340000}"/>
    <cellStyle name="40% - Accent2 2 8 2 2" xfId="41252" xr:uid="{F4B1A729-2548-4332-8746-7DD92A661B5B}"/>
    <cellStyle name="40% - Accent2 2 8 3" xfId="25355" xr:uid="{00000000-0005-0000-0000-000028340000}"/>
    <cellStyle name="40% - Accent2 2 8 3 2" xfId="49188" xr:uid="{E3343A4E-DD47-49D7-A1B0-645BCA45E6CC}"/>
    <cellStyle name="40% - Accent2 2 8 4" xfId="33311" xr:uid="{86404E1F-6155-4454-9C03-3ACEB3211760}"/>
    <cellStyle name="40% - Accent2 2 9" xfId="10349" xr:uid="{00000000-0005-0000-0000-000029340000}"/>
    <cellStyle name="40% - Accent2 2 9 2" xfId="34199" xr:uid="{B2F04425-08B1-4D84-AA69-F37536099E91}"/>
    <cellStyle name="40% - Accent2 2_Exh G" xfId="2849" xr:uid="{00000000-0005-0000-0000-00002A340000}"/>
    <cellStyle name="40% - Accent2 3" xfId="405" xr:uid="{00000000-0005-0000-0000-00002B340000}"/>
    <cellStyle name="40% - Accent2 3 10" xfId="18308" xr:uid="{00000000-0005-0000-0000-00002C340000}"/>
    <cellStyle name="40% - Accent2 3 10 2" xfId="42141" xr:uid="{023C5DB5-ADF2-48D1-AB05-755F519BC687}"/>
    <cellStyle name="40% - Accent2 3 11" xfId="26261" xr:uid="{ABF359AB-2D95-4520-8B75-D55EB0ADDB6F}"/>
    <cellStyle name="40% - Accent2 3 12" xfId="49769" xr:uid="{DF3D5C3A-C82C-42EA-AF19-AFE978B1DE03}"/>
    <cellStyle name="40% - Accent2 3 13" xfId="49823" xr:uid="{ABD6F147-D953-423D-8A69-4ED201EB38F7}"/>
    <cellStyle name="40% - Accent2 3 2" xfId="406" xr:uid="{00000000-0005-0000-0000-00002D340000}"/>
    <cellStyle name="40% - Accent2 3 2 10" xfId="26262" xr:uid="{D504ABB3-67A6-462D-9711-AC1A5911AF69}"/>
    <cellStyle name="40% - Accent2 3 2 2" xfId="407" xr:uid="{00000000-0005-0000-0000-00002E340000}"/>
    <cellStyle name="40% - Accent2 3 2 2 2" xfId="1435" xr:uid="{00000000-0005-0000-0000-00002F340000}"/>
    <cellStyle name="40% - Accent2 3 2 2 2 2" xfId="4965" xr:uid="{00000000-0005-0000-0000-000030340000}"/>
    <cellStyle name="40% - Accent2 3 2 2 2 2 2" xfId="8556" xr:uid="{00000000-0005-0000-0000-000031340000}"/>
    <cellStyle name="40% - Accent2 3 2 2 2 2 2 2" xfId="16527" xr:uid="{00000000-0005-0000-0000-000032340000}"/>
    <cellStyle name="40% - Accent2 3 2 2 2 2 2 2 2" xfId="40370" xr:uid="{1C24ACC0-EC7B-4887-ABE6-1F125388AB6A}"/>
    <cellStyle name="40% - Accent2 3 2 2 2 2 2 3" xfId="24473" xr:uid="{00000000-0005-0000-0000-000033340000}"/>
    <cellStyle name="40% - Accent2 3 2 2 2 2 2 3 2" xfId="48306" xr:uid="{9B646997-0A1C-4023-9F3D-0F7B9551E911}"/>
    <cellStyle name="40% - Accent2 3 2 2 2 2 2 4" xfId="32429" xr:uid="{C4EC2E21-898F-49F9-8D4C-7D9860D540FF}"/>
    <cellStyle name="40% - Accent2 3 2 2 2 2 3" xfId="12989" xr:uid="{00000000-0005-0000-0000-000034340000}"/>
    <cellStyle name="40% - Accent2 3 2 2 2 2 3 2" xfId="36839" xr:uid="{C5D05D64-9D88-466E-9621-5529E696E993}"/>
    <cellStyle name="40% - Accent2 3 2 2 2 2 4" xfId="20944" xr:uid="{00000000-0005-0000-0000-000035340000}"/>
    <cellStyle name="40% - Accent2 3 2 2 2 2 4 2" xfId="44777" xr:uid="{ACCC3764-D1EB-48FC-B72D-124A836EF92B}"/>
    <cellStyle name="40% - Accent2 3 2 2 2 2 5" xfId="28898" xr:uid="{6EE91F54-DFA3-4476-B7B5-C9843BA35A13}"/>
    <cellStyle name="40% - Accent2 3 2 2 2 3" xfId="6797" xr:uid="{00000000-0005-0000-0000-000036340000}"/>
    <cellStyle name="40% - Accent2 3 2 2 2 3 2" xfId="14769" xr:uid="{00000000-0005-0000-0000-000037340000}"/>
    <cellStyle name="40% - Accent2 3 2 2 2 3 2 2" xfId="38612" xr:uid="{12F4D85E-806E-47EC-B0D6-4F5AB24EAFB3}"/>
    <cellStyle name="40% - Accent2 3 2 2 2 3 3" xfId="22716" xr:uid="{00000000-0005-0000-0000-000038340000}"/>
    <cellStyle name="40% - Accent2 3 2 2 2 3 3 2" xfId="46549" xr:uid="{EE690F37-9A06-448E-BDC8-626A5E47AB32}"/>
    <cellStyle name="40% - Accent2 3 2 2 2 3 4" xfId="30671" xr:uid="{FDC87792-CE28-4C91-9E45-220129896850}"/>
    <cellStyle name="40% - Accent2 3 2 2 2 4" xfId="11233" xr:uid="{00000000-0005-0000-0000-000039340000}"/>
    <cellStyle name="40% - Accent2 3 2 2 2 4 2" xfId="35083" xr:uid="{A8E9627F-BA39-403A-AA62-814F8343425A}"/>
    <cellStyle name="40% - Accent2 3 2 2 2 5" xfId="19188" xr:uid="{00000000-0005-0000-0000-00003A340000}"/>
    <cellStyle name="40% - Accent2 3 2 2 2 5 2" xfId="43021" xr:uid="{08A2A677-A776-4400-A0A2-28E5DDAB8FFD}"/>
    <cellStyle name="40% - Accent2 3 2 2 2 6" xfId="27141" xr:uid="{F7370289-ACCC-499A-9B27-A1CB4897FA5F}"/>
    <cellStyle name="40% - Accent2 3 2 2 2_Exh G" xfId="2864" xr:uid="{00000000-0005-0000-0000-00003B340000}"/>
    <cellStyle name="40% - Accent2 3 2 2 3" xfId="4086" xr:uid="{00000000-0005-0000-0000-00003C340000}"/>
    <cellStyle name="40% - Accent2 3 2 2 3 2" xfId="7678" xr:uid="{00000000-0005-0000-0000-00003D340000}"/>
    <cellStyle name="40% - Accent2 3 2 2 3 2 2" xfId="15649" xr:uid="{00000000-0005-0000-0000-00003E340000}"/>
    <cellStyle name="40% - Accent2 3 2 2 3 2 2 2" xfId="39492" xr:uid="{581CECCE-8590-4CEB-9035-241829130FD7}"/>
    <cellStyle name="40% - Accent2 3 2 2 3 2 3" xfId="23595" xr:uid="{00000000-0005-0000-0000-00003F340000}"/>
    <cellStyle name="40% - Accent2 3 2 2 3 2 3 2" xfId="47428" xr:uid="{613B8961-AD61-407F-A700-0EF45BF17359}"/>
    <cellStyle name="40% - Accent2 3 2 2 3 2 4" xfId="31551" xr:uid="{49E307B9-C444-4DC1-AF74-EE9BB3AA7710}"/>
    <cellStyle name="40% - Accent2 3 2 2 3 3" xfId="12111" xr:uid="{00000000-0005-0000-0000-000040340000}"/>
    <cellStyle name="40% - Accent2 3 2 2 3 3 2" xfId="35961" xr:uid="{C2C21B4B-039C-4745-82C4-6C9DE2D6545D}"/>
    <cellStyle name="40% - Accent2 3 2 2 3 4" xfId="20066" xr:uid="{00000000-0005-0000-0000-000041340000}"/>
    <cellStyle name="40% - Accent2 3 2 2 3 4 2" xfId="43899" xr:uid="{CF3CF247-AA1E-4B6C-864A-2B19CD943E3B}"/>
    <cellStyle name="40% - Accent2 3 2 2 3 5" xfId="28020" xr:uid="{F3E5163A-52B7-4994-952A-E44A8CB017F3}"/>
    <cellStyle name="40% - Accent2 3 2 2 4" xfId="5906" xr:uid="{00000000-0005-0000-0000-000042340000}"/>
    <cellStyle name="40% - Accent2 3 2 2 4 2" xfId="13890" xr:uid="{00000000-0005-0000-0000-000043340000}"/>
    <cellStyle name="40% - Accent2 3 2 2 4 2 2" xfId="37734" xr:uid="{B6876B3A-6B8A-4E64-A68A-ADCCD39CEAB3}"/>
    <cellStyle name="40% - Accent2 3 2 2 4 3" xfId="21838" xr:uid="{00000000-0005-0000-0000-000044340000}"/>
    <cellStyle name="40% - Accent2 3 2 2 4 3 2" xfId="45671" xr:uid="{AD092AFF-D182-4C02-BF7A-B0624D28B94D}"/>
    <cellStyle name="40% - Accent2 3 2 2 4 4" xfId="29793" xr:uid="{7DE13C5A-ADED-43D4-AA33-6DB3641FE8C9}"/>
    <cellStyle name="40% - Accent2 3 2 2 5" xfId="9459" xr:uid="{00000000-0005-0000-0000-000045340000}"/>
    <cellStyle name="40% - Accent2 3 2 2 5 2" xfId="17417" xr:uid="{00000000-0005-0000-0000-000046340000}"/>
    <cellStyle name="40% - Accent2 3 2 2 5 2 2" xfId="41258" xr:uid="{1242EB74-96A7-4220-B350-3A5E9B2C57EB}"/>
    <cellStyle name="40% - Accent2 3 2 2 5 3" xfId="25361" xr:uid="{00000000-0005-0000-0000-000047340000}"/>
    <cellStyle name="40% - Accent2 3 2 2 5 3 2" xfId="49194" xr:uid="{CD3DC280-39DA-467A-A330-6F07F004A6BF}"/>
    <cellStyle name="40% - Accent2 3 2 2 5 4" xfId="33317" xr:uid="{1941A041-0B7A-4999-8077-11B48B2CCBE4}"/>
    <cellStyle name="40% - Accent2 3 2 2 6" xfId="10355" xr:uid="{00000000-0005-0000-0000-000048340000}"/>
    <cellStyle name="40% - Accent2 3 2 2 6 2" xfId="34205" xr:uid="{16D8BA25-7A64-4BE8-8567-F3E3FB548082}"/>
    <cellStyle name="40% - Accent2 3 2 2 7" xfId="18310" xr:uid="{00000000-0005-0000-0000-000049340000}"/>
    <cellStyle name="40% - Accent2 3 2 2 7 2" xfId="42143" xr:uid="{40BBB939-FF33-4CC4-BF1D-7FC3E840FB5B}"/>
    <cellStyle name="40% - Accent2 3 2 2 8" xfId="26263" xr:uid="{774FFA49-8ED0-4A64-AC8A-C311542C1A10}"/>
    <cellStyle name="40% - Accent2 3 2 2_Exh G" xfId="2863" xr:uid="{00000000-0005-0000-0000-00004A340000}"/>
    <cellStyle name="40% - Accent2 3 2 3" xfId="950" xr:uid="{00000000-0005-0000-0000-00004B340000}"/>
    <cellStyle name="40% - Accent2 3 2 3 2" xfId="1872" xr:uid="{00000000-0005-0000-0000-00004C340000}"/>
    <cellStyle name="40% - Accent2 3 2 3 2 2" xfId="5390" xr:uid="{00000000-0005-0000-0000-00004D340000}"/>
    <cellStyle name="40% - Accent2 3 2 3 2 2 2" xfId="8981" xr:uid="{00000000-0005-0000-0000-00004E340000}"/>
    <cellStyle name="40% - Accent2 3 2 3 2 2 2 2" xfId="16952" xr:uid="{00000000-0005-0000-0000-00004F340000}"/>
    <cellStyle name="40% - Accent2 3 2 3 2 2 2 2 2" xfId="40795" xr:uid="{932A4EBC-BF6D-4510-94C5-332A90EE91C2}"/>
    <cellStyle name="40% - Accent2 3 2 3 2 2 2 3" xfId="24898" xr:uid="{00000000-0005-0000-0000-000050340000}"/>
    <cellStyle name="40% - Accent2 3 2 3 2 2 2 3 2" xfId="48731" xr:uid="{1FB7098A-714D-4A94-B785-51CE1D679CB3}"/>
    <cellStyle name="40% - Accent2 3 2 3 2 2 2 4" xfId="32854" xr:uid="{BD6CDE78-D4BC-454B-95F8-145D29FF8996}"/>
    <cellStyle name="40% - Accent2 3 2 3 2 2 3" xfId="13414" xr:uid="{00000000-0005-0000-0000-000051340000}"/>
    <cellStyle name="40% - Accent2 3 2 3 2 2 3 2" xfId="37264" xr:uid="{CCABD80B-71A3-4B32-9E55-F86DBA38D2D0}"/>
    <cellStyle name="40% - Accent2 3 2 3 2 2 4" xfId="21369" xr:uid="{00000000-0005-0000-0000-000052340000}"/>
    <cellStyle name="40% - Accent2 3 2 3 2 2 4 2" xfId="45202" xr:uid="{2F4862DE-A7FD-4976-A1AB-B283F6126958}"/>
    <cellStyle name="40% - Accent2 3 2 3 2 2 5" xfId="29323" xr:uid="{951465A6-6FFA-4FE3-87C2-BF07238C1D7D}"/>
    <cellStyle name="40% - Accent2 3 2 3 2 3" xfId="7222" xr:uid="{00000000-0005-0000-0000-000053340000}"/>
    <cellStyle name="40% - Accent2 3 2 3 2 3 2" xfId="15194" xr:uid="{00000000-0005-0000-0000-000054340000}"/>
    <cellStyle name="40% - Accent2 3 2 3 2 3 2 2" xfId="39037" xr:uid="{97A0BE34-5CC4-41A8-90A4-98DFA4B89268}"/>
    <cellStyle name="40% - Accent2 3 2 3 2 3 3" xfId="23141" xr:uid="{00000000-0005-0000-0000-000055340000}"/>
    <cellStyle name="40% - Accent2 3 2 3 2 3 3 2" xfId="46974" xr:uid="{CF0C7C2F-410F-48A7-A842-CEA0C58EE61F}"/>
    <cellStyle name="40% - Accent2 3 2 3 2 3 4" xfId="31096" xr:uid="{25A834BA-C156-4BE1-A628-81C35B955E1D}"/>
    <cellStyle name="40% - Accent2 3 2 3 2 4" xfId="11658" xr:uid="{00000000-0005-0000-0000-000056340000}"/>
    <cellStyle name="40% - Accent2 3 2 3 2 4 2" xfId="35508" xr:uid="{6CF074C5-3DB0-47EE-BD9E-B5A3CCB95896}"/>
    <cellStyle name="40% - Accent2 3 2 3 2 5" xfId="19613" xr:uid="{00000000-0005-0000-0000-000057340000}"/>
    <cellStyle name="40% - Accent2 3 2 3 2 5 2" xfId="43446" xr:uid="{7F8C34FD-ABF7-4A70-8A9E-16CACD4A427F}"/>
    <cellStyle name="40% - Accent2 3 2 3 2 6" xfId="27566" xr:uid="{078EBB1D-9323-4EC8-A91C-9730FE91214A}"/>
    <cellStyle name="40% - Accent2 3 2 3 2_Exh G" xfId="2866" xr:uid="{00000000-0005-0000-0000-000058340000}"/>
    <cellStyle name="40% - Accent2 3 2 3 3" xfId="4511" xr:uid="{00000000-0005-0000-0000-000059340000}"/>
    <cellStyle name="40% - Accent2 3 2 3 3 2" xfId="8103" xr:uid="{00000000-0005-0000-0000-00005A340000}"/>
    <cellStyle name="40% - Accent2 3 2 3 3 2 2" xfId="16074" xr:uid="{00000000-0005-0000-0000-00005B340000}"/>
    <cellStyle name="40% - Accent2 3 2 3 3 2 2 2" xfId="39917" xr:uid="{0AEA1ABD-DF0F-467E-B547-3A7890C03699}"/>
    <cellStyle name="40% - Accent2 3 2 3 3 2 3" xfId="24020" xr:uid="{00000000-0005-0000-0000-00005C340000}"/>
    <cellStyle name="40% - Accent2 3 2 3 3 2 3 2" xfId="47853" xr:uid="{6CBD4780-B703-4B8E-BB3F-13B1E39F6727}"/>
    <cellStyle name="40% - Accent2 3 2 3 3 2 4" xfId="31976" xr:uid="{371F4197-7D20-47F1-9581-893049B9FBE4}"/>
    <cellStyle name="40% - Accent2 3 2 3 3 3" xfId="12536" xr:uid="{00000000-0005-0000-0000-00005D340000}"/>
    <cellStyle name="40% - Accent2 3 2 3 3 3 2" xfId="36386" xr:uid="{53939399-2BFA-4B90-ADF3-53CE8A2A134E}"/>
    <cellStyle name="40% - Accent2 3 2 3 3 4" xfId="20491" xr:uid="{00000000-0005-0000-0000-00005E340000}"/>
    <cellStyle name="40% - Accent2 3 2 3 3 4 2" xfId="44324" xr:uid="{4EE5873C-76FC-4DC7-9958-5E0FB5137288}"/>
    <cellStyle name="40% - Accent2 3 2 3 3 5" xfId="28445" xr:uid="{618F5CCB-5F8E-4067-B740-972A69E0E822}"/>
    <cellStyle name="40% - Accent2 3 2 3 4" xfId="6341" xr:uid="{00000000-0005-0000-0000-00005F340000}"/>
    <cellStyle name="40% - Accent2 3 2 3 4 2" xfId="14316" xr:uid="{00000000-0005-0000-0000-000060340000}"/>
    <cellStyle name="40% - Accent2 3 2 3 4 2 2" xfId="38159" xr:uid="{C4E0E714-B033-4CE0-8A99-4D871DB67969}"/>
    <cellStyle name="40% - Accent2 3 2 3 4 3" xfId="22263" xr:uid="{00000000-0005-0000-0000-000061340000}"/>
    <cellStyle name="40% - Accent2 3 2 3 4 3 2" xfId="46096" xr:uid="{7B529CFE-DF96-4A40-AE99-C195EB1E7150}"/>
    <cellStyle name="40% - Accent2 3 2 3 4 4" xfId="30218" xr:uid="{C432985B-990A-4F1D-AFB6-AA6B82F19F5B}"/>
    <cellStyle name="40% - Accent2 3 2 3 5" xfId="9884" xr:uid="{00000000-0005-0000-0000-000062340000}"/>
    <cellStyle name="40% - Accent2 3 2 3 5 2" xfId="17842" xr:uid="{00000000-0005-0000-0000-000063340000}"/>
    <cellStyle name="40% - Accent2 3 2 3 5 2 2" xfId="41683" xr:uid="{46E2AB73-599E-478A-A85A-58A687DC60E8}"/>
    <cellStyle name="40% - Accent2 3 2 3 5 3" xfId="25786" xr:uid="{00000000-0005-0000-0000-000064340000}"/>
    <cellStyle name="40% - Accent2 3 2 3 5 3 2" xfId="49619" xr:uid="{D1942D59-4B41-42AA-9FBD-4EB502E4D5A1}"/>
    <cellStyle name="40% - Accent2 3 2 3 5 4" xfId="33742" xr:uid="{31E42F5E-B086-41DC-9D2C-BD2F479EB3A7}"/>
    <cellStyle name="40% - Accent2 3 2 3 6" xfId="10780" xr:uid="{00000000-0005-0000-0000-000065340000}"/>
    <cellStyle name="40% - Accent2 3 2 3 6 2" xfId="34630" xr:uid="{AF8ED8DD-CAA9-4B86-A693-69E0CFED7809}"/>
    <cellStyle name="40% - Accent2 3 2 3 7" xfId="18735" xr:uid="{00000000-0005-0000-0000-000066340000}"/>
    <cellStyle name="40% - Accent2 3 2 3 7 2" xfId="42568" xr:uid="{4037C418-8257-4DEB-BBC2-F4ED3E6D1892}"/>
    <cellStyle name="40% - Accent2 3 2 3 8" xfId="26688" xr:uid="{C4CED0F9-9C5B-41EE-8B3A-6518BFA1BB9F}"/>
    <cellStyle name="40% - Accent2 3 2 3_Exh G" xfId="2865" xr:uid="{00000000-0005-0000-0000-000067340000}"/>
    <cellStyle name="40% - Accent2 3 2 4" xfId="1434" xr:uid="{00000000-0005-0000-0000-000068340000}"/>
    <cellStyle name="40% - Accent2 3 2 4 2" xfId="4964" xr:uid="{00000000-0005-0000-0000-000069340000}"/>
    <cellStyle name="40% - Accent2 3 2 4 2 2" xfId="8555" xr:uid="{00000000-0005-0000-0000-00006A340000}"/>
    <cellStyle name="40% - Accent2 3 2 4 2 2 2" xfId="16526" xr:uid="{00000000-0005-0000-0000-00006B340000}"/>
    <cellStyle name="40% - Accent2 3 2 4 2 2 2 2" xfId="40369" xr:uid="{F52887BE-FAAA-49AB-B968-D0C16A15023B}"/>
    <cellStyle name="40% - Accent2 3 2 4 2 2 3" xfId="24472" xr:uid="{00000000-0005-0000-0000-00006C340000}"/>
    <cellStyle name="40% - Accent2 3 2 4 2 2 3 2" xfId="48305" xr:uid="{2FD11B60-D296-4C31-9D41-48842048926C}"/>
    <cellStyle name="40% - Accent2 3 2 4 2 2 4" xfId="32428" xr:uid="{6E0947A2-F927-427C-AF5A-D4A5D46FAF06}"/>
    <cellStyle name="40% - Accent2 3 2 4 2 3" xfId="12988" xr:uid="{00000000-0005-0000-0000-00006D340000}"/>
    <cellStyle name="40% - Accent2 3 2 4 2 3 2" xfId="36838" xr:uid="{76330EB6-DCF5-4BFD-9F12-AF948E86ED99}"/>
    <cellStyle name="40% - Accent2 3 2 4 2 4" xfId="20943" xr:uid="{00000000-0005-0000-0000-00006E340000}"/>
    <cellStyle name="40% - Accent2 3 2 4 2 4 2" xfId="44776" xr:uid="{3FAAAE91-75DF-43A3-B6F7-EB2DDF64F02D}"/>
    <cellStyle name="40% - Accent2 3 2 4 2 5" xfId="28897" xr:uid="{6271170E-EE81-41BB-9628-67C5C8FA4BA3}"/>
    <cellStyle name="40% - Accent2 3 2 4 3" xfId="6796" xr:uid="{00000000-0005-0000-0000-00006F340000}"/>
    <cellStyle name="40% - Accent2 3 2 4 3 2" xfId="14768" xr:uid="{00000000-0005-0000-0000-000070340000}"/>
    <cellStyle name="40% - Accent2 3 2 4 3 2 2" xfId="38611" xr:uid="{111A56FE-A6EC-4CF0-ABAC-A206D6D04EB8}"/>
    <cellStyle name="40% - Accent2 3 2 4 3 3" xfId="22715" xr:uid="{00000000-0005-0000-0000-000071340000}"/>
    <cellStyle name="40% - Accent2 3 2 4 3 3 2" xfId="46548" xr:uid="{C2498986-C3DD-48EB-8AEE-A816EDFDD30D}"/>
    <cellStyle name="40% - Accent2 3 2 4 3 4" xfId="30670" xr:uid="{AE87BA86-B6E2-468A-8531-3B7DAE68C023}"/>
    <cellStyle name="40% - Accent2 3 2 4 4" xfId="11232" xr:uid="{00000000-0005-0000-0000-000072340000}"/>
    <cellStyle name="40% - Accent2 3 2 4 4 2" xfId="35082" xr:uid="{532809EA-CABB-47D4-AF26-6EE06C3D647A}"/>
    <cellStyle name="40% - Accent2 3 2 4 5" xfId="19187" xr:uid="{00000000-0005-0000-0000-000073340000}"/>
    <cellStyle name="40% - Accent2 3 2 4 5 2" xfId="43020" xr:uid="{9049752A-B79F-4157-B9AD-F2B62920E713}"/>
    <cellStyle name="40% - Accent2 3 2 4 6" xfId="27140" xr:uid="{A711C0F9-1CCA-4D2E-A7BB-66EE02588835}"/>
    <cellStyle name="40% - Accent2 3 2 4_Exh G" xfId="2867" xr:uid="{00000000-0005-0000-0000-000074340000}"/>
    <cellStyle name="40% - Accent2 3 2 5" xfId="4085" xr:uid="{00000000-0005-0000-0000-000075340000}"/>
    <cellStyle name="40% - Accent2 3 2 5 2" xfId="7677" xr:uid="{00000000-0005-0000-0000-000076340000}"/>
    <cellStyle name="40% - Accent2 3 2 5 2 2" xfId="15648" xr:uid="{00000000-0005-0000-0000-000077340000}"/>
    <cellStyle name="40% - Accent2 3 2 5 2 2 2" xfId="39491" xr:uid="{ED71229B-3C42-4913-831F-2B5B3CBB2087}"/>
    <cellStyle name="40% - Accent2 3 2 5 2 3" xfId="23594" xr:uid="{00000000-0005-0000-0000-000078340000}"/>
    <cellStyle name="40% - Accent2 3 2 5 2 3 2" xfId="47427" xr:uid="{0827D97A-F1C3-4B76-9F07-334BC3897D49}"/>
    <cellStyle name="40% - Accent2 3 2 5 2 4" xfId="31550" xr:uid="{18397711-4535-455F-A9C7-C02A6566E121}"/>
    <cellStyle name="40% - Accent2 3 2 5 3" xfId="12110" xr:uid="{00000000-0005-0000-0000-000079340000}"/>
    <cellStyle name="40% - Accent2 3 2 5 3 2" xfId="35960" xr:uid="{D35B740B-C095-4DD1-AB40-D618206365BE}"/>
    <cellStyle name="40% - Accent2 3 2 5 4" xfId="20065" xr:uid="{00000000-0005-0000-0000-00007A340000}"/>
    <cellStyle name="40% - Accent2 3 2 5 4 2" xfId="43898" xr:uid="{5D17274E-9881-4513-8C16-44CE9DEE1872}"/>
    <cellStyle name="40% - Accent2 3 2 5 5" xfId="28019" xr:uid="{0B414AE1-DEC0-4236-8476-BB4CF3387C95}"/>
    <cellStyle name="40% - Accent2 3 2 6" xfId="5905" xr:uid="{00000000-0005-0000-0000-00007B340000}"/>
    <cellStyle name="40% - Accent2 3 2 6 2" xfId="13889" xr:uid="{00000000-0005-0000-0000-00007C340000}"/>
    <cellStyle name="40% - Accent2 3 2 6 2 2" xfId="37733" xr:uid="{00A171EC-66C3-430A-82D2-A03570D78FA3}"/>
    <cellStyle name="40% - Accent2 3 2 6 3" xfId="21837" xr:uid="{00000000-0005-0000-0000-00007D340000}"/>
    <cellStyle name="40% - Accent2 3 2 6 3 2" xfId="45670" xr:uid="{B82BEBF9-3C27-4F01-A6B3-0C84AEF3F830}"/>
    <cellStyle name="40% - Accent2 3 2 6 4" xfId="29792" xr:uid="{03D04318-9C54-4C92-9340-15BA823B4A2F}"/>
    <cellStyle name="40% - Accent2 3 2 7" xfId="9458" xr:uid="{00000000-0005-0000-0000-00007E340000}"/>
    <cellStyle name="40% - Accent2 3 2 7 2" xfId="17416" xr:uid="{00000000-0005-0000-0000-00007F340000}"/>
    <cellStyle name="40% - Accent2 3 2 7 2 2" xfId="41257" xr:uid="{DB74B8B9-2F33-496A-BF67-5896B1F83DB9}"/>
    <cellStyle name="40% - Accent2 3 2 7 3" xfId="25360" xr:uid="{00000000-0005-0000-0000-000080340000}"/>
    <cellStyle name="40% - Accent2 3 2 7 3 2" xfId="49193" xr:uid="{86BDC367-61ED-4C65-8680-0229F263A1D5}"/>
    <cellStyle name="40% - Accent2 3 2 7 4" xfId="33316" xr:uid="{E9AEF855-A42B-45AD-B5A2-C7DC7B61045E}"/>
    <cellStyle name="40% - Accent2 3 2 8" xfId="10354" xr:uid="{00000000-0005-0000-0000-000081340000}"/>
    <cellStyle name="40% - Accent2 3 2 8 2" xfId="34204" xr:uid="{E7F5DD78-D7D0-443B-B6FE-A916010E3D07}"/>
    <cellStyle name="40% - Accent2 3 2 9" xfId="18309" xr:uid="{00000000-0005-0000-0000-000082340000}"/>
    <cellStyle name="40% - Accent2 3 2 9 2" xfId="42142" xr:uid="{3D37D386-F935-483D-BF9B-B04B804DFF57}"/>
    <cellStyle name="40% - Accent2 3 2_Exh G" xfId="2862" xr:uid="{00000000-0005-0000-0000-000083340000}"/>
    <cellStyle name="40% - Accent2 3 3" xfId="408" xr:uid="{00000000-0005-0000-0000-000084340000}"/>
    <cellStyle name="40% - Accent2 3 3 2" xfId="1436" xr:uid="{00000000-0005-0000-0000-000085340000}"/>
    <cellStyle name="40% - Accent2 3 3 2 2" xfId="4966" xr:uid="{00000000-0005-0000-0000-000086340000}"/>
    <cellStyle name="40% - Accent2 3 3 2 2 2" xfId="8557" xr:uid="{00000000-0005-0000-0000-000087340000}"/>
    <cellStyle name="40% - Accent2 3 3 2 2 2 2" xfId="16528" xr:uid="{00000000-0005-0000-0000-000088340000}"/>
    <cellStyle name="40% - Accent2 3 3 2 2 2 2 2" xfId="40371" xr:uid="{2281B771-2A55-4A28-B631-54ACF633D5BA}"/>
    <cellStyle name="40% - Accent2 3 3 2 2 2 3" xfId="24474" xr:uid="{00000000-0005-0000-0000-000089340000}"/>
    <cellStyle name="40% - Accent2 3 3 2 2 2 3 2" xfId="48307" xr:uid="{042B1AFF-53C7-4A8D-AAC8-9044F9C0CC42}"/>
    <cellStyle name="40% - Accent2 3 3 2 2 2 4" xfId="32430" xr:uid="{66B453C6-E6BB-439D-B519-800FB2DDDD84}"/>
    <cellStyle name="40% - Accent2 3 3 2 2 3" xfId="12990" xr:uid="{00000000-0005-0000-0000-00008A340000}"/>
    <cellStyle name="40% - Accent2 3 3 2 2 3 2" xfId="36840" xr:uid="{AB47AA6F-E9C0-4CF2-BA92-CF7567694320}"/>
    <cellStyle name="40% - Accent2 3 3 2 2 4" xfId="20945" xr:uid="{00000000-0005-0000-0000-00008B340000}"/>
    <cellStyle name="40% - Accent2 3 3 2 2 4 2" xfId="44778" xr:uid="{F41D4AE8-8F68-4ED9-9E02-675A6E297D4E}"/>
    <cellStyle name="40% - Accent2 3 3 2 2 5" xfId="28899" xr:uid="{FD4661C0-B9FD-40DD-82C0-3B33452DD7E6}"/>
    <cellStyle name="40% - Accent2 3 3 2 3" xfId="6798" xr:uid="{00000000-0005-0000-0000-00008C340000}"/>
    <cellStyle name="40% - Accent2 3 3 2 3 2" xfId="14770" xr:uid="{00000000-0005-0000-0000-00008D340000}"/>
    <cellStyle name="40% - Accent2 3 3 2 3 2 2" xfId="38613" xr:uid="{6F1030FD-7E4D-45A2-8C8F-0DFFD7853CD6}"/>
    <cellStyle name="40% - Accent2 3 3 2 3 3" xfId="22717" xr:uid="{00000000-0005-0000-0000-00008E340000}"/>
    <cellStyle name="40% - Accent2 3 3 2 3 3 2" xfId="46550" xr:uid="{8DB35185-F55E-4EF8-9F75-E3D4A5F4674E}"/>
    <cellStyle name="40% - Accent2 3 3 2 3 4" xfId="30672" xr:uid="{09A971D0-5619-4648-88D7-E2AF8A2C7B32}"/>
    <cellStyle name="40% - Accent2 3 3 2 4" xfId="11234" xr:uid="{00000000-0005-0000-0000-00008F340000}"/>
    <cellStyle name="40% - Accent2 3 3 2 4 2" xfId="35084" xr:uid="{9EBB10EF-6892-47D6-BDF0-93F5D73ECFFF}"/>
    <cellStyle name="40% - Accent2 3 3 2 5" xfId="19189" xr:uid="{00000000-0005-0000-0000-000090340000}"/>
    <cellStyle name="40% - Accent2 3 3 2 5 2" xfId="43022" xr:uid="{D48D5E9C-8AF8-4475-B15D-32E26296D89A}"/>
    <cellStyle name="40% - Accent2 3 3 2 6" xfId="27142" xr:uid="{F3389704-12F2-42A4-A2C4-09AFCA719E85}"/>
    <cellStyle name="40% - Accent2 3 3 2_Exh G" xfId="2869" xr:uid="{00000000-0005-0000-0000-000091340000}"/>
    <cellStyle name="40% - Accent2 3 3 3" xfId="4087" xr:uid="{00000000-0005-0000-0000-000092340000}"/>
    <cellStyle name="40% - Accent2 3 3 3 2" xfId="7679" xr:uid="{00000000-0005-0000-0000-000093340000}"/>
    <cellStyle name="40% - Accent2 3 3 3 2 2" xfId="15650" xr:uid="{00000000-0005-0000-0000-000094340000}"/>
    <cellStyle name="40% - Accent2 3 3 3 2 2 2" xfId="39493" xr:uid="{E579040F-B6B7-4D7B-9531-E0C3C07E658B}"/>
    <cellStyle name="40% - Accent2 3 3 3 2 3" xfId="23596" xr:uid="{00000000-0005-0000-0000-000095340000}"/>
    <cellStyle name="40% - Accent2 3 3 3 2 3 2" xfId="47429" xr:uid="{512FA589-F988-40A0-B954-8EA1A322246F}"/>
    <cellStyle name="40% - Accent2 3 3 3 2 4" xfId="31552" xr:uid="{6CB89514-850C-4691-A8DC-9B120520710A}"/>
    <cellStyle name="40% - Accent2 3 3 3 3" xfId="12112" xr:uid="{00000000-0005-0000-0000-000096340000}"/>
    <cellStyle name="40% - Accent2 3 3 3 3 2" xfId="35962" xr:uid="{20B33B6E-5938-4A6F-9C37-C61C46EDC6DD}"/>
    <cellStyle name="40% - Accent2 3 3 3 4" xfId="20067" xr:uid="{00000000-0005-0000-0000-000097340000}"/>
    <cellStyle name="40% - Accent2 3 3 3 4 2" xfId="43900" xr:uid="{EE3A586A-DC30-471C-8A8F-D0ADED7A5871}"/>
    <cellStyle name="40% - Accent2 3 3 3 5" xfId="28021" xr:uid="{57727DD1-DA2E-4ECE-A7F2-542E006CA17D}"/>
    <cellStyle name="40% - Accent2 3 3 4" xfId="5907" xr:uid="{00000000-0005-0000-0000-000098340000}"/>
    <cellStyle name="40% - Accent2 3 3 4 2" xfId="13891" xr:uid="{00000000-0005-0000-0000-000099340000}"/>
    <cellStyle name="40% - Accent2 3 3 4 2 2" xfId="37735" xr:uid="{C5E1F4C3-5D22-4802-A34E-A550BDCD5DE0}"/>
    <cellStyle name="40% - Accent2 3 3 4 3" xfId="21839" xr:uid="{00000000-0005-0000-0000-00009A340000}"/>
    <cellStyle name="40% - Accent2 3 3 4 3 2" xfId="45672" xr:uid="{DEAB7684-C514-4DB4-A994-CE047B709D6B}"/>
    <cellStyle name="40% - Accent2 3 3 4 4" xfId="29794" xr:uid="{7223998C-5F95-4EAE-965F-AEEEC9718D18}"/>
    <cellStyle name="40% - Accent2 3 3 5" xfId="9460" xr:uid="{00000000-0005-0000-0000-00009B340000}"/>
    <cellStyle name="40% - Accent2 3 3 5 2" xfId="17418" xr:uid="{00000000-0005-0000-0000-00009C340000}"/>
    <cellStyle name="40% - Accent2 3 3 5 2 2" xfId="41259" xr:uid="{083A5562-BF32-46C0-BEA2-39BA63A91655}"/>
    <cellStyle name="40% - Accent2 3 3 5 3" xfId="25362" xr:uid="{00000000-0005-0000-0000-00009D340000}"/>
    <cellStyle name="40% - Accent2 3 3 5 3 2" xfId="49195" xr:uid="{FC705EA9-F467-413A-89EF-4270E49032E7}"/>
    <cellStyle name="40% - Accent2 3 3 5 4" xfId="33318" xr:uid="{CBA467B7-8110-4C71-863A-09BF0AFDEBF2}"/>
    <cellStyle name="40% - Accent2 3 3 6" xfId="10356" xr:uid="{00000000-0005-0000-0000-00009E340000}"/>
    <cellStyle name="40% - Accent2 3 3 6 2" xfId="34206" xr:uid="{350CFB15-0577-406B-B6FA-55B45F62D93C}"/>
    <cellStyle name="40% - Accent2 3 3 7" xfId="18311" xr:uid="{00000000-0005-0000-0000-00009F340000}"/>
    <cellStyle name="40% - Accent2 3 3 7 2" xfId="42144" xr:uid="{63ABC386-7811-4C1D-9411-00BCFF8C011B}"/>
    <cellStyle name="40% - Accent2 3 3 8" xfId="26264" xr:uid="{74DD4B8D-E870-4E38-ADBC-7E5BBFB2D877}"/>
    <cellStyle name="40% - Accent2 3 3_Exh G" xfId="2868" xr:uid="{00000000-0005-0000-0000-0000A0340000}"/>
    <cellStyle name="40% - Accent2 3 4" xfId="949" xr:uid="{00000000-0005-0000-0000-0000A1340000}"/>
    <cellStyle name="40% - Accent2 3 4 2" xfId="1871" xr:uid="{00000000-0005-0000-0000-0000A2340000}"/>
    <cellStyle name="40% - Accent2 3 4 2 2" xfId="5389" xr:uid="{00000000-0005-0000-0000-0000A3340000}"/>
    <cellStyle name="40% - Accent2 3 4 2 2 2" xfId="8980" xr:uid="{00000000-0005-0000-0000-0000A4340000}"/>
    <cellStyle name="40% - Accent2 3 4 2 2 2 2" xfId="16951" xr:uid="{00000000-0005-0000-0000-0000A5340000}"/>
    <cellStyle name="40% - Accent2 3 4 2 2 2 2 2" xfId="40794" xr:uid="{6FFE5EE5-6C65-4B7D-BD3F-84749DA86405}"/>
    <cellStyle name="40% - Accent2 3 4 2 2 2 3" xfId="24897" xr:uid="{00000000-0005-0000-0000-0000A6340000}"/>
    <cellStyle name="40% - Accent2 3 4 2 2 2 3 2" xfId="48730" xr:uid="{69497D61-35AE-454A-B237-C2D65FC4F881}"/>
    <cellStyle name="40% - Accent2 3 4 2 2 2 4" xfId="32853" xr:uid="{7AA5C870-4E37-456A-8750-5B1197EC08E9}"/>
    <cellStyle name="40% - Accent2 3 4 2 2 3" xfId="13413" xr:uid="{00000000-0005-0000-0000-0000A7340000}"/>
    <cellStyle name="40% - Accent2 3 4 2 2 3 2" xfId="37263" xr:uid="{7EEA568A-52A3-4821-9C0D-58AC3A14BB83}"/>
    <cellStyle name="40% - Accent2 3 4 2 2 4" xfId="21368" xr:uid="{00000000-0005-0000-0000-0000A8340000}"/>
    <cellStyle name="40% - Accent2 3 4 2 2 4 2" xfId="45201" xr:uid="{88902E26-4F0A-4B17-ABAA-E1D6BBAD6D7E}"/>
    <cellStyle name="40% - Accent2 3 4 2 2 5" xfId="29322" xr:uid="{73979463-3C71-44E9-A3E2-A4CD0729251A}"/>
    <cellStyle name="40% - Accent2 3 4 2 3" xfId="7221" xr:uid="{00000000-0005-0000-0000-0000A9340000}"/>
    <cellStyle name="40% - Accent2 3 4 2 3 2" xfId="15193" xr:uid="{00000000-0005-0000-0000-0000AA340000}"/>
    <cellStyle name="40% - Accent2 3 4 2 3 2 2" xfId="39036" xr:uid="{9CC44C11-E10A-49E4-A938-A0EFB1A1414D}"/>
    <cellStyle name="40% - Accent2 3 4 2 3 3" xfId="23140" xr:uid="{00000000-0005-0000-0000-0000AB340000}"/>
    <cellStyle name="40% - Accent2 3 4 2 3 3 2" xfId="46973" xr:uid="{5AE482E9-6730-4E2D-951F-19ABB7D133F4}"/>
    <cellStyle name="40% - Accent2 3 4 2 3 4" xfId="31095" xr:uid="{3D445BBF-D7A2-4A63-B180-1CF146296DB3}"/>
    <cellStyle name="40% - Accent2 3 4 2 4" xfId="11657" xr:uid="{00000000-0005-0000-0000-0000AC340000}"/>
    <cellStyle name="40% - Accent2 3 4 2 4 2" xfId="35507" xr:uid="{314B42AF-66FC-49C6-9F6E-6566138E44B6}"/>
    <cellStyle name="40% - Accent2 3 4 2 5" xfId="19612" xr:uid="{00000000-0005-0000-0000-0000AD340000}"/>
    <cellStyle name="40% - Accent2 3 4 2 5 2" xfId="43445" xr:uid="{F1D7E867-D313-4D4E-9FBE-85720027EA18}"/>
    <cellStyle name="40% - Accent2 3 4 2 6" xfId="27565" xr:uid="{49FBC857-F6A8-4D57-BDC2-55FC8C456A3D}"/>
    <cellStyle name="40% - Accent2 3 4 2_Exh G" xfId="2871" xr:uid="{00000000-0005-0000-0000-0000AE340000}"/>
    <cellStyle name="40% - Accent2 3 4 3" xfId="4510" xr:uid="{00000000-0005-0000-0000-0000AF340000}"/>
    <cellStyle name="40% - Accent2 3 4 3 2" xfId="8102" xr:uid="{00000000-0005-0000-0000-0000B0340000}"/>
    <cellStyle name="40% - Accent2 3 4 3 2 2" xfId="16073" xr:uid="{00000000-0005-0000-0000-0000B1340000}"/>
    <cellStyle name="40% - Accent2 3 4 3 2 2 2" xfId="39916" xr:uid="{84748E19-9205-4880-A460-B560EE0AB9AC}"/>
    <cellStyle name="40% - Accent2 3 4 3 2 3" xfId="24019" xr:uid="{00000000-0005-0000-0000-0000B2340000}"/>
    <cellStyle name="40% - Accent2 3 4 3 2 3 2" xfId="47852" xr:uid="{1401B81A-29FA-4DEE-8F06-900FF58CA11F}"/>
    <cellStyle name="40% - Accent2 3 4 3 2 4" xfId="31975" xr:uid="{03F5080A-22B0-48EF-A16A-13FA9E4E1508}"/>
    <cellStyle name="40% - Accent2 3 4 3 3" xfId="12535" xr:uid="{00000000-0005-0000-0000-0000B3340000}"/>
    <cellStyle name="40% - Accent2 3 4 3 3 2" xfId="36385" xr:uid="{B69239A2-35EE-46AA-AC3C-BD48FC0D33D0}"/>
    <cellStyle name="40% - Accent2 3 4 3 4" xfId="20490" xr:uid="{00000000-0005-0000-0000-0000B4340000}"/>
    <cellStyle name="40% - Accent2 3 4 3 4 2" xfId="44323" xr:uid="{B9C25386-4227-4412-9123-BFE25CB4EA3A}"/>
    <cellStyle name="40% - Accent2 3 4 3 5" xfId="28444" xr:uid="{A2A3A72F-E0A0-4BB4-8A50-BF47D9CA48FC}"/>
    <cellStyle name="40% - Accent2 3 4 4" xfId="6340" xr:uid="{00000000-0005-0000-0000-0000B5340000}"/>
    <cellStyle name="40% - Accent2 3 4 4 2" xfId="14315" xr:uid="{00000000-0005-0000-0000-0000B6340000}"/>
    <cellStyle name="40% - Accent2 3 4 4 2 2" xfId="38158" xr:uid="{5B24C4AB-AC90-4753-BA5C-4E32FCDFFC76}"/>
    <cellStyle name="40% - Accent2 3 4 4 3" xfId="22262" xr:uid="{00000000-0005-0000-0000-0000B7340000}"/>
    <cellStyle name="40% - Accent2 3 4 4 3 2" xfId="46095" xr:uid="{5ADA1988-ED72-4FE6-A40E-AEB26869A971}"/>
    <cellStyle name="40% - Accent2 3 4 4 4" xfId="30217" xr:uid="{13843600-3DE7-4F84-9361-94539E87C6E5}"/>
    <cellStyle name="40% - Accent2 3 4 5" xfId="9883" xr:uid="{00000000-0005-0000-0000-0000B8340000}"/>
    <cellStyle name="40% - Accent2 3 4 5 2" xfId="17841" xr:uid="{00000000-0005-0000-0000-0000B9340000}"/>
    <cellStyle name="40% - Accent2 3 4 5 2 2" xfId="41682" xr:uid="{7A5C8004-C001-4A37-B0DA-E7D543DC17FF}"/>
    <cellStyle name="40% - Accent2 3 4 5 3" xfId="25785" xr:uid="{00000000-0005-0000-0000-0000BA340000}"/>
    <cellStyle name="40% - Accent2 3 4 5 3 2" xfId="49618" xr:uid="{163ECD1D-1E64-4605-916E-0D53FB9A2FF1}"/>
    <cellStyle name="40% - Accent2 3 4 5 4" xfId="33741" xr:uid="{1E747B83-E9B2-4C43-A80B-4F7E125F673C}"/>
    <cellStyle name="40% - Accent2 3 4 6" xfId="10779" xr:uid="{00000000-0005-0000-0000-0000BB340000}"/>
    <cellStyle name="40% - Accent2 3 4 6 2" xfId="34629" xr:uid="{76854E61-C47C-4746-BE2F-FFC8C8512392}"/>
    <cellStyle name="40% - Accent2 3 4 7" xfId="18734" xr:uid="{00000000-0005-0000-0000-0000BC340000}"/>
    <cellStyle name="40% - Accent2 3 4 7 2" xfId="42567" xr:uid="{572ECF92-E477-4BBA-83B8-6221C62DD7EE}"/>
    <cellStyle name="40% - Accent2 3 4 8" xfId="26687" xr:uid="{6F8FA915-0CF9-4656-A5EA-A676587BBDA5}"/>
    <cellStyle name="40% - Accent2 3 4_Exh G" xfId="2870" xr:uid="{00000000-0005-0000-0000-0000BD340000}"/>
    <cellStyle name="40% - Accent2 3 5" xfId="1433" xr:uid="{00000000-0005-0000-0000-0000BE340000}"/>
    <cellStyle name="40% - Accent2 3 5 2" xfId="4963" xr:uid="{00000000-0005-0000-0000-0000BF340000}"/>
    <cellStyle name="40% - Accent2 3 5 2 2" xfId="8554" xr:uid="{00000000-0005-0000-0000-0000C0340000}"/>
    <cellStyle name="40% - Accent2 3 5 2 2 2" xfId="16525" xr:uid="{00000000-0005-0000-0000-0000C1340000}"/>
    <cellStyle name="40% - Accent2 3 5 2 2 2 2" xfId="40368" xr:uid="{2D0EC80E-E539-4797-8CEC-AAB274167819}"/>
    <cellStyle name="40% - Accent2 3 5 2 2 3" xfId="24471" xr:uid="{00000000-0005-0000-0000-0000C2340000}"/>
    <cellStyle name="40% - Accent2 3 5 2 2 3 2" xfId="48304" xr:uid="{C11B488C-22B8-4D66-A037-8A40B5831E35}"/>
    <cellStyle name="40% - Accent2 3 5 2 2 4" xfId="32427" xr:uid="{DA4DE058-43B4-46FE-A655-EA1C2509CFAB}"/>
    <cellStyle name="40% - Accent2 3 5 2 3" xfId="12987" xr:uid="{00000000-0005-0000-0000-0000C3340000}"/>
    <cellStyle name="40% - Accent2 3 5 2 3 2" xfId="36837" xr:uid="{BDAAE24A-62DE-41DB-9431-D434DD17732E}"/>
    <cellStyle name="40% - Accent2 3 5 2 4" xfId="20942" xr:uid="{00000000-0005-0000-0000-0000C4340000}"/>
    <cellStyle name="40% - Accent2 3 5 2 4 2" xfId="44775" xr:uid="{A20417D3-FFE9-4766-BE0A-F5E49FFC778C}"/>
    <cellStyle name="40% - Accent2 3 5 2 5" xfId="28896" xr:uid="{82F11FF4-E3D4-46FE-A31C-73071C059C38}"/>
    <cellStyle name="40% - Accent2 3 5 3" xfId="6795" xr:uid="{00000000-0005-0000-0000-0000C5340000}"/>
    <cellStyle name="40% - Accent2 3 5 3 2" xfId="14767" xr:uid="{00000000-0005-0000-0000-0000C6340000}"/>
    <cellStyle name="40% - Accent2 3 5 3 2 2" xfId="38610" xr:uid="{465422AA-8F2A-42D1-849A-18898F3BBABC}"/>
    <cellStyle name="40% - Accent2 3 5 3 3" xfId="22714" xr:uid="{00000000-0005-0000-0000-0000C7340000}"/>
    <cellStyle name="40% - Accent2 3 5 3 3 2" xfId="46547" xr:uid="{F49D1AE3-465A-43D8-94E8-67DA705A3C39}"/>
    <cellStyle name="40% - Accent2 3 5 3 4" xfId="30669" xr:uid="{11AF54DF-2673-4386-B48A-A4C5BB71088C}"/>
    <cellStyle name="40% - Accent2 3 5 4" xfId="11231" xr:uid="{00000000-0005-0000-0000-0000C8340000}"/>
    <cellStyle name="40% - Accent2 3 5 4 2" xfId="35081" xr:uid="{34BED6D8-5EC5-4E2A-8B43-69B1A1BCE35F}"/>
    <cellStyle name="40% - Accent2 3 5 5" xfId="19186" xr:uid="{00000000-0005-0000-0000-0000C9340000}"/>
    <cellStyle name="40% - Accent2 3 5 5 2" xfId="43019" xr:uid="{518AC358-37E6-4C19-9CB4-554B3962C607}"/>
    <cellStyle name="40% - Accent2 3 5 6" xfId="27139" xr:uid="{F31F9F0B-2F3E-40D9-AE66-01E2311205E9}"/>
    <cellStyle name="40% - Accent2 3 5_Exh G" xfId="2872" xr:uid="{00000000-0005-0000-0000-0000CA340000}"/>
    <cellStyle name="40% - Accent2 3 6" xfId="4084" xr:uid="{00000000-0005-0000-0000-0000CB340000}"/>
    <cellStyle name="40% - Accent2 3 6 2" xfId="7676" xr:uid="{00000000-0005-0000-0000-0000CC340000}"/>
    <cellStyle name="40% - Accent2 3 6 2 2" xfId="15647" xr:uid="{00000000-0005-0000-0000-0000CD340000}"/>
    <cellStyle name="40% - Accent2 3 6 2 2 2" xfId="39490" xr:uid="{8F41C03A-BD9B-4C13-A064-E44A51D6EF2D}"/>
    <cellStyle name="40% - Accent2 3 6 2 3" xfId="23593" xr:uid="{00000000-0005-0000-0000-0000CE340000}"/>
    <cellStyle name="40% - Accent2 3 6 2 3 2" xfId="47426" xr:uid="{5539A4AA-815D-42CC-AB75-919772634669}"/>
    <cellStyle name="40% - Accent2 3 6 2 4" xfId="31549" xr:uid="{4447DFC3-DB5A-4736-A7B2-CBAA56E0F18A}"/>
    <cellStyle name="40% - Accent2 3 6 3" xfId="12109" xr:uid="{00000000-0005-0000-0000-0000CF340000}"/>
    <cellStyle name="40% - Accent2 3 6 3 2" xfId="35959" xr:uid="{52922DD9-7AFE-4206-9D2F-345CDC28CB8D}"/>
    <cellStyle name="40% - Accent2 3 6 4" xfId="20064" xr:uid="{00000000-0005-0000-0000-0000D0340000}"/>
    <cellStyle name="40% - Accent2 3 6 4 2" xfId="43897" xr:uid="{5C17DDAB-995D-4030-B1B1-0042ED03B580}"/>
    <cellStyle name="40% - Accent2 3 6 5" xfId="28018" xr:uid="{1548B122-54DE-4708-80E0-7B69FDC526B6}"/>
    <cellStyle name="40% - Accent2 3 7" xfId="5904" xr:uid="{00000000-0005-0000-0000-0000D1340000}"/>
    <cellStyle name="40% - Accent2 3 7 2" xfId="13888" xr:uid="{00000000-0005-0000-0000-0000D2340000}"/>
    <cellStyle name="40% - Accent2 3 7 2 2" xfId="37732" xr:uid="{2E92E7D5-0038-4B25-AC62-5F21CAE57733}"/>
    <cellStyle name="40% - Accent2 3 7 3" xfId="21836" xr:uid="{00000000-0005-0000-0000-0000D3340000}"/>
    <cellStyle name="40% - Accent2 3 7 3 2" xfId="45669" xr:uid="{7B3FBF0C-6E83-451E-933C-57441250EDE0}"/>
    <cellStyle name="40% - Accent2 3 7 4" xfId="29791" xr:uid="{653E44A0-2F21-413E-A641-66FD57033A74}"/>
    <cellStyle name="40% - Accent2 3 8" xfId="9457" xr:uid="{00000000-0005-0000-0000-0000D4340000}"/>
    <cellStyle name="40% - Accent2 3 8 2" xfId="17415" xr:uid="{00000000-0005-0000-0000-0000D5340000}"/>
    <cellStyle name="40% - Accent2 3 8 2 2" xfId="41256" xr:uid="{79C75F7C-EB5C-47C0-8257-D90A950E4455}"/>
    <cellStyle name="40% - Accent2 3 8 3" xfId="25359" xr:uid="{00000000-0005-0000-0000-0000D6340000}"/>
    <cellStyle name="40% - Accent2 3 8 3 2" xfId="49192" xr:uid="{6B233170-A3B0-4472-8D22-F54C6BD1AC15}"/>
    <cellStyle name="40% - Accent2 3 8 4" xfId="33315" xr:uid="{9A474D4A-F53E-4D62-96C4-8D9D932364A6}"/>
    <cellStyle name="40% - Accent2 3 9" xfId="10353" xr:uid="{00000000-0005-0000-0000-0000D7340000}"/>
    <cellStyle name="40% - Accent2 3 9 2" xfId="34203" xr:uid="{4D28216E-8ACB-4D85-8486-F13A88208060}"/>
    <cellStyle name="40% - Accent2 3_Exh G" xfId="2861" xr:uid="{00000000-0005-0000-0000-0000D8340000}"/>
    <cellStyle name="40% - Accent2 4" xfId="409" xr:uid="{00000000-0005-0000-0000-0000D9340000}"/>
    <cellStyle name="40% - Accent2 4 10" xfId="18312" xr:uid="{00000000-0005-0000-0000-0000DA340000}"/>
    <cellStyle name="40% - Accent2 4 10 2" xfId="42145" xr:uid="{51E4C3EF-D026-48D1-A608-C40A9304C26D}"/>
    <cellStyle name="40% - Accent2 4 11" xfId="26265" xr:uid="{1871CE31-2CF1-4631-A00D-AC33BFFD5300}"/>
    <cellStyle name="40% - Accent2 4 2" xfId="410" xr:uid="{00000000-0005-0000-0000-0000DB340000}"/>
    <cellStyle name="40% - Accent2 4 2 10" xfId="26266" xr:uid="{0EECB09D-050B-483F-BC04-32C3E5CAB9EC}"/>
    <cellStyle name="40% - Accent2 4 2 2" xfId="411" xr:uid="{00000000-0005-0000-0000-0000DC340000}"/>
    <cellStyle name="40% - Accent2 4 2 2 2" xfId="1439" xr:uid="{00000000-0005-0000-0000-0000DD340000}"/>
    <cellStyle name="40% - Accent2 4 2 2 2 2" xfId="4969" xr:uid="{00000000-0005-0000-0000-0000DE340000}"/>
    <cellStyle name="40% - Accent2 4 2 2 2 2 2" xfId="8560" xr:uid="{00000000-0005-0000-0000-0000DF340000}"/>
    <cellStyle name="40% - Accent2 4 2 2 2 2 2 2" xfId="16531" xr:uid="{00000000-0005-0000-0000-0000E0340000}"/>
    <cellStyle name="40% - Accent2 4 2 2 2 2 2 2 2" xfId="40374" xr:uid="{305CA29C-0682-4F46-B98A-DCC59AC47405}"/>
    <cellStyle name="40% - Accent2 4 2 2 2 2 2 3" xfId="24477" xr:uid="{00000000-0005-0000-0000-0000E1340000}"/>
    <cellStyle name="40% - Accent2 4 2 2 2 2 2 3 2" xfId="48310" xr:uid="{E1891B47-23C6-4974-BA3F-9649FF9EF870}"/>
    <cellStyle name="40% - Accent2 4 2 2 2 2 2 4" xfId="32433" xr:uid="{03A37545-D4A1-4196-8EB2-B01BD5F8D486}"/>
    <cellStyle name="40% - Accent2 4 2 2 2 2 3" xfId="12993" xr:uid="{00000000-0005-0000-0000-0000E2340000}"/>
    <cellStyle name="40% - Accent2 4 2 2 2 2 3 2" xfId="36843" xr:uid="{3E930998-99C5-4D77-A9EE-D93FF8099AE8}"/>
    <cellStyle name="40% - Accent2 4 2 2 2 2 4" xfId="20948" xr:uid="{00000000-0005-0000-0000-0000E3340000}"/>
    <cellStyle name="40% - Accent2 4 2 2 2 2 4 2" xfId="44781" xr:uid="{7DBA1330-2E44-4BCA-8C5F-40C6A1BB4383}"/>
    <cellStyle name="40% - Accent2 4 2 2 2 2 5" xfId="28902" xr:uid="{FCB960D5-8A3E-4E22-B307-B537601C7E38}"/>
    <cellStyle name="40% - Accent2 4 2 2 2 3" xfId="6801" xr:uid="{00000000-0005-0000-0000-0000E4340000}"/>
    <cellStyle name="40% - Accent2 4 2 2 2 3 2" xfId="14773" xr:uid="{00000000-0005-0000-0000-0000E5340000}"/>
    <cellStyle name="40% - Accent2 4 2 2 2 3 2 2" xfId="38616" xr:uid="{82D78919-797E-42E0-BABE-22D7C10759C0}"/>
    <cellStyle name="40% - Accent2 4 2 2 2 3 3" xfId="22720" xr:uid="{00000000-0005-0000-0000-0000E6340000}"/>
    <cellStyle name="40% - Accent2 4 2 2 2 3 3 2" xfId="46553" xr:uid="{B43DF547-6066-4942-BA8F-8E695514E677}"/>
    <cellStyle name="40% - Accent2 4 2 2 2 3 4" xfId="30675" xr:uid="{BFBA9DF6-E314-4B58-983C-A8BC23F27D4E}"/>
    <cellStyle name="40% - Accent2 4 2 2 2 4" xfId="11237" xr:uid="{00000000-0005-0000-0000-0000E7340000}"/>
    <cellStyle name="40% - Accent2 4 2 2 2 4 2" xfId="35087" xr:uid="{57F2F0C7-76F3-42B6-8DB7-D1DAD2A0F76A}"/>
    <cellStyle name="40% - Accent2 4 2 2 2 5" xfId="19192" xr:uid="{00000000-0005-0000-0000-0000E8340000}"/>
    <cellStyle name="40% - Accent2 4 2 2 2 5 2" xfId="43025" xr:uid="{5A72010D-29AC-4A80-8C55-D300BEA45911}"/>
    <cellStyle name="40% - Accent2 4 2 2 2 6" xfId="27145" xr:uid="{484AFE9A-21F5-47D3-BABA-950B14A4468A}"/>
    <cellStyle name="40% - Accent2 4 2 2 2_Exh G" xfId="2876" xr:uid="{00000000-0005-0000-0000-0000E9340000}"/>
    <cellStyle name="40% - Accent2 4 2 2 3" xfId="4090" xr:uid="{00000000-0005-0000-0000-0000EA340000}"/>
    <cellStyle name="40% - Accent2 4 2 2 3 2" xfId="7682" xr:uid="{00000000-0005-0000-0000-0000EB340000}"/>
    <cellStyle name="40% - Accent2 4 2 2 3 2 2" xfId="15653" xr:uid="{00000000-0005-0000-0000-0000EC340000}"/>
    <cellStyle name="40% - Accent2 4 2 2 3 2 2 2" xfId="39496" xr:uid="{136FA063-572D-4191-8647-94A2D259E1BA}"/>
    <cellStyle name="40% - Accent2 4 2 2 3 2 3" xfId="23599" xr:uid="{00000000-0005-0000-0000-0000ED340000}"/>
    <cellStyle name="40% - Accent2 4 2 2 3 2 3 2" xfId="47432" xr:uid="{F6287334-6483-4BD1-9177-5DCAA1A05E60}"/>
    <cellStyle name="40% - Accent2 4 2 2 3 2 4" xfId="31555" xr:uid="{49C7C96C-EBF2-4477-B6EE-1CB35C4C2729}"/>
    <cellStyle name="40% - Accent2 4 2 2 3 3" xfId="12115" xr:uid="{00000000-0005-0000-0000-0000EE340000}"/>
    <cellStyle name="40% - Accent2 4 2 2 3 3 2" xfId="35965" xr:uid="{C5F04399-1896-4E41-9D68-4AFFAE463FCC}"/>
    <cellStyle name="40% - Accent2 4 2 2 3 4" xfId="20070" xr:uid="{00000000-0005-0000-0000-0000EF340000}"/>
    <cellStyle name="40% - Accent2 4 2 2 3 4 2" xfId="43903" xr:uid="{24E8B4CD-544B-4A24-A9EA-9926B2B9E061}"/>
    <cellStyle name="40% - Accent2 4 2 2 3 5" xfId="28024" xr:uid="{633F93ED-CDD5-44B0-BF2F-3635227202D9}"/>
    <cellStyle name="40% - Accent2 4 2 2 4" xfId="5910" xr:uid="{00000000-0005-0000-0000-0000F0340000}"/>
    <cellStyle name="40% - Accent2 4 2 2 4 2" xfId="13894" xr:uid="{00000000-0005-0000-0000-0000F1340000}"/>
    <cellStyle name="40% - Accent2 4 2 2 4 2 2" xfId="37738" xr:uid="{EB9131C3-2888-4845-8802-C4AEC70DB082}"/>
    <cellStyle name="40% - Accent2 4 2 2 4 3" xfId="21842" xr:uid="{00000000-0005-0000-0000-0000F2340000}"/>
    <cellStyle name="40% - Accent2 4 2 2 4 3 2" xfId="45675" xr:uid="{64EA2AF6-3005-484F-ADAC-E4EDD7C06464}"/>
    <cellStyle name="40% - Accent2 4 2 2 4 4" xfId="29797" xr:uid="{3EE8E603-6A03-4CAA-BBEF-8C4286A94A90}"/>
    <cellStyle name="40% - Accent2 4 2 2 5" xfId="9463" xr:uid="{00000000-0005-0000-0000-0000F3340000}"/>
    <cellStyle name="40% - Accent2 4 2 2 5 2" xfId="17421" xr:uid="{00000000-0005-0000-0000-0000F4340000}"/>
    <cellStyle name="40% - Accent2 4 2 2 5 2 2" xfId="41262" xr:uid="{9BE234D8-CA4D-47F6-93F1-E5E0A0E4C109}"/>
    <cellStyle name="40% - Accent2 4 2 2 5 3" xfId="25365" xr:uid="{00000000-0005-0000-0000-0000F5340000}"/>
    <cellStyle name="40% - Accent2 4 2 2 5 3 2" xfId="49198" xr:uid="{7A95D6BD-C4F6-4ABD-970D-116887888D93}"/>
    <cellStyle name="40% - Accent2 4 2 2 5 4" xfId="33321" xr:uid="{32410EB1-CB24-4B0E-B734-21D2610603A2}"/>
    <cellStyle name="40% - Accent2 4 2 2 6" xfId="10359" xr:uid="{00000000-0005-0000-0000-0000F6340000}"/>
    <cellStyle name="40% - Accent2 4 2 2 6 2" xfId="34209" xr:uid="{51A62DF8-C644-40BD-9389-55815158BABB}"/>
    <cellStyle name="40% - Accent2 4 2 2 7" xfId="18314" xr:uid="{00000000-0005-0000-0000-0000F7340000}"/>
    <cellStyle name="40% - Accent2 4 2 2 7 2" xfId="42147" xr:uid="{930AFB7E-93E3-4E55-AF80-B5A3DD08E0DC}"/>
    <cellStyle name="40% - Accent2 4 2 2 8" xfId="26267" xr:uid="{18546B5C-FCB2-46D9-989A-8F835933565B}"/>
    <cellStyle name="40% - Accent2 4 2 2_Exh G" xfId="2875" xr:uid="{00000000-0005-0000-0000-0000F8340000}"/>
    <cellStyle name="40% - Accent2 4 2 3" xfId="952" xr:uid="{00000000-0005-0000-0000-0000F9340000}"/>
    <cellStyle name="40% - Accent2 4 2 3 2" xfId="1874" xr:uid="{00000000-0005-0000-0000-0000FA340000}"/>
    <cellStyle name="40% - Accent2 4 2 3 2 2" xfId="5392" xr:uid="{00000000-0005-0000-0000-0000FB340000}"/>
    <cellStyle name="40% - Accent2 4 2 3 2 2 2" xfId="8983" xr:uid="{00000000-0005-0000-0000-0000FC340000}"/>
    <cellStyle name="40% - Accent2 4 2 3 2 2 2 2" xfId="16954" xr:uid="{00000000-0005-0000-0000-0000FD340000}"/>
    <cellStyle name="40% - Accent2 4 2 3 2 2 2 2 2" xfId="40797" xr:uid="{C8FC33C7-5D3D-42BE-B4A1-87E2123A2755}"/>
    <cellStyle name="40% - Accent2 4 2 3 2 2 2 3" xfId="24900" xr:uid="{00000000-0005-0000-0000-0000FE340000}"/>
    <cellStyle name="40% - Accent2 4 2 3 2 2 2 3 2" xfId="48733" xr:uid="{B131F10F-8452-4242-ABFD-971CE5A7B00E}"/>
    <cellStyle name="40% - Accent2 4 2 3 2 2 2 4" xfId="32856" xr:uid="{4A65F237-2B89-42BC-B810-D4F7243E9484}"/>
    <cellStyle name="40% - Accent2 4 2 3 2 2 3" xfId="13416" xr:uid="{00000000-0005-0000-0000-0000FF340000}"/>
    <cellStyle name="40% - Accent2 4 2 3 2 2 3 2" xfId="37266" xr:uid="{2D524C04-47DB-4A84-8A91-93BEBC7D3B1F}"/>
    <cellStyle name="40% - Accent2 4 2 3 2 2 4" xfId="21371" xr:uid="{00000000-0005-0000-0000-000000350000}"/>
    <cellStyle name="40% - Accent2 4 2 3 2 2 4 2" xfId="45204" xr:uid="{B7C19017-9BCD-4A4C-AC69-058A1C3D23FF}"/>
    <cellStyle name="40% - Accent2 4 2 3 2 2 5" xfId="29325" xr:uid="{6BD51513-11C9-48D2-A74C-B47E3904F454}"/>
    <cellStyle name="40% - Accent2 4 2 3 2 3" xfId="7224" xr:uid="{00000000-0005-0000-0000-000001350000}"/>
    <cellStyle name="40% - Accent2 4 2 3 2 3 2" xfId="15196" xr:uid="{00000000-0005-0000-0000-000002350000}"/>
    <cellStyle name="40% - Accent2 4 2 3 2 3 2 2" xfId="39039" xr:uid="{76A50237-DC5D-47B4-B990-F933F6B25796}"/>
    <cellStyle name="40% - Accent2 4 2 3 2 3 3" xfId="23143" xr:uid="{00000000-0005-0000-0000-000003350000}"/>
    <cellStyle name="40% - Accent2 4 2 3 2 3 3 2" xfId="46976" xr:uid="{6DAC7FF3-F8A6-4F29-93FA-43484026AE60}"/>
    <cellStyle name="40% - Accent2 4 2 3 2 3 4" xfId="31098" xr:uid="{9ECD2A1B-A983-43CC-B146-E2FF6CF9B4D3}"/>
    <cellStyle name="40% - Accent2 4 2 3 2 4" xfId="11660" xr:uid="{00000000-0005-0000-0000-000004350000}"/>
    <cellStyle name="40% - Accent2 4 2 3 2 4 2" xfId="35510" xr:uid="{24F86864-F630-4DEB-84B2-B444F359D502}"/>
    <cellStyle name="40% - Accent2 4 2 3 2 5" xfId="19615" xr:uid="{00000000-0005-0000-0000-000005350000}"/>
    <cellStyle name="40% - Accent2 4 2 3 2 5 2" xfId="43448" xr:uid="{A2E141B6-1BAB-499A-95AB-120C927BD7C3}"/>
    <cellStyle name="40% - Accent2 4 2 3 2 6" xfId="27568" xr:uid="{0984546E-30AD-4973-9456-E1538BEECF8F}"/>
    <cellStyle name="40% - Accent2 4 2 3 2_Exh G" xfId="2878" xr:uid="{00000000-0005-0000-0000-000006350000}"/>
    <cellStyle name="40% - Accent2 4 2 3 3" xfId="4513" xr:uid="{00000000-0005-0000-0000-000007350000}"/>
    <cellStyle name="40% - Accent2 4 2 3 3 2" xfId="8105" xr:uid="{00000000-0005-0000-0000-000008350000}"/>
    <cellStyle name="40% - Accent2 4 2 3 3 2 2" xfId="16076" xr:uid="{00000000-0005-0000-0000-000009350000}"/>
    <cellStyle name="40% - Accent2 4 2 3 3 2 2 2" xfId="39919" xr:uid="{F563290D-8D17-4D5A-A042-451CB3ABB3F5}"/>
    <cellStyle name="40% - Accent2 4 2 3 3 2 3" xfId="24022" xr:uid="{00000000-0005-0000-0000-00000A350000}"/>
    <cellStyle name="40% - Accent2 4 2 3 3 2 3 2" xfId="47855" xr:uid="{8884309B-9BD9-44D4-AC59-D365DFF52864}"/>
    <cellStyle name="40% - Accent2 4 2 3 3 2 4" xfId="31978" xr:uid="{2D99AC3E-D79D-4C47-A63C-608FE849B9D9}"/>
    <cellStyle name="40% - Accent2 4 2 3 3 3" xfId="12538" xr:uid="{00000000-0005-0000-0000-00000B350000}"/>
    <cellStyle name="40% - Accent2 4 2 3 3 3 2" xfId="36388" xr:uid="{496A9EB2-18B7-4E77-84FB-F10C3D6E08E9}"/>
    <cellStyle name="40% - Accent2 4 2 3 3 4" xfId="20493" xr:uid="{00000000-0005-0000-0000-00000C350000}"/>
    <cellStyle name="40% - Accent2 4 2 3 3 4 2" xfId="44326" xr:uid="{92556BC9-7855-4FE8-9E07-04F71D4E620F}"/>
    <cellStyle name="40% - Accent2 4 2 3 3 5" xfId="28447" xr:uid="{90CA9AC6-03DB-493A-9B1E-7F2EAE4B44E3}"/>
    <cellStyle name="40% - Accent2 4 2 3 4" xfId="6343" xr:uid="{00000000-0005-0000-0000-00000D350000}"/>
    <cellStyle name="40% - Accent2 4 2 3 4 2" xfId="14318" xr:uid="{00000000-0005-0000-0000-00000E350000}"/>
    <cellStyle name="40% - Accent2 4 2 3 4 2 2" xfId="38161" xr:uid="{2F0107FC-B4E7-4B53-A538-80FDAB592D43}"/>
    <cellStyle name="40% - Accent2 4 2 3 4 3" xfId="22265" xr:uid="{00000000-0005-0000-0000-00000F350000}"/>
    <cellStyle name="40% - Accent2 4 2 3 4 3 2" xfId="46098" xr:uid="{F98BFDE0-819D-4E07-8482-763ABEDBD6FD}"/>
    <cellStyle name="40% - Accent2 4 2 3 4 4" xfId="30220" xr:uid="{F732A852-AB72-41C6-BAFC-4F5DEA5C971B}"/>
    <cellStyle name="40% - Accent2 4 2 3 5" xfId="9886" xr:uid="{00000000-0005-0000-0000-000010350000}"/>
    <cellStyle name="40% - Accent2 4 2 3 5 2" xfId="17844" xr:uid="{00000000-0005-0000-0000-000011350000}"/>
    <cellStyle name="40% - Accent2 4 2 3 5 2 2" xfId="41685" xr:uid="{116A256F-CA68-482C-834F-9E345E286F96}"/>
    <cellStyle name="40% - Accent2 4 2 3 5 3" xfId="25788" xr:uid="{00000000-0005-0000-0000-000012350000}"/>
    <cellStyle name="40% - Accent2 4 2 3 5 3 2" xfId="49621" xr:uid="{8AD5A2E5-3F6C-4539-BA3D-A238E0899148}"/>
    <cellStyle name="40% - Accent2 4 2 3 5 4" xfId="33744" xr:uid="{83776F70-2026-40F7-9D25-893DAE07ABC3}"/>
    <cellStyle name="40% - Accent2 4 2 3 6" xfId="10782" xr:uid="{00000000-0005-0000-0000-000013350000}"/>
    <cellStyle name="40% - Accent2 4 2 3 6 2" xfId="34632" xr:uid="{1709FDD4-1493-4324-9C0A-8F4E2546605A}"/>
    <cellStyle name="40% - Accent2 4 2 3 7" xfId="18737" xr:uid="{00000000-0005-0000-0000-000014350000}"/>
    <cellStyle name="40% - Accent2 4 2 3 7 2" xfId="42570" xr:uid="{E3B5B06F-2117-4EDC-83D4-6AEEF4A40283}"/>
    <cellStyle name="40% - Accent2 4 2 3 8" xfId="26690" xr:uid="{4EE09BFE-1C99-4644-A6F1-32B11771DBC5}"/>
    <cellStyle name="40% - Accent2 4 2 3_Exh G" xfId="2877" xr:uid="{00000000-0005-0000-0000-000015350000}"/>
    <cellStyle name="40% - Accent2 4 2 4" xfId="1438" xr:uid="{00000000-0005-0000-0000-000016350000}"/>
    <cellStyle name="40% - Accent2 4 2 4 2" xfId="4968" xr:uid="{00000000-0005-0000-0000-000017350000}"/>
    <cellStyle name="40% - Accent2 4 2 4 2 2" xfId="8559" xr:uid="{00000000-0005-0000-0000-000018350000}"/>
    <cellStyle name="40% - Accent2 4 2 4 2 2 2" xfId="16530" xr:uid="{00000000-0005-0000-0000-000019350000}"/>
    <cellStyle name="40% - Accent2 4 2 4 2 2 2 2" xfId="40373" xr:uid="{544493F0-F0A4-4AA5-8B79-5A72147FF250}"/>
    <cellStyle name="40% - Accent2 4 2 4 2 2 3" xfId="24476" xr:uid="{00000000-0005-0000-0000-00001A350000}"/>
    <cellStyle name="40% - Accent2 4 2 4 2 2 3 2" xfId="48309" xr:uid="{C6772678-AE2D-443A-9D68-3AFF0806AE6E}"/>
    <cellStyle name="40% - Accent2 4 2 4 2 2 4" xfId="32432" xr:uid="{E008F8AC-4435-4525-A8A1-D28D5ADD08E9}"/>
    <cellStyle name="40% - Accent2 4 2 4 2 3" xfId="12992" xr:uid="{00000000-0005-0000-0000-00001B350000}"/>
    <cellStyle name="40% - Accent2 4 2 4 2 3 2" xfId="36842" xr:uid="{9330BF1C-5395-4BAD-9D95-8C3D829D2618}"/>
    <cellStyle name="40% - Accent2 4 2 4 2 4" xfId="20947" xr:uid="{00000000-0005-0000-0000-00001C350000}"/>
    <cellStyle name="40% - Accent2 4 2 4 2 4 2" xfId="44780" xr:uid="{18D59E3C-8F43-4C0E-86BE-A33FBAA3184C}"/>
    <cellStyle name="40% - Accent2 4 2 4 2 5" xfId="28901" xr:uid="{18F4FFEF-1A30-4382-B450-03C9E2403FB1}"/>
    <cellStyle name="40% - Accent2 4 2 4 3" xfId="6800" xr:uid="{00000000-0005-0000-0000-00001D350000}"/>
    <cellStyle name="40% - Accent2 4 2 4 3 2" xfId="14772" xr:uid="{00000000-0005-0000-0000-00001E350000}"/>
    <cellStyle name="40% - Accent2 4 2 4 3 2 2" xfId="38615" xr:uid="{546D9636-A3C7-48EA-BA2B-498354C0D468}"/>
    <cellStyle name="40% - Accent2 4 2 4 3 3" xfId="22719" xr:uid="{00000000-0005-0000-0000-00001F350000}"/>
    <cellStyle name="40% - Accent2 4 2 4 3 3 2" xfId="46552" xr:uid="{9409A940-622A-4AB6-B66D-526A195BF544}"/>
    <cellStyle name="40% - Accent2 4 2 4 3 4" xfId="30674" xr:uid="{6CE9E074-81DA-4AD1-A87A-52AC5E92B8B1}"/>
    <cellStyle name="40% - Accent2 4 2 4 4" xfId="11236" xr:uid="{00000000-0005-0000-0000-000020350000}"/>
    <cellStyle name="40% - Accent2 4 2 4 4 2" xfId="35086" xr:uid="{591D806A-B792-4FB7-8F77-864BAF78A967}"/>
    <cellStyle name="40% - Accent2 4 2 4 5" xfId="19191" xr:uid="{00000000-0005-0000-0000-000021350000}"/>
    <cellStyle name="40% - Accent2 4 2 4 5 2" xfId="43024" xr:uid="{2CB49303-D023-4C6C-8777-DE30162D389F}"/>
    <cellStyle name="40% - Accent2 4 2 4 6" xfId="27144" xr:uid="{13A8838A-1975-4F28-9B7B-F7DCF64C6EA7}"/>
    <cellStyle name="40% - Accent2 4 2 4_Exh G" xfId="2879" xr:uid="{00000000-0005-0000-0000-000022350000}"/>
    <cellStyle name="40% - Accent2 4 2 5" xfId="4089" xr:uid="{00000000-0005-0000-0000-000023350000}"/>
    <cellStyle name="40% - Accent2 4 2 5 2" xfId="7681" xr:uid="{00000000-0005-0000-0000-000024350000}"/>
    <cellStyle name="40% - Accent2 4 2 5 2 2" xfId="15652" xr:uid="{00000000-0005-0000-0000-000025350000}"/>
    <cellStyle name="40% - Accent2 4 2 5 2 2 2" xfId="39495" xr:uid="{FCB9C97A-0D15-4741-88BE-C7720E4E1086}"/>
    <cellStyle name="40% - Accent2 4 2 5 2 3" xfId="23598" xr:uid="{00000000-0005-0000-0000-000026350000}"/>
    <cellStyle name="40% - Accent2 4 2 5 2 3 2" xfId="47431" xr:uid="{EFCBBFBA-B617-4E64-8D46-72D223C5355D}"/>
    <cellStyle name="40% - Accent2 4 2 5 2 4" xfId="31554" xr:uid="{C5EC4E8B-1415-457B-A0D3-A07E3C161244}"/>
    <cellStyle name="40% - Accent2 4 2 5 3" xfId="12114" xr:uid="{00000000-0005-0000-0000-000027350000}"/>
    <cellStyle name="40% - Accent2 4 2 5 3 2" xfId="35964" xr:uid="{DD2EEC99-7418-4126-B166-2A588E8FC747}"/>
    <cellStyle name="40% - Accent2 4 2 5 4" xfId="20069" xr:uid="{00000000-0005-0000-0000-000028350000}"/>
    <cellStyle name="40% - Accent2 4 2 5 4 2" xfId="43902" xr:uid="{427CA061-15C7-4A13-A08E-283AFBBB902A}"/>
    <cellStyle name="40% - Accent2 4 2 5 5" xfId="28023" xr:uid="{E6CD2F38-CE70-4CC8-88F1-302EDD3032E6}"/>
    <cellStyle name="40% - Accent2 4 2 6" xfId="5909" xr:uid="{00000000-0005-0000-0000-000029350000}"/>
    <cellStyle name="40% - Accent2 4 2 6 2" xfId="13893" xr:uid="{00000000-0005-0000-0000-00002A350000}"/>
    <cellStyle name="40% - Accent2 4 2 6 2 2" xfId="37737" xr:uid="{3BAA550E-CB17-480B-8D54-DC5591DFAFC0}"/>
    <cellStyle name="40% - Accent2 4 2 6 3" xfId="21841" xr:uid="{00000000-0005-0000-0000-00002B350000}"/>
    <cellStyle name="40% - Accent2 4 2 6 3 2" xfId="45674" xr:uid="{308DFD8A-5AF9-4016-A581-E76BBFE50693}"/>
    <cellStyle name="40% - Accent2 4 2 6 4" xfId="29796" xr:uid="{E4F57001-A7A9-456A-BB6C-80EEDEEC19DB}"/>
    <cellStyle name="40% - Accent2 4 2 7" xfId="9462" xr:uid="{00000000-0005-0000-0000-00002C350000}"/>
    <cellStyle name="40% - Accent2 4 2 7 2" xfId="17420" xr:uid="{00000000-0005-0000-0000-00002D350000}"/>
    <cellStyle name="40% - Accent2 4 2 7 2 2" xfId="41261" xr:uid="{994E626A-6857-43CC-B750-9CE95F9185B7}"/>
    <cellStyle name="40% - Accent2 4 2 7 3" xfId="25364" xr:uid="{00000000-0005-0000-0000-00002E350000}"/>
    <cellStyle name="40% - Accent2 4 2 7 3 2" xfId="49197" xr:uid="{4D629F0D-7B19-4306-9D58-57AB25DEF524}"/>
    <cellStyle name="40% - Accent2 4 2 7 4" xfId="33320" xr:uid="{70AC69DE-7750-4164-A6F7-90BB34036AC1}"/>
    <cellStyle name="40% - Accent2 4 2 8" xfId="10358" xr:uid="{00000000-0005-0000-0000-00002F350000}"/>
    <cellStyle name="40% - Accent2 4 2 8 2" xfId="34208" xr:uid="{213E98AC-C060-4FF5-818C-965BB8B969C0}"/>
    <cellStyle name="40% - Accent2 4 2 9" xfId="18313" xr:uid="{00000000-0005-0000-0000-000030350000}"/>
    <cellStyle name="40% - Accent2 4 2 9 2" xfId="42146" xr:uid="{6851B9EF-C49B-49CD-AD5A-F3F1B1634E53}"/>
    <cellStyle name="40% - Accent2 4 2_Exh G" xfId="2874" xr:uid="{00000000-0005-0000-0000-000031350000}"/>
    <cellStyle name="40% - Accent2 4 3" xfId="412" xr:uid="{00000000-0005-0000-0000-000032350000}"/>
    <cellStyle name="40% - Accent2 4 3 2" xfId="1440" xr:uid="{00000000-0005-0000-0000-000033350000}"/>
    <cellStyle name="40% - Accent2 4 3 2 2" xfId="4970" xr:uid="{00000000-0005-0000-0000-000034350000}"/>
    <cellStyle name="40% - Accent2 4 3 2 2 2" xfId="8561" xr:uid="{00000000-0005-0000-0000-000035350000}"/>
    <cellStyle name="40% - Accent2 4 3 2 2 2 2" xfId="16532" xr:uid="{00000000-0005-0000-0000-000036350000}"/>
    <cellStyle name="40% - Accent2 4 3 2 2 2 2 2" xfId="40375" xr:uid="{B04BF069-DC4B-4BA6-AD43-7223CDD12319}"/>
    <cellStyle name="40% - Accent2 4 3 2 2 2 3" xfId="24478" xr:uid="{00000000-0005-0000-0000-000037350000}"/>
    <cellStyle name="40% - Accent2 4 3 2 2 2 3 2" xfId="48311" xr:uid="{8D813002-DE00-4BF4-920B-96E4C10CA6FD}"/>
    <cellStyle name="40% - Accent2 4 3 2 2 2 4" xfId="32434" xr:uid="{EB65195B-8EC9-429B-A127-A8002870240A}"/>
    <cellStyle name="40% - Accent2 4 3 2 2 3" xfId="12994" xr:uid="{00000000-0005-0000-0000-000038350000}"/>
    <cellStyle name="40% - Accent2 4 3 2 2 3 2" xfId="36844" xr:uid="{9CC6234E-A200-47ED-BA31-466CC15CDB4E}"/>
    <cellStyle name="40% - Accent2 4 3 2 2 4" xfId="20949" xr:uid="{00000000-0005-0000-0000-000039350000}"/>
    <cellStyle name="40% - Accent2 4 3 2 2 4 2" xfId="44782" xr:uid="{0475B6E0-C489-441B-A028-D4F85ACFB6DF}"/>
    <cellStyle name="40% - Accent2 4 3 2 2 5" xfId="28903" xr:uid="{480031BA-A618-48D8-999A-F981AA00359E}"/>
    <cellStyle name="40% - Accent2 4 3 2 3" xfId="6802" xr:uid="{00000000-0005-0000-0000-00003A350000}"/>
    <cellStyle name="40% - Accent2 4 3 2 3 2" xfId="14774" xr:uid="{00000000-0005-0000-0000-00003B350000}"/>
    <cellStyle name="40% - Accent2 4 3 2 3 2 2" xfId="38617" xr:uid="{84037655-559A-4241-BA45-B4EB72FDF8F5}"/>
    <cellStyle name="40% - Accent2 4 3 2 3 3" xfId="22721" xr:uid="{00000000-0005-0000-0000-00003C350000}"/>
    <cellStyle name="40% - Accent2 4 3 2 3 3 2" xfId="46554" xr:uid="{CB796C6D-E052-4326-A5AA-B280187C29ED}"/>
    <cellStyle name="40% - Accent2 4 3 2 3 4" xfId="30676" xr:uid="{E3DA5E95-B014-4925-BB06-25DFF6881149}"/>
    <cellStyle name="40% - Accent2 4 3 2 4" xfId="11238" xr:uid="{00000000-0005-0000-0000-00003D350000}"/>
    <cellStyle name="40% - Accent2 4 3 2 4 2" xfId="35088" xr:uid="{BD206368-E061-4264-A90B-4CEB03ED0150}"/>
    <cellStyle name="40% - Accent2 4 3 2 5" xfId="19193" xr:uid="{00000000-0005-0000-0000-00003E350000}"/>
    <cellStyle name="40% - Accent2 4 3 2 5 2" xfId="43026" xr:uid="{37EBCD9F-4AE0-44FD-836A-7CF51D20E4B2}"/>
    <cellStyle name="40% - Accent2 4 3 2 6" xfId="27146" xr:uid="{78FDE1AC-24A9-4116-A6CC-F938EA55EDE1}"/>
    <cellStyle name="40% - Accent2 4 3 2_Exh G" xfId="2881" xr:uid="{00000000-0005-0000-0000-00003F350000}"/>
    <cellStyle name="40% - Accent2 4 3 3" xfId="4091" xr:uid="{00000000-0005-0000-0000-000040350000}"/>
    <cellStyle name="40% - Accent2 4 3 3 2" xfId="7683" xr:uid="{00000000-0005-0000-0000-000041350000}"/>
    <cellStyle name="40% - Accent2 4 3 3 2 2" xfId="15654" xr:uid="{00000000-0005-0000-0000-000042350000}"/>
    <cellStyle name="40% - Accent2 4 3 3 2 2 2" xfId="39497" xr:uid="{B10366CD-EB36-43BD-AE51-B58875917084}"/>
    <cellStyle name="40% - Accent2 4 3 3 2 3" xfId="23600" xr:uid="{00000000-0005-0000-0000-000043350000}"/>
    <cellStyle name="40% - Accent2 4 3 3 2 3 2" xfId="47433" xr:uid="{AA38A6B8-A243-4250-B424-50B40CD90F72}"/>
    <cellStyle name="40% - Accent2 4 3 3 2 4" xfId="31556" xr:uid="{D07B59D0-6C81-460C-9C82-567F6FFEF886}"/>
    <cellStyle name="40% - Accent2 4 3 3 3" xfId="12116" xr:uid="{00000000-0005-0000-0000-000044350000}"/>
    <cellStyle name="40% - Accent2 4 3 3 3 2" xfId="35966" xr:uid="{6D6B8882-C0EA-43D1-B9BA-6FBC94C2C581}"/>
    <cellStyle name="40% - Accent2 4 3 3 4" xfId="20071" xr:uid="{00000000-0005-0000-0000-000045350000}"/>
    <cellStyle name="40% - Accent2 4 3 3 4 2" xfId="43904" xr:uid="{8F68AC82-FD1F-41DC-BAEB-8D627C51AE86}"/>
    <cellStyle name="40% - Accent2 4 3 3 5" xfId="28025" xr:uid="{A87B92C5-6DBB-421B-9AC0-182A56B97C72}"/>
    <cellStyle name="40% - Accent2 4 3 4" xfId="5911" xr:uid="{00000000-0005-0000-0000-000046350000}"/>
    <cellStyle name="40% - Accent2 4 3 4 2" xfId="13895" xr:uid="{00000000-0005-0000-0000-000047350000}"/>
    <cellStyle name="40% - Accent2 4 3 4 2 2" xfId="37739" xr:uid="{B580C376-6FA8-4243-9F4A-95EC1EE987EA}"/>
    <cellStyle name="40% - Accent2 4 3 4 3" xfId="21843" xr:uid="{00000000-0005-0000-0000-000048350000}"/>
    <cellStyle name="40% - Accent2 4 3 4 3 2" xfId="45676" xr:uid="{02EECEB2-87A9-449D-8498-87C44F5F8BD6}"/>
    <cellStyle name="40% - Accent2 4 3 4 4" xfId="29798" xr:uid="{5A582DAA-09CB-498F-8889-31437185343F}"/>
    <cellStyle name="40% - Accent2 4 3 5" xfId="9464" xr:uid="{00000000-0005-0000-0000-000049350000}"/>
    <cellStyle name="40% - Accent2 4 3 5 2" xfId="17422" xr:uid="{00000000-0005-0000-0000-00004A350000}"/>
    <cellStyle name="40% - Accent2 4 3 5 2 2" xfId="41263" xr:uid="{B93BABCE-4CB1-45BD-8954-3287E58B17F6}"/>
    <cellStyle name="40% - Accent2 4 3 5 3" xfId="25366" xr:uid="{00000000-0005-0000-0000-00004B350000}"/>
    <cellStyle name="40% - Accent2 4 3 5 3 2" xfId="49199" xr:uid="{2698A047-81ED-42EE-AB1F-990FEDC69F36}"/>
    <cellStyle name="40% - Accent2 4 3 5 4" xfId="33322" xr:uid="{2AC89C15-9FD2-46D4-AE5E-6A5EF8678060}"/>
    <cellStyle name="40% - Accent2 4 3 6" xfId="10360" xr:uid="{00000000-0005-0000-0000-00004C350000}"/>
    <cellStyle name="40% - Accent2 4 3 6 2" xfId="34210" xr:uid="{ABE5EC30-842E-4881-939A-C6BFC82B3CA4}"/>
    <cellStyle name="40% - Accent2 4 3 7" xfId="18315" xr:uid="{00000000-0005-0000-0000-00004D350000}"/>
    <cellStyle name="40% - Accent2 4 3 7 2" xfId="42148" xr:uid="{0CE66F22-4904-4E8E-BE76-E5B08144F3D2}"/>
    <cellStyle name="40% - Accent2 4 3 8" xfId="26268" xr:uid="{FBAF5B9F-EA04-4557-9364-682E6C962A43}"/>
    <cellStyle name="40% - Accent2 4 3_Exh G" xfId="2880" xr:uid="{00000000-0005-0000-0000-00004E350000}"/>
    <cellStyle name="40% - Accent2 4 4" xfId="951" xr:uid="{00000000-0005-0000-0000-00004F350000}"/>
    <cellStyle name="40% - Accent2 4 4 2" xfId="1873" xr:uid="{00000000-0005-0000-0000-000050350000}"/>
    <cellStyle name="40% - Accent2 4 4 2 2" xfId="5391" xr:uid="{00000000-0005-0000-0000-000051350000}"/>
    <cellStyle name="40% - Accent2 4 4 2 2 2" xfId="8982" xr:uid="{00000000-0005-0000-0000-000052350000}"/>
    <cellStyle name="40% - Accent2 4 4 2 2 2 2" xfId="16953" xr:uid="{00000000-0005-0000-0000-000053350000}"/>
    <cellStyle name="40% - Accent2 4 4 2 2 2 2 2" xfId="40796" xr:uid="{242AC0A7-4E44-4A9C-A1EF-41378E425EBC}"/>
    <cellStyle name="40% - Accent2 4 4 2 2 2 3" xfId="24899" xr:uid="{00000000-0005-0000-0000-000054350000}"/>
    <cellStyle name="40% - Accent2 4 4 2 2 2 3 2" xfId="48732" xr:uid="{5D6EFEE4-9470-4D85-89AA-AC3341A6C7F8}"/>
    <cellStyle name="40% - Accent2 4 4 2 2 2 4" xfId="32855" xr:uid="{40F9E5FE-434C-4F44-AFCC-3D3603464362}"/>
    <cellStyle name="40% - Accent2 4 4 2 2 3" xfId="13415" xr:uid="{00000000-0005-0000-0000-000055350000}"/>
    <cellStyle name="40% - Accent2 4 4 2 2 3 2" xfId="37265" xr:uid="{2BA4FF38-41DF-4D7D-B9A5-0B92604CA7F5}"/>
    <cellStyle name="40% - Accent2 4 4 2 2 4" xfId="21370" xr:uid="{00000000-0005-0000-0000-000056350000}"/>
    <cellStyle name="40% - Accent2 4 4 2 2 4 2" xfId="45203" xr:uid="{95CF61FD-220B-483F-B560-3B63FB1C30A5}"/>
    <cellStyle name="40% - Accent2 4 4 2 2 5" xfId="29324" xr:uid="{1DB7AEB1-AAD9-41DB-93B3-D0098DB1A3AD}"/>
    <cellStyle name="40% - Accent2 4 4 2 3" xfId="7223" xr:uid="{00000000-0005-0000-0000-000057350000}"/>
    <cellStyle name="40% - Accent2 4 4 2 3 2" xfId="15195" xr:uid="{00000000-0005-0000-0000-000058350000}"/>
    <cellStyle name="40% - Accent2 4 4 2 3 2 2" xfId="39038" xr:uid="{31B94832-6088-4F47-BB89-E86DB7A606DF}"/>
    <cellStyle name="40% - Accent2 4 4 2 3 3" xfId="23142" xr:uid="{00000000-0005-0000-0000-000059350000}"/>
    <cellStyle name="40% - Accent2 4 4 2 3 3 2" xfId="46975" xr:uid="{A17A4D44-649D-4288-99AD-9A2971FC4F43}"/>
    <cellStyle name="40% - Accent2 4 4 2 3 4" xfId="31097" xr:uid="{AC516E68-06E6-4CBC-A1BA-2BAA1A37549E}"/>
    <cellStyle name="40% - Accent2 4 4 2 4" xfId="11659" xr:uid="{00000000-0005-0000-0000-00005A350000}"/>
    <cellStyle name="40% - Accent2 4 4 2 4 2" xfId="35509" xr:uid="{3792178D-6665-4EC6-A5BB-BD45305EC61D}"/>
    <cellStyle name="40% - Accent2 4 4 2 5" xfId="19614" xr:uid="{00000000-0005-0000-0000-00005B350000}"/>
    <cellStyle name="40% - Accent2 4 4 2 5 2" xfId="43447" xr:uid="{EFE81011-2A09-4EAC-8064-C16B7026EADC}"/>
    <cellStyle name="40% - Accent2 4 4 2 6" xfId="27567" xr:uid="{726C7F65-175A-4F23-A5BE-643B7D644D8B}"/>
    <cellStyle name="40% - Accent2 4 4 2_Exh G" xfId="2883" xr:uid="{00000000-0005-0000-0000-00005C350000}"/>
    <cellStyle name="40% - Accent2 4 4 3" xfId="4512" xr:uid="{00000000-0005-0000-0000-00005D350000}"/>
    <cellStyle name="40% - Accent2 4 4 3 2" xfId="8104" xr:uid="{00000000-0005-0000-0000-00005E350000}"/>
    <cellStyle name="40% - Accent2 4 4 3 2 2" xfId="16075" xr:uid="{00000000-0005-0000-0000-00005F350000}"/>
    <cellStyle name="40% - Accent2 4 4 3 2 2 2" xfId="39918" xr:uid="{C6C0ED9F-E184-4C4E-90CA-4542182EB3CE}"/>
    <cellStyle name="40% - Accent2 4 4 3 2 3" xfId="24021" xr:uid="{00000000-0005-0000-0000-000060350000}"/>
    <cellStyle name="40% - Accent2 4 4 3 2 3 2" xfId="47854" xr:uid="{93BD192C-7AF9-4BE4-A840-1EC751C02F53}"/>
    <cellStyle name="40% - Accent2 4 4 3 2 4" xfId="31977" xr:uid="{4679DFFE-81E6-4EAB-9419-F06E617D59DC}"/>
    <cellStyle name="40% - Accent2 4 4 3 3" xfId="12537" xr:uid="{00000000-0005-0000-0000-000061350000}"/>
    <cellStyle name="40% - Accent2 4 4 3 3 2" xfId="36387" xr:uid="{EF411A62-5AE1-4516-95A1-6F9EF4C9223F}"/>
    <cellStyle name="40% - Accent2 4 4 3 4" xfId="20492" xr:uid="{00000000-0005-0000-0000-000062350000}"/>
    <cellStyle name="40% - Accent2 4 4 3 4 2" xfId="44325" xr:uid="{F3055211-EF55-4F42-8345-E3336EC0C0BD}"/>
    <cellStyle name="40% - Accent2 4 4 3 5" xfId="28446" xr:uid="{EDF17766-7773-4C7B-9C59-4C58DD6FB486}"/>
    <cellStyle name="40% - Accent2 4 4 4" xfId="6342" xr:uid="{00000000-0005-0000-0000-000063350000}"/>
    <cellStyle name="40% - Accent2 4 4 4 2" xfId="14317" xr:uid="{00000000-0005-0000-0000-000064350000}"/>
    <cellStyle name="40% - Accent2 4 4 4 2 2" xfId="38160" xr:uid="{F01A9641-1376-4729-BE5A-2C0E9AD3B163}"/>
    <cellStyle name="40% - Accent2 4 4 4 3" xfId="22264" xr:uid="{00000000-0005-0000-0000-000065350000}"/>
    <cellStyle name="40% - Accent2 4 4 4 3 2" xfId="46097" xr:uid="{9DCE82C3-F1DD-45F9-AEEF-2E9EFC517FFD}"/>
    <cellStyle name="40% - Accent2 4 4 4 4" xfId="30219" xr:uid="{AC398784-4659-4455-AD6D-E1F7C9785467}"/>
    <cellStyle name="40% - Accent2 4 4 5" xfId="9885" xr:uid="{00000000-0005-0000-0000-000066350000}"/>
    <cellStyle name="40% - Accent2 4 4 5 2" xfId="17843" xr:uid="{00000000-0005-0000-0000-000067350000}"/>
    <cellStyle name="40% - Accent2 4 4 5 2 2" xfId="41684" xr:uid="{08887B5B-6E37-4C3F-A731-0183B4596132}"/>
    <cellStyle name="40% - Accent2 4 4 5 3" xfId="25787" xr:uid="{00000000-0005-0000-0000-000068350000}"/>
    <cellStyle name="40% - Accent2 4 4 5 3 2" xfId="49620" xr:uid="{4D026CC1-9B91-41C9-A793-0E74D7D3BD83}"/>
    <cellStyle name="40% - Accent2 4 4 5 4" xfId="33743" xr:uid="{EA8017CF-323E-4B8E-98AC-5611F054A7AA}"/>
    <cellStyle name="40% - Accent2 4 4 6" xfId="10781" xr:uid="{00000000-0005-0000-0000-000069350000}"/>
    <cellStyle name="40% - Accent2 4 4 6 2" xfId="34631" xr:uid="{D69B1679-B744-4612-9C54-17C33953E602}"/>
    <cellStyle name="40% - Accent2 4 4 7" xfId="18736" xr:uid="{00000000-0005-0000-0000-00006A350000}"/>
    <cellStyle name="40% - Accent2 4 4 7 2" xfId="42569" xr:uid="{50A19EE3-D9AD-4126-A6E2-D542828E6346}"/>
    <cellStyle name="40% - Accent2 4 4 8" xfId="26689" xr:uid="{0AE4DF68-43E4-4A2F-B72B-B381D4CB9394}"/>
    <cellStyle name="40% - Accent2 4 4_Exh G" xfId="2882" xr:uid="{00000000-0005-0000-0000-00006B350000}"/>
    <cellStyle name="40% - Accent2 4 5" xfId="1437" xr:uid="{00000000-0005-0000-0000-00006C350000}"/>
    <cellStyle name="40% - Accent2 4 5 2" xfId="4967" xr:uid="{00000000-0005-0000-0000-00006D350000}"/>
    <cellStyle name="40% - Accent2 4 5 2 2" xfId="8558" xr:uid="{00000000-0005-0000-0000-00006E350000}"/>
    <cellStyle name="40% - Accent2 4 5 2 2 2" xfId="16529" xr:uid="{00000000-0005-0000-0000-00006F350000}"/>
    <cellStyle name="40% - Accent2 4 5 2 2 2 2" xfId="40372" xr:uid="{A1B9B540-02B9-44BE-9AC4-F56E539C5D04}"/>
    <cellStyle name="40% - Accent2 4 5 2 2 3" xfId="24475" xr:uid="{00000000-0005-0000-0000-000070350000}"/>
    <cellStyle name="40% - Accent2 4 5 2 2 3 2" xfId="48308" xr:uid="{39487002-30F6-42DE-8BBC-AEC80032B38F}"/>
    <cellStyle name="40% - Accent2 4 5 2 2 4" xfId="32431" xr:uid="{404DEDFC-2EF6-4BC4-BFAC-FFB029BBFCC4}"/>
    <cellStyle name="40% - Accent2 4 5 2 3" xfId="12991" xr:uid="{00000000-0005-0000-0000-000071350000}"/>
    <cellStyle name="40% - Accent2 4 5 2 3 2" xfId="36841" xr:uid="{7AE7099F-18E5-465E-85EE-7DD1A01226AD}"/>
    <cellStyle name="40% - Accent2 4 5 2 4" xfId="20946" xr:uid="{00000000-0005-0000-0000-000072350000}"/>
    <cellStyle name="40% - Accent2 4 5 2 4 2" xfId="44779" xr:uid="{0F72FCF2-6D9A-4CE4-AAFE-02C58A9AD58A}"/>
    <cellStyle name="40% - Accent2 4 5 2 5" xfId="28900" xr:uid="{CDD69E69-578A-4CF5-BA5B-A418D8BC57A9}"/>
    <cellStyle name="40% - Accent2 4 5 3" xfId="6799" xr:uid="{00000000-0005-0000-0000-000073350000}"/>
    <cellStyle name="40% - Accent2 4 5 3 2" xfId="14771" xr:uid="{00000000-0005-0000-0000-000074350000}"/>
    <cellStyle name="40% - Accent2 4 5 3 2 2" xfId="38614" xr:uid="{87B0BD84-EAED-4A6D-B8F0-FBA41126FE0F}"/>
    <cellStyle name="40% - Accent2 4 5 3 3" xfId="22718" xr:uid="{00000000-0005-0000-0000-000075350000}"/>
    <cellStyle name="40% - Accent2 4 5 3 3 2" xfId="46551" xr:uid="{F2839526-6515-4A1E-9E68-A5CA143836F5}"/>
    <cellStyle name="40% - Accent2 4 5 3 4" xfId="30673" xr:uid="{B359A6EA-24DE-452B-ACF6-7B152CD9F1BC}"/>
    <cellStyle name="40% - Accent2 4 5 4" xfId="11235" xr:uid="{00000000-0005-0000-0000-000076350000}"/>
    <cellStyle name="40% - Accent2 4 5 4 2" xfId="35085" xr:uid="{37FAF1B6-767B-4450-9077-2082B7ADC142}"/>
    <cellStyle name="40% - Accent2 4 5 5" xfId="19190" xr:uid="{00000000-0005-0000-0000-000077350000}"/>
    <cellStyle name="40% - Accent2 4 5 5 2" xfId="43023" xr:uid="{0F8A2C73-F58C-4C48-B910-A97DCD694D40}"/>
    <cellStyle name="40% - Accent2 4 5 6" xfId="27143" xr:uid="{FAD3E34B-93B4-4316-9ED6-FDDB5C0D05EA}"/>
    <cellStyle name="40% - Accent2 4 5_Exh G" xfId="2884" xr:uid="{00000000-0005-0000-0000-000078350000}"/>
    <cellStyle name="40% - Accent2 4 6" xfId="4088" xr:uid="{00000000-0005-0000-0000-000079350000}"/>
    <cellStyle name="40% - Accent2 4 6 2" xfId="7680" xr:uid="{00000000-0005-0000-0000-00007A350000}"/>
    <cellStyle name="40% - Accent2 4 6 2 2" xfId="15651" xr:uid="{00000000-0005-0000-0000-00007B350000}"/>
    <cellStyle name="40% - Accent2 4 6 2 2 2" xfId="39494" xr:uid="{11D4EC63-33DA-41AC-81A4-D74E8395860F}"/>
    <cellStyle name="40% - Accent2 4 6 2 3" xfId="23597" xr:uid="{00000000-0005-0000-0000-00007C350000}"/>
    <cellStyle name="40% - Accent2 4 6 2 3 2" xfId="47430" xr:uid="{8B73131A-28FD-48A6-88A0-4761BD687756}"/>
    <cellStyle name="40% - Accent2 4 6 2 4" xfId="31553" xr:uid="{C73230DC-FD62-451D-ADFE-C0891F6EE315}"/>
    <cellStyle name="40% - Accent2 4 6 3" xfId="12113" xr:uid="{00000000-0005-0000-0000-00007D350000}"/>
    <cellStyle name="40% - Accent2 4 6 3 2" xfId="35963" xr:uid="{234CEFDC-43DE-459E-977C-34B74F44E871}"/>
    <cellStyle name="40% - Accent2 4 6 4" xfId="20068" xr:uid="{00000000-0005-0000-0000-00007E350000}"/>
    <cellStyle name="40% - Accent2 4 6 4 2" xfId="43901" xr:uid="{423ABA58-1568-4002-9CBD-C78F1361DBA3}"/>
    <cellStyle name="40% - Accent2 4 6 5" xfId="28022" xr:uid="{C5FDAD61-1514-4194-8C4C-124D012BAC0D}"/>
    <cellStyle name="40% - Accent2 4 7" xfId="5908" xr:uid="{00000000-0005-0000-0000-00007F350000}"/>
    <cellStyle name="40% - Accent2 4 7 2" xfId="13892" xr:uid="{00000000-0005-0000-0000-000080350000}"/>
    <cellStyle name="40% - Accent2 4 7 2 2" xfId="37736" xr:uid="{C316D647-261D-4A2D-8B09-7288B5E55F2B}"/>
    <cellStyle name="40% - Accent2 4 7 3" xfId="21840" xr:uid="{00000000-0005-0000-0000-000081350000}"/>
    <cellStyle name="40% - Accent2 4 7 3 2" xfId="45673" xr:uid="{011428D0-A799-4422-AA9F-A141534AD04F}"/>
    <cellStyle name="40% - Accent2 4 7 4" xfId="29795" xr:uid="{D85E6A15-748C-494B-9B60-44117BAD4417}"/>
    <cellStyle name="40% - Accent2 4 8" xfId="9461" xr:uid="{00000000-0005-0000-0000-000082350000}"/>
    <cellStyle name="40% - Accent2 4 8 2" xfId="17419" xr:uid="{00000000-0005-0000-0000-000083350000}"/>
    <cellStyle name="40% - Accent2 4 8 2 2" xfId="41260" xr:uid="{0A81B682-0676-41CD-989B-292181633B38}"/>
    <cellStyle name="40% - Accent2 4 8 3" xfId="25363" xr:uid="{00000000-0005-0000-0000-000084350000}"/>
    <cellStyle name="40% - Accent2 4 8 3 2" xfId="49196" xr:uid="{D2B2E422-4B61-4CF5-BDCB-75BF2C4AB0E8}"/>
    <cellStyle name="40% - Accent2 4 8 4" xfId="33319" xr:uid="{DFA1333F-3C42-444C-A65E-5C872187DAC2}"/>
    <cellStyle name="40% - Accent2 4 9" xfId="10357" xr:uid="{00000000-0005-0000-0000-000085350000}"/>
    <cellStyle name="40% - Accent2 4 9 2" xfId="34207" xr:uid="{788F91A1-A5D1-4E69-80B9-38C6479ED330}"/>
    <cellStyle name="40% - Accent2 4_Exh G" xfId="2873" xr:uid="{00000000-0005-0000-0000-000086350000}"/>
    <cellStyle name="40% - Accent2 5" xfId="413" xr:uid="{00000000-0005-0000-0000-000087350000}"/>
    <cellStyle name="40% - Accent2 5 10" xfId="18316" xr:uid="{00000000-0005-0000-0000-000088350000}"/>
    <cellStyle name="40% - Accent2 5 10 2" xfId="42149" xr:uid="{0BBF5141-83F1-408A-AA7E-393D16F91831}"/>
    <cellStyle name="40% - Accent2 5 11" xfId="26269" xr:uid="{DDE78923-6C0E-487B-85D3-E4E948F781AF}"/>
    <cellStyle name="40% - Accent2 5 2" xfId="414" xr:uid="{00000000-0005-0000-0000-000089350000}"/>
    <cellStyle name="40% - Accent2 5 2 2" xfId="415" xr:uid="{00000000-0005-0000-0000-00008A350000}"/>
    <cellStyle name="40% - Accent2 5 2 2 2" xfId="1443" xr:uid="{00000000-0005-0000-0000-00008B350000}"/>
    <cellStyle name="40% - Accent2 5 2 2 2 2" xfId="4973" xr:uid="{00000000-0005-0000-0000-00008C350000}"/>
    <cellStyle name="40% - Accent2 5 2 2 2 2 2" xfId="8564" xr:uid="{00000000-0005-0000-0000-00008D350000}"/>
    <cellStyle name="40% - Accent2 5 2 2 2 2 2 2" xfId="16535" xr:uid="{00000000-0005-0000-0000-00008E350000}"/>
    <cellStyle name="40% - Accent2 5 2 2 2 2 2 2 2" xfId="40378" xr:uid="{EC1ADF51-F328-4642-BDCF-6486F316345C}"/>
    <cellStyle name="40% - Accent2 5 2 2 2 2 2 3" xfId="24481" xr:uid="{00000000-0005-0000-0000-00008F350000}"/>
    <cellStyle name="40% - Accent2 5 2 2 2 2 2 3 2" xfId="48314" xr:uid="{C3B31F58-A568-4F00-B303-CA6A2BA74FF2}"/>
    <cellStyle name="40% - Accent2 5 2 2 2 2 2 4" xfId="32437" xr:uid="{9569486F-EB80-48A4-97FD-FBBB9ACEF790}"/>
    <cellStyle name="40% - Accent2 5 2 2 2 2 3" xfId="12997" xr:uid="{00000000-0005-0000-0000-000090350000}"/>
    <cellStyle name="40% - Accent2 5 2 2 2 2 3 2" xfId="36847" xr:uid="{0642220F-63AF-499F-9085-9B8A92A01EC8}"/>
    <cellStyle name="40% - Accent2 5 2 2 2 2 4" xfId="20952" xr:uid="{00000000-0005-0000-0000-000091350000}"/>
    <cellStyle name="40% - Accent2 5 2 2 2 2 4 2" xfId="44785" xr:uid="{960D2F7B-8506-46C9-A35A-01B3D6340C58}"/>
    <cellStyle name="40% - Accent2 5 2 2 2 2 5" xfId="28906" xr:uid="{5CEC4E4C-14FF-4BE6-A10A-B829E26FF660}"/>
    <cellStyle name="40% - Accent2 5 2 2 2 3" xfId="6805" xr:uid="{00000000-0005-0000-0000-000092350000}"/>
    <cellStyle name="40% - Accent2 5 2 2 2 3 2" xfId="14777" xr:uid="{00000000-0005-0000-0000-000093350000}"/>
    <cellStyle name="40% - Accent2 5 2 2 2 3 2 2" xfId="38620" xr:uid="{11FE5F4D-3851-439B-91D9-94825E7B091F}"/>
    <cellStyle name="40% - Accent2 5 2 2 2 3 3" xfId="22724" xr:uid="{00000000-0005-0000-0000-000094350000}"/>
    <cellStyle name="40% - Accent2 5 2 2 2 3 3 2" xfId="46557" xr:uid="{8F17AEA6-3BBD-4057-B9CA-F2C3FFC3CCCA}"/>
    <cellStyle name="40% - Accent2 5 2 2 2 3 4" xfId="30679" xr:uid="{71B12350-909A-43D1-A505-1C8426FA83FD}"/>
    <cellStyle name="40% - Accent2 5 2 2 2 4" xfId="11241" xr:uid="{00000000-0005-0000-0000-000095350000}"/>
    <cellStyle name="40% - Accent2 5 2 2 2 4 2" xfId="35091" xr:uid="{5B217F22-0E97-4214-9508-945F23343F01}"/>
    <cellStyle name="40% - Accent2 5 2 2 2 5" xfId="19196" xr:uid="{00000000-0005-0000-0000-000096350000}"/>
    <cellStyle name="40% - Accent2 5 2 2 2 5 2" xfId="43029" xr:uid="{05BDEEF1-99AB-4784-A8DA-57D15A324DEB}"/>
    <cellStyle name="40% - Accent2 5 2 2 2 6" xfId="27149" xr:uid="{DD6AEDA2-2B7B-4CE0-BD60-50E8BABE2520}"/>
    <cellStyle name="40% - Accent2 5 2 2 2_Exh G" xfId="2888" xr:uid="{00000000-0005-0000-0000-000097350000}"/>
    <cellStyle name="40% - Accent2 5 2 2 3" xfId="4094" xr:uid="{00000000-0005-0000-0000-000098350000}"/>
    <cellStyle name="40% - Accent2 5 2 2 3 2" xfId="7686" xr:uid="{00000000-0005-0000-0000-000099350000}"/>
    <cellStyle name="40% - Accent2 5 2 2 3 2 2" xfId="15657" xr:uid="{00000000-0005-0000-0000-00009A350000}"/>
    <cellStyle name="40% - Accent2 5 2 2 3 2 2 2" xfId="39500" xr:uid="{074C8657-E4B8-4B7E-AE8C-7A4219198F58}"/>
    <cellStyle name="40% - Accent2 5 2 2 3 2 3" xfId="23603" xr:uid="{00000000-0005-0000-0000-00009B350000}"/>
    <cellStyle name="40% - Accent2 5 2 2 3 2 3 2" xfId="47436" xr:uid="{A54FD08D-3117-4DD4-8F4E-03C89522173A}"/>
    <cellStyle name="40% - Accent2 5 2 2 3 2 4" xfId="31559" xr:uid="{C0BC8981-30C1-4EAB-A743-740252FCD24D}"/>
    <cellStyle name="40% - Accent2 5 2 2 3 3" xfId="12119" xr:uid="{00000000-0005-0000-0000-00009C350000}"/>
    <cellStyle name="40% - Accent2 5 2 2 3 3 2" xfId="35969" xr:uid="{4CC639B4-7370-4D3C-A517-99ABE72F5D34}"/>
    <cellStyle name="40% - Accent2 5 2 2 3 4" xfId="20074" xr:uid="{00000000-0005-0000-0000-00009D350000}"/>
    <cellStyle name="40% - Accent2 5 2 2 3 4 2" xfId="43907" xr:uid="{7254C6EC-87F0-4646-96CB-95A65989F77D}"/>
    <cellStyle name="40% - Accent2 5 2 2 3 5" xfId="28028" xr:uid="{130751AC-38C9-4705-9197-9E8827D4B03A}"/>
    <cellStyle name="40% - Accent2 5 2 2 4" xfId="5914" xr:uid="{00000000-0005-0000-0000-00009E350000}"/>
    <cellStyle name="40% - Accent2 5 2 2 4 2" xfId="13898" xr:uid="{00000000-0005-0000-0000-00009F350000}"/>
    <cellStyle name="40% - Accent2 5 2 2 4 2 2" xfId="37742" xr:uid="{85775F95-C719-45C1-8BFB-A095AE66C350}"/>
    <cellStyle name="40% - Accent2 5 2 2 4 3" xfId="21846" xr:uid="{00000000-0005-0000-0000-0000A0350000}"/>
    <cellStyle name="40% - Accent2 5 2 2 4 3 2" xfId="45679" xr:uid="{A4A3B39E-7D5E-4CC6-B4FC-E7D1512556CB}"/>
    <cellStyle name="40% - Accent2 5 2 2 4 4" xfId="29801" xr:uid="{C177F8AA-8A9D-4FC9-95AD-435B1CAC551B}"/>
    <cellStyle name="40% - Accent2 5 2 2 5" xfId="9467" xr:uid="{00000000-0005-0000-0000-0000A1350000}"/>
    <cellStyle name="40% - Accent2 5 2 2 5 2" xfId="17425" xr:uid="{00000000-0005-0000-0000-0000A2350000}"/>
    <cellStyle name="40% - Accent2 5 2 2 5 2 2" xfId="41266" xr:uid="{31E34538-8933-4102-9F15-CBCE8A589FAC}"/>
    <cellStyle name="40% - Accent2 5 2 2 5 3" xfId="25369" xr:uid="{00000000-0005-0000-0000-0000A3350000}"/>
    <cellStyle name="40% - Accent2 5 2 2 5 3 2" xfId="49202" xr:uid="{DD128740-DF92-4932-8159-F3876F4EF093}"/>
    <cellStyle name="40% - Accent2 5 2 2 5 4" xfId="33325" xr:uid="{A0595582-6843-4AB2-9A31-82E3CDCCF552}"/>
    <cellStyle name="40% - Accent2 5 2 2 6" xfId="10363" xr:uid="{00000000-0005-0000-0000-0000A4350000}"/>
    <cellStyle name="40% - Accent2 5 2 2 6 2" xfId="34213" xr:uid="{FF1E1845-E1C0-4B26-AA54-2687ED52B49A}"/>
    <cellStyle name="40% - Accent2 5 2 2 7" xfId="18318" xr:uid="{00000000-0005-0000-0000-0000A5350000}"/>
    <cellStyle name="40% - Accent2 5 2 2 7 2" xfId="42151" xr:uid="{8AC0B318-E8C8-471F-BC8E-299A13F4789D}"/>
    <cellStyle name="40% - Accent2 5 2 2 8" xfId="26271" xr:uid="{2123E4E6-E881-4A61-9C4B-A02015D7E299}"/>
    <cellStyle name="40% - Accent2 5 2 2_Exh G" xfId="2887" xr:uid="{00000000-0005-0000-0000-0000A6350000}"/>
    <cellStyle name="40% - Accent2 5 2 3" xfId="1442" xr:uid="{00000000-0005-0000-0000-0000A7350000}"/>
    <cellStyle name="40% - Accent2 5 2 3 2" xfId="4972" xr:uid="{00000000-0005-0000-0000-0000A8350000}"/>
    <cellStyle name="40% - Accent2 5 2 3 2 2" xfId="8563" xr:uid="{00000000-0005-0000-0000-0000A9350000}"/>
    <cellStyle name="40% - Accent2 5 2 3 2 2 2" xfId="16534" xr:uid="{00000000-0005-0000-0000-0000AA350000}"/>
    <cellStyle name="40% - Accent2 5 2 3 2 2 2 2" xfId="40377" xr:uid="{9441B270-431B-4163-BD83-33D31DE2EC73}"/>
    <cellStyle name="40% - Accent2 5 2 3 2 2 3" xfId="24480" xr:uid="{00000000-0005-0000-0000-0000AB350000}"/>
    <cellStyle name="40% - Accent2 5 2 3 2 2 3 2" xfId="48313" xr:uid="{539C0098-5C7A-4ED1-B535-28843F1D4090}"/>
    <cellStyle name="40% - Accent2 5 2 3 2 2 4" xfId="32436" xr:uid="{310F2065-C5DC-4E88-B293-93CABA97ADBF}"/>
    <cellStyle name="40% - Accent2 5 2 3 2 3" xfId="12996" xr:uid="{00000000-0005-0000-0000-0000AC350000}"/>
    <cellStyle name="40% - Accent2 5 2 3 2 3 2" xfId="36846" xr:uid="{DDFB6CDD-AF4B-4516-91B2-BB2FAAC296CE}"/>
    <cellStyle name="40% - Accent2 5 2 3 2 4" xfId="20951" xr:uid="{00000000-0005-0000-0000-0000AD350000}"/>
    <cellStyle name="40% - Accent2 5 2 3 2 4 2" xfId="44784" xr:uid="{CC53B726-B2D9-416D-95C6-3E2083B25042}"/>
    <cellStyle name="40% - Accent2 5 2 3 2 5" xfId="28905" xr:uid="{11719406-5980-4A4C-9BBE-84539E76B328}"/>
    <cellStyle name="40% - Accent2 5 2 3 3" xfId="6804" xr:uid="{00000000-0005-0000-0000-0000AE350000}"/>
    <cellStyle name="40% - Accent2 5 2 3 3 2" xfId="14776" xr:uid="{00000000-0005-0000-0000-0000AF350000}"/>
    <cellStyle name="40% - Accent2 5 2 3 3 2 2" xfId="38619" xr:uid="{40A6D612-6BD7-455C-9696-9A73EF86F078}"/>
    <cellStyle name="40% - Accent2 5 2 3 3 3" xfId="22723" xr:uid="{00000000-0005-0000-0000-0000B0350000}"/>
    <cellStyle name="40% - Accent2 5 2 3 3 3 2" xfId="46556" xr:uid="{1FB47CE4-3E89-4D6D-B6FA-6B9938C721CD}"/>
    <cellStyle name="40% - Accent2 5 2 3 3 4" xfId="30678" xr:uid="{80091409-F61C-424A-9DE1-6DA1F567BAF3}"/>
    <cellStyle name="40% - Accent2 5 2 3 4" xfId="11240" xr:uid="{00000000-0005-0000-0000-0000B1350000}"/>
    <cellStyle name="40% - Accent2 5 2 3 4 2" xfId="35090" xr:uid="{0BAF9104-FED1-4252-9217-CF3D44E91F90}"/>
    <cellStyle name="40% - Accent2 5 2 3 5" xfId="19195" xr:uid="{00000000-0005-0000-0000-0000B2350000}"/>
    <cellStyle name="40% - Accent2 5 2 3 5 2" xfId="43028" xr:uid="{D4E8E2DB-9376-4990-9CCB-77AD66096845}"/>
    <cellStyle name="40% - Accent2 5 2 3 6" xfId="27148" xr:uid="{1E9D092B-33B9-4F1E-8138-2818CD0BD21A}"/>
    <cellStyle name="40% - Accent2 5 2 3_Exh G" xfId="2889" xr:uid="{00000000-0005-0000-0000-0000B3350000}"/>
    <cellStyle name="40% - Accent2 5 2 4" xfId="4093" xr:uid="{00000000-0005-0000-0000-0000B4350000}"/>
    <cellStyle name="40% - Accent2 5 2 4 2" xfId="7685" xr:uid="{00000000-0005-0000-0000-0000B5350000}"/>
    <cellStyle name="40% - Accent2 5 2 4 2 2" xfId="15656" xr:uid="{00000000-0005-0000-0000-0000B6350000}"/>
    <cellStyle name="40% - Accent2 5 2 4 2 2 2" xfId="39499" xr:uid="{9568F6EC-2F3B-4740-8509-37836764DE74}"/>
    <cellStyle name="40% - Accent2 5 2 4 2 3" xfId="23602" xr:uid="{00000000-0005-0000-0000-0000B7350000}"/>
    <cellStyle name="40% - Accent2 5 2 4 2 3 2" xfId="47435" xr:uid="{7C170114-B32A-4372-BA0F-73E3822ED149}"/>
    <cellStyle name="40% - Accent2 5 2 4 2 4" xfId="31558" xr:uid="{1297FA96-8510-435C-AA9B-8CEDFBF8915D}"/>
    <cellStyle name="40% - Accent2 5 2 4 3" xfId="12118" xr:uid="{00000000-0005-0000-0000-0000B8350000}"/>
    <cellStyle name="40% - Accent2 5 2 4 3 2" xfId="35968" xr:uid="{4873DBD8-E1D4-4EDF-9E45-DB15FCCB2FEF}"/>
    <cellStyle name="40% - Accent2 5 2 4 4" xfId="20073" xr:uid="{00000000-0005-0000-0000-0000B9350000}"/>
    <cellStyle name="40% - Accent2 5 2 4 4 2" xfId="43906" xr:uid="{2B906D67-34E5-40A4-A3D0-B8180693FBDB}"/>
    <cellStyle name="40% - Accent2 5 2 4 5" xfId="28027" xr:uid="{01161FBA-46E0-4FEE-AC3B-18BA927EE406}"/>
    <cellStyle name="40% - Accent2 5 2 5" xfId="5913" xr:uid="{00000000-0005-0000-0000-0000BA350000}"/>
    <cellStyle name="40% - Accent2 5 2 5 2" xfId="13897" xr:uid="{00000000-0005-0000-0000-0000BB350000}"/>
    <cellStyle name="40% - Accent2 5 2 5 2 2" xfId="37741" xr:uid="{BE7F5693-3FF5-419E-A2D9-6D7816928158}"/>
    <cellStyle name="40% - Accent2 5 2 5 3" xfId="21845" xr:uid="{00000000-0005-0000-0000-0000BC350000}"/>
    <cellStyle name="40% - Accent2 5 2 5 3 2" xfId="45678" xr:uid="{2903A151-DDD2-4B7A-9011-066F758F37B6}"/>
    <cellStyle name="40% - Accent2 5 2 5 4" xfId="29800" xr:uid="{C8D77EBD-B06D-406A-9601-49299F878889}"/>
    <cellStyle name="40% - Accent2 5 2 6" xfId="9466" xr:uid="{00000000-0005-0000-0000-0000BD350000}"/>
    <cellStyle name="40% - Accent2 5 2 6 2" xfId="17424" xr:uid="{00000000-0005-0000-0000-0000BE350000}"/>
    <cellStyle name="40% - Accent2 5 2 6 2 2" xfId="41265" xr:uid="{933B407C-CD94-4AA8-BF73-A59659132C06}"/>
    <cellStyle name="40% - Accent2 5 2 6 3" xfId="25368" xr:uid="{00000000-0005-0000-0000-0000BF350000}"/>
    <cellStyle name="40% - Accent2 5 2 6 3 2" xfId="49201" xr:uid="{A5DD2474-6920-437A-B632-F0ECECF8309B}"/>
    <cellStyle name="40% - Accent2 5 2 6 4" xfId="33324" xr:uid="{5BD7A202-5F5E-40E7-8D33-859C5E22EF05}"/>
    <cellStyle name="40% - Accent2 5 2 7" xfId="10362" xr:uid="{00000000-0005-0000-0000-0000C0350000}"/>
    <cellStyle name="40% - Accent2 5 2 7 2" xfId="34212" xr:uid="{5D3B280D-D467-4487-AE6A-6BA370055E93}"/>
    <cellStyle name="40% - Accent2 5 2 8" xfId="18317" xr:uid="{00000000-0005-0000-0000-0000C1350000}"/>
    <cellStyle name="40% - Accent2 5 2 8 2" xfId="42150" xr:uid="{AC228C75-4061-4881-95B1-10B6C3BF2454}"/>
    <cellStyle name="40% - Accent2 5 2 9" xfId="26270" xr:uid="{E6977AC3-8818-4534-8C5A-413F5EB17814}"/>
    <cellStyle name="40% - Accent2 5 2_Exh G" xfId="2886" xr:uid="{00000000-0005-0000-0000-0000C2350000}"/>
    <cellStyle name="40% - Accent2 5 3" xfId="416" xr:uid="{00000000-0005-0000-0000-0000C3350000}"/>
    <cellStyle name="40% - Accent2 5 3 2" xfId="1444" xr:uid="{00000000-0005-0000-0000-0000C4350000}"/>
    <cellStyle name="40% - Accent2 5 3 2 2" xfId="4974" xr:uid="{00000000-0005-0000-0000-0000C5350000}"/>
    <cellStyle name="40% - Accent2 5 3 2 2 2" xfId="8565" xr:uid="{00000000-0005-0000-0000-0000C6350000}"/>
    <cellStyle name="40% - Accent2 5 3 2 2 2 2" xfId="16536" xr:uid="{00000000-0005-0000-0000-0000C7350000}"/>
    <cellStyle name="40% - Accent2 5 3 2 2 2 2 2" xfId="40379" xr:uid="{1862434E-F517-4B34-8403-038A38905278}"/>
    <cellStyle name="40% - Accent2 5 3 2 2 2 3" xfId="24482" xr:uid="{00000000-0005-0000-0000-0000C8350000}"/>
    <cellStyle name="40% - Accent2 5 3 2 2 2 3 2" xfId="48315" xr:uid="{2CF921A9-536D-4E81-AA86-EBEBBE410A7C}"/>
    <cellStyle name="40% - Accent2 5 3 2 2 2 4" xfId="32438" xr:uid="{974EB611-B3D5-44FA-B35B-7C4F9117B787}"/>
    <cellStyle name="40% - Accent2 5 3 2 2 3" xfId="12998" xr:uid="{00000000-0005-0000-0000-0000C9350000}"/>
    <cellStyle name="40% - Accent2 5 3 2 2 3 2" xfId="36848" xr:uid="{D8C409DC-7AA2-43B3-9115-61103287110D}"/>
    <cellStyle name="40% - Accent2 5 3 2 2 4" xfId="20953" xr:uid="{00000000-0005-0000-0000-0000CA350000}"/>
    <cellStyle name="40% - Accent2 5 3 2 2 4 2" xfId="44786" xr:uid="{9D7C8E04-CAD1-45CD-8EB6-7BADF1557A49}"/>
    <cellStyle name="40% - Accent2 5 3 2 2 5" xfId="28907" xr:uid="{4AE655B2-C15E-4B39-AEA7-85DFA73A95A8}"/>
    <cellStyle name="40% - Accent2 5 3 2 3" xfId="6806" xr:uid="{00000000-0005-0000-0000-0000CB350000}"/>
    <cellStyle name="40% - Accent2 5 3 2 3 2" xfId="14778" xr:uid="{00000000-0005-0000-0000-0000CC350000}"/>
    <cellStyle name="40% - Accent2 5 3 2 3 2 2" xfId="38621" xr:uid="{3E94958D-AA28-4D9C-AEE4-193A6DC5737C}"/>
    <cellStyle name="40% - Accent2 5 3 2 3 3" xfId="22725" xr:uid="{00000000-0005-0000-0000-0000CD350000}"/>
    <cellStyle name="40% - Accent2 5 3 2 3 3 2" xfId="46558" xr:uid="{7322220A-E83C-490B-8525-87315F633E3F}"/>
    <cellStyle name="40% - Accent2 5 3 2 3 4" xfId="30680" xr:uid="{741BF4BC-42A5-45F1-813C-A18FC51EEEE6}"/>
    <cellStyle name="40% - Accent2 5 3 2 4" xfId="11242" xr:uid="{00000000-0005-0000-0000-0000CE350000}"/>
    <cellStyle name="40% - Accent2 5 3 2 4 2" xfId="35092" xr:uid="{7AF22F5F-88EE-4219-AC29-F3D6A7A7E80D}"/>
    <cellStyle name="40% - Accent2 5 3 2 5" xfId="19197" xr:uid="{00000000-0005-0000-0000-0000CF350000}"/>
    <cellStyle name="40% - Accent2 5 3 2 5 2" xfId="43030" xr:uid="{62285E60-3098-4AB8-B516-61FD50A1F81F}"/>
    <cellStyle name="40% - Accent2 5 3 2 6" xfId="27150" xr:uid="{E44E4F5E-FC67-4C57-B070-9D2B6F61846F}"/>
    <cellStyle name="40% - Accent2 5 3 2_Exh G" xfId="2891" xr:uid="{00000000-0005-0000-0000-0000D0350000}"/>
    <cellStyle name="40% - Accent2 5 3 3" xfId="4095" xr:uid="{00000000-0005-0000-0000-0000D1350000}"/>
    <cellStyle name="40% - Accent2 5 3 3 2" xfId="7687" xr:uid="{00000000-0005-0000-0000-0000D2350000}"/>
    <cellStyle name="40% - Accent2 5 3 3 2 2" xfId="15658" xr:uid="{00000000-0005-0000-0000-0000D3350000}"/>
    <cellStyle name="40% - Accent2 5 3 3 2 2 2" xfId="39501" xr:uid="{D22CC09C-AF6A-4131-A12B-C584F5097022}"/>
    <cellStyle name="40% - Accent2 5 3 3 2 3" xfId="23604" xr:uid="{00000000-0005-0000-0000-0000D4350000}"/>
    <cellStyle name="40% - Accent2 5 3 3 2 3 2" xfId="47437" xr:uid="{1353F690-B9B8-4284-9A1A-AC69D8B526DF}"/>
    <cellStyle name="40% - Accent2 5 3 3 2 4" xfId="31560" xr:uid="{C68841F6-E4C9-4979-B948-7C9B599F63B1}"/>
    <cellStyle name="40% - Accent2 5 3 3 3" xfId="12120" xr:uid="{00000000-0005-0000-0000-0000D5350000}"/>
    <cellStyle name="40% - Accent2 5 3 3 3 2" xfId="35970" xr:uid="{94828A8C-1960-45D2-B640-C2077EB2EB2B}"/>
    <cellStyle name="40% - Accent2 5 3 3 4" xfId="20075" xr:uid="{00000000-0005-0000-0000-0000D6350000}"/>
    <cellStyle name="40% - Accent2 5 3 3 4 2" xfId="43908" xr:uid="{9DD88BED-F588-47CD-8385-8BC340581CD7}"/>
    <cellStyle name="40% - Accent2 5 3 3 5" xfId="28029" xr:uid="{745AA701-C7B5-4E39-96DB-2B4313890676}"/>
    <cellStyle name="40% - Accent2 5 3 4" xfId="5915" xr:uid="{00000000-0005-0000-0000-0000D7350000}"/>
    <cellStyle name="40% - Accent2 5 3 4 2" xfId="13899" xr:uid="{00000000-0005-0000-0000-0000D8350000}"/>
    <cellStyle name="40% - Accent2 5 3 4 2 2" xfId="37743" xr:uid="{1C9D9E61-C2F4-46FE-8BE4-291DBEB03125}"/>
    <cellStyle name="40% - Accent2 5 3 4 3" xfId="21847" xr:uid="{00000000-0005-0000-0000-0000D9350000}"/>
    <cellStyle name="40% - Accent2 5 3 4 3 2" xfId="45680" xr:uid="{8C6F01F5-764E-4890-BFC6-17DD2D94F981}"/>
    <cellStyle name="40% - Accent2 5 3 4 4" xfId="29802" xr:uid="{7B313EE1-D131-4F1E-8830-96B6BFC65D2E}"/>
    <cellStyle name="40% - Accent2 5 3 5" xfId="9468" xr:uid="{00000000-0005-0000-0000-0000DA350000}"/>
    <cellStyle name="40% - Accent2 5 3 5 2" xfId="17426" xr:uid="{00000000-0005-0000-0000-0000DB350000}"/>
    <cellStyle name="40% - Accent2 5 3 5 2 2" xfId="41267" xr:uid="{0A5CA459-A555-4DD1-8EBC-B5F92A0703AC}"/>
    <cellStyle name="40% - Accent2 5 3 5 3" xfId="25370" xr:uid="{00000000-0005-0000-0000-0000DC350000}"/>
    <cellStyle name="40% - Accent2 5 3 5 3 2" xfId="49203" xr:uid="{729CF9A6-2156-4E34-BCF4-51D7D93022FB}"/>
    <cellStyle name="40% - Accent2 5 3 5 4" xfId="33326" xr:uid="{2FAF0800-0BBF-4043-806E-68D39E4EBFD9}"/>
    <cellStyle name="40% - Accent2 5 3 6" xfId="10364" xr:uid="{00000000-0005-0000-0000-0000DD350000}"/>
    <cellStyle name="40% - Accent2 5 3 6 2" xfId="34214" xr:uid="{1B30DC21-2979-4EB8-AA2F-F6FFAD992413}"/>
    <cellStyle name="40% - Accent2 5 3 7" xfId="18319" xr:uid="{00000000-0005-0000-0000-0000DE350000}"/>
    <cellStyle name="40% - Accent2 5 3 7 2" xfId="42152" xr:uid="{1C196BC3-EB49-4691-B9AB-38522C31D2FB}"/>
    <cellStyle name="40% - Accent2 5 3 8" xfId="26272" xr:uid="{B6BADC5C-FEC2-415E-830F-583603C97A6B}"/>
    <cellStyle name="40% - Accent2 5 3_Exh G" xfId="2890" xr:uid="{00000000-0005-0000-0000-0000DF350000}"/>
    <cellStyle name="40% - Accent2 5 4" xfId="953" xr:uid="{00000000-0005-0000-0000-0000E0350000}"/>
    <cellStyle name="40% - Accent2 5 5" xfId="1441" xr:uid="{00000000-0005-0000-0000-0000E1350000}"/>
    <cellStyle name="40% - Accent2 5 5 2" xfId="4971" xr:uid="{00000000-0005-0000-0000-0000E2350000}"/>
    <cellStyle name="40% - Accent2 5 5 2 2" xfId="8562" xr:uid="{00000000-0005-0000-0000-0000E3350000}"/>
    <cellStyle name="40% - Accent2 5 5 2 2 2" xfId="16533" xr:uid="{00000000-0005-0000-0000-0000E4350000}"/>
    <cellStyle name="40% - Accent2 5 5 2 2 2 2" xfId="40376" xr:uid="{67D4A7D7-9212-46D4-993D-5393946172EA}"/>
    <cellStyle name="40% - Accent2 5 5 2 2 3" xfId="24479" xr:uid="{00000000-0005-0000-0000-0000E5350000}"/>
    <cellStyle name="40% - Accent2 5 5 2 2 3 2" xfId="48312" xr:uid="{01D0BFA9-C462-4E43-A900-C4E425A0F4E4}"/>
    <cellStyle name="40% - Accent2 5 5 2 2 4" xfId="32435" xr:uid="{6787A473-CC03-4B75-8F7E-4B3BAEC5A7BF}"/>
    <cellStyle name="40% - Accent2 5 5 2 3" xfId="12995" xr:uid="{00000000-0005-0000-0000-0000E6350000}"/>
    <cellStyle name="40% - Accent2 5 5 2 3 2" xfId="36845" xr:uid="{486517C9-359A-4EEE-AF57-7473676D6B22}"/>
    <cellStyle name="40% - Accent2 5 5 2 4" xfId="20950" xr:uid="{00000000-0005-0000-0000-0000E7350000}"/>
    <cellStyle name="40% - Accent2 5 5 2 4 2" xfId="44783" xr:uid="{269B029D-5F25-4AF0-87DC-FED3B6566873}"/>
    <cellStyle name="40% - Accent2 5 5 2 5" xfId="28904" xr:uid="{F7688CFD-6353-4A7C-B923-95E08A7CF69A}"/>
    <cellStyle name="40% - Accent2 5 5 3" xfId="6803" xr:uid="{00000000-0005-0000-0000-0000E8350000}"/>
    <cellStyle name="40% - Accent2 5 5 3 2" xfId="14775" xr:uid="{00000000-0005-0000-0000-0000E9350000}"/>
    <cellStyle name="40% - Accent2 5 5 3 2 2" xfId="38618" xr:uid="{1BDB80A2-8975-4F28-8BC1-B33CE806DE4C}"/>
    <cellStyle name="40% - Accent2 5 5 3 3" xfId="22722" xr:uid="{00000000-0005-0000-0000-0000EA350000}"/>
    <cellStyle name="40% - Accent2 5 5 3 3 2" xfId="46555" xr:uid="{36A46823-9D18-4EB5-89C3-4CCE2ACC3FF7}"/>
    <cellStyle name="40% - Accent2 5 5 3 4" xfId="30677" xr:uid="{9BBD6247-4E08-4DC1-9686-2D5F77A04A51}"/>
    <cellStyle name="40% - Accent2 5 5 4" xfId="11239" xr:uid="{00000000-0005-0000-0000-0000EB350000}"/>
    <cellStyle name="40% - Accent2 5 5 4 2" xfId="35089" xr:uid="{6BC62F98-20C4-4F74-9C85-7A4047971852}"/>
    <cellStyle name="40% - Accent2 5 5 5" xfId="19194" xr:uid="{00000000-0005-0000-0000-0000EC350000}"/>
    <cellStyle name="40% - Accent2 5 5 5 2" xfId="43027" xr:uid="{8AF791AD-A665-4CF4-9321-BEC1CC6D9062}"/>
    <cellStyle name="40% - Accent2 5 5 6" xfId="27147" xr:uid="{B373BF8A-7D41-424B-AE0C-1E6C059B219A}"/>
    <cellStyle name="40% - Accent2 5 5_Exh G" xfId="2892" xr:uid="{00000000-0005-0000-0000-0000ED350000}"/>
    <cellStyle name="40% - Accent2 5 6" xfId="4092" xr:uid="{00000000-0005-0000-0000-0000EE350000}"/>
    <cellStyle name="40% - Accent2 5 6 2" xfId="7684" xr:uid="{00000000-0005-0000-0000-0000EF350000}"/>
    <cellStyle name="40% - Accent2 5 6 2 2" xfId="15655" xr:uid="{00000000-0005-0000-0000-0000F0350000}"/>
    <cellStyle name="40% - Accent2 5 6 2 2 2" xfId="39498" xr:uid="{3CE37FE7-4E4E-4519-BFD3-0D639D4EADD8}"/>
    <cellStyle name="40% - Accent2 5 6 2 3" xfId="23601" xr:uid="{00000000-0005-0000-0000-0000F1350000}"/>
    <cellStyle name="40% - Accent2 5 6 2 3 2" xfId="47434" xr:uid="{5D6A11B2-FEBD-496F-92AF-E2A2AC1FD036}"/>
    <cellStyle name="40% - Accent2 5 6 2 4" xfId="31557" xr:uid="{D42FA128-8DDD-4EC5-9A21-D7395DB337C3}"/>
    <cellStyle name="40% - Accent2 5 6 3" xfId="12117" xr:uid="{00000000-0005-0000-0000-0000F2350000}"/>
    <cellStyle name="40% - Accent2 5 6 3 2" xfId="35967" xr:uid="{4FB7BEFC-B297-454D-BEA0-F07B78DA2F31}"/>
    <cellStyle name="40% - Accent2 5 6 4" xfId="20072" xr:uid="{00000000-0005-0000-0000-0000F3350000}"/>
    <cellStyle name="40% - Accent2 5 6 4 2" xfId="43905" xr:uid="{0A0CDA66-6193-4422-9559-5294E957408B}"/>
    <cellStyle name="40% - Accent2 5 6 5" xfId="28026" xr:uid="{5F251950-0ADC-4C2E-89A3-5995A7E859F1}"/>
    <cellStyle name="40% - Accent2 5 7" xfId="5912" xr:uid="{00000000-0005-0000-0000-0000F4350000}"/>
    <cellStyle name="40% - Accent2 5 7 2" xfId="13896" xr:uid="{00000000-0005-0000-0000-0000F5350000}"/>
    <cellStyle name="40% - Accent2 5 7 2 2" xfId="37740" xr:uid="{528C675D-4F2D-4671-9BA2-2D42BAFEC445}"/>
    <cellStyle name="40% - Accent2 5 7 3" xfId="21844" xr:uid="{00000000-0005-0000-0000-0000F6350000}"/>
    <cellStyle name="40% - Accent2 5 7 3 2" xfId="45677" xr:uid="{C269208E-2BC9-4D29-A96E-356BB7662701}"/>
    <cellStyle name="40% - Accent2 5 7 4" xfId="29799" xr:uid="{D7251E87-FF89-46C9-9B2A-8BB0EE6F3637}"/>
    <cellStyle name="40% - Accent2 5 8" xfId="9465" xr:uid="{00000000-0005-0000-0000-0000F7350000}"/>
    <cellStyle name="40% - Accent2 5 8 2" xfId="17423" xr:uid="{00000000-0005-0000-0000-0000F8350000}"/>
    <cellStyle name="40% - Accent2 5 8 2 2" xfId="41264" xr:uid="{F61BB934-33F7-42BC-B537-67DEFCB7A4E7}"/>
    <cellStyle name="40% - Accent2 5 8 3" xfId="25367" xr:uid="{00000000-0005-0000-0000-0000F9350000}"/>
    <cellStyle name="40% - Accent2 5 8 3 2" xfId="49200" xr:uid="{13B59B0E-7518-4588-8A09-EC5AC8660409}"/>
    <cellStyle name="40% - Accent2 5 8 4" xfId="33323" xr:uid="{878D0418-F0A1-4D2D-BD33-5C07F3FCE6E4}"/>
    <cellStyle name="40% - Accent2 5 9" xfId="10361" xr:uid="{00000000-0005-0000-0000-0000FA350000}"/>
    <cellStyle name="40% - Accent2 5 9 2" xfId="34211" xr:uid="{9AEB0684-549C-4209-AC9C-017A7C5273B8}"/>
    <cellStyle name="40% - Accent2 5_Exh G" xfId="2885" xr:uid="{00000000-0005-0000-0000-0000FB350000}"/>
    <cellStyle name="40% - Accent2 6" xfId="417" xr:uid="{00000000-0005-0000-0000-0000FC350000}"/>
    <cellStyle name="40% - Accent2 6 10" xfId="18320" xr:uid="{00000000-0005-0000-0000-0000FD350000}"/>
    <cellStyle name="40% - Accent2 6 10 2" xfId="42153" xr:uid="{1C8B2E8D-BC58-4A6F-A41D-2FD43CEE9577}"/>
    <cellStyle name="40% - Accent2 6 11" xfId="26273" xr:uid="{F859D9F4-A5CE-4974-8FEE-D3CC7298EDB3}"/>
    <cellStyle name="40% - Accent2 6 2" xfId="418" xr:uid="{00000000-0005-0000-0000-0000FE350000}"/>
    <cellStyle name="40% - Accent2 6 2 2" xfId="419" xr:uid="{00000000-0005-0000-0000-0000FF350000}"/>
    <cellStyle name="40% - Accent2 6 2 2 2" xfId="1447" xr:uid="{00000000-0005-0000-0000-000000360000}"/>
    <cellStyle name="40% - Accent2 6 2 2 2 2" xfId="4977" xr:uid="{00000000-0005-0000-0000-000001360000}"/>
    <cellStyle name="40% - Accent2 6 2 2 2 2 2" xfId="8568" xr:uid="{00000000-0005-0000-0000-000002360000}"/>
    <cellStyle name="40% - Accent2 6 2 2 2 2 2 2" xfId="16539" xr:uid="{00000000-0005-0000-0000-000003360000}"/>
    <cellStyle name="40% - Accent2 6 2 2 2 2 2 2 2" xfId="40382" xr:uid="{E95826CC-B4D7-45CB-98C6-374E340535BA}"/>
    <cellStyle name="40% - Accent2 6 2 2 2 2 2 3" xfId="24485" xr:uid="{00000000-0005-0000-0000-000004360000}"/>
    <cellStyle name="40% - Accent2 6 2 2 2 2 2 3 2" xfId="48318" xr:uid="{C6DA9A95-80EF-40A2-B35F-61F6052095F2}"/>
    <cellStyle name="40% - Accent2 6 2 2 2 2 2 4" xfId="32441" xr:uid="{976A5AC1-5E2F-4031-AAA4-A19526CC3F3D}"/>
    <cellStyle name="40% - Accent2 6 2 2 2 2 3" xfId="13001" xr:uid="{00000000-0005-0000-0000-000005360000}"/>
    <cellStyle name="40% - Accent2 6 2 2 2 2 3 2" xfId="36851" xr:uid="{BF21DEB4-9C24-4445-9B53-A0A99117B517}"/>
    <cellStyle name="40% - Accent2 6 2 2 2 2 4" xfId="20956" xr:uid="{00000000-0005-0000-0000-000006360000}"/>
    <cellStyle name="40% - Accent2 6 2 2 2 2 4 2" xfId="44789" xr:uid="{B49F42D6-F763-4683-A092-01D41EC3C381}"/>
    <cellStyle name="40% - Accent2 6 2 2 2 2 5" xfId="28910" xr:uid="{CDF6A0FD-8FE3-4E48-A70D-B7178E52D569}"/>
    <cellStyle name="40% - Accent2 6 2 2 2 3" xfId="6809" xr:uid="{00000000-0005-0000-0000-000007360000}"/>
    <cellStyle name="40% - Accent2 6 2 2 2 3 2" xfId="14781" xr:uid="{00000000-0005-0000-0000-000008360000}"/>
    <cellStyle name="40% - Accent2 6 2 2 2 3 2 2" xfId="38624" xr:uid="{7F768D71-CB5B-470F-A7D9-4ED27E46E3B2}"/>
    <cellStyle name="40% - Accent2 6 2 2 2 3 3" xfId="22728" xr:uid="{00000000-0005-0000-0000-000009360000}"/>
    <cellStyle name="40% - Accent2 6 2 2 2 3 3 2" xfId="46561" xr:uid="{3D29567C-7574-44EE-B15A-757F4E1701E5}"/>
    <cellStyle name="40% - Accent2 6 2 2 2 3 4" xfId="30683" xr:uid="{4982C787-4995-46C4-8C05-3117CB49EDB9}"/>
    <cellStyle name="40% - Accent2 6 2 2 2 4" xfId="11245" xr:uid="{00000000-0005-0000-0000-00000A360000}"/>
    <cellStyle name="40% - Accent2 6 2 2 2 4 2" xfId="35095" xr:uid="{5386C729-AB79-4A4C-9AB8-094133C78951}"/>
    <cellStyle name="40% - Accent2 6 2 2 2 5" xfId="19200" xr:uid="{00000000-0005-0000-0000-00000B360000}"/>
    <cellStyle name="40% - Accent2 6 2 2 2 5 2" xfId="43033" xr:uid="{01147D27-27FB-4F73-9A41-BC723AF4BBBA}"/>
    <cellStyle name="40% - Accent2 6 2 2 2 6" xfId="27153" xr:uid="{BD4869CB-4D74-4ECF-AE57-EB47AB111701}"/>
    <cellStyle name="40% - Accent2 6 2 2 2_Exh G" xfId="2896" xr:uid="{00000000-0005-0000-0000-00000C360000}"/>
    <cellStyle name="40% - Accent2 6 2 2 3" xfId="4098" xr:uid="{00000000-0005-0000-0000-00000D360000}"/>
    <cellStyle name="40% - Accent2 6 2 2 3 2" xfId="7690" xr:uid="{00000000-0005-0000-0000-00000E360000}"/>
    <cellStyle name="40% - Accent2 6 2 2 3 2 2" xfId="15661" xr:uid="{00000000-0005-0000-0000-00000F360000}"/>
    <cellStyle name="40% - Accent2 6 2 2 3 2 2 2" xfId="39504" xr:uid="{21422A7F-CA59-4E53-9125-F2816CAD4E22}"/>
    <cellStyle name="40% - Accent2 6 2 2 3 2 3" xfId="23607" xr:uid="{00000000-0005-0000-0000-000010360000}"/>
    <cellStyle name="40% - Accent2 6 2 2 3 2 3 2" xfId="47440" xr:uid="{9F16DB45-11CA-469F-94D9-DA360DDC9EA4}"/>
    <cellStyle name="40% - Accent2 6 2 2 3 2 4" xfId="31563" xr:uid="{12B9A628-832D-4D37-A00E-119A256125B6}"/>
    <cellStyle name="40% - Accent2 6 2 2 3 3" xfId="12123" xr:uid="{00000000-0005-0000-0000-000011360000}"/>
    <cellStyle name="40% - Accent2 6 2 2 3 3 2" xfId="35973" xr:uid="{A6D40895-95AC-4136-BE48-46C768455ECF}"/>
    <cellStyle name="40% - Accent2 6 2 2 3 4" xfId="20078" xr:uid="{00000000-0005-0000-0000-000012360000}"/>
    <cellStyle name="40% - Accent2 6 2 2 3 4 2" xfId="43911" xr:uid="{139F0930-D05D-43B2-BF48-E21CCD3EC041}"/>
    <cellStyle name="40% - Accent2 6 2 2 3 5" xfId="28032" xr:uid="{D5D271F3-77E4-4DB8-9B41-A2A5E3EC2638}"/>
    <cellStyle name="40% - Accent2 6 2 2 4" xfId="5918" xr:uid="{00000000-0005-0000-0000-000013360000}"/>
    <cellStyle name="40% - Accent2 6 2 2 4 2" xfId="13902" xr:uid="{00000000-0005-0000-0000-000014360000}"/>
    <cellStyle name="40% - Accent2 6 2 2 4 2 2" xfId="37746" xr:uid="{A261FC01-1C81-4CC2-ABC8-2CA99323B36B}"/>
    <cellStyle name="40% - Accent2 6 2 2 4 3" xfId="21850" xr:uid="{00000000-0005-0000-0000-000015360000}"/>
    <cellStyle name="40% - Accent2 6 2 2 4 3 2" xfId="45683" xr:uid="{733CAE9D-4810-4242-A49C-033EAC438C08}"/>
    <cellStyle name="40% - Accent2 6 2 2 4 4" xfId="29805" xr:uid="{5DD964E5-00EF-4614-BB87-8F2E19EBE599}"/>
    <cellStyle name="40% - Accent2 6 2 2 5" xfId="9471" xr:uid="{00000000-0005-0000-0000-000016360000}"/>
    <cellStyle name="40% - Accent2 6 2 2 5 2" xfId="17429" xr:uid="{00000000-0005-0000-0000-000017360000}"/>
    <cellStyle name="40% - Accent2 6 2 2 5 2 2" xfId="41270" xr:uid="{C13FC989-9ADA-4663-BB9D-A6A880DC4419}"/>
    <cellStyle name="40% - Accent2 6 2 2 5 3" xfId="25373" xr:uid="{00000000-0005-0000-0000-000018360000}"/>
    <cellStyle name="40% - Accent2 6 2 2 5 3 2" xfId="49206" xr:uid="{D3AD7B6B-5DFE-4FE2-BFA3-9DA5B4DDA190}"/>
    <cellStyle name="40% - Accent2 6 2 2 5 4" xfId="33329" xr:uid="{2402AA21-36C4-4126-B5FB-0AD08AEA6C38}"/>
    <cellStyle name="40% - Accent2 6 2 2 6" xfId="10367" xr:uid="{00000000-0005-0000-0000-000019360000}"/>
    <cellStyle name="40% - Accent2 6 2 2 6 2" xfId="34217" xr:uid="{13CF32B7-484B-44BE-8098-46ACF9B77FBC}"/>
    <cellStyle name="40% - Accent2 6 2 2 7" xfId="18322" xr:uid="{00000000-0005-0000-0000-00001A360000}"/>
    <cellStyle name="40% - Accent2 6 2 2 7 2" xfId="42155" xr:uid="{1B6280DB-EDE2-4265-BBF2-73CD7014A6C1}"/>
    <cellStyle name="40% - Accent2 6 2 2 8" xfId="26275" xr:uid="{65A280BB-F71A-428E-AABC-9008A8440F93}"/>
    <cellStyle name="40% - Accent2 6 2 2_Exh G" xfId="2895" xr:uid="{00000000-0005-0000-0000-00001B360000}"/>
    <cellStyle name="40% - Accent2 6 2 3" xfId="1446" xr:uid="{00000000-0005-0000-0000-00001C360000}"/>
    <cellStyle name="40% - Accent2 6 2 3 2" xfId="4976" xr:uid="{00000000-0005-0000-0000-00001D360000}"/>
    <cellStyle name="40% - Accent2 6 2 3 2 2" xfId="8567" xr:uid="{00000000-0005-0000-0000-00001E360000}"/>
    <cellStyle name="40% - Accent2 6 2 3 2 2 2" xfId="16538" xr:uid="{00000000-0005-0000-0000-00001F360000}"/>
    <cellStyle name="40% - Accent2 6 2 3 2 2 2 2" xfId="40381" xr:uid="{B33BED86-A02D-4205-B72E-AC7C972BF3E4}"/>
    <cellStyle name="40% - Accent2 6 2 3 2 2 3" xfId="24484" xr:uid="{00000000-0005-0000-0000-000020360000}"/>
    <cellStyle name="40% - Accent2 6 2 3 2 2 3 2" xfId="48317" xr:uid="{CB4FEEE9-A2F3-4283-8682-FAEC8ECFBEE9}"/>
    <cellStyle name="40% - Accent2 6 2 3 2 2 4" xfId="32440" xr:uid="{ECCD114B-9821-4569-8387-D38B59B1B065}"/>
    <cellStyle name="40% - Accent2 6 2 3 2 3" xfId="13000" xr:uid="{00000000-0005-0000-0000-000021360000}"/>
    <cellStyle name="40% - Accent2 6 2 3 2 3 2" xfId="36850" xr:uid="{FB9BFD1E-C82E-4C6F-9DB1-398F534FD22B}"/>
    <cellStyle name="40% - Accent2 6 2 3 2 4" xfId="20955" xr:uid="{00000000-0005-0000-0000-000022360000}"/>
    <cellStyle name="40% - Accent2 6 2 3 2 4 2" xfId="44788" xr:uid="{0FF2A0C8-974F-44E4-9EA3-D9EB8A3FB28F}"/>
    <cellStyle name="40% - Accent2 6 2 3 2 5" xfId="28909" xr:uid="{BAC767C6-9C08-49C1-907E-EF1743098DC8}"/>
    <cellStyle name="40% - Accent2 6 2 3 3" xfId="6808" xr:uid="{00000000-0005-0000-0000-000023360000}"/>
    <cellStyle name="40% - Accent2 6 2 3 3 2" xfId="14780" xr:uid="{00000000-0005-0000-0000-000024360000}"/>
    <cellStyle name="40% - Accent2 6 2 3 3 2 2" xfId="38623" xr:uid="{064A2990-DF6A-45E1-B6A6-D287CADBD103}"/>
    <cellStyle name="40% - Accent2 6 2 3 3 3" xfId="22727" xr:uid="{00000000-0005-0000-0000-000025360000}"/>
    <cellStyle name="40% - Accent2 6 2 3 3 3 2" xfId="46560" xr:uid="{1ADFF4FC-E999-4329-A769-7A5546ECC796}"/>
    <cellStyle name="40% - Accent2 6 2 3 3 4" xfId="30682" xr:uid="{8CAB5152-4F16-4A2F-8FF6-465583465CD8}"/>
    <cellStyle name="40% - Accent2 6 2 3 4" xfId="11244" xr:uid="{00000000-0005-0000-0000-000026360000}"/>
    <cellStyle name="40% - Accent2 6 2 3 4 2" xfId="35094" xr:uid="{9C7541BD-5DD5-4111-87F4-501693756977}"/>
    <cellStyle name="40% - Accent2 6 2 3 5" xfId="19199" xr:uid="{00000000-0005-0000-0000-000027360000}"/>
    <cellStyle name="40% - Accent2 6 2 3 5 2" xfId="43032" xr:uid="{766A0FC8-4DB6-4C5E-8BB8-6589F4DB1122}"/>
    <cellStyle name="40% - Accent2 6 2 3 6" xfId="27152" xr:uid="{93379CE2-B705-45B2-9E8F-4A1D833C6DAE}"/>
    <cellStyle name="40% - Accent2 6 2 3_Exh G" xfId="2897" xr:uid="{00000000-0005-0000-0000-000028360000}"/>
    <cellStyle name="40% - Accent2 6 2 4" xfId="4097" xr:uid="{00000000-0005-0000-0000-000029360000}"/>
    <cellStyle name="40% - Accent2 6 2 4 2" xfId="7689" xr:uid="{00000000-0005-0000-0000-00002A360000}"/>
    <cellStyle name="40% - Accent2 6 2 4 2 2" xfId="15660" xr:uid="{00000000-0005-0000-0000-00002B360000}"/>
    <cellStyle name="40% - Accent2 6 2 4 2 2 2" xfId="39503" xr:uid="{00BD0D10-E574-4952-A91F-0C33D4C977A3}"/>
    <cellStyle name="40% - Accent2 6 2 4 2 3" xfId="23606" xr:uid="{00000000-0005-0000-0000-00002C360000}"/>
    <cellStyle name="40% - Accent2 6 2 4 2 3 2" xfId="47439" xr:uid="{D39103E4-6886-42C1-A88C-AC886327B26B}"/>
    <cellStyle name="40% - Accent2 6 2 4 2 4" xfId="31562" xr:uid="{D291E2E6-BF3A-442B-A143-C5A2423138D0}"/>
    <cellStyle name="40% - Accent2 6 2 4 3" xfId="12122" xr:uid="{00000000-0005-0000-0000-00002D360000}"/>
    <cellStyle name="40% - Accent2 6 2 4 3 2" xfId="35972" xr:uid="{B6172423-35BF-44CC-9551-285324503D29}"/>
    <cellStyle name="40% - Accent2 6 2 4 4" xfId="20077" xr:uid="{00000000-0005-0000-0000-00002E360000}"/>
    <cellStyle name="40% - Accent2 6 2 4 4 2" xfId="43910" xr:uid="{14C3123B-1E5A-4803-910C-21EE9E51C195}"/>
    <cellStyle name="40% - Accent2 6 2 4 5" xfId="28031" xr:uid="{999F0779-46C1-4C55-A140-9118845D22B3}"/>
    <cellStyle name="40% - Accent2 6 2 5" xfId="5917" xr:uid="{00000000-0005-0000-0000-00002F360000}"/>
    <cellStyle name="40% - Accent2 6 2 5 2" xfId="13901" xr:uid="{00000000-0005-0000-0000-000030360000}"/>
    <cellStyle name="40% - Accent2 6 2 5 2 2" xfId="37745" xr:uid="{A29CEC6F-E01C-491F-8F01-24761F600998}"/>
    <cellStyle name="40% - Accent2 6 2 5 3" xfId="21849" xr:uid="{00000000-0005-0000-0000-000031360000}"/>
    <cellStyle name="40% - Accent2 6 2 5 3 2" xfId="45682" xr:uid="{FC4E0C27-DFD0-45DD-B48B-413C65D4D5B8}"/>
    <cellStyle name="40% - Accent2 6 2 5 4" xfId="29804" xr:uid="{FF626714-93DC-4614-98FB-CBE823271499}"/>
    <cellStyle name="40% - Accent2 6 2 6" xfId="9470" xr:uid="{00000000-0005-0000-0000-000032360000}"/>
    <cellStyle name="40% - Accent2 6 2 6 2" xfId="17428" xr:uid="{00000000-0005-0000-0000-000033360000}"/>
    <cellStyle name="40% - Accent2 6 2 6 2 2" xfId="41269" xr:uid="{E57A4147-157E-4A57-9F71-FC6249FB3F30}"/>
    <cellStyle name="40% - Accent2 6 2 6 3" xfId="25372" xr:uid="{00000000-0005-0000-0000-000034360000}"/>
    <cellStyle name="40% - Accent2 6 2 6 3 2" xfId="49205" xr:uid="{65C06FEC-1A47-47D0-804C-82E379256230}"/>
    <cellStyle name="40% - Accent2 6 2 6 4" xfId="33328" xr:uid="{36E7E98E-42C5-42B2-9BBE-E567E237EEA3}"/>
    <cellStyle name="40% - Accent2 6 2 7" xfId="10366" xr:uid="{00000000-0005-0000-0000-000035360000}"/>
    <cellStyle name="40% - Accent2 6 2 7 2" xfId="34216" xr:uid="{E809122C-F136-474B-9F71-9771E0616A76}"/>
    <cellStyle name="40% - Accent2 6 2 8" xfId="18321" xr:uid="{00000000-0005-0000-0000-000036360000}"/>
    <cellStyle name="40% - Accent2 6 2 8 2" xfId="42154" xr:uid="{9E05DE1A-9207-4089-B35E-D6D3A7DA12D4}"/>
    <cellStyle name="40% - Accent2 6 2 9" xfId="26274" xr:uid="{67A32EA0-4E2D-497D-896B-E1594288980C}"/>
    <cellStyle name="40% - Accent2 6 2_Exh G" xfId="2894" xr:uid="{00000000-0005-0000-0000-000037360000}"/>
    <cellStyle name="40% - Accent2 6 3" xfId="420" xr:uid="{00000000-0005-0000-0000-000038360000}"/>
    <cellStyle name="40% - Accent2 6 3 2" xfId="1448" xr:uid="{00000000-0005-0000-0000-000039360000}"/>
    <cellStyle name="40% - Accent2 6 3 2 2" xfId="4978" xr:uid="{00000000-0005-0000-0000-00003A360000}"/>
    <cellStyle name="40% - Accent2 6 3 2 2 2" xfId="8569" xr:uid="{00000000-0005-0000-0000-00003B360000}"/>
    <cellStyle name="40% - Accent2 6 3 2 2 2 2" xfId="16540" xr:uid="{00000000-0005-0000-0000-00003C360000}"/>
    <cellStyle name="40% - Accent2 6 3 2 2 2 2 2" xfId="40383" xr:uid="{728BD024-74D4-4D5D-B1C1-B0CCEA3D7529}"/>
    <cellStyle name="40% - Accent2 6 3 2 2 2 3" xfId="24486" xr:uid="{00000000-0005-0000-0000-00003D360000}"/>
    <cellStyle name="40% - Accent2 6 3 2 2 2 3 2" xfId="48319" xr:uid="{ECD69224-A1DB-454A-B08C-733B9D0FCD62}"/>
    <cellStyle name="40% - Accent2 6 3 2 2 2 4" xfId="32442" xr:uid="{28A52944-F158-4270-A247-332943505019}"/>
    <cellStyle name="40% - Accent2 6 3 2 2 3" xfId="13002" xr:uid="{00000000-0005-0000-0000-00003E360000}"/>
    <cellStyle name="40% - Accent2 6 3 2 2 3 2" xfId="36852" xr:uid="{69ADCA3C-E192-4CB0-9C6B-A080F6E8A1CA}"/>
    <cellStyle name="40% - Accent2 6 3 2 2 4" xfId="20957" xr:uid="{00000000-0005-0000-0000-00003F360000}"/>
    <cellStyle name="40% - Accent2 6 3 2 2 4 2" xfId="44790" xr:uid="{04473271-9DE4-47E2-9C08-6BE2F42E8ADA}"/>
    <cellStyle name="40% - Accent2 6 3 2 2 5" xfId="28911" xr:uid="{A6FE6691-7003-4A23-858A-E6CEF803E0CF}"/>
    <cellStyle name="40% - Accent2 6 3 2 3" xfId="6810" xr:uid="{00000000-0005-0000-0000-000040360000}"/>
    <cellStyle name="40% - Accent2 6 3 2 3 2" xfId="14782" xr:uid="{00000000-0005-0000-0000-000041360000}"/>
    <cellStyle name="40% - Accent2 6 3 2 3 2 2" xfId="38625" xr:uid="{0CBDBBBA-DE4F-40F2-8E2D-5CA335851194}"/>
    <cellStyle name="40% - Accent2 6 3 2 3 3" xfId="22729" xr:uid="{00000000-0005-0000-0000-000042360000}"/>
    <cellStyle name="40% - Accent2 6 3 2 3 3 2" xfId="46562" xr:uid="{16B8E1F2-262C-44EE-AD4D-F748C68EB9B2}"/>
    <cellStyle name="40% - Accent2 6 3 2 3 4" xfId="30684" xr:uid="{B1B3943D-375A-47DB-BFDA-B90A688F1022}"/>
    <cellStyle name="40% - Accent2 6 3 2 4" xfId="11246" xr:uid="{00000000-0005-0000-0000-000043360000}"/>
    <cellStyle name="40% - Accent2 6 3 2 4 2" xfId="35096" xr:uid="{23FA1763-B9FB-4A4D-99F7-E921C18932F2}"/>
    <cellStyle name="40% - Accent2 6 3 2 5" xfId="19201" xr:uid="{00000000-0005-0000-0000-000044360000}"/>
    <cellStyle name="40% - Accent2 6 3 2 5 2" xfId="43034" xr:uid="{35915CD8-24C2-48DF-9DB2-A9FE2AA7B9D3}"/>
    <cellStyle name="40% - Accent2 6 3 2 6" xfId="27154" xr:uid="{CA60BF66-DF38-48F8-B2DC-63E21CA93C3F}"/>
    <cellStyle name="40% - Accent2 6 3 2_Exh G" xfId="2899" xr:uid="{00000000-0005-0000-0000-000045360000}"/>
    <cellStyle name="40% - Accent2 6 3 3" xfId="4099" xr:uid="{00000000-0005-0000-0000-000046360000}"/>
    <cellStyle name="40% - Accent2 6 3 3 2" xfId="7691" xr:uid="{00000000-0005-0000-0000-000047360000}"/>
    <cellStyle name="40% - Accent2 6 3 3 2 2" xfId="15662" xr:uid="{00000000-0005-0000-0000-000048360000}"/>
    <cellStyle name="40% - Accent2 6 3 3 2 2 2" xfId="39505" xr:uid="{E2E0D82F-37CD-4732-92F5-F132A765CD0F}"/>
    <cellStyle name="40% - Accent2 6 3 3 2 3" xfId="23608" xr:uid="{00000000-0005-0000-0000-000049360000}"/>
    <cellStyle name="40% - Accent2 6 3 3 2 3 2" xfId="47441" xr:uid="{DBAFFFEB-6FF0-41E9-A60D-CD407005EEA2}"/>
    <cellStyle name="40% - Accent2 6 3 3 2 4" xfId="31564" xr:uid="{47B38BA6-1FED-4FEA-A724-3137DE20F9FC}"/>
    <cellStyle name="40% - Accent2 6 3 3 3" xfId="12124" xr:uid="{00000000-0005-0000-0000-00004A360000}"/>
    <cellStyle name="40% - Accent2 6 3 3 3 2" xfId="35974" xr:uid="{A839B9FA-8DD6-4704-A79E-317D6B7C8EA0}"/>
    <cellStyle name="40% - Accent2 6 3 3 4" xfId="20079" xr:uid="{00000000-0005-0000-0000-00004B360000}"/>
    <cellStyle name="40% - Accent2 6 3 3 4 2" xfId="43912" xr:uid="{E5C10669-EF4A-4C5B-B98A-F1A9BFF93FAF}"/>
    <cellStyle name="40% - Accent2 6 3 3 5" xfId="28033" xr:uid="{6FEC2550-B45D-4E10-9E67-A22F34572F82}"/>
    <cellStyle name="40% - Accent2 6 3 4" xfId="5919" xr:uid="{00000000-0005-0000-0000-00004C360000}"/>
    <cellStyle name="40% - Accent2 6 3 4 2" xfId="13903" xr:uid="{00000000-0005-0000-0000-00004D360000}"/>
    <cellStyle name="40% - Accent2 6 3 4 2 2" xfId="37747" xr:uid="{FC30A006-0567-4502-8D80-9F11BC6905F3}"/>
    <cellStyle name="40% - Accent2 6 3 4 3" xfId="21851" xr:uid="{00000000-0005-0000-0000-00004E360000}"/>
    <cellStyle name="40% - Accent2 6 3 4 3 2" xfId="45684" xr:uid="{85B9782F-8CDB-4306-9FA6-3A7D9E2CB233}"/>
    <cellStyle name="40% - Accent2 6 3 4 4" xfId="29806" xr:uid="{0243FF40-A6B4-4884-8D5B-375BF457D3AD}"/>
    <cellStyle name="40% - Accent2 6 3 5" xfId="9472" xr:uid="{00000000-0005-0000-0000-00004F360000}"/>
    <cellStyle name="40% - Accent2 6 3 5 2" xfId="17430" xr:uid="{00000000-0005-0000-0000-000050360000}"/>
    <cellStyle name="40% - Accent2 6 3 5 2 2" xfId="41271" xr:uid="{75A2FE73-671B-437F-A6A4-8410BB8F20ED}"/>
    <cellStyle name="40% - Accent2 6 3 5 3" xfId="25374" xr:uid="{00000000-0005-0000-0000-000051360000}"/>
    <cellStyle name="40% - Accent2 6 3 5 3 2" xfId="49207" xr:uid="{13EE6CD9-050B-4061-9DAE-F36129270456}"/>
    <cellStyle name="40% - Accent2 6 3 5 4" xfId="33330" xr:uid="{D8921CAC-44A3-49B0-B902-8AE3757077C9}"/>
    <cellStyle name="40% - Accent2 6 3 6" xfId="10368" xr:uid="{00000000-0005-0000-0000-000052360000}"/>
    <cellStyle name="40% - Accent2 6 3 6 2" xfId="34218" xr:uid="{1FF8CB94-B70B-413C-BD9E-9ADD0A8BAD88}"/>
    <cellStyle name="40% - Accent2 6 3 7" xfId="18323" xr:uid="{00000000-0005-0000-0000-000053360000}"/>
    <cellStyle name="40% - Accent2 6 3 7 2" xfId="42156" xr:uid="{85F7CE3E-AC6A-4E4C-9E3D-B085663D39E9}"/>
    <cellStyle name="40% - Accent2 6 3 8" xfId="26276" xr:uid="{89D17E27-43B3-4F4E-BE24-6E3182E48EB2}"/>
    <cellStyle name="40% - Accent2 6 3_Exh G" xfId="2898" xr:uid="{00000000-0005-0000-0000-000054360000}"/>
    <cellStyle name="40% - Accent2 6 4" xfId="954" xr:uid="{00000000-0005-0000-0000-000055360000}"/>
    <cellStyle name="40% - Accent2 6 4 2" xfId="1875" xr:uid="{00000000-0005-0000-0000-000056360000}"/>
    <cellStyle name="40% - Accent2 6 4 2 2" xfId="5393" xr:uid="{00000000-0005-0000-0000-000057360000}"/>
    <cellStyle name="40% - Accent2 6 4 2 2 2" xfId="8984" xr:uid="{00000000-0005-0000-0000-000058360000}"/>
    <cellStyle name="40% - Accent2 6 4 2 2 2 2" xfId="16955" xr:uid="{00000000-0005-0000-0000-000059360000}"/>
    <cellStyle name="40% - Accent2 6 4 2 2 2 2 2" xfId="40798" xr:uid="{E947C116-5CCC-4DB4-86F5-C241F886AED8}"/>
    <cellStyle name="40% - Accent2 6 4 2 2 2 3" xfId="24901" xr:uid="{00000000-0005-0000-0000-00005A360000}"/>
    <cellStyle name="40% - Accent2 6 4 2 2 2 3 2" xfId="48734" xr:uid="{67984B06-3729-47CB-8B0A-37594B73CE42}"/>
    <cellStyle name="40% - Accent2 6 4 2 2 2 4" xfId="32857" xr:uid="{C04966DF-E15F-4C38-9109-EFA70639FF2C}"/>
    <cellStyle name="40% - Accent2 6 4 2 2 3" xfId="13417" xr:uid="{00000000-0005-0000-0000-00005B360000}"/>
    <cellStyle name="40% - Accent2 6 4 2 2 3 2" xfId="37267" xr:uid="{515A34B7-B864-4370-B27B-A6818F4931DF}"/>
    <cellStyle name="40% - Accent2 6 4 2 2 4" xfId="21372" xr:uid="{00000000-0005-0000-0000-00005C360000}"/>
    <cellStyle name="40% - Accent2 6 4 2 2 4 2" xfId="45205" xr:uid="{C3D035BD-599B-4B86-A126-C795D608D337}"/>
    <cellStyle name="40% - Accent2 6 4 2 2 5" xfId="29326" xr:uid="{3BA26163-5713-4E11-981F-DFCA6D341A35}"/>
    <cellStyle name="40% - Accent2 6 4 2 3" xfId="7225" xr:uid="{00000000-0005-0000-0000-00005D360000}"/>
    <cellStyle name="40% - Accent2 6 4 2 3 2" xfId="15197" xr:uid="{00000000-0005-0000-0000-00005E360000}"/>
    <cellStyle name="40% - Accent2 6 4 2 3 2 2" xfId="39040" xr:uid="{D6D29148-9C6E-4E76-A742-1DE0E6AD6090}"/>
    <cellStyle name="40% - Accent2 6 4 2 3 3" xfId="23144" xr:uid="{00000000-0005-0000-0000-00005F360000}"/>
    <cellStyle name="40% - Accent2 6 4 2 3 3 2" xfId="46977" xr:uid="{CC996DE2-D6D6-4B66-8CA8-CA74B553CE8F}"/>
    <cellStyle name="40% - Accent2 6 4 2 3 4" xfId="31099" xr:uid="{979585C4-81B7-4D18-AE7E-15E945CE4F07}"/>
    <cellStyle name="40% - Accent2 6 4 2 4" xfId="11661" xr:uid="{00000000-0005-0000-0000-000060360000}"/>
    <cellStyle name="40% - Accent2 6 4 2 4 2" xfId="35511" xr:uid="{D0EB261F-6EA3-4AA2-AA07-34DB1CD69F5D}"/>
    <cellStyle name="40% - Accent2 6 4 2 5" xfId="19616" xr:uid="{00000000-0005-0000-0000-000061360000}"/>
    <cellStyle name="40% - Accent2 6 4 2 5 2" xfId="43449" xr:uid="{A689512F-9B1F-4A0D-99D0-F479C538EFF6}"/>
    <cellStyle name="40% - Accent2 6 4 2 6" xfId="27569" xr:uid="{B96D3667-75DB-4167-B56C-05A4B0CF601A}"/>
    <cellStyle name="40% - Accent2 6 4 2_Exh G" xfId="2901" xr:uid="{00000000-0005-0000-0000-000062360000}"/>
    <cellStyle name="40% - Accent2 6 4 3" xfId="4514" xr:uid="{00000000-0005-0000-0000-000063360000}"/>
    <cellStyle name="40% - Accent2 6 4 3 2" xfId="8106" xr:uid="{00000000-0005-0000-0000-000064360000}"/>
    <cellStyle name="40% - Accent2 6 4 3 2 2" xfId="16077" xr:uid="{00000000-0005-0000-0000-000065360000}"/>
    <cellStyle name="40% - Accent2 6 4 3 2 2 2" xfId="39920" xr:uid="{2035E387-A485-4A4B-AEFB-6F95D76BD72A}"/>
    <cellStyle name="40% - Accent2 6 4 3 2 3" xfId="24023" xr:uid="{00000000-0005-0000-0000-000066360000}"/>
    <cellStyle name="40% - Accent2 6 4 3 2 3 2" xfId="47856" xr:uid="{85AEA3C8-80F4-4BFE-9F7A-C04D57690F3D}"/>
    <cellStyle name="40% - Accent2 6 4 3 2 4" xfId="31979" xr:uid="{8635099E-292D-4405-9149-4C52F69FCE95}"/>
    <cellStyle name="40% - Accent2 6 4 3 3" xfId="12539" xr:uid="{00000000-0005-0000-0000-000067360000}"/>
    <cellStyle name="40% - Accent2 6 4 3 3 2" xfId="36389" xr:uid="{0DCB56E3-3C44-486B-B49C-D64B0D2E0AF7}"/>
    <cellStyle name="40% - Accent2 6 4 3 4" xfId="20494" xr:uid="{00000000-0005-0000-0000-000068360000}"/>
    <cellStyle name="40% - Accent2 6 4 3 4 2" xfId="44327" xr:uid="{0F6CC355-5B3A-40ED-B33D-16FA3B425920}"/>
    <cellStyle name="40% - Accent2 6 4 3 5" xfId="28448" xr:uid="{9E9CE308-F197-46C3-8E03-CDF43EF9656C}"/>
    <cellStyle name="40% - Accent2 6 4 4" xfId="6344" xr:uid="{00000000-0005-0000-0000-000069360000}"/>
    <cellStyle name="40% - Accent2 6 4 4 2" xfId="14319" xr:uid="{00000000-0005-0000-0000-00006A360000}"/>
    <cellStyle name="40% - Accent2 6 4 4 2 2" xfId="38162" xr:uid="{3D3F5EA4-60DA-4542-BE01-662E175B789F}"/>
    <cellStyle name="40% - Accent2 6 4 4 3" xfId="22266" xr:uid="{00000000-0005-0000-0000-00006B360000}"/>
    <cellStyle name="40% - Accent2 6 4 4 3 2" xfId="46099" xr:uid="{3CDA65A2-EDBE-43A0-BDD5-2A6C5155C7CB}"/>
    <cellStyle name="40% - Accent2 6 4 4 4" xfId="30221" xr:uid="{B205C560-D565-43BB-94FA-00232962340B}"/>
    <cellStyle name="40% - Accent2 6 4 5" xfId="9887" xr:uid="{00000000-0005-0000-0000-00006C360000}"/>
    <cellStyle name="40% - Accent2 6 4 5 2" xfId="17845" xr:uid="{00000000-0005-0000-0000-00006D360000}"/>
    <cellStyle name="40% - Accent2 6 4 5 2 2" xfId="41686" xr:uid="{736AE602-25E4-4AE6-8ECD-825FDDD1D0C5}"/>
    <cellStyle name="40% - Accent2 6 4 5 3" xfId="25789" xr:uid="{00000000-0005-0000-0000-00006E360000}"/>
    <cellStyle name="40% - Accent2 6 4 5 3 2" xfId="49622" xr:uid="{FEA48D69-3C1B-420F-8980-8E5648C5FB45}"/>
    <cellStyle name="40% - Accent2 6 4 5 4" xfId="33745" xr:uid="{34E43B64-DB79-462A-BA3B-621BF459C242}"/>
    <cellStyle name="40% - Accent2 6 4 6" xfId="10783" xr:uid="{00000000-0005-0000-0000-00006F360000}"/>
    <cellStyle name="40% - Accent2 6 4 6 2" xfId="34633" xr:uid="{3034184A-FFFD-4F71-9085-872C190771BB}"/>
    <cellStyle name="40% - Accent2 6 4 7" xfId="18738" xr:uid="{00000000-0005-0000-0000-000070360000}"/>
    <cellStyle name="40% - Accent2 6 4 7 2" xfId="42571" xr:uid="{849E8CB9-3A66-4549-A19D-F16651DC8AA2}"/>
    <cellStyle name="40% - Accent2 6 4 8" xfId="26691" xr:uid="{57AC1B36-26D6-4DA7-9C77-FF055702BFF9}"/>
    <cellStyle name="40% - Accent2 6 4_Exh G" xfId="2900" xr:uid="{00000000-0005-0000-0000-000071360000}"/>
    <cellStyle name="40% - Accent2 6 5" xfId="1445" xr:uid="{00000000-0005-0000-0000-000072360000}"/>
    <cellStyle name="40% - Accent2 6 5 2" xfId="4975" xr:uid="{00000000-0005-0000-0000-000073360000}"/>
    <cellStyle name="40% - Accent2 6 5 2 2" xfId="8566" xr:uid="{00000000-0005-0000-0000-000074360000}"/>
    <cellStyle name="40% - Accent2 6 5 2 2 2" xfId="16537" xr:uid="{00000000-0005-0000-0000-000075360000}"/>
    <cellStyle name="40% - Accent2 6 5 2 2 2 2" xfId="40380" xr:uid="{D62CF5FF-61F5-46B6-AA83-D8A85CE0F799}"/>
    <cellStyle name="40% - Accent2 6 5 2 2 3" xfId="24483" xr:uid="{00000000-0005-0000-0000-000076360000}"/>
    <cellStyle name="40% - Accent2 6 5 2 2 3 2" xfId="48316" xr:uid="{DBAC7668-449C-4942-ABB9-5AABFB938CEA}"/>
    <cellStyle name="40% - Accent2 6 5 2 2 4" xfId="32439" xr:uid="{A6F7E7E8-80BA-4844-A5B3-1BD7CE06C1FD}"/>
    <cellStyle name="40% - Accent2 6 5 2 3" xfId="12999" xr:uid="{00000000-0005-0000-0000-000077360000}"/>
    <cellStyle name="40% - Accent2 6 5 2 3 2" xfId="36849" xr:uid="{2544595D-3B37-4DAF-96D9-FA1D2622AA07}"/>
    <cellStyle name="40% - Accent2 6 5 2 4" xfId="20954" xr:uid="{00000000-0005-0000-0000-000078360000}"/>
    <cellStyle name="40% - Accent2 6 5 2 4 2" xfId="44787" xr:uid="{7A72CE60-D10F-4A5F-9819-247C2D456C73}"/>
    <cellStyle name="40% - Accent2 6 5 2 5" xfId="28908" xr:uid="{5FF7F5C3-15C5-417B-B45B-6D7726F72A8D}"/>
    <cellStyle name="40% - Accent2 6 5 3" xfId="6807" xr:uid="{00000000-0005-0000-0000-000079360000}"/>
    <cellStyle name="40% - Accent2 6 5 3 2" xfId="14779" xr:uid="{00000000-0005-0000-0000-00007A360000}"/>
    <cellStyle name="40% - Accent2 6 5 3 2 2" xfId="38622" xr:uid="{2EE72209-8549-4BF6-A22D-14C6A0B44C41}"/>
    <cellStyle name="40% - Accent2 6 5 3 3" xfId="22726" xr:uid="{00000000-0005-0000-0000-00007B360000}"/>
    <cellStyle name="40% - Accent2 6 5 3 3 2" xfId="46559" xr:uid="{E168E41E-9C6B-463B-9C89-ECF55ABF6783}"/>
    <cellStyle name="40% - Accent2 6 5 3 4" xfId="30681" xr:uid="{54B3BA51-5AE3-4684-8808-A68B9B8F0284}"/>
    <cellStyle name="40% - Accent2 6 5 4" xfId="11243" xr:uid="{00000000-0005-0000-0000-00007C360000}"/>
    <cellStyle name="40% - Accent2 6 5 4 2" xfId="35093" xr:uid="{7C6B5B16-4213-42BF-AFE6-09DCFC296649}"/>
    <cellStyle name="40% - Accent2 6 5 5" xfId="19198" xr:uid="{00000000-0005-0000-0000-00007D360000}"/>
    <cellStyle name="40% - Accent2 6 5 5 2" xfId="43031" xr:uid="{B7F44030-86CA-4327-A6DF-144F6ED90C5E}"/>
    <cellStyle name="40% - Accent2 6 5 6" xfId="27151" xr:uid="{5E8D5422-F491-401A-876F-2844BDE576D9}"/>
    <cellStyle name="40% - Accent2 6 5_Exh G" xfId="2902" xr:uid="{00000000-0005-0000-0000-00007E360000}"/>
    <cellStyle name="40% - Accent2 6 6" xfId="4096" xr:uid="{00000000-0005-0000-0000-00007F360000}"/>
    <cellStyle name="40% - Accent2 6 6 2" xfId="7688" xr:uid="{00000000-0005-0000-0000-000080360000}"/>
    <cellStyle name="40% - Accent2 6 6 2 2" xfId="15659" xr:uid="{00000000-0005-0000-0000-000081360000}"/>
    <cellStyle name="40% - Accent2 6 6 2 2 2" xfId="39502" xr:uid="{558E1EC6-2B7C-42E3-954D-4581B1B9087B}"/>
    <cellStyle name="40% - Accent2 6 6 2 3" xfId="23605" xr:uid="{00000000-0005-0000-0000-000082360000}"/>
    <cellStyle name="40% - Accent2 6 6 2 3 2" xfId="47438" xr:uid="{CBE4F388-9279-4491-B1FE-5D58B5689937}"/>
    <cellStyle name="40% - Accent2 6 6 2 4" xfId="31561" xr:uid="{25B952BD-6588-4BF7-9E63-1A06B73BB6D9}"/>
    <cellStyle name="40% - Accent2 6 6 3" xfId="12121" xr:uid="{00000000-0005-0000-0000-000083360000}"/>
    <cellStyle name="40% - Accent2 6 6 3 2" xfId="35971" xr:uid="{C94D62A3-F4B7-47AA-97F4-05B6FC3D8692}"/>
    <cellStyle name="40% - Accent2 6 6 4" xfId="20076" xr:uid="{00000000-0005-0000-0000-000084360000}"/>
    <cellStyle name="40% - Accent2 6 6 4 2" xfId="43909" xr:uid="{77CDA010-827C-44BA-8F6C-AE1BA065434F}"/>
    <cellStyle name="40% - Accent2 6 6 5" xfId="28030" xr:uid="{CF6079AD-0858-4372-A322-2F12AC542365}"/>
    <cellStyle name="40% - Accent2 6 7" xfId="5916" xr:uid="{00000000-0005-0000-0000-000085360000}"/>
    <cellStyle name="40% - Accent2 6 7 2" xfId="13900" xr:uid="{00000000-0005-0000-0000-000086360000}"/>
    <cellStyle name="40% - Accent2 6 7 2 2" xfId="37744" xr:uid="{08CF703C-91D1-453A-B955-3E1274A8AB17}"/>
    <cellStyle name="40% - Accent2 6 7 3" xfId="21848" xr:uid="{00000000-0005-0000-0000-000087360000}"/>
    <cellStyle name="40% - Accent2 6 7 3 2" xfId="45681" xr:uid="{10382DAC-DB86-4767-8679-ACC8E0C5B572}"/>
    <cellStyle name="40% - Accent2 6 7 4" xfId="29803" xr:uid="{A756305E-BCA2-4CD7-A710-621E168F0A1B}"/>
    <cellStyle name="40% - Accent2 6 8" xfId="9469" xr:uid="{00000000-0005-0000-0000-000088360000}"/>
    <cellStyle name="40% - Accent2 6 8 2" xfId="17427" xr:uid="{00000000-0005-0000-0000-000089360000}"/>
    <cellStyle name="40% - Accent2 6 8 2 2" xfId="41268" xr:uid="{3C492D67-3B31-48E9-982B-B6295B1D1206}"/>
    <cellStyle name="40% - Accent2 6 8 3" xfId="25371" xr:uid="{00000000-0005-0000-0000-00008A360000}"/>
    <cellStyle name="40% - Accent2 6 8 3 2" xfId="49204" xr:uid="{4B627A38-CC68-4605-8163-2FBE936433D6}"/>
    <cellStyle name="40% - Accent2 6 8 4" xfId="33327" xr:uid="{45A3F2D6-18E4-4DCB-B779-A6A9F4940BA4}"/>
    <cellStyle name="40% - Accent2 6 9" xfId="10365" xr:uid="{00000000-0005-0000-0000-00008B360000}"/>
    <cellStyle name="40% - Accent2 6 9 2" xfId="34215" xr:uid="{CDB32A53-74A8-4051-A176-B304E5BB712B}"/>
    <cellStyle name="40% - Accent2 6_Exh G" xfId="2893" xr:uid="{00000000-0005-0000-0000-00008C360000}"/>
    <cellStyle name="40% - Accent2 7" xfId="421" xr:uid="{00000000-0005-0000-0000-00008D360000}"/>
    <cellStyle name="40% - Accent2 7 10" xfId="18324" xr:uid="{00000000-0005-0000-0000-00008E360000}"/>
    <cellStyle name="40% - Accent2 7 10 2" xfId="42157" xr:uid="{49F349FA-4D19-4980-9DC9-B0E55821F18C}"/>
    <cellStyle name="40% - Accent2 7 11" xfId="26277" xr:uid="{AA8184AB-46EC-4732-9C4F-7A3C717436C8}"/>
    <cellStyle name="40% - Accent2 7 2" xfId="422" xr:uid="{00000000-0005-0000-0000-00008F360000}"/>
    <cellStyle name="40% - Accent2 7 2 2" xfId="423" xr:uid="{00000000-0005-0000-0000-000090360000}"/>
    <cellStyle name="40% - Accent2 7 2 2 2" xfId="1451" xr:uid="{00000000-0005-0000-0000-000091360000}"/>
    <cellStyle name="40% - Accent2 7 2 2 2 2" xfId="4981" xr:uid="{00000000-0005-0000-0000-000092360000}"/>
    <cellStyle name="40% - Accent2 7 2 2 2 2 2" xfId="8572" xr:uid="{00000000-0005-0000-0000-000093360000}"/>
    <cellStyle name="40% - Accent2 7 2 2 2 2 2 2" xfId="16543" xr:uid="{00000000-0005-0000-0000-000094360000}"/>
    <cellStyle name="40% - Accent2 7 2 2 2 2 2 2 2" xfId="40386" xr:uid="{0C22E43C-7150-4DB7-84C2-85ADCDD531E3}"/>
    <cellStyle name="40% - Accent2 7 2 2 2 2 2 3" xfId="24489" xr:uid="{00000000-0005-0000-0000-000095360000}"/>
    <cellStyle name="40% - Accent2 7 2 2 2 2 2 3 2" xfId="48322" xr:uid="{6BDB3C7D-5AF2-42A1-BDA7-D7BE58053154}"/>
    <cellStyle name="40% - Accent2 7 2 2 2 2 2 4" xfId="32445" xr:uid="{84368FA0-342A-4CC8-819F-ED78A64EC0F3}"/>
    <cellStyle name="40% - Accent2 7 2 2 2 2 3" xfId="13005" xr:uid="{00000000-0005-0000-0000-000096360000}"/>
    <cellStyle name="40% - Accent2 7 2 2 2 2 3 2" xfId="36855" xr:uid="{C4E85F34-4EF0-4E10-A4CD-8693ACE0272A}"/>
    <cellStyle name="40% - Accent2 7 2 2 2 2 4" xfId="20960" xr:uid="{00000000-0005-0000-0000-000097360000}"/>
    <cellStyle name="40% - Accent2 7 2 2 2 2 4 2" xfId="44793" xr:uid="{06AEDD5B-4BC9-4E31-9555-560FB69CD7AD}"/>
    <cellStyle name="40% - Accent2 7 2 2 2 2 5" xfId="28914" xr:uid="{648E3A5A-DFD9-4BC7-B069-0B83FDDDE759}"/>
    <cellStyle name="40% - Accent2 7 2 2 2 3" xfId="6813" xr:uid="{00000000-0005-0000-0000-000098360000}"/>
    <cellStyle name="40% - Accent2 7 2 2 2 3 2" xfId="14785" xr:uid="{00000000-0005-0000-0000-000099360000}"/>
    <cellStyle name="40% - Accent2 7 2 2 2 3 2 2" xfId="38628" xr:uid="{C43BC31C-29B4-41E4-A67D-907D11F3C9E1}"/>
    <cellStyle name="40% - Accent2 7 2 2 2 3 3" xfId="22732" xr:uid="{00000000-0005-0000-0000-00009A360000}"/>
    <cellStyle name="40% - Accent2 7 2 2 2 3 3 2" xfId="46565" xr:uid="{6C80ABC1-4F35-4219-A9B1-29EB3D1A8B7E}"/>
    <cellStyle name="40% - Accent2 7 2 2 2 3 4" xfId="30687" xr:uid="{E8E4878D-8E2C-4BE7-9EF1-77BA3CC9FC29}"/>
    <cellStyle name="40% - Accent2 7 2 2 2 4" xfId="11249" xr:uid="{00000000-0005-0000-0000-00009B360000}"/>
    <cellStyle name="40% - Accent2 7 2 2 2 4 2" xfId="35099" xr:uid="{632E57E4-6AD8-40BC-BA3C-E57588F03646}"/>
    <cellStyle name="40% - Accent2 7 2 2 2 5" xfId="19204" xr:uid="{00000000-0005-0000-0000-00009C360000}"/>
    <cellStyle name="40% - Accent2 7 2 2 2 5 2" xfId="43037" xr:uid="{201D181C-08BF-41B7-88C8-8DEE0380B289}"/>
    <cellStyle name="40% - Accent2 7 2 2 2 6" xfId="27157" xr:uid="{4651D422-A9A5-4523-B585-389D45A472F3}"/>
    <cellStyle name="40% - Accent2 7 2 2 2_Exh G" xfId="2906" xr:uid="{00000000-0005-0000-0000-00009D360000}"/>
    <cellStyle name="40% - Accent2 7 2 2 3" xfId="4102" xr:uid="{00000000-0005-0000-0000-00009E360000}"/>
    <cellStyle name="40% - Accent2 7 2 2 3 2" xfId="7694" xr:uid="{00000000-0005-0000-0000-00009F360000}"/>
    <cellStyle name="40% - Accent2 7 2 2 3 2 2" xfId="15665" xr:uid="{00000000-0005-0000-0000-0000A0360000}"/>
    <cellStyle name="40% - Accent2 7 2 2 3 2 2 2" xfId="39508" xr:uid="{D5E2D470-0DEA-4EC6-B989-4233FA410B13}"/>
    <cellStyle name="40% - Accent2 7 2 2 3 2 3" xfId="23611" xr:uid="{00000000-0005-0000-0000-0000A1360000}"/>
    <cellStyle name="40% - Accent2 7 2 2 3 2 3 2" xfId="47444" xr:uid="{9D65E10F-5FE1-4134-B2F1-1E6F691C2B47}"/>
    <cellStyle name="40% - Accent2 7 2 2 3 2 4" xfId="31567" xr:uid="{CEC217EF-FFA6-4DBF-891E-991CCC5BEB0B}"/>
    <cellStyle name="40% - Accent2 7 2 2 3 3" xfId="12127" xr:uid="{00000000-0005-0000-0000-0000A2360000}"/>
    <cellStyle name="40% - Accent2 7 2 2 3 3 2" xfId="35977" xr:uid="{E3C86173-A192-4F7A-990D-1A1BB6F2F6F0}"/>
    <cellStyle name="40% - Accent2 7 2 2 3 4" xfId="20082" xr:uid="{00000000-0005-0000-0000-0000A3360000}"/>
    <cellStyle name="40% - Accent2 7 2 2 3 4 2" xfId="43915" xr:uid="{47594CA2-6949-4665-A9EB-3439FF499D40}"/>
    <cellStyle name="40% - Accent2 7 2 2 3 5" xfId="28036" xr:uid="{0515708B-AF52-4960-9319-C399FCC72AE2}"/>
    <cellStyle name="40% - Accent2 7 2 2 4" xfId="5922" xr:uid="{00000000-0005-0000-0000-0000A4360000}"/>
    <cellStyle name="40% - Accent2 7 2 2 4 2" xfId="13906" xr:uid="{00000000-0005-0000-0000-0000A5360000}"/>
    <cellStyle name="40% - Accent2 7 2 2 4 2 2" xfId="37750" xr:uid="{493CD4AB-3D82-4DC8-BE43-5C2F551019FB}"/>
    <cellStyle name="40% - Accent2 7 2 2 4 3" xfId="21854" xr:uid="{00000000-0005-0000-0000-0000A6360000}"/>
    <cellStyle name="40% - Accent2 7 2 2 4 3 2" xfId="45687" xr:uid="{96C90A09-67F9-4D19-8F85-D1E7B2AC04E6}"/>
    <cellStyle name="40% - Accent2 7 2 2 4 4" xfId="29809" xr:uid="{C13597E1-9E45-4B12-B542-CF562238C19D}"/>
    <cellStyle name="40% - Accent2 7 2 2 5" xfId="9475" xr:uid="{00000000-0005-0000-0000-0000A7360000}"/>
    <cellStyle name="40% - Accent2 7 2 2 5 2" xfId="17433" xr:uid="{00000000-0005-0000-0000-0000A8360000}"/>
    <cellStyle name="40% - Accent2 7 2 2 5 2 2" xfId="41274" xr:uid="{7541638C-C3A9-470A-8E7A-21FCE318E45E}"/>
    <cellStyle name="40% - Accent2 7 2 2 5 3" xfId="25377" xr:uid="{00000000-0005-0000-0000-0000A9360000}"/>
    <cellStyle name="40% - Accent2 7 2 2 5 3 2" xfId="49210" xr:uid="{9AC1F3EC-A373-4F50-93E1-0FFD2CF1EB41}"/>
    <cellStyle name="40% - Accent2 7 2 2 5 4" xfId="33333" xr:uid="{642AB921-9388-42EC-943A-33E4439EA606}"/>
    <cellStyle name="40% - Accent2 7 2 2 6" xfId="10371" xr:uid="{00000000-0005-0000-0000-0000AA360000}"/>
    <cellStyle name="40% - Accent2 7 2 2 6 2" xfId="34221" xr:uid="{D13EA1F8-2184-4156-B085-6F4C9C244D19}"/>
    <cellStyle name="40% - Accent2 7 2 2 7" xfId="18326" xr:uid="{00000000-0005-0000-0000-0000AB360000}"/>
    <cellStyle name="40% - Accent2 7 2 2 7 2" xfId="42159" xr:uid="{41AE658E-0606-4F43-8F69-9E68D8186EE6}"/>
    <cellStyle name="40% - Accent2 7 2 2 8" xfId="26279" xr:uid="{237F8F13-19BC-4A22-8212-74B5D3E794E0}"/>
    <cellStyle name="40% - Accent2 7 2 2_Exh G" xfId="2905" xr:uid="{00000000-0005-0000-0000-0000AC360000}"/>
    <cellStyle name="40% - Accent2 7 2 3" xfId="1450" xr:uid="{00000000-0005-0000-0000-0000AD360000}"/>
    <cellStyle name="40% - Accent2 7 2 3 2" xfId="4980" xr:uid="{00000000-0005-0000-0000-0000AE360000}"/>
    <cellStyle name="40% - Accent2 7 2 3 2 2" xfId="8571" xr:uid="{00000000-0005-0000-0000-0000AF360000}"/>
    <cellStyle name="40% - Accent2 7 2 3 2 2 2" xfId="16542" xr:uid="{00000000-0005-0000-0000-0000B0360000}"/>
    <cellStyle name="40% - Accent2 7 2 3 2 2 2 2" xfId="40385" xr:uid="{AC310EAA-33F4-4F35-813E-D87F142B2BED}"/>
    <cellStyle name="40% - Accent2 7 2 3 2 2 3" xfId="24488" xr:uid="{00000000-0005-0000-0000-0000B1360000}"/>
    <cellStyle name="40% - Accent2 7 2 3 2 2 3 2" xfId="48321" xr:uid="{8171B26E-E322-4377-85D7-7A82B015A6C0}"/>
    <cellStyle name="40% - Accent2 7 2 3 2 2 4" xfId="32444" xr:uid="{83D7061A-FF1B-45E8-A4B1-CE6AB73CAD19}"/>
    <cellStyle name="40% - Accent2 7 2 3 2 3" xfId="13004" xr:uid="{00000000-0005-0000-0000-0000B2360000}"/>
    <cellStyle name="40% - Accent2 7 2 3 2 3 2" xfId="36854" xr:uid="{FB95A21E-CABB-466D-90AD-7DAD6220E632}"/>
    <cellStyle name="40% - Accent2 7 2 3 2 4" xfId="20959" xr:uid="{00000000-0005-0000-0000-0000B3360000}"/>
    <cellStyle name="40% - Accent2 7 2 3 2 4 2" xfId="44792" xr:uid="{01C231C2-E9FA-42E8-ABF6-3E9D27C83529}"/>
    <cellStyle name="40% - Accent2 7 2 3 2 5" xfId="28913" xr:uid="{49FCCAE3-DC06-4976-87E8-9A66A9F9DC87}"/>
    <cellStyle name="40% - Accent2 7 2 3 3" xfId="6812" xr:uid="{00000000-0005-0000-0000-0000B4360000}"/>
    <cellStyle name="40% - Accent2 7 2 3 3 2" xfId="14784" xr:uid="{00000000-0005-0000-0000-0000B5360000}"/>
    <cellStyle name="40% - Accent2 7 2 3 3 2 2" xfId="38627" xr:uid="{CE4D672F-DACA-4BBC-97AE-EDE3B45806C9}"/>
    <cellStyle name="40% - Accent2 7 2 3 3 3" xfId="22731" xr:uid="{00000000-0005-0000-0000-0000B6360000}"/>
    <cellStyle name="40% - Accent2 7 2 3 3 3 2" xfId="46564" xr:uid="{75C3B3B7-27F8-49D5-9B19-DA7E6FC03F7E}"/>
    <cellStyle name="40% - Accent2 7 2 3 3 4" xfId="30686" xr:uid="{B6836403-CAD8-4CEE-9B5A-529471FA7862}"/>
    <cellStyle name="40% - Accent2 7 2 3 4" xfId="11248" xr:uid="{00000000-0005-0000-0000-0000B7360000}"/>
    <cellStyle name="40% - Accent2 7 2 3 4 2" xfId="35098" xr:uid="{90965EEA-FF99-4D49-8726-AF0674C12095}"/>
    <cellStyle name="40% - Accent2 7 2 3 5" xfId="19203" xr:uid="{00000000-0005-0000-0000-0000B8360000}"/>
    <cellStyle name="40% - Accent2 7 2 3 5 2" xfId="43036" xr:uid="{1AD125CB-B506-403A-BFD4-7BCB908F6225}"/>
    <cellStyle name="40% - Accent2 7 2 3 6" xfId="27156" xr:uid="{A21EE124-F5BB-4619-B42A-7AEDAB6A7967}"/>
    <cellStyle name="40% - Accent2 7 2 3_Exh G" xfId="2907" xr:uid="{00000000-0005-0000-0000-0000B9360000}"/>
    <cellStyle name="40% - Accent2 7 2 4" xfId="4101" xr:uid="{00000000-0005-0000-0000-0000BA360000}"/>
    <cellStyle name="40% - Accent2 7 2 4 2" xfId="7693" xr:uid="{00000000-0005-0000-0000-0000BB360000}"/>
    <cellStyle name="40% - Accent2 7 2 4 2 2" xfId="15664" xr:uid="{00000000-0005-0000-0000-0000BC360000}"/>
    <cellStyle name="40% - Accent2 7 2 4 2 2 2" xfId="39507" xr:uid="{0D1BD1C7-1C6F-4423-8501-2AF376A8D983}"/>
    <cellStyle name="40% - Accent2 7 2 4 2 3" xfId="23610" xr:uid="{00000000-0005-0000-0000-0000BD360000}"/>
    <cellStyle name="40% - Accent2 7 2 4 2 3 2" xfId="47443" xr:uid="{E250F73E-0C74-4103-8944-A89900813E65}"/>
    <cellStyle name="40% - Accent2 7 2 4 2 4" xfId="31566" xr:uid="{5FF7E5B0-1C80-484E-85C8-143F3E61B891}"/>
    <cellStyle name="40% - Accent2 7 2 4 3" xfId="12126" xr:uid="{00000000-0005-0000-0000-0000BE360000}"/>
    <cellStyle name="40% - Accent2 7 2 4 3 2" xfId="35976" xr:uid="{A2817982-5035-42DC-8737-FA0290F728BF}"/>
    <cellStyle name="40% - Accent2 7 2 4 4" xfId="20081" xr:uid="{00000000-0005-0000-0000-0000BF360000}"/>
    <cellStyle name="40% - Accent2 7 2 4 4 2" xfId="43914" xr:uid="{F4F96E32-72DE-4A96-B58C-BAECC1172AFE}"/>
    <cellStyle name="40% - Accent2 7 2 4 5" xfId="28035" xr:uid="{A1DC503E-D570-4A23-9165-2D7674BC81A8}"/>
    <cellStyle name="40% - Accent2 7 2 5" xfId="5921" xr:uid="{00000000-0005-0000-0000-0000C0360000}"/>
    <cellStyle name="40% - Accent2 7 2 5 2" xfId="13905" xr:uid="{00000000-0005-0000-0000-0000C1360000}"/>
    <cellStyle name="40% - Accent2 7 2 5 2 2" xfId="37749" xr:uid="{5DBE9EAF-B491-4994-9748-9D8DB5998298}"/>
    <cellStyle name="40% - Accent2 7 2 5 3" xfId="21853" xr:uid="{00000000-0005-0000-0000-0000C2360000}"/>
    <cellStyle name="40% - Accent2 7 2 5 3 2" xfId="45686" xr:uid="{B242B8BF-9C0F-457C-B3BA-BA5A391AEB29}"/>
    <cellStyle name="40% - Accent2 7 2 5 4" xfId="29808" xr:uid="{3B316129-2119-464D-836D-165160B42B98}"/>
    <cellStyle name="40% - Accent2 7 2 6" xfId="9474" xr:uid="{00000000-0005-0000-0000-0000C3360000}"/>
    <cellStyle name="40% - Accent2 7 2 6 2" xfId="17432" xr:uid="{00000000-0005-0000-0000-0000C4360000}"/>
    <cellStyle name="40% - Accent2 7 2 6 2 2" xfId="41273" xr:uid="{29AF511E-5FE3-48F9-8CAE-FE6A9D872480}"/>
    <cellStyle name="40% - Accent2 7 2 6 3" xfId="25376" xr:uid="{00000000-0005-0000-0000-0000C5360000}"/>
    <cellStyle name="40% - Accent2 7 2 6 3 2" xfId="49209" xr:uid="{9426A29F-E543-4B36-992A-BFD515240636}"/>
    <cellStyle name="40% - Accent2 7 2 6 4" xfId="33332" xr:uid="{3EE7318E-8C11-4100-828C-85B2BBEC3E64}"/>
    <cellStyle name="40% - Accent2 7 2 7" xfId="10370" xr:uid="{00000000-0005-0000-0000-0000C6360000}"/>
    <cellStyle name="40% - Accent2 7 2 7 2" xfId="34220" xr:uid="{FDC12FF1-0C89-479C-ACBF-14CBD4A52438}"/>
    <cellStyle name="40% - Accent2 7 2 8" xfId="18325" xr:uid="{00000000-0005-0000-0000-0000C7360000}"/>
    <cellStyle name="40% - Accent2 7 2 8 2" xfId="42158" xr:uid="{06BA69F6-AF4C-42A7-9ADA-2A74F9D11FF5}"/>
    <cellStyle name="40% - Accent2 7 2 9" xfId="26278" xr:uid="{0CD0BBA6-E275-48ED-A7DF-24AD2A50D53E}"/>
    <cellStyle name="40% - Accent2 7 2_Exh G" xfId="2904" xr:uid="{00000000-0005-0000-0000-0000C8360000}"/>
    <cellStyle name="40% - Accent2 7 3" xfId="424" xr:uid="{00000000-0005-0000-0000-0000C9360000}"/>
    <cellStyle name="40% - Accent2 7 3 2" xfId="1452" xr:uid="{00000000-0005-0000-0000-0000CA360000}"/>
    <cellStyle name="40% - Accent2 7 3 2 2" xfId="4982" xr:uid="{00000000-0005-0000-0000-0000CB360000}"/>
    <cellStyle name="40% - Accent2 7 3 2 2 2" xfId="8573" xr:uid="{00000000-0005-0000-0000-0000CC360000}"/>
    <cellStyle name="40% - Accent2 7 3 2 2 2 2" xfId="16544" xr:uid="{00000000-0005-0000-0000-0000CD360000}"/>
    <cellStyle name="40% - Accent2 7 3 2 2 2 2 2" xfId="40387" xr:uid="{F97AA14F-CC06-4341-B91B-4C9AEB03FC0D}"/>
    <cellStyle name="40% - Accent2 7 3 2 2 2 3" xfId="24490" xr:uid="{00000000-0005-0000-0000-0000CE360000}"/>
    <cellStyle name="40% - Accent2 7 3 2 2 2 3 2" xfId="48323" xr:uid="{4A3043EF-F69B-48F1-B74F-A2CE9C0BD849}"/>
    <cellStyle name="40% - Accent2 7 3 2 2 2 4" xfId="32446" xr:uid="{BBC32C24-F0B0-440C-B3E2-02B7629E1CA6}"/>
    <cellStyle name="40% - Accent2 7 3 2 2 3" xfId="13006" xr:uid="{00000000-0005-0000-0000-0000CF360000}"/>
    <cellStyle name="40% - Accent2 7 3 2 2 3 2" xfId="36856" xr:uid="{43667967-2EF3-4CDB-A23F-61BD362441BF}"/>
    <cellStyle name="40% - Accent2 7 3 2 2 4" xfId="20961" xr:uid="{00000000-0005-0000-0000-0000D0360000}"/>
    <cellStyle name="40% - Accent2 7 3 2 2 4 2" xfId="44794" xr:uid="{8B4C207A-E704-4323-B304-ED836926CB0A}"/>
    <cellStyle name="40% - Accent2 7 3 2 2 5" xfId="28915" xr:uid="{472C88C6-E884-4E3A-B920-BDC87DEEDA87}"/>
    <cellStyle name="40% - Accent2 7 3 2 3" xfId="6814" xr:uid="{00000000-0005-0000-0000-0000D1360000}"/>
    <cellStyle name="40% - Accent2 7 3 2 3 2" xfId="14786" xr:uid="{00000000-0005-0000-0000-0000D2360000}"/>
    <cellStyle name="40% - Accent2 7 3 2 3 2 2" xfId="38629" xr:uid="{B5EA48A4-0545-45F2-BB84-66CEDB795F0D}"/>
    <cellStyle name="40% - Accent2 7 3 2 3 3" xfId="22733" xr:uid="{00000000-0005-0000-0000-0000D3360000}"/>
    <cellStyle name="40% - Accent2 7 3 2 3 3 2" xfId="46566" xr:uid="{2CF7FB22-0CE4-494D-94C8-3915FEA74B65}"/>
    <cellStyle name="40% - Accent2 7 3 2 3 4" xfId="30688" xr:uid="{5D993C4B-1016-49FB-BB36-0E4DDE82B83D}"/>
    <cellStyle name="40% - Accent2 7 3 2 4" xfId="11250" xr:uid="{00000000-0005-0000-0000-0000D4360000}"/>
    <cellStyle name="40% - Accent2 7 3 2 4 2" xfId="35100" xr:uid="{C599B48A-44FD-4BF5-92CF-AF8F21F2E92C}"/>
    <cellStyle name="40% - Accent2 7 3 2 5" xfId="19205" xr:uid="{00000000-0005-0000-0000-0000D5360000}"/>
    <cellStyle name="40% - Accent2 7 3 2 5 2" xfId="43038" xr:uid="{81CF83E6-758C-4003-B09F-8F2042BBBB00}"/>
    <cellStyle name="40% - Accent2 7 3 2 6" xfId="27158" xr:uid="{3F00A1B1-A547-41D3-AA88-898751EFE32E}"/>
    <cellStyle name="40% - Accent2 7 3 2_Exh G" xfId="2909" xr:uid="{00000000-0005-0000-0000-0000D6360000}"/>
    <cellStyle name="40% - Accent2 7 3 3" xfId="4103" xr:uid="{00000000-0005-0000-0000-0000D7360000}"/>
    <cellStyle name="40% - Accent2 7 3 3 2" xfId="7695" xr:uid="{00000000-0005-0000-0000-0000D8360000}"/>
    <cellStyle name="40% - Accent2 7 3 3 2 2" xfId="15666" xr:uid="{00000000-0005-0000-0000-0000D9360000}"/>
    <cellStyle name="40% - Accent2 7 3 3 2 2 2" xfId="39509" xr:uid="{A2593999-2A32-4CFF-96BD-5A7CA17934DC}"/>
    <cellStyle name="40% - Accent2 7 3 3 2 3" xfId="23612" xr:uid="{00000000-0005-0000-0000-0000DA360000}"/>
    <cellStyle name="40% - Accent2 7 3 3 2 3 2" xfId="47445" xr:uid="{74B00345-67A1-403F-81D8-CC4A95D22530}"/>
    <cellStyle name="40% - Accent2 7 3 3 2 4" xfId="31568" xr:uid="{9A5EEDB8-F7E2-4B67-9186-46EC6D45DA90}"/>
    <cellStyle name="40% - Accent2 7 3 3 3" xfId="12128" xr:uid="{00000000-0005-0000-0000-0000DB360000}"/>
    <cellStyle name="40% - Accent2 7 3 3 3 2" xfId="35978" xr:uid="{8E08186B-40F0-40E5-A168-3B4FF85BF18A}"/>
    <cellStyle name="40% - Accent2 7 3 3 4" xfId="20083" xr:uid="{00000000-0005-0000-0000-0000DC360000}"/>
    <cellStyle name="40% - Accent2 7 3 3 4 2" xfId="43916" xr:uid="{7F7B972F-E4D0-4B98-B0AA-A7E06A4C9AD9}"/>
    <cellStyle name="40% - Accent2 7 3 3 5" xfId="28037" xr:uid="{F9F0E527-E484-4383-BFC4-B84CF6CC844B}"/>
    <cellStyle name="40% - Accent2 7 3 4" xfId="5923" xr:uid="{00000000-0005-0000-0000-0000DD360000}"/>
    <cellStyle name="40% - Accent2 7 3 4 2" xfId="13907" xr:uid="{00000000-0005-0000-0000-0000DE360000}"/>
    <cellStyle name="40% - Accent2 7 3 4 2 2" xfId="37751" xr:uid="{A72ED007-B8D7-4A44-BAD6-BE2352C00928}"/>
    <cellStyle name="40% - Accent2 7 3 4 3" xfId="21855" xr:uid="{00000000-0005-0000-0000-0000DF360000}"/>
    <cellStyle name="40% - Accent2 7 3 4 3 2" xfId="45688" xr:uid="{BBAC55FC-2101-42F1-8FCF-7B45CC14112B}"/>
    <cellStyle name="40% - Accent2 7 3 4 4" xfId="29810" xr:uid="{968B9666-D86F-4D11-AA2D-CB3E6BB6DDD4}"/>
    <cellStyle name="40% - Accent2 7 3 5" xfId="9476" xr:uid="{00000000-0005-0000-0000-0000E0360000}"/>
    <cellStyle name="40% - Accent2 7 3 5 2" xfId="17434" xr:uid="{00000000-0005-0000-0000-0000E1360000}"/>
    <cellStyle name="40% - Accent2 7 3 5 2 2" xfId="41275" xr:uid="{B0BC0397-1FAE-4174-BC62-A677BBA42518}"/>
    <cellStyle name="40% - Accent2 7 3 5 3" xfId="25378" xr:uid="{00000000-0005-0000-0000-0000E2360000}"/>
    <cellStyle name="40% - Accent2 7 3 5 3 2" xfId="49211" xr:uid="{3E47B02B-506E-40EA-91BA-46D1236EA812}"/>
    <cellStyle name="40% - Accent2 7 3 5 4" xfId="33334" xr:uid="{6B0F85D2-AC0A-4040-8BB5-911D767B6C5E}"/>
    <cellStyle name="40% - Accent2 7 3 6" xfId="10372" xr:uid="{00000000-0005-0000-0000-0000E3360000}"/>
    <cellStyle name="40% - Accent2 7 3 6 2" xfId="34222" xr:uid="{3ABCF1F5-E52C-478E-AE25-E1B4A3AD23BB}"/>
    <cellStyle name="40% - Accent2 7 3 7" xfId="18327" xr:uid="{00000000-0005-0000-0000-0000E4360000}"/>
    <cellStyle name="40% - Accent2 7 3 7 2" xfId="42160" xr:uid="{8E8ACCA7-3AE1-441D-A596-C9EC3C4DCF92}"/>
    <cellStyle name="40% - Accent2 7 3 8" xfId="26280" xr:uid="{C2746FC2-F8C7-493F-9A94-C7FEBB37C5A4}"/>
    <cellStyle name="40% - Accent2 7 3_Exh G" xfId="2908" xr:uid="{00000000-0005-0000-0000-0000E5360000}"/>
    <cellStyle name="40% - Accent2 7 4" xfId="955" xr:uid="{00000000-0005-0000-0000-0000E6360000}"/>
    <cellStyle name="40% - Accent2 7 4 2" xfId="1876" xr:uid="{00000000-0005-0000-0000-0000E7360000}"/>
    <cellStyle name="40% - Accent2 7 4 2 2" xfId="5394" xr:uid="{00000000-0005-0000-0000-0000E8360000}"/>
    <cellStyle name="40% - Accent2 7 4 2 2 2" xfId="8985" xr:uid="{00000000-0005-0000-0000-0000E9360000}"/>
    <cellStyle name="40% - Accent2 7 4 2 2 2 2" xfId="16956" xr:uid="{00000000-0005-0000-0000-0000EA360000}"/>
    <cellStyle name="40% - Accent2 7 4 2 2 2 2 2" xfId="40799" xr:uid="{BA0DC2C9-6A80-488E-904D-2345E53C80A0}"/>
    <cellStyle name="40% - Accent2 7 4 2 2 2 3" xfId="24902" xr:uid="{00000000-0005-0000-0000-0000EB360000}"/>
    <cellStyle name="40% - Accent2 7 4 2 2 2 3 2" xfId="48735" xr:uid="{99E14347-C8E3-4543-84D3-8E9BF1AEA74D}"/>
    <cellStyle name="40% - Accent2 7 4 2 2 2 4" xfId="32858" xr:uid="{BC32681A-A18E-4EE8-B4A9-C254988ED70E}"/>
    <cellStyle name="40% - Accent2 7 4 2 2 3" xfId="13418" xr:uid="{00000000-0005-0000-0000-0000EC360000}"/>
    <cellStyle name="40% - Accent2 7 4 2 2 3 2" xfId="37268" xr:uid="{10E0F474-244E-4C92-BD12-C7C4AFFCA27E}"/>
    <cellStyle name="40% - Accent2 7 4 2 2 4" xfId="21373" xr:uid="{00000000-0005-0000-0000-0000ED360000}"/>
    <cellStyle name="40% - Accent2 7 4 2 2 4 2" xfId="45206" xr:uid="{5356ED9A-1F9E-4587-8C22-BAFCA8D8F7A2}"/>
    <cellStyle name="40% - Accent2 7 4 2 2 5" xfId="29327" xr:uid="{201184C0-84BA-4618-A0CD-63278E7467D1}"/>
    <cellStyle name="40% - Accent2 7 4 2 3" xfId="7226" xr:uid="{00000000-0005-0000-0000-0000EE360000}"/>
    <cellStyle name="40% - Accent2 7 4 2 3 2" xfId="15198" xr:uid="{00000000-0005-0000-0000-0000EF360000}"/>
    <cellStyle name="40% - Accent2 7 4 2 3 2 2" xfId="39041" xr:uid="{AD29C9EC-EE4A-404C-90FF-C971E6F4EC8F}"/>
    <cellStyle name="40% - Accent2 7 4 2 3 3" xfId="23145" xr:uid="{00000000-0005-0000-0000-0000F0360000}"/>
    <cellStyle name="40% - Accent2 7 4 2 3 3 2" xfId="46978" xr:uid="{46268CD2-1572-464C-9A7A-B68887E439E5}"/>
    <cellStyle name="40% - Accent2 7 4 2 3 4" xfId="31100" xr:uid="{624B82B3-5FB2-4DEC-A07F-EF4426D40C4A}"/>
    <cellStyle name="40% - Accent2 7 4 2 4" xfId="11662" xr:uid="{00000000-0005-0000-0000-0000F1360000}"/>
    <cellStyle name="40% - Accent2 7 4 2 4 2" xfId="35512" xr:uid="{FC976C31-4B4D-4B33-86FA-87C79DE9D384}"/>
    <cellStyle name="40% - Accent2 7 4 2 5" xfId="19617" xr:uid="{00000000-0005-0000-0000-0000F2360000}"/>
    <cellStyle name="40% - Accent2 7 4 2 5 2" xfId="43450" xr:uid="{A7800988-C5E6-4637-9BA9-FB38FC24F30D}"/>
    <cellStyle name="40% - Accent2 7 4 2 6" xfId="27570" xr:uid="{9FE4E6EA-DEDA-43CE-A096-FB958735A083}"/>
    <cellStyle name="40% - Accent2 7 4 2_Exh G" xfId="2911" xr:uid="{00000000-0005-0000-0000-0000F3360000}"/>
    <cellStyle name="40% - Accent2 7 4 3" xfId="4515" xr:uid="{00000000-0005-0000-0000-0000F4360000}"/>
    <cellStyle name="40% - Accent2 7 4 3 2" xfId="8107" xr:uid="{00000000-0005-0000-0000-0000F5360000}"/>
    <cellStyle name="40% - Accent2 7 4 3 2 2" xfId="16078" xr:uid="{00000000-0005-0000-0000-0000F6360000}"/>
    <cellStyle name="40% - Accent2 7 4 3 2 2 2" xfId="39921" xr:uid="{FC8AE248-9EA9-4258-87AA-88083C7A7C0E}"/>
    <cellStyle name="40% - Accent2 7 4 3 2 3" xfId="24024" xr:uid="{00000000-0005-0000-0000-0000F7360000}"/>
    <cellStyle name="40% - Accent2 7 4 3 2 3 2" xfId="47857" xr:uid="{75B71305-2019-4DC6-B968-4C0172174FB0}"/>
    <cellStyle name="40% - Accent2 7 4 3 2 4" xfId="31980" xr:uid="{EB7E1869-D011-4D8B-A102-B948D1AF5E8A}"/>
    <cellStyle name="40% - Accent2 7 4 3 3" xfId="12540" xr:uid="{00000000-0005-0000-0000-0000F8360000}"/>
    <cellStyle name="40% - Accent2 7 4 3 3 2" xfId="36390" xr:uid="{27B8B578-B4AA-4760-9693-9BF3AAEF6D79}"/>
    <cellStyle name="40% - Accent2 7 4 3 4" xfId="20495" xr:uid="{00000000-0005-0000-0000-0000F9360000}"/>
    <cellStyle name="40% - Accent2 7 4 3 4 2" xfId="44328" xr:uid="{21C53ECF-406B-4D55-BF5B-950F2F5E9D51}"/>
    <cellStyle name="40% - Accent2 7 4 3 5" xfId="28449" xr:uid="{F898D311-3844-4F5C-9C4B-8953BBF61FDF}"/>
    <cellStyle name="40% - Accent2 7 4 4" xfId="6345" xr:uid="{00000000-0005-0000-0000-0000FA360000}"/>
    <cellStyle name="40% - Accent2 7 4 4 2" xfId="14320" xr:uid="{00000000-0005-0000-0000-0000FB360000}"/>
    <cellStyle name="40% - Accent2 7 4 4 2 2" xfId="38163" xr:uid="{BE70F177-F55A-44E6-8ABE-A173A24529BB}"/>
    <cellStyle name="40% - Accent2 7 4 4 3" xfId="22267" xr:uid="{00000000-0005-0000-0000-0000FC360000}"/>
    <cellStyle name="40% - Accent2 7 4 4 3 2" xfId="46100" xr:uid="{8BC97117-6BD5-46EE-87C0-AF4C0E46D07B}"/>
    <cellStyle name="40% - Accent2 7 4 4 4" xfId="30222" xr:uid="{276370F7-F08F-438B-A36D-F74D5C3C9B11}"/>
    <cellStyle name="40% - Accent2 7 4 5" xfId="9888" xr:uid="{00000000-0005-0000-0000-0000FD360000}"/>
    <cellStyle name="40% - Accent2 7 4 5 2" xfId="17846" xr:uid="{00000000-0005-0000-0000-0000FE360000}"/>
    <cellStyle name="40% - Accent2 7 4 5 2 2" xfId="41687" xr:uid="{26872498-F853-430B-B6E7-0305AF89660F}"/>
    <cellStyle name="40% - Accent2 7 4 5 3" xfId="25790" xr:uid="{00000000-0005-0000-0000-0000FF360000}"/>
    <cellStyle name="40% - Accent2 7 4 5 3 2" xfId="49623" xr:uid="{E3C17AC5-ED52-4CCD-9E8A-4C6FE33D00BF}"/>
    <cellStyle name="40% - Accent2 7 4 5 4" xfId="33746" xr:uid="{F063A29D-3A2E-4312-B646-1DA362F29213}"/>
    <cellStyle name="40% - Accent2 7 4 6" xfId="10784" xr:uid="{00000000-0005-0000-0000-000000370000}"/>
    <cellStyle name="40% - Accent2 7 4 6 2" xfId="34634" xr:uid="{004991C6-248C-4E8B-92A1-18552B19F835}"/>
    <cellStyle name="40% - Accent2 7 4 7" xfId="18739" xr:uid="{00000000-0005-0000-0000-000001370000}"/>
    <cellStyle name="40% - Accent2 7 4 7 2" xfId="42572" xr:uid="{56336CA0-804F-4C4F-8D6F-3932CFC928B5}"/>
    <cellStyle name="40% - Accent2 7 4 8" xfId="26692" xr:uid="{D499A65C-B34D-4A32-9B34-372302BE61E8}"/>
    <cellStyle name="40% - Accent2 7 4_Exh G" xfId="2910" xr:uid="{00000000-0005-0000-0000-000002370000}"/>
    <cellStyle name="40% - Accent2 7 5" xfId="1449" xr:uid="{00000000-0005-0000-0000-000003370000}"/>
    <cellStyle name="40% - Accent2 7 5 2" xfId="4979" xr:uid="{00000000-0005-0000-0000-000004370000}"/>
    <cellStyle name="40% - Accent2 7 5 2 2" xfId="8570" xr:uid="{00000000-0005-0000-0000-000005370000}"/>
    <cellStyle name="40% - Accent2 7 5 2 2 2" xfId="16541" xr:uid="{00000000-0005-0000-0000-000006370000}"/>
    <cellStyle name="40% - Accent2 7 5 2 2 2 2" xfId="40384" xr:uid="{074A23DA-BCBA-4A68-801B-C398B093D2DB}"/>
    <cellStyle name="40% - Accent2 7 5 2 2 3" xfId="24487" xr:uid="{00000000-0005-0000-0000-000007370000}"/>
    <cellStyle name="40% - Accent2 7 5 2 2 3 2" xfId="48320" xr:uid="{F4EA54E4-C25F-4D09-9EE4-AD1EB4041BC8}"/>
    <cellStyle name="40% - Accent2 7 5 2 2 4" xfId="32443" xr:uid="{9848D111-ACE0-4B2E-8B58-260BF189F408}"/>
    <cellStyle name="40% - Accent2 7 5 2 3" xfId="13003" xr:uid="{00000000-0005-0000-0000-000008370000}"/>
    <cellStyle name="40% - Accent2 7 5 2 3 2" xfId="36853" xr:uid="{58E1C946-F0E4-4E16-A152-A156AD40495D}"/>
    <cellStyle name="40% - Accent2 7 5 2 4" xfId="20958" xr:uid="{00000000-0005-0000-0000-000009370000}"/>
    <cellStyle name="40% - Accent2 7 5 2 4 2" xfId="44791" xr:uid="{DF78E525-0E2E-488A-BDC7-0031803A2B48}"/>
    <cellStyle name="40% - Accent2 7 5 2 5" xfId="28912" xr:uid="{FD01D8E9-3AD2-4CE7-AF48-09170F5E3444}"/>
    <cellStyle name="40% - Accent2 7 5 3" xfId="6811" xr:uid="{00000000-0005-0000-0000-00000A370000}"/>
    <cellStyle name="40% - Accent2 7 5 3 2" xfId="14783" xr:uid="{00000000-0005-0000-0000-00000B370000}"/>
    <cellStyle name="40% - Accent2 7 5 3 2 2" xfId="38626" xr:uid="{F4B00D8C-FBEB-450B-B88E-2DFFDB7FA3AF}"/>
    <cellStyle name="40% - Accent2 7 5 3 3" xfId="22730" xr:uid="{00000000-0005-0000-0000-00000C370000}"/>
    <cellStyle name="40% - Accent2 7 5 3 3 2" xfId="46563" xr:uid="{470FDA0C-B30D-48F0-9FF0-7E498CD74A8B}"/>
    <cellStyle name="40% - Accent2 7 5 3 4" xfId="30685" xr:uid="{0828E386-E984-4855-8050-3CA03DBE210C}"/>
    <cellStyle name="40% - Accent2 7 5 4" xfId="11247" xr:uid="{00000000-0005-0000-0000-00000D370000}"/>
    <cellStyle name="40% - Accent2 7 5 4 2" xfId="35097" xr:uid="{B5CD9C22-6CEC-4431-8B06-66E54DA7497F}"/>
    <cellStyle name="40% - Accent2 7 5 5" xfId="19202" xr:uid="{00000000-0005-0000-0000-00000E370000}"/>
    <cellStyle name="40% - Accent2 7 5 5 2" xfId="43035" xr:uid="{7381E626-36B5-403F-AC38-56FABCA2ED44}"/>
    <cellStyle name="40% - Accent2 7 5 6" xfId="27155" xr:uid="{F25D8C9B-3697-4A08-B289-361191184CC3}"/>
    <cellStyle name="40% - Accent2 7 5_Exh G" xfId="2912" xr:uid="{00000000-0005-0000-0000-00000F370000}"/>
    <cellStyle name="40% - Accent2 7 6" xfId="4100" xr:uid="{00000000-0005-0000-0000-000010370000}"/>
    <cellStyle name="40% - Accent2 7 6 2" xfId="7692" xr:uid="{00000000-0005-0000-0000-000011370000}"/>
    <cellStyle name="40% - Accent2 7 6 2 2" xfId="15663" xr:uid="{00000000-0005-0000-0000-000012370000}"/>
    <cellStyle name="40% - Accent2 7 6 2 2 2" xfId="39506" xr:uid="{39F5E5DD-C2AE-4DA0-ACBE-1D901A5A70E8}"/>
    <cellStyle name="40% - Accent2 7 6 2 3" xfId="23609" xr:uid="{00000000-0005-0000-0000-000013370000}"/>
    <cellStyle name="40% - Accent2 7 6 2 3 2" xfId="47442" xr:uid="{F86098D9-A776-474B-98C5-36993FAB90F6}"/>
    <cellStyle name="40% - Accent2 7 6 2 4" xfId="31565" xr:uid="{D3828852-ABF2-4F27-975A-C90E33658D8C}"/>
    <cellStyle name="40% - Accent2 7 6 3" xfId="12125" xr:uid="{00000000-0005-0000-0000-000014370000}"/>
    <cellStyle name="40% - Accent2 7 6 3 2" xfId="35975" xr:uid="{1F1383FF-19B4-44E9-A9E7-BDC8B223FE07}"/>
    <cellStyle name="40% - Accent2 7 6 4" xfId="20080" xr:uid="{00000000-0005-0000-0000-000015370000}"/>
    <cellStyle name="40% - Accent2 7 6 4 2" xfId="43913" xr:uid="{A22AC932-784F-4418-8DB2-432805A22C97}"/>
    <cellStyle name="40% - Accent2 7 6 5" xfId="28034" xr:uid="{3964287A-96FB-420A-A85A-BE8EB7401722}"/>
    <cellStyle name="40% - Accent2 7 7" xfId="5920" xr:uid="{00000000-0005-0000-0000-000016370000}"/>
    <cellStyle name="40% - Accent2 7 7 2" xfId="13904" xr:uid="{00000000-0005-0000-0000-000017370000}"/>
    <cellStyle name="40% - Accent2 7 7 2 2" xfId="37748" xr:uid="{61E5A472-18AB-4C33-9DBE-F42B550D6C26}"/>
    <cellStyle name="40% - Accent2 7 7 3" xfId="21852" xr:uid="{00000000-0005-0000-0000-000018370000}"/>
    <cellStyle name="40% - Accent2 7 7 3 2" xfId="45685" xr:uid="{14AFA0CF-3302-40B2-982B-B39ACB2B9F83}"/>
    <cellStyle name="40% - Accent2 7 7 4" xfId="29807" xr:uid="{157F7162-3454-48EC-9D12-5EE990BF8AED}"/>
    <cellStyle name="40% - Accent2 7 8" xfId="9473" xr:uid="{00000000-0005-0000-0000-000019370000}"/>
    <cellStyle name="40% - Accent2 7 8 2" xfId="17431" xr:uid="{00000000-0005-0000-0000-00001A370000}"/>
    <cellStyle name="40% - Accent2 7 8 2 2" xfId="41272" xr:uid="{60AC1A19-73ED-458F-9FFD-222C7EA9B77D}"/>
    <cellStyle name="40% - Accent2 7 8 3" xfId="25375" xr:uid="{00000000-0005-0000-0000-00001B370000}"/>
    <cellStyle name="40% - Accent2 7 8 3 2" xfId="49208" xr:uid="{AF09E9C3-C874-4C2C-ADD2-6C5EFD0BA8E3}"/>
    <cellStyle name="40% - Accent2 7 8 4" xfId="33331" xr:uid="{3C1D2293-B70A-458C-9CA8-0A370D495C33}"/>
    <cellStyle name="40% - Accent2 7 9" xfId="10369" xr:uid="{00000000-0005-0000-0000-00001C370000}"/>
    <cellStyle name="40% - Accent2 7 9 2" xfId="34219" xr:uid="{F797DE64-04DF-4E20-9BD6-09EF7B8A436F}"/>
    <cellStyle name="40% - Accent2 7_Exh G" xfId="2903" xr:uid="{00000000-0005-0000-0000-00001D370000}"/>
    <cellStyle name="40% - Accent2 8" xfId="425" xr:uid="{00000000-0005-0000-0000-00001E370000}"/>
    <cellStyle name="40% - Accent2 8 10" xfId="18328" xr:uid="{00000000-0005-0000-0000-00001F370000}"/>
    <cellStyle name="40% - Accent2 8 10 2" xfId="42161" xr:uid="{FD2D3FB0-35EA-4C6B-8A63-7BB86CC2324F}"/>
    <cellStyle name="40% - Accent2 8 11" xfId="26281" xr:uid="{354F1B97-A954-48CF-B18E-492C2B4DB7D6}"/>
    <cellStyle name="40% - Accent2 8 2" xfId="426" xr:uid="{00000000-0005-0000-0000-000020370000}"/>
    <cellStyle name="40% - Accent2 8 2 2" xfId="427" xr:uid="{00000000-0005-0000-0000-000021370000}"/>
    <cellStyle name="40% - Accent2 8 2 2 2" xfId="1455" xr:uid="{00000000-0005-0000-0000-000022370000}"/>
    <cellStyle name="40% - Accent2 8 2 2 2 2" xfId="4985" xr:uid="{00000000-0005-0000-0000-000023370000}"/>
    <cellStyle name="40% - Accent2 8 2 2 2 2 2" xfId="8576" xr:uid="{00000000-0005-0000-0000-000024370000}"/>
    <cellStyle name="40% - Accent2 8 2 2 2 2 2 2" xfId="16547" xr:uid="{00000000-0005-0000-0000-000025370000}"/>
    <cellStyle name="40% - Accent2 8 2 2 2 2 2 2 2" xfId="40390" xr:uid="{2E225F7A-6CC9-422C-AB33-45D3A2F29E3B}"/>
    <cellStyle name="40% - Accent2 8 2 2 2 2 2 3" xfId="24493" xr:uid="{00000000-0005-0000-0000-000026370000}"/>
    <cellStyle name="40% - Accent2 8 2 2 2 2 2 3 2" xfId="48326" xr:uid="{D7D08312-04AA-4AF0-A3BB-4A2C4BC47B2D}"/>
    <cellStyle name="40% - Accent2 8 2 2 2 2 2 4" xfId="32449" xr:uid="{9537474A-027A-4EB8-B32A-EAA762970771}"/>
    <cellStyle name="40% - Accent2 8 2 2 2 2 3" xfId="13009" xr:uid="{00000000-0005-0000-0000-000027370000}"/>
    <cellStyle name="40% - Accent2 8 2 2 2 2 3 2" xfId="36859" xr:uid="{BA4FBC5A-C18F-4FD5-B05E-1AFE94C7DE82}"/>
    <cellStyle name="40% - Accent2 8 2 2 2 2 4" xfId="20964" xr:uid="{00000000-0005-0000-0000-000028370000}"/>
    <cellStyle name="40% - Accent2 8 2 2 2 2 4 2" xfId="44797" xr:uid="{2DF3C982-5FA9-4E17-AB5C-F7C1CCE12065}"/>
    <cellStyle name="40% - Accent2 8 2 2 2 2 5" xfId="28918" xr:uid="{0E78E2DB-30BF-4CC6-854C-C9819335ABA7}"/>
    <cellStyle name="40% - Accent2 8 2 2 2 3" xfId="6817" xr:uid="{00000000-0005-0000-0000-000029370000}"/>
    <cellStyle name="40% - Accent2 8 2 2 2 3 2" xfId="14789" xr:uid="{00000000-0005-0000-0000-00002A370000}"/>
    <cellStyle name="40% - Accent2 8 2 2 2 3 2 2" xfId="38632" xr:uid="{120FF5A9-BF97-461A-8B75-3C279BE30391}"/>
    <cellStyle name="40% - Accent2 8 2 2 2 3 3" xfId="22736" xr:uid="{00000000-0005-0000-0000-00002B370000}"/>
    <cellStyle name="40% - Accent2 8 2 2 2 3 3 2" xfId="46569" xr:uid="{A7CFE4C6-0FB2-40AB-9F4D-6B895BEE8DD8}"/>
    <cellStyle name="40% - Accent2 8 2 2 2 3 4" xfId="30691" xr:uid="{59934B1E-E5F6-4D73-AB6C-F28F935EC129}"/>
    <cellStyle name="40% - Accent2 8 2 2 2 4" xfId="11253" xr:uid="{00000000-0005-0000-0000-00002C370000}"/>
    <cellStyle name="40% - Accent2 8 2 2 2 4 2" xfId="35103" xr:uid="{87BF1148-0E82-4C1F-9246-AA80F0CABA54}"/>
    <cellStyle name="40% - Accent2 8 2 2 2 5" xfId="19208" xr:uid="{00000000-0005-0000-0000-00002D370000}"/>
    <cellStyle name="40% - Accent2 8 2 2 2 5 2" xfId="43041" xr:uid="{3AB44FAA-9A17-445A-B7FC-1F13C9099B88}"/>
    <cellStyle name="40% - Accent2 8 2 2 2 6" xfId="27161" xr:uid="{7E8C26B2-3F69-4D1E-85F7-8A875D99DC99}"/>
    <cellStyle name="40% - Accent2 8 2 2 2_Exh G" xfId="2916" xr:uid="{00000000-0005-0000-0000-00002E370000}"/>
    <cellStyle name="40% - Accent2 8 2 2 3" xfId="4106" xr:uid="{00000000-0005-0000-0000-00002F370000}"/>
    <cellStyle name="40% - Accent2 8 2 2 3 2" xfId="7698" xr:uid="{00000000-0005-0000-0000-000030370000}"/>
    <cellStyle name="40% - Accent2 8 2 2 3 2 2" xfId="15669" xr:uid="{00000000-0005-0000-0000-000031370000}"/>
    <cellStyle name="40% - Accent2 8 2 2 3 2 2 2" xfId="39512" xr:uid="{114B299D-63DC-4B23-8B35-D8D24AFA2846}"/>
    <cellStyle name="40% - Accent2 8 2 2 3 2 3" xfId="23615" xr:uid="{00000000-0005-0000-0000-000032370000}"/>
    <cellStyle name="40% - Accent2 8 2 2 3 2 3 2" xfId="47448" xr:uid="{CCE8DB8E-7C88-4708-BD71-DDEEE09A005A}"/>
    <cellStyle name="40% - Accent2 8 2 2 3 2 4" xfId="31571" xr:uid="{06E92A8B-F586-408D-91A3-2D3548E8457E}"/>
    <cellStyle name="40% - Accent2 8 2 2 3 3" xfId="12131" xr:uid="{00000000-0005-0000-0000-000033370000}"/>
    <cellStyle name="40% - Accent2 8 2 2 3 3 2" xfId="35981" xr:uid="{66738711-DCB1-4684-9D5D-E5395F2158F8}"/>
    <cellStyle name="40% - Accent2 8 2 2 3 4" xfId="20086" xr:uid="{00000000-0005-0000-0000-000034370000}"/>
    <cellStyle name="40% - Accent2 8 2 2 3 4 2" xfId="43919" xr:uid="{2C53E1B2-9152-4348-AF98-54AF7021F172}"/>
    <cellStyle name="40% - Accent2 8 2 2 3 5" xfId="28040" xr:uid="{1B31AD2C-D755-40F5-8879-6B5E7C117730}"/>
    <cellStyle name="40% - Accent2 8 2 2 4" xfId="5926" xr:uid="{00000000-0005-0000-0000-000035370000}"/>
    <cellStyle name="40% - Accent2 8 2 2 4 2" xfId="13910" xr:uid="{00000000-0005-0000-0000-000036370000}"/>
    <cellStyle name="40% - Accent2 8 2 2 4 2 2" xfId="37754" xr:uid="{5A7873B2-2379-43AC-AE00-C2B6E388A13B}"/>
    <cellStyle name="40% - Accent2 8 2 2 4 3" xfId="21858" xr:uid="{00000000-0005-0000-0000-000037370000}"/>
    <cellStyle name="40% - Accent2 8 2 2 4 3 2" xfId="45691" xr:uid="{2BCBD240-F970-49AA-9979-1CB2B4572231}"/>
    <cellStyle name="40% - Accent2 8 2 2 4 4" xfId="29813" xr:uid="{7B9A35C9-198D-4038-AFC2-58A73947EFD6}"/>
    <cellStyle name="40% - Accent2 8 2 2 5" xfId="9479" xr:uid="{00000000-0005-0000-0000-000038370000}"/>
    <cellStyle name="40% - Accent2 8 2 2 5 2" xfId="17437" xr:uid="{00000000-0005-0000-0000-000039370000}"/>
    <cellStyle name="40% - Accent2 8 2 2 5 2 2" xfId="41278" xr:uid="{9BCA4A96-81C1-45BF-8585-CE4DE73A9584}"/>
    <cellStyle name="40% - Accent2 8 2 2 5 3" xfId="25381" xr:uid="{00000000-0005-0000-0000-00003A370000}"/>
    <cellStyle name="40% - Accent2 8 2 2 5 3 2" xfId="49214" xr:uid="{940E0A9E-4B2F-46B2-8624-0A782994A3A6}"/>
    <cellStyle name="40% - Accent2 8 2 2 5 4" xfId="33337" xr:uid="{5304529B-1D99-4B8C-AB23-A65F496DC415}"/>
    <cellStyle name="40% - Accent2 8 2 2 6" xfId="10375" xr:uid="{00000000-0005-0000-0000-00003B370000}"/>
    <cellStyle name="40% - Accent2 8 2 2 6 2" xfId="34225" xr:uid="{DC8ED17C-428D-4A2A-AA9C-38177B47B7AB}"/>
    <cellStyle name="40% - Accent2 8 2 2 7" xfId="18330" xr:uid="{00000000-0005-0000-0000-00003C370000}"/>
    <cellStyle name="40% - Accent2 8 2 2 7 2" xfId="42163" xr:uid="{849CCEC2-0CCC-4E81-B325-D9C0DE558F70}"/>
    <cellStyle name="40% - Accent2 8 2 2 8" xfId="26283" xr:uid="{F1B71589-FDEC-4EAA-AD2A-9A8E2BD7B337}"/>
    <cellStyle name="40% - Accent2 8 2 2_Exh G" xfId="2915" xr:uid="{00000000-0005-0000-0000-00003D370000}"/>
    <cellStyle name="40% - Accent2 8 2 3" xfId="1454" xr:uid="{00000000-0005-0000-0000-00003E370000}"/>
    <cellStyle name="40% - Accent2 8 2 3 2" xfId="4984" xr:uid="{00000000-0005-0000-0000-00003F370000}"/>
    <cellStyle name="40% - Accent2 8 2 3 2 2" xfId="8575" xr:uid="{00000000-0005-0000-0000-000040370000}"/>
    <cellStyle name="40% - Accent2 8 2 3 2 2 2" xfId="16546" xr:uid="{00000000-0005-0000-0000-000041370000}"/>
    <cellStyle name="40% - Accent2 8 2 3 2 2 2 2" xfId="40389" xr:uid="{3A827EE2-1202-4245-BC86-91144D8121D1}"/>
    <cellStyle name="40% - Accent2 8 2 3 2 2 3" xfId="24492" xr:uid="{00000000-0005-0000-0000-000042370000}"/>
    <cellStyle name="40% - Accent2 8 2 3 2 2 3 2" xfId="48325" xr:uid="{FBD71264-D469-4B71-A41B-2D3F0A4A6904}"/>
    <cellStyle name="40% - Accent2 8 2 3 2 2 4" xfId="32448" xr:uid="{16A20070-C8B5-4F89-BD1E-52994A499078}"/>
    <cellStyle name="40% - Accent2 8 2 3 2 3" xfId="13008" xr:uid="{00000000-0005-0000-0000-000043370000}"/>
    <cellStyle name="40% - Accent2 8 2 3 2 3 2" xfId="36858" xr:uid="{F878BDA6-4906-43D0-A6F6-A826607A51B2}"/>
    <cellStyle name="40% - Accent2 8 2 3 2 4" xfId="20963" xr:uid="{00000000-0005-0000-0000-000044370000}"/>
    <cellStyle name="40% - Accent2 8 2 3 2 4 2" xfId="44796" xr:uid="{267C9137-98EB-4914-BB83-DCAF8A465368}"/>
    <cellStyle name="40% - Accent2 8 2 3 2 5" xfId="28917" xr:uid="{54F5F73B-E7A5-49E7-88A4-AB7AF56742C0}"/>
    <cellStyle name="40% - Accent2 8 2 3 3" xfId="6816" xr:uid="{00000000-0005-0000-0000-000045370000}"/>
    <cellStyle name="40% - Accent2 8 2 3 3 2" xfId="14788" xr:uid="{00000000-0005-0000-0000-000046370000}"/>
    <cellStyle name="40% - Accent2 8 2 3 3 2 2" xfId="38631" xr:uid="{40579D99-C4EA-4D6D-900F-2A790BB3516C}"/>
    <cellStyle name="40% - Accent2 8 2 3 3 3" xfId="22735" xr:uid="{00000000-0005-0000-0000-000047370000}"/>
    <cellStyle name="40% - Accent2 8 2 3 3 3 2" xfId="46568" xr:uid="{CEE7E2F3-8928-4218-8A94-A3FBACF31698}"/>
    <cellStyle name="40% - Accent2 8 2 3 3 4" xfId="30690" xr:uid="{68D4054A-44E6-4635-94DD-452F46B0BD1C}"/>
    <cellStyle name="40% - Accent2 8 2 3 4" xfId="11252" xr:uid="{00000000-0005-0000-0000-000048370000}"/>
    <cellStyle name="40% - Accent2 8 2 3 4 2" xfId="35102" xr:uid="{0898A93A-A03A-4594-9457-46B365BA5D01}"/>
    <cellStyle name="40% - Accent2 8 2 3 5" xfId="19207" xr:uid="{00000000-0005-0000-0000-000049370000}"/>
    <cellStyle name="40% - Accent2 8 2 3 5 2" xfId="43040" xr:uid="{0A8177A0-3811-482B-8F39-8BEA7FC3D9FE}"/>
    <cellStyle name="40% - Accent2 8 2 3 6" xfId="27160" xr:uid="{13DD78FD-D7CD-4E2E-AB22-5F80BF450055}"/>
    <cellStyle name="40% - Accent2 8 2 3_Exh G" xfId="2917" xr:uid="{00000000-0005-0000-0000-00004A370000}"/>
    <cellStyle name="40% - Accent2 8 2 4" xfId="4105" xr:uid="{00000000-0005-0000-0000-00004B370000}"/>
    <cellStyle name="40% - Accent2 8 2 4 2" xfId="7697" xr:uid="{00000000-0005-0000-0000-00004C370000}"/>
    <cellStyle name="40% - Accent2 8 2 4 2 2" xfId="15668" xr:uid="{00000000-0005-0000-0000-00004D370000}"/>
    <cellStyle name="40% - Accent2 8 2 4 2 2 2" xfId="39511" xr:uid="{A59C5477-FC86-4A57-A097-2EB725C75F3C}"/>
    <cellStyle name="40% - Accent2 8 2 4 2 3" xfId="23614" xr:uid="{00000000-0005-0000-0000-00004E370000}"/>
    <cellStyle name="40% - Accent2 8 2 4 2 3 2" xfId="47447" xr:uid="{84370C5C-BE6A-46D4-91D9-4F47A11B7636}"/>
    <cellStyle name="40% - Accent2 8 2 4 2 4" xfId="31570" xr:uid="{E04C9837-CEA9-440B-8532-31D6E5E9CCF5}"/>
    <cellStyle name="40% - Accent2 8 2 4 3" xfId="12130" xr:uid="{00000000-0005-0000-0000-00004F370000}"/>
    <cellStyle name="40% - Accent2 8 2 4 3 2" xfId="35980" xr:uid="{C45ED26A-D3CC-4B56-9CEA-2C53C1A40069}"/>
    <cellStyle name="40% - Accent2 8 2 4 4" xfId="20085" xr:uid="{00000000-0005-0000-0000-000050370000}"/>
    <cellStyle name="40% - Accent2 8 2 4 4 2" xfId="43918" xr:uid="{15B3132C-B154-47F0-B217-9DFCA17966F1}"/>
    <cellStyle name="40% - Accent2 8 2 4 5" xfId="28039" xr:uid="{2F8DE1C1-EA27-4ED0-8CB4-1EA620F3CDA9}"/>
    <cellStyle name="40% - Accent2 8 2 5" xfId="5925" xr:uid="{00000000-0005-0000-0000-000051370000}"/>
    <cellStyle name="40% - Accent2 8 2 5 2" xfId="13909" xr:uid="{00000000-0005-0000-0000-000052370000}"/>
    <cellStyle name="40% - Accent2 8 2 5 2 2" xfId="37753" xr:uid="{7FB0AA73-F617-4ED0-8889-B60251F74622}"/>
    <cellStyle name="40% - Accent2 8 2 5 3" xfId="21857" xr:uid="{00000000-0005-0000-0000-000053370000}"/>
    <cellStyle name="40% - Accent2 8 2 5 3 2" xfId="45690" xr:uid="{5EB0D5C9-44A9-46C3-BD0C-20BDFD60A112}"/>
    <cellStyle name="40% - Accent2 8 2 5 4" xfId="29812" xr:uid="{0C7ADDFB-6C05-4BB1-BD09-2E78F4484E6C}"/>
    <cellStyle name="40% - Accent2 8 2 6" xfId="9478" xr:uid="{00000000-0005-0000-0000-000054370000}"/>
    <cellStyle name="40% - Accent2 8 2 6 2" xfId="17436" xr:uid="{00000000-0005-0000-0000-000055370000}"/>
    <cellStyle name="40% - Accent2 8 2 6 2 2" xfId="41277" xr:uid="{6FA64F2E-0346-4672-870A-864669802986}"/>
    <cellStyle name="40% - Accent2 8 2 6 3" xfId="25380" xr:uid="{00000000-0005-0000-0000-000056370000}"/>
    <cellStyle name="40% - Accent2 8 2 6 3 2" xfId="49213" xr:uid="{A2945D6C-EEB6-44E1-BEB0-927167C9FD31}"/>
    <cellStyle name="40% - Accent2 8 2 6 4" xfId="33336" xr:uid="{F1830CA1-B7DB-47AA-89D7-36D6442C7988}"/>
    <cellStyle name="40% - Accent2 8 2 7" xfId="10374" xr:uid="{00000000-0005-0000-0000-000057370000}"/>
    <cellStyle name="40% - Accent2 8 2 7 2" xfId="34224" xr:uid="{249D487A-1B63-4A1F-AFC7-2CCD413C8E7D}"/>
    <cellStyle name="40% - Accent2 8 2 8" xfId="18329" xr:uid="{00000000-0005-0000-0000-000058370000}"/>
    <cellStyle name="40% - Accent2 8 2 8 2" xfId="42162" xr:uid="{6475669A-4CB5-4A29-8DC2-D0BBA6CE6470}"/>
    <cellStyle name="40% - Accent2 8 2 9" xfId="26282" xr:uid="{1D447BDF-C705-461E-AA6D-2EA76E898E6E}"/>
    <cellStyle name="40% - Accent2 8 2_Exh G" xfId="2914" xr:uid="{00000000-0005-0000-0000-000059370000}"/>
    <cellStyle name="40% - Accent2 8 3" xfId="428" xr:uid="{00000000-0005-0000-0000-00005A370000}"/>
    <cellStyle name="40% - Accent2 8 3 2" xfId="1456" xr:uid="{00000000-0005-0000-0000-00005B370000}"/>
    <cellStyle name="40% - Accent2 8 3 2 2" xfId="4986" xr:uid="{00000000-0005-0000-0000-00005C370000}"/>
    <cellStyle name="40% - Accent2 8 3 2 2 2" xfId="8577" xr:uid="{00000000-0005-0000-0000-00005D370000}"/>
    <cellStyle name="40% - Accent2 8 3 2 2 2 2" xfId="16548" xr:uid="{00000000-0005-0000-0000-00005E370000}"/>
    <cellStyle name="40% - Accent2 8 3 2 2 2 2 2" xfId="40391" xr:uid="{937704CA-DC43-488A-AD75-DE598F2E2F12}"/>
    <cellStyle name="40% - Accent2 8 3 2 2 2 3" xfId="24494" xr:uid="{00000000-0005-0000-0000-00005F370000}"/>
    <cellStyle name="40% - Accent2 8 3 2 2 2 3 2" xfId="48327" xr:uid="{9FAE75CC-7DD1-4C40-BA08-D4236B93E946}"/>
    <cellStyle name="40% - Accent2 8 3 2 2 2 4" xfId="32450" xr:uid="{624CFEA7-8713-4DEB-8E1F-8C56E573CCFE}"/>
    <cellStyle name="40% - Accent2 8 3 2 2 3" xfId="13010" xr:uid="{00000000-0005-0000-0000-000060370000}"/>
    <cellStyle name="40% - Accent2 8 3 2 2 3 2" xfId="36860" xr:uid="{763DB6DF-54BD-473B-A20A-842A494A5C81}"/>
    <cellStyle name="40% - Accent2 8 3 2 2 4" xfId="20965" xr:uid="{00000000-0005-0000-0000-000061370000}"/>
    <cellStyle name="40% - Accent2 8 3 2 2 4 2" xfId="44798" xr:uid="{F2E49562-AF21-485A-B144-A9060B32D176}"/>
    <cellStyle name="40% - Accent2 8 3 2 2 5" xfId="28919" xr:uid="{378FFE98-1E4A-47AE-85DA-590F163EBA9B}"/>
    <cellStyle name="40% - Accent2 8 3 2 3" xfId="6818" xr:uid="{00000000-0005-0000-0000-000062370000}"/>
    <cellStyle name="40% - Accent2 8 3 2 3 2" xfId="14790" xr:uid="{00000000-0005-0000-0000-000063370000}"/>
    <cellStyle name="40% - Accent2 8 3 2 3 2 2" xfId="38633" xr:uid="{CF30239C-DFBD-402D-8C19-E1025FA93020}"/>
    <cellStyle name="40% - Accent2 8 3 2 3 3" xfId="22737" xr:uid="{00000000-0005-0000-0000-000064370000}"/>
    <cellStyle name="40% - Accent2 8 3 2 3 3 2" xfId="46570" xr:uid="{CB684409-D123-46A6-9A02-C8C6693B0260}"/>
    <cellStyle name="40% - Accent2 8 3 2 3 4" xfId="30692" xr:uid="{E947C11B-9989-4B98-BEFC-90B590B19E62}"/>
    <cellStyle name="40% - Accent2 8 3 2 4" xfId="11254" xr:uid="{00000000-0005-0000-0000-000065370000}"/>
    <cellStyle name="40% - Accent2 8 3 2 4 2" xfId="35104" xr:uid="{3568492B-9595-4614-BCB2-3BB54B987030}"/>
    <cellStyle name="40% - Accent2 8 3 2 5" xfId="19209" xr:uid="{00000000-0005-0000-0000-000066370000}"/>
    <cellStyle name="40% - Accent2 8 3 2 5 2" xfId="43042" xr:uid="{C737C923-F77D-45A8-94ED-8367F5F49281}"/>
    <cellStyle name="40% - Accent2 8 3 2 6" xfId="27162" xr:uid="{D106A3B9-821A-44B7-9293-C6DFD7C9BB62}"/>
    <cellStyle name="40% - Accent2 8 3 2_Exh G" xfId="2919" xr:uid="{00000000-0005-0000-0000-000067370000}"/>
    <cellStyle name="40% - Accent2 8 3 3" xfId="4107" xr:uid="{00000000-0005-0000-0000-000068370000}"/>
    <cellStyle name="40% - Accent2 8 3 3 2" xfId="7699" xr:uid="{00000000-0005-0000-0000-000069370000}"/>
    <cellStyle name="40% - Accent2 8 3 3 2 2" xfId="15670" xr:uid="{00000000-0005-0000-0000-00006A370000}"/>
    <cellStyle name="40% - Accent2 8 3 3 2 2 2" xfId="39513" xr:uid="{D68E4870-487F-4794-B352-C0AB8296C924}"/>
    <cellStyle name="40% - Accent2 8 3 3 2 3" xfId="23616" xr:uid="{00000000-0005-0000-0000-00006B370000}"/>
    <cellStyle name="40% - Accent2 8 3 3 2 3 2" xfId="47449" xr:uid="{B2DA4D1B-3CB1-4607-B399-EF71720CD6F6}"/>
    <cellStyle name="40% - Accent2 8 3 3 2 4" xfId="31572" xr:uid="{011F76AE-80E9-427B-90BE-3306BC63A4EA}"/>
    <cellStyle name="40% - Accent2 8 3 3 3" xfId="12132" xr:uid="{00000000-0005-0000-0000-00006C370000}"/>
    <cellStyle name="40% - Accent2 8 3 3 3 2" xfId="35982" xr:uid="{50027826-6B7D-45A1-A7B4-772A58BB38FB}"/>
    <cellStyle name="40% - Accent2 8 3 3 4" xfId="20087" xr:uid="{00000000-0005-0000-0000-00006D370000}"/>
    <cellStyle name="40% - Accent2 8 3 3 4 2" xfId="43920" xr:uid="{F0CEA638-F585-4BE3-A8CA-EA4F9CF54FC0}"/>
    <cellStyle name="40% - Accent2 8 3 3 5" xfId="28041" xr:uid="{A82A6DA4-DEC2-46AC-BCA4-8ABEC16C94AB}"/>
    <cellStyle name="40% - Accent2 8 3 4" xfId="5927" xr:uid="{00000000-0005-0000-0000-00006E370000}"/>
    <cellStyle name="40% - Accent2 8 3 4 2" xfId="13911" xr:uid="{00000000-0005-0000-0000-00006F370000}"/>
    <cellStyle name="40% - Accent2 8 3 4 2 2" xfId="37755" xr:uid="{8326DB53-1B2D-4E76-9DA1-8E2054755F9D}"/>
    <cellStyle name="40% - Accent2 8 3 4 3" xfId="21859" xr:uid="{00000000-0005-0000-0000-000070370000}"/>
    <cellStyle name="40% - Accent2 8 3 4 3 2" xfId="45692" xr:uid="{B13793AB-48B5-4003-83DE-385FA1CB2751}"/>
    <cellStyle name="40% - Accent2 8 3 4 4" xfId="29814" xr:uid="{1105941F-DD78-4E86-A0B5-29C81C615E6C}"/>
    <cellStyle name="40% - Accent2 8 3 5" xfId="9480" xr:uid="{00000000-0005-0000-0000-000071370000}"/>
    <cellStyle name="40% - Accent2 8 3 5 2" xfId="17438" xr:uid="{00000000-0005-0000-0000-000072370000}"/>
    <cellStyle name="40% - Accent2 8 3 5 2 2" xfId="41279" xr:uid="{441881B4-E07B-4B6B-9627-E57DB0EC8F8D}"/>
    <cellStyle name="40% - Accent2 8 3 5 3" xfId="25382" xr:uid="{00000000-0005-0000-0000-000073370000}"/>
    <cellStyle name="40% - Accent2 8 3 5 3 2" xfId="49215" xr:uid="{E6F59260-7A65-42EB-975B-EE3FD5C188CA}"/>
    <cellStyle name="40% - Accent2 8 3 5 4" xfId="33338" xr:uid="{300B4720-39F6-4D61-A593-59D35C107724}"/>
    <cellStyle name="40% - Accent2 8 3 6" xfId="10376" xr:uid="{00000000-0005-0000-0000-000074370000}"/>
    <cellStyle name="40% - Accent2 8 3 6 2" xfId="34226" xr:uid="{971D71F5-4616-4A82-B054-41678F2CF5AC}"/>
    <cellStyle name="40% - Accent2 8 3 7" xfId="18331" xr:uid="{00000000-0005-0000-0000-000075370000}"/>
    <cellStyle name="40% - Accent2 8 3 7 2" xfId="42164" xr:uid="{715D47BD-1D5C-4DB5-A6BA-E633ADECD555}"/>
    <cellStyle name="40% - Accent2 8 3 8" xfId="26284" xr:uid="{671717B4-DB0D-42EA-9287-C427A18470D9}"/>
    <cellStyle name="40% - Accent2 8 3_Exh G" xfId="2918" xr:uid="{00000000-0005-0000-0000-000076370000}"/>
    <cellStyle name="40% - Accent2 8 4" xfId="956" xr:uid="{00000000-0005-0000-0000-000077370000}"/>
    <cellStyle name="40% - Accent2 8 4 2" xfId="1877" xr:uid="{00000000-0005-0000-0000-000078370000}"/>
    <cellStyle name="40% - Accent2 8 4 2 2" xfId="5395" xr:uid="{00000000-0005-0000-0000-000079370000}"/>
    <cellStyle name="40% - Accent2 8 4 2 2 2" xfId="8986" xr:uid="{00000000-0005-0000-0000-00007A370000}"/>
    <cellStyle name="40% - Accent2 8 4 2 2 2 2" xfId="16957" xr:uid="{00000000-0005-0000-0000-00007B370000}"/>
    <cellStyle name="40% - Accent2 8 4 2 2 2 2 2" xfId="40800" xr:uid="{873FED0E-E410-46CF-BEC0-8D75DB6A2716}"/>
    <cellStyle name="40% - Accent2 8 4 2 2 2 3" xfId="24903" xr:uid="{00000000-0005-0000-0000-00007C370000}"/>
    <cellStyle name="40% - Accent2 8 4 2 2 2 3 2" xfId="48736" xr:uid="{DEE7E4DA-22E6-4B04-AEA3-DFB7758390C4}"/>
    <cellStyle name="40% - Accent2 8 4 2 2 2 4" xfId="32859" xr:uid="{11B9DC38-5E8F-448E-8ADF-40EAA46E3BFD}"/>
    <cellStyle name="40% - Accent2 8 4 2 2 3" xfId="13419" xr:uid="{00000000-0005-0000-0000-00007D370000}"/>
    <cellStyle name="40% - Accent2 8 4 2 2 3 2" xfId="37269" xr:uid="{3D34CAA8-9D76-4637-973F-834827894E8B}"/>
    <cellStyle name="40% - Accent2 8 4 2 2 4" xfId="21374" xr:uid="{00000000-0005-0000-0000-00007E370000}"/>
    <cellStyle name="40% - Accent2 8 4 2 2 4 2" xfId="45207" xr:uid="{E786612F-7406-4D9F-B541-E245EC8935A1}"/>
    <cellStyle name="40% - Accent2 8 4 2 2 5" xfId="29328" xr:uid="{A0193097-1013-4091-B3DF-16C23E018C8B}"/>
    <cellStyle name="40% - Accent2 8 4 2 3" xfId="7227" xr:uid="{00000000-0005-0000-0000-00007F370000}"/>
    <cellStyle name="40% - Accent2 8 4 2 3 2" xfId="15199" xr:uid="{00000000-0005-0000-0000-000080370000}"/>
    <cellStyle name="40% - Accent2 8 4 2 3 2 2" xfId="39042" xr:uid="{8C847272-957B-42AD-B126-AA7864737B79}"/>
    <cellStyle name="40% - Accent2 8 4 2 3 3" xfId="23146" xr:uid="{00000000-0005-0000-0000-000081370000}"/>
    <cellStyle name="40% - Accent2 8 4 2 3 3 2" xfId="46979" xr:uid="{BC47ED58-543E-4DD8-9225-2B84360EBD16}"/>
    <cellStyle name="40% - Accent2 8 4 2 3 4" xfId="31101" xr:uid="{9D95F692-1102-4825-8FB9-BBF165DD1E3F}"/>
    <cellStyle name="40% - Accent2 8 4 2 4" xfId="11663" xr:uid="{00000000-0005-0000-0000-000082370000}"/>
    <cellStyle name="40% - Accent2 8 4 2 4 2" xfId="35513" xr:uid="{B40B63B9-7744-4576-A9BC-317A5402B492}"/>
    <cellStyle name="40% - Accent2 8 4 2 5" xfId="19618" xr:uid="{00000000-0005-0000-0000-000083370000}"/>
    <cellStyle name="40% - Accent2 8 4 2 5 2" xfId="43451" xr:uid="{E92B2896-2476-4267-8820-582D35606A2A}"/>
    <cellStyle name="40% - Accent2 8 4 2 6" xfId="27571" xr:uid="{D723C96A-A680-4351-B643-1F9A16BA22EF}"/>
    <cellStyle name="40% - Accent2 8 4 2_Exh G" xfId="2921" xr:uid="{00000000-0005-0000-0000-000084370000}"/>
    <cellStyle name="40% - Accent2 8 4 3" xfId="4516" xr:uid="{00000000-0005-0000-0000-000085370000}"/>
    <cellStyle name="40% - Accent2 8 4 3 2" xfId="8108" xr:uid="{00000000-0005-0000-0000-000086370000}"/>
    <cellStyle name="40% - Accent2 8 4 3 2 2" xfId="16079" xr:uid="{00000000-0005-0000-0000-000087370000}"/>
    <cellStyle name="40% - Accent2 8 4 3 2 2 2" xfId="39922" xr:uid="{BC7A6E09-BF84-42BC-8036-8F67C08307A3}"/>
    <cellStyle name="40% - Accent2 8 4 3 2 3" xfId="24025" xr:uid="{00000000-0005-0000-0000-000088370000}"/>
    <cellStyle name="40% - Accent2 8 4 3 2 3 2" xfId="47858" xr:uid="{D5AE2412-9707-46FA-9E4D-17A651CD0CC3}"/>
    <cellStyle name="40% - Accent2 8 4 3 2 4" xfId="31981" xr:uid="{55DFA4F5-27AE-4D8C-A1C7-EEAF09D1B3D5}"/>
    <cellStyle name="40% - Accent2 8 4 3 3" xfId="12541" xr:uid="{00000000-0005-0000-0000-000089370000}"/>
    <cellStyle name="40% - Accent2 8 4 3 3 2" xfId="36391" xr:uid="{6618377E-56FE-4D77-9168-296DF091970F}"/>
    <cellStyle name="40% - Accent2 8 4 3 4" xfId="20496" xr:uid="{00000000-0005-0000-0000-00008A370000}"/>
    <cellStyle name="40% - Accent2 8 4 3 4 2" xfId="44329" xr:uid="{A75EF86C-2169-4C2A-9480-9A21F582C610}"/>
    <cellStyle name="40% - Accent2 8 4 3 5" xfId="28450" xr:uid="{E982B94F-593C-4E4F-87C0-B8DD22EF99EA}"/>
    <cellStyle name="40% - Accent2 8 4 4" xfId="6346" xr:uid="{00000000-0005-0000-0000-00008B370000}"/>
    <cellStyle name="40% - Accent2 8 4 4 2" xfId="14321" xr:uid="{00000000-0005-0000-0000-00008C370000}"/>
    <cellStyle name="40% - Accent2 8 4 4 2 2" xfId="38164" xr:uid="{23C4C772-4BE1-4B5E-841F-EDE5299540EB}"/>
    <cellStyle name="40% - Accent2 8 4 4 3" xfId="22268" xr:uid="{00000000-0005-0000-0000-00008D370000}"/>
    <cellStyle name="40% - Accent2 8 4 4 3 2" xfId="46101" xr:uid="{FB64CBE3-4D14-422C-AF10-D2A5F5D444F8}"/>
    <cellStyle name="40% - Accent2 8 4 4 4" xfId="30223" xr:uid="{8D6B4493-525C-4518-AB1F-A6908CB25CCA}"/>
    <cellStyle name="40% - Accent2 8 4 5" xfId="9889" xr:uid="{00000000-0005-0000-0000-00008E370000}"/>
    <cellStyle name="40% - Accent2 8 4 5 2" xfId="17847" xr:uid="{00000000-0005-0000-0000-00008F370000}"/>
    <cellStyle name="40% - Accent2 8 4 5 2 2" xfId="41688" xr:uid="{1A41FFB4-889D-41A8-99A1-3045A76DFA07}"/>
    <cellStyle name="40% - Accent2 8 4 5 3" xfId="25791" xr:uid="{00000000-0005-0000-0000-000090370000}"/>
    <cellStyle name="40% - Accent2 8 4 5 3 2" xfId="49624" xr:uid="{3AF30844-6C14-4A26-8CA8-47570F58EBD8}"/>
    <cellStyle name="40% - Accent2 8 4 5 4" xfId="33747" xr:uid="{A521ED10-1DB1-42B7-B652-5DBA9E2EACF7}"/>
    <cellStyle name="40% - Accent2 8 4 6" xfId="10785" xr:uid="{00000000-0005-0000-0000-000091370000}"/>
    <cellStyle name="40% - Accent2 8 4 6 2" xfId="34635" xr:uid="{5DFB1549-C53D-4EB6-9383-D12E5ACD7BD4}"/>
    <cellStyle name="40% - Accent2 8 4 7" xfId="18740" xr:uid="{00000000-0005-0000-0000-000092370000}"/>
    <cellStyle name="40% - Accent2 8 4 7 2" xfId="42573" xr:uid="{21D07A62-7793-4CDE-A0A4-15F37671CDD2}"/>
    <cellStyle name="40% - Accent2 8 4 8" xfId="26693" xr:uid="{B1BCB9A7-AB0D-4A01-977E-5C5F15B70EE0}"/>
    <cellStyle name="40% - Accent2 8 4_Exh G" xfId="2920" xr:uid="{00000000-0005-0000-0000-000093370000}"/>
    <cellStyle name="40% - Accent2 8 5" xfId="1453" xr:uid="{00000000-0005-0000-0000-000094370000}"/>
    <cellStyle name="40% - Accent2 8 5 2" xfId="4983" xr:uid="{00000000-0005-0000-0000-000095370000}"/>
    <cellStyle name="40% - Accent2 8 5 2 2" xfId="8574" xr:uid="{00000000-0005-0000-0000-000096370000}"/>
    <cellStyle name="40% - Accent2 8 5 2 2 2" xfId="16545" xr:uid="{00000000-0005-0000-0000-000097370000}"/>
    <cellStyle name="40% - Accent2 8 5 2 2 2 2" xfId="40388" xr:uid="{E313DED2-6271-4E88-AEFF-E95C74D6D158}"/>
    <cellStyle name="40% - Accent2 8 5 2 2 3" xfId="24491" xr:uid="{00000000-0005-0000-0000-000098370000}"/>
    <cellStyle name="40% - Accent2 8 5 2 2 3 2" xfId="48324" xr:uid="{BFB57539-416D-42AD-843A-F681CEA12F42}"/>
    <cellStyle name="40% - Accent2 8 5 2 2 4" xfId="32447" xr:uid="{17CBA1A4-553D-4C6D-A60F-9B48ABC640F8}"/>
    <cellStyle name="40% - Accent2 8 5 2 3" xfId="13007" xr:uid="{00000000-0005-0000-0000-000099370000}"/>
    <cellStyle name="40% - Accent2 8 5 2 3 2" xfId="36857" xr:uid="{C9BCEA1E-206E-409C-98D6-C8977F560B37}"/>
    <cellStyle name="40% - Accent2 8 5 2 4" xfId="20962" xr:uid="{00000000-0005-0000-0000-00009A370000}"/>
    <cellStyle name="40% - Accent2 8 5 2 4 2" xfId="44795" xr:uid="{17FB4A9E-D5BB-414A-A383-B340D131420D}"/>
    <cellStyle name="40% - Accent2 8 5 2 5" xfId="28916" xr:uid="{6FE6BBA4-DB50-4B09-AA79-AF5B9609E6F6}"/>
    <cellStyle name="40% - Accent2 8 5 3" xfId="6815" xr:uid="{00000000-0005-0000-0000-00009B370000}"/>
    <cellStyle name="40% - Accent2 8 5 3 2" xfId="14787" xr:uid="{00000000-0005-0000-0000-00009C370000}"/>
    <cellStyle name="40% - Accent2 8 5 3 2 2" xfId="38630" xr:uid="{F8784868-AFA1-4977-9133-53A99A7E8BDD}"/>
    <cellStyle name="40% - Accent2 8 5 3 3" xfId="22734" xr:uid="{00000000-0005-0000-0000-00009D370000}"/>
    <cellStyle name="40% - Accent2 8 5 3 3 2" xfId="46567" xr:uid="{BBB9F074-E783-4952-AEB1-FE463626447D}"/>
    <cellStyle name="40% - Accent2 8 5 3 4" xfId="30689" xr:uid="{4D6405A0-9620-4836-8C0F-C5628E75FC12}"/>
    <cellStyle name="40% - Accent2 8 5 4" xfId="11251" xr:uid="{00000000-0005-0000-0000-00009E370000}"/>
    <cellStyle name="40% - Accent2 8 5 4 2" xfId="35101" xr:uid="{56923332-C037-499B-BD93-F231514C241F}"/>
    <cellStyle name="40% - Accent2 8 5 5" xfId="19206" xr:uid="{00000000-0005-0000-0000-00009F370000}"/>
    <cellStyle name="40% - Accent2 8 5 5 2" xfId="43039" xr:uid="{2AC1C9A4-9261-441D-AB23-83C935D26DED}"/>
    <cellStyle name="40% - Accent2 8 5 6" xfId="27159" xr:uid="{A041A3CA-D97F-4D03-884B-6208AFB24A5B}"/>
    <cellStyle name="40% - Accent2 8 5_Exh G" xfId="2922" xr:uid="{00000000-0005-0000-0000-0000A0370000}"/>
    <cellStyle name="40% - Accent2 8 6" xfId="4104" xr:uid="{00000000-0005-0000-0000-0000A1370000}"/>
    <cellStyle name="40% - Accent2 8 6 2" xfId="7696" xr:uid="{00000000-0005-0000-0000-0000A2370000}"/>
    <cellStyle name="40% - Accent2 8 6 2 2" xfId="15667" xr:uid="{00000000-0005-0000-0000-0000A3370000}"/>
    <cellStyle name="40% - Accent2 8 6 2 2 2" xfId="39510" xr:uid="{ADAA81E3-1F7B-4671-B3DA-CCEDF1EC3049}"/>
    <cellStyle name="40% - Accent2 8 6 2 3" xfId="23613" xr:uid="{00000000-0005-0000-0000-0000A4370000}"/>
    <cellStyle name="40% - Accent2 8 6 2 3 2" xfId="47446" xr:uid="{6E791F29-1447-4278-B5AB-BEA85C7A4EF7}"/>
    <cellStyle name="40% - Accent2 8 6 2 4" xfId="31569" xr:uid="{E00E6DB1-7769-48A5-B0B7-F46065B5C7B9}"/>
    <cellStyle name="40% - Accent2 8 6 3" xfId="12129" xr:uid="{00000000-0005-0000-0000-0000A5370000}"/>
    <cellStyle name="40% - Accent2 8 6 3 2" xfId="35979" xr:uid="{FF80691D-FB54-4DAD-91DF-B0A7D68C7551}"/>
    <cellStyle name="40% - Accent2 8 6 4" xfId="20084" xr:uid="{00000000-0005-0000-0000-0000A6370000}"/>
    <cellStyle name="40% - Accent2 8 6 4 2" xfId="43917" xr:uid="{0FE68EFB-6375-45EC-BDD2-A06632531571}"/>
    <cellStyle name="40% - Accent2 8 6 5" xfId="28038" xr:uid="{2A0E37D0-26AD-4F61-8783-91E79883E83F}"/>
    <cellStyle name="40% - Accent2 8 7" xfId="5924" xr:uid="{00000000-0005-0000-0000-0000A7370000}"/>
    <cellStyle name="40% - Accent2 8 7 2" xfId="13908" xr:uid="{00000000-0005-0000-0000-0000A8370000}"/>
    <cellStyle name="40% - Accent2 8 7 2 2" xfId="37752" xr:uid="{A1A14F8A-4773-4A48-A928-FC1D007A3B21}"/>
    <cellStyle name="40% - Accent2 8 7 3" xfId="21856" xr:uid="{00000000-0005-0000-0000-0000A9370000}"/>
    <cellStyle name="40% - Accent2 8 7 3 2" xfId="45689" xr:uid="{2442D272-CF9E-4764-A0F5-C041C27B9590}"/>
    <cellStyle name="40% - Accent2 8 7 4" xfId="29811" xr:uid="{4B44C72D-DB80-452D-A052-EE90005014E9}"/>
    <cellStyle name="40% - Accent2 8 8" xfId="9477" xr:uid="{00000000-0005-0000-0000-0000AA370000}"/>
    <cellStyle name="40% - Accent2 8 8 2" xfId="17435" xr:uid="{00000000-0005-0000-0000-0000AB370000}"/>
    <cellStyle name="40% - Accent2 8 8 2 2" xfId="41276" xr:uid="{C21C516F-7B6A-427C-A0AF-0DDAAD49FCFA}"/>
    <cellStyle name="40% - Accent2 8 8 3" xfId="25379" xr:uid="{00000000-0005-0000-0000-0000AC370000}"/>
    <cellStyle name="40% - Accent2 8 8 3 2" xfId="49212" xr:uid="{DD26547A-3AE5-446A-941F-CA97C360B641}"/>
    <cellStyle name="40% - Accent2 8 8 4" xfId="33335" xr:uid="{A2AF59D1-06FC-4728-935B-A544B8AC9D0B}"/>
    <cellStyle name="40% - Accent2 8 9" xfId="10373" xr:uid="{00000000-0005-0000-0000-0000AD370000}"/>
    <cellStyle name="40% - Accent2 8 9 2" xfId="34223" xr:uid="{A331A7E6-3959-4BE5-B6AD-AE4A76AE8C39}"/>
    <cellStyle name="40% - Accent2 8_Exh G" xfId="2913" xr:uid="{00000000-0005-0000-0000-0000AE370000}"/>
    <cellStyle name="40% - Accent2 9" xfId="429" xr:uid="{00000000-0005-0000-0000-0000AF370000}"/>
    <cellStyle name="40% - Accent2 9 10" xfId="18332" xr:uid="{00000000-0005-0000-0000-0000B0370000}"/>
    <cellStyle name="40% - Accent2 9 10 2" xfId="42165" xr:uid="{9D91FDB2-C365-453E-8144-1F269643EA1E}"/>
    <cellStyle name="40% - Accent2 9 11" xfId="26285" xr:uid="{9B3071E1-9458-4F54-9A6F-7DB759DD7791}"/>
    <cellStyle name="40% - Accent2 9 2" xfId="430" xr:uid="{00000000-0005-0000-0000-0000B1370000}"/>
    <cellStyle name="40% - Accent2 9 2 2" xfId="431" xr:uid="{00000000-0005-0000-0000-0000B2370000}"/>
    <cellStyle name="40% - Accent2 9 2 2 2" xfId="1459" xr:uid="{00000000-0005-0000-0000-0000B3370000}"/>
    <cellStyle name="40% - Accent2 9 2 2 2 2" xfId="4989" xr:uid="{00000000-0005-0000-0000-0000B4370000}"/>
    <cellStyle name="40% - Accent2 9 2 2 2 2 2" xfId="8580" xr:uid="{00000000-0005-0000-0000-0000B5370000}"/>
    <cellStyle name="40% - Accent2 9 2 2 2 2 2 2" xfId="16551" xr:uid="{00000000-0005-0000-0000-0000B6370000}"/>
    <cellStyle name="40% - Accent2 9 2 2 2 2 2 2 2" xfId="40394" xr:uid="{1A818EA2-7691-4330-8554-576F7850859E}"/>
    <cellStyle name="40% - Accent2 9 2 2 2 2 2 3" xfId="24497" xr:uid="{00000000-0005-0000-0000-0000B7370000}"/>
    <cellStyle name="40% - Accent2 9 2 2 2 2 2 3 2" xfId="48330" xr:uid="{A5CD495C-85A5-4FE5-BA81-385108154547}"/>
    <cellStyle name="40% - Accent2 9 2 2 2 2 2 4" xfId="32453" xr:uid="{4F38F85C-B37C-489A-8FA7-9EA6F9789AEA}"/>
    <cellStyle name="40% - Accent2 9 2 2 2 2 3" xfId="13013" xr:uid="{00000000-0005-0000-0000-0000B8370000}"/>
    <cellStyle name="40% - Accent2 9 2 2 2 2 3 2" xfId="36863" xr:uid="{62C34F96-6E74-4C83-B4BA-1C6DB3605904}"/>
    <cellStyle name="40% - Accent2 9 2 2 2 2 4" xfId="20968" xr:uid="{00000000-0005-0000-0000-0000B9370000}"/>
    <cellStyle name="40% - Accent2 9 2 2 2 2 4 2" xfId="44801" xr:uid="{A9F41B72-D9F1-4892-8EB5-9BC63235CB19}"/>
    <cellStyle name="40% - Accent2 9 2 2 2 2 5" xfId="28922" xr:uid="{0733DC69-A294-45A5-A4EB-A56D0E9F15AF}"/>
    <cellStyle name="40% - Accent2 9 2 2 2 3" xfId="6821" xr:uid="{00000000-0005-0000-0000-0000BA370000}"/>
    <cellStyle name="40% - Accent2 9 2 2 2 3 2" xfId="14793" xr:uid="{00000000-0005-0000-0000-0000BB370000}"/>
    <cellStyle name="40% - Accent2 9 2 2 2 3 2 2" xfId="38636" xr:uid="{10A2A6C3-A5CA-4C2D-8804-155387022186}"/>
    <cellStyle name="40% - Accent2 9 2 2 2 3 3" xfId="22740" xr:uid="{00000000-0005-0000-0000-0000BC370000}"/>
    <cellStyle name="40% - Accent2 9 2 2 2 3 3 2" xfId="46573" xr:uid="{420194A5-76D1-42ED-91CA-67D0DC576AC4}"/>
    <cellStyle name="40% - Accent2 9 2 2 2 3 4" xfId="30695" xr:uid="{76DCCD73-6809-45BF-8B7B-3319141C8DE5}"/>
    <cellStyle name="40% - Accent2 9 2 2 2 4" xfId="11257" xr:uid="{00000000-0005-0000-0000-0000BD370000}"/>
    <cellStyle name="40% - Accent2 9 2 2 2 4 2" xfId="35107" xr:uid="{935FABA4-C928-436C-A0B0-F922FDADC186}"/>
    <cellStyle name="40% - Accent2 9 2 2 2 5" xfId="19212" xr:uid="{00000000-0005-0000-0000-0000BE370000}"/>
    <cellStyle name="40% - Accent2 9 2 2 2 5 2" xfId="43045" xr:uid="{38B163DF-5DCA-4268-9F5C-C7B05770CB9F}"/>
    <cellStyle name="40% - Accent2 9 2 2 2 6" xfId="27165" xr:uid="{739B09BB-1764-4BB2-AEF0-29280343C519}"/>
    <cellStyle name="40% - Accent2 9 2 2 2_Exh G" xfId="2926" xr:uid="{00000000-0005-0000-0000-0000BF370000}"/>
    <cellStyle name="40% - Accent2 9 2 2 3" xfId="4110" xr:uid="{00000000-0005-0000-0000-0000C0370000}"/>
    <cellStyle name="40% - Accent2 9 2 2 3 2" xfId="7702" xr:uid="{00000000-0005-0000-0000-0000C1370000}"/>
    <cellStyle name="40% - Accent2 9 2 2 3 2 2" xfId="15673" xr:uid="{00000000-0005-0000-0000-0000C2370000}"/>
    <cellStyle name="40% - Accent2 9 2 2 3 2 2 2" xfId="39516" xr:uid="{FA9D3525-5638-45BF-B2BF-591F2CA8F684}"/>
    <cellStyle name="40% - Accent2 9 2 2 3 2 3" xfId="23619" xr:uid="{00000000-0005-0000-0000-0000C3370000}"/>
    <cellStyle name="40% - Accent2 9 2 2 3 2 3 2" xfId="47452" xr:uid="{B774D899-44E0-41E2-9EE9-7A888C21B027}"/>
    <cellStyle name="40% - Accent2 9 2 2 3 2 4" xfId="31575" xr:uid="{AD255D7D-0B95-47CE-AAC5-5B9C727F3110}"/>
    <cellStyle name="40% - Accent2 9 2 2 3 3" xfId="12135" xr:uid="{00000000-0005-0000-0000-0000C4370000}"/>
    <cellStyle name="40% - Accent2 9 2 2 3 3 2" xfId="35985" xr:uid="{AC8EF79F-DB46-4FE8-B4B4-43902ED61CBA}"/>
    <cellStyle name="40% - Accent2 9 2 2 3 4" xfId="20090" xr:uid="{00000000-0005-0000-0000-0000C5370000}"/>
    <cellStyle name="40% - Accent2 9 2 2 3 4 2" xfId="43923" xr:uid="{C8F06135-2199-41AE-8921-E976EDA667F2}"/>
    <cellStyle name="40% - Accent2 9 2 2 3 5" xfId="28044" xr:uid="{1D86BF30-15EB-424B-84B7-8C8290F05E66}"/>
    <cellStyle name="40% - Accent2 9 2 2 4" xfId="5930" xr:uid="{00000000-0005-0000-0000-0000C6370000}"/>
    <cellStyle name="40% - Accent2 9 2 2 4 2" xfId="13914" xr:uid="{00000000-0005-0000-0000-0000C7370000}"/>
    <cellStyle name="40% - Accent2 9 2 2 4 2 2" xfId="37758" xr:uid="{739F20C5-B67D-442D-98F8-C076F416C404}"/>
    <cellStyle name="40% - Accent2 9 2 2 4 3" xfId="21862" xr:uid="{00000000-0005-0000-0000-0000C8370000}"/>
    <cellStyle name="40% - Accent2 9 2 2 4 3 2" xfId="45695" xr:uid="{55811174-9025-4278-A321-A25AAFFFEB4E}"/>
    <cellStyle name="40% - Accent2 9 2 2 4 4" xfId="29817" xr:uid="{51F1E1B5-EDE1-4FF4-B198-7FE6D9E7074B}"/>
    <cellStyle name="40% - Accent2 9 2 2 5" xfId="9483" xr:uid="{00000000-0005-0000-0000-0000C9370000}"/>
    <cellStyle name="40% - Accent2 9 2 2 5 2" xfId="17441" xr:uid="{00000000-0005-0000-0000-0000CA370000}"/>
    <cellStyle name="40% - Accent2 9 2 2 5 2 2" xfId="41282" xr:uid="{E5CAF9CD-FFF3-4C77-9F46-29542368B91E}"/>
    <cellStyle name="40% - Accent2 9 2 2 5 3" xfId="25385" xr:uid="{00000000-0005-0000-0000-0000CB370000}"/>
    <cellStyle name="40% - Accent2 9 2 2 5 3 2" xfId="49218" xr:uid="{CBDB4F8D-19E4-4404-97E0-CBE820B69B3D}"/>
    <cellStyle name="40% - Accent2 9 2 2 5 4" xfId="33341" xr:uid="{7217F120-38CB-4759-B2B5-42A27FFAC177}"/>
    <cellStyle name="40% - Accent2 9 2 2 6" xfId="10379" xr:uid="{00000000-0005-0000-0000-0000CC370000}"/>
    <cellStyle name="40% - Accent2 9 2 2 6 2" xfId="34229" xr:uid="{AD229586-A75A-4D63-9205-5AE526A2D5FC}"/>
    <cellStyle name="40% - Accent2 9 2 2 7" xfId="18334" xr:uid="{00000000-0005-0000-0000-0000CD370000}"/>
    <cellStyle name="40% - Accent2 9 2 2 7 2" xfId="42167" xr:uid="{23193DAD-342C-4584-8CD8-C0E7D034429E}"/>
    <cellStyle name="40% - Accent2 9 2 2 8" xfId="26287" xr:uid="{38EE6F9E-4A24-469F-A16E-0A340FF16C1D}"/>
    <cellStyle name="40% - Accent2 9 2 2_Exh G" xfId="2925" xr:uid="{00000000-0005-0000-0000-0000CE370000}"/>
    <cellStyle name="40% - Accent2 9 2 3" xfId="1458" xr:uid="{00000000-0005-0000-0000-0000CF370000}"/>
    <cellStyle name="40% - Accent2 9 2 3 2" xfId="4988" xr:uid="{00000000-0005-0000-0000-0000D0370000}"/>
    <cellStyle name="40% - Accent2 9 2 3 2 2" xfId="8579" xr:uid="{00000000-0005-0000-0000-0000D1370000}"/>
    <cellStyle name="40% - Accent2 9 2 3 2 2 2" xfId="16550" xr:uid="{00000000-0005-0000-0000-0000D2370000}"/>
    <cellStyle name="40% - Accent2 9 2 3 2 2 2 2" xfId="40393" xr:uid="{9DF12AF6-0C55-4F9E-B6F7-420525AF1D8A}"/>
    <cellStyle name="40% - Accent2 9 2 3 2 2 3" xfId="24496" xr:uid="{00000000-0005-0000-0000-0000D3370000}"/>
    <cellStyle name="40% - Accent2 9 2 3 2 2 3 2" xfId="48329" xr:uid="{0E56A1AE-BDA8-45DB-B33E-369C08A91B23}"/>
    <cellStyle name="40% - Accent2 9 2 3 2 2 4" xfId="32452" xr:uid="{3C25C93C-8648-4CA5-BC40-6D4237ADD252}"/>
    <cellStyle name="40% - Accent2 9 2 3 2 3" xfId="13012" xr:uid="{00000000-0005-0000-0000-0000D4370000}"/>
    <cellStyle name="40% - Accent2 9 2 3 2 3 2" xfId="36862" xr:uid="{0A43FE63-BEF9-4DB8-B964-2F2F7DEDBBDD}"/>
    <cellStyle name="40% - Accent2 9 2 3 2 4" xfId="20967" xr:uid="{00000000-0005-0000-0000-0000D5370000}"/>
    <cellStyle name="40% - Accent2 9 2 3 2 4 2" xfId="44800" xr:uid="{E37BF21A-4D06-4C98-B90F-D56E34E475A0}"/>
    <cellStyle name="40% - Accent2 9 2 3 2 5" xfId="28921" xr:uid="{024C505E-6FA0-40FC-A2AE-92995E20562E}"/>
    <cellStyle name="40% - Accent2 9 2 3 3" xfId="6820" xr:uid="{00000000-0005-0000-0000-0000D6370000}"/>
    <cellStyle name="40% - Accent2 9 2 3 3 2" xfId="14792" xr:uid="{00000000-0005-0000-0000-0000D7370000}"/>
    <cellStyle name="40% - Accent2 9 2 3 3 2 2" xfId="38635" xr:uid="{BEBF3962-A3CB-43B1-AD40-3918B3B7EFAF}"/>
    <cellStyle name="40% - Accent2 9 2 3 3 3" xfId="22739" xr:uid="{00000000-0005-0000-0000-0000D8370000}"/>
    <cellStyle name="40% - Accent2 9 2 3 3 3 2" xfId="46572" xr:uid="{7AD98134-79FE-4F52-86B5-35254B0D059A}"/>
    <cellStyle name="40% - Accent2 9 2 3 3 4" xfId="30694" xr:uid="{2BBF786B-DE70-4C8D-8474-8D8444EAB932}"/>
    <cellStyle name="40% - Accent2 9 2 3 4" xfId="11256" xr:uid="{00000000-0005-0000-0000-0000D9370000}"/>
    <cellStyle name="40% - Accent2 9 2 3 4 2" xfId="35106" xr:uid="{86C2B4FD-7D41-4138-A882-164E655F6C7F}"/>
    <cellStyle name="40% - Accent2 9 2 3 5" xfId="19211" xr:uid="{00000000-0005-0000-0000-0000DA370000}"/>
    <cellStyle name="40% - Accent2 9 2 3 5 2" xfId="43044" xr:uid="{ECDDEC4C-D31C-4524-891B-0D9CC8CFC646}"/>
    <cellStyle name="40% - Accent2 9 2 3 6" xfId="27164" xr:uid="{DFA5B8FD-DA1D-4D03-8D37-3F64CAE4E617}"/>
    <cellStyle name="40% - Accent2 9 2 3_Exh G" xfId="2927" xr:uid="{00000000-0005-0000-0000-0000DB370000}"/>
    <cellStyle name="40% - Accent2 9 2 4" xfId="4109" xr:uid="{00000000-0005-0000-0000-0000DC370000}"/>
    <cellStyle name="40% - Accent2 9 2 4 2" xfId="7701" xr:uid="{00000000-0005-0000-0000-0000DD370000}"/>
    <cellStyle name="40% - Accent2 9 2 4 2 2" xfId="15672" xr:uid="{00000000-0005-0000-0000-0000DE370000}"/>
    <cellStyle name="40% - Accent2 9 2 4 2 2 2" xfId="39515" xr:uid="{4F1B26FE-6F09-467F-9419-DED247948235}"/>
    <cellStyle name="40% - Accent2 9 2 4 2 3" xfId="23618" xr:uid="{00000000-0005-0000-0000-0000DF370000}"/>
    <cellStyle name="40% - Accent2 9 2 4 2 3 2" xfId="47451" xr:uid="{B55BDB90-638B-4A1C-AC5E-245FE7A06799}"/>
    <cellStyle name="40% - Accent2 9 2 4 2 4" xfId="31574" xr:uid="{BEB32DAF-CAE3-4E95-8030-A5545C205AC0}"/>
    <cellStyle name="40% - Accent2 9 2 4 3" xfId="12134" xr:uid="{00000000-0005-0000-0000-0000E0370000}"/>
    <cellStyle name="40% - Accent2 9 2 4 3 2" xfId="35984" xr:uid="{F5C6A411-21D8-4448-8E39-AFDD403887E2}"/>
    <cellStyle name="40% - Accent2 9 2 4 4" xfId="20089" xr:uid="{00000000-0005-0000-0000-0000E1370000}"/>
    <cellStyle name="40% - Accent2 9 2 4 4 2" xfId="43922" xr:uid="{EF5F5EA9-DE80-488B-B53C-CA081D2AE2FA}"/>
    <cellStyle name="40% - Accent2 9 2 4 5" xfId="28043" xr:uid="{A2516867-F9FE-4624-B365-B2C88DB17678}"/>
    <cellStyle name="40% - Accent2 9 2 5" xfId="5929" xr:uid="{00000000-0005-0000-0000-0000E2370000}"/>
    <cellStyle name="40% - Accent2 9 2 5 2" xfId="13913" xr:uid="{00000000-0005-0000-0000-0000E3370000}"/>
    <cellStyle name="40% - Accent2 9 2 5 2 2" xfId="37757" xr:uid="{56C92A42-B2DD-4836-AA70-EF9674018CB5}"/>
    <cellStyle name="40% - Accent2 9 2 5 3" xfId="21861" xr:uid="{00000000-0005-0000-0000-0000E4370000}"/>
    <cellStyle name="40% - Accent2 9 2 5 3 2" xfId="45694" xr:uid="{58CEA88D-C075-442B-9336-C9DDF3DDD660}"/>
    <cellStyle name="40% - Accent2 9 2 5 4" xfId="29816" xr:uid="{4C334CD2-E586-4F44-9B9C-818BB771E86C}"/>
    <cellStyle name="40% - Accent2 9 2 6" xfId="9482" xr:uid="{00000000-0005-0000-0000-0000E5370000}"/>
    <cellStyle name="40% - Accent2 9 2 6 2" xfId="17440" xr:uid="{00000000-0005-0000-0000-0000E6370000}"/>
    <cellStyle name="40% - Accent2 9 2 6 2 2" xfId="41281" xr:uid="{C25CB17D-35BE-45D8-9C61-5AD1970BE244}"/>
    <cellStyle name="40% - Accent2 9 2 6 3" xfId="25384" xr:uid="{00000000-0005-0000-0000-0000E7370000}"/>
    <cellStyle name="40% - Accent2 9 2 6 3 2" xfId="49217" xr:uid="{97CBC0E7-2491-4457-8B03-779050793471}"/>
    <cellStyle name="40% - Accent2 9 2 6 4" xfId="33340" xr:uid="{0C5C4C72-16BD-4907-93BD-68CA9E58B38D}"/>
    <cellStyle name="40% - Accent2 9 2 7" xfId="10378" xr:uid="{00000000-0005-0000-0000-0000E8370000}"/>
    <cellStyle name="40% - Accent2 9 2 7 2" xfId="34228" xr:uid="{77B53D50-72F6-40A3-8C4B-1014FDF2FEB9}"/>
    <cellStyle name="40% - Accent2 9 2 8" xfId="18333" xr:uid="{00000000-0005-0000-0000-0000E9370000}"/>
    <cellStyle name="40% - Accent2 9 2 8 2" xfId="42166" xr:uid="{CC2A0CDC-32AF-4A6D-A56D-F74B0593AC6E}"/>
    <cellStyle name="40% - Accent2 9 2 9" xfId="26286" xr:uid="{3FACE7AA-7F60-4ABC-BF64-6E4F4EE04223}"/>
    <cellStyle name="40% - Accent2 9 2_Exh G" xfId="2924" xr:uid="{00000000-0005-0000-0000-0000EA370000}"/>
    <cellStyle name="40% - Accent2 9 3" xfId="432" xr:uid="{00000000-0005-0000-0000-0000EB370000}"/>
    <cellStyle name="40% - Accent2 9 3 2" xfId="1460" xr:uid="{00000000-0005-0000-0000-0000EC370000}"/>
    <cellStyle name="40% - Accent2 9 3 2 2" xfId="4990" xr:uid="{00000000-0005-0000-0000-0000ED370000}"/>
    <cellStyle name="40% - Accent2 9 3 2 2 2" xfId="8581" xr:uid="{00000000-0005-0000-0000-0000EE370000}"/>
    <cellStyle name="40% - Accent2 9 3 2 2 2 2" xfId="16552" xr:uid="{00000000-0005-0000-0000-0000EF370000}"/>
    <cellStyle name="40% - Accent2 9 3 2 2 2 2 2" xfId="40395" xr:uid="{9306A775-9FDC-4F8F-82E8-C9CC5BBF55E4}"/>
    <cellStyle name="40% - Accent2 9 3 2 2 2 3" xfId="24498" xr:uid="{00000000-0005-0000-0000-0000F0370000}"/>
    <cellStyle name="40% - Accent2 9 3 2 2 2 3 2" xfId="48331" xr:uid="{0187C5FD-F4AE-4C26-B74F-BD3B6B25B2F1}"/>
    <cellStyle name="40% - Accent2 9 3 2 2 2 4" xfId="32454" xr:uid="{2CB3993B-E102-4D23-BA8C-4D1E85D44147}"/>
    <cellStyle name="40% - Accent2 9 3 2 2 3" xfId="13014" xr:uid="{00000000-0005-0000-0000-0000F1370000}"/>
    <cellStyle name="40% - Accent2 9 3 2 2 3 2" xfId="36864" xr:uid="{8913A634-014C-490D-A7A6-775191DD6514}"/>
    <cellStyle name="40% - Accent2 9 3 2 2 4" xfId="20969" xr:uid="{00000000-0005-0000-0000-0000F2370000}"/>
    <cellStyle name="40% - Accent2 9 3 2 2 4 2" xfId="44802" xr:uid="{C822EECF-A8CE-4DDD-8E83-EAACDA9ABAEB}"/>
    <cellStyle name="40% - Accent2 9 3 2 2 5" xfId="28923" xr:uid="{093434C1-93B2-455C-837A-4DF056AE6734}"/>
    <cellStyle name="40% - Accent2 9 3 2 3" xfId="6822" xr:uid="{00000000-0005-0000-0000-0000F3370000}"/>
    <cellStyle name="40% - Accent2 9 3 2 3 2" xfId="14794" xr:uid="{00000000-0005-0000-0000-0000F4370000}"/>
    <cellStyle name="40% - Accent2 9 3 2 3 2 2" xfId="38637" xr:uid="{86E944D1-F4D8-489B-87D6-D8673E37C7A6}"/>
    <cellStyle name="40% - Accent2 9 3 2 3 3" xfId="22741" xr:uid="{00000000-0005-0000-0000-0000F5370000}"/>
    <cellStyle name="40% - Accent2 9 3 2 3 3 2" xfId="46574" xr:uid="{64057FBE-10FF-474F-BB75-B0EE16BD9B85}"/>
    <cellStyle name="40% - Accent2 9 3 2 3 4" xfId="30696" xr:uid="{41B38F75-1AB0-4D89-925C-FED12BF7A74B}"/>
    <cellStyle name="40% - Accent2 9 3 2 4" xfId="11258" xr:uid="{00000000-0005-0000-0000-0000F6370000}"/>
    <cellStyle name="40% - Accent2 9 3 2 4 2" xfId="35108" xr:uid="{4BDF730A-6C7B-4F4C-8C5A-AE74DBBCAFC2}"/>
    <cellStyle name="40% - Accent2 9 3 2 5" xfId="19213" xr:uid="{00000000-0005-0000-0000-0000F7370000}"/>
    <cellStyle name="40% - Accent2 9 3 2 5 2" xfId="43046" xr:uid="{B5308980-702F-4C38-BB80-72451CB056E1}"/>
    <cellStyle name="40% - Accent2 9 3 2 6" xfId="27166" xr:uid="{4DA81E0F-B881-44A5-AC8E-A8BFBBCE34BC}"/>
    <cellStyle name="40% - Accent2 9 3 2_Exh G" xfId="2929" xr:uid="{00000000-0005-0000-0000-0000F8370000}"/>
    <cellStyle name="40% - Accent2 9 3 3" xfId="4111" xr:uid="{00000000-0005-0000-0000-0000F9370000}"/>
    <cellStyle name="40% - Accent2 9 3 3 2" xfId="7703" xr:uid="{00000000-0005-0000-0000-0000FA370000}"/>
    <cellStyle name="40% - Accent2 9 3 3 2 2" xfId="15674" xr:uid="{00000000-0005-0000-0000-0000FB370000}"/>
    <cellStyle name="40% - Accent2 9 3 3 2 2 2" xfId="39517" xr:uid="{6B11E242-8AD7-48E9-9AF6-28FE7A467315}"/>
    <cellStyle name="40% - Accent2 9 3 3 2 3" xfId="23620" xr:uid="{00000000-0005-0000-0000-0000FC370000}"/>
    <cellStyle name="40% - Accent2 9 3 3 2 3 2" xfId="47453" xr:uid="{0405BFD6-2C35-4DB9-8AD5-B92E4511581A}"/>
    <cellStyle name="40% - Accent2 9 3 3 2 4" xfId="31576" xr:uid="{A54B87EA-E5DA-4007-8074-FD74416D4E6D}"/>
    <cellStyle name="40% - Accent2 9 3 3 3" xfId="12136" xr:uid="{00000000-0005-0000-0000-0000FD370000}"/>
    <cellStyle name="40% - Accent2 9 3 3 3 2" xfId="35986" xr:uid="{02F08A68-B2BE-49D9-B697-6F4F06518E19}"/>
    <cellStyle name="40% - Accent2 9 3 3 4" xfId="20091" xr:uid="{00000000-0005-0000-0000-0000FE370000}"/>
    <cellStyle name="40% - Accent2 9 3 3 4 2" xfId="43924" xr:uid="{4DB60B6E-7628-4631-A76B-360273C3C945}"/>
    <cellStyle name="40% - Accent2 9 3 3 5" xfId="28045" xr:uid="{222BACE6-9123-4CF3-BB70-24960BAF1EA4}"/>
    <cellStyle name="40% - Accent2 9 3 4" xfId="5931" xr:uid="{00000000-0005-0000-0000-0000FF370000}"/>
    <cellStyle name="40% - Accent2 9 3 4 2" xfId="13915" xr:uid="{00000000-0005-0000-0000-000000380000}"/>
    <cellStyle name="40% - Accent2 9 3 4 2 2" xfId="37759" xr:uid="{578D6B04-978D-4D5A-B763-DC544BF320B5}"/>
    <cellStyle name="40% - Accent2 9 3 4 3" xfId="21863" xr:uid="{00000000-0005-0000-0000-000001380000}"/>
    <cellStyle name="40% - Accent2 9 3 4 3 2" xfId="45696" xr:uid="{30D3F7B4-EB3D-40EF-96C5-BE7D751315EB}"/>
    <cellStyle name="40% - Accent2 9 3 4 4" xfId="29818" xr:uid="{D7E1E6C8-DD5F-4515-B796-A51F451DCC5B}"/>
    <cellStyle name="40% - Accent2 9 3 5" xfId="9484" xr:uid="{00000000-0005-0000-0000-000002380000}"/>
    <cellStyle name="40% - Accent2 9 3 5 2" xfId="17442" xr:uid="{00000000-0005-0000-0000-000003380000}"/>
    <cellStyle name="40% - Accent2 9 3 5 2 2" xfId="41283" xr:uid="{68506962-92E0-4F84-820F-FDF7D0213437}"/>
    <cellStyle name="40% - Accent2 9 3 5 3" xfId="25386" xr:uid="{00000000-0005-0000-0000-000004380000}"/>
    <cellStyle name="40% - Accent2 9 3 5 3 2" xfId="49219" xr:uid="{92750618-9641-42BA-8DDF-02D30751E469}"/>
    <cellStyle name="40% - Accent2 9 3 5 4" xfId="33342" xr:uid="{0C849CF7-3A69-499E-A76B-CCA610845635}"/>
    <cellStyle name="40% - Accent2 9 3 6" xfId="10380" xr:uid="{00000000-0005-0000-0000-000005380000}"/>
    <cellStyle name="40% - Accent2 9 3 6 2" xfId="34230" xr:uid="{D3D4B0E4-39C6-4180-9B07-F412090606A2}"/>
    <cellStyle name="40% - Accent2 9 3 7" xfId="18335" xr:uid="{00000000-0005-0000-0000-000006380000}"/>
    <cellStyle name="40% - Accent2 9 3 7 2" xfId="42168" xr:uid="{170EAA3B-7D7F-4CC7-AC74-35FF8411F793}"/>
    <cellStyle name="40% - Accent2 9 3 8" xfId="26288" xr:uid="{1B4C55E8-A639-4DF7-B9D0-18B3BE2BE7AB}"/>
    <cellStyle name="40% - Accent2 9 3_Exh G" xfId="2928" xr:uid="{00000000-0005-0000-0000-000007380000}"/>
    <cellStyle name="40% - Accent2 9 4" xfId="957" xr:uid="{00000000-0005-0000-0000-000008380000}"/>
    <cellStyle name="40% - Accent2 9 4 2" xfId="1878" xr:uid="{00000000-0005-0000-0000-000009380000}"/>
    <cellStyle name="40% - Accent2 9 4 2 2" xfId="5396" xr:uid="{00000000-0005-0000-0000-00000A380000}"/>
    <cellStyle name="40% - Accent2 9 4 2 2 2" xfId="8987" xr:uid="{00000000-0005-0000-0000-00000B380000}"/>
    <cellStyle name="40% - Accent2 9 4 2 2 2 2" xfId="16958" xr:uid="{00000000-0005-0000-0000-00000C380000}"/>
    <cellStyle name="40% - Accent2 9 4 2 2 2 2 2" xfId="40801" xr:uid="{E0A122CE-FC9E-46E6-B656-3A956257736B}"/>
    <cellStyle name="40% - Accent2 9 4 2 2 2 3" xfId="24904" xr:uid="{00000000-0005-0000-0000-00000D380000}"/>
    <cellStyle name="40% - Accent2 9 4 2 2 2 3 2" xfId="48737" xr:uid="{97A90131-A3F0-4C23-9ED8-16F093D3E548}"/>
    <cellStyle name="40% - Accent2 9 4 2 2 2 4" xfId="32860" xr:uid="{2FDC8149-86A8-4961-9365-AC034DFDD490}"/>
    <cellStyle name="40% - Accent2 9 4 2 2 3" xfId="13420" xr:uid="{00000000-0005-0000-0000-00000E380000}"/>
    <cellStyle name="40% - Accent2 9 4 2 2 3 2" xfId="37270" xr:uid="{9886D8A9-947C-4E3B-BA61-87C055BE628C}"/>
    <cellStyle name="40% - Accent2 9 4 2 2 4" xfId="21375" xr:uid="{00000000-0005-0000-0000-00000F380000}"/>
    <cellStyle name="40% - Accent2 9 4 2 2 4 2" xfId="45208" xr:uid="{C636207B-95C7-4BE3-8629-1FE24291882E}"/>
    <cellStyle name="40% - Accent2 9 4 2 2 5" xfId="29329" xr:uid="{B0836826-6B98-45D2-8A1F-5EBF4D0638EE}"/>
    <cellStyle name="40% - Accent2 9 4 2 3" xfId="7228" xr:uid="{00000000-0005-0000-0000-000010380000}"/>
    <cellStyle name="40% - Accent2 9 4 2 3 2" xfId="15200" xr:uid="{00000000-0005-0000-0000-000011380000}"/>
    <cellStyle name="40% - Accent2 9 4 2 3 2 2" xfId="39043" xr:uid="{8CB4FD69-E3AA-4208-AAE4-CB81641F20AD}"/>
    <cellStyle name="40% - Accent2 9 4 2 3 3" xfId="23147" xr:uid="{00000000-0005-0000-0000-000012380000}"/>
    <cellStyle name="40% - Accent2 9 4 2 3 3 2" xfId="46980" xr:uid="{CB8B7546-9AFA-4556-BAB4-B0A4E718ABF6}"/>
    <cellStyle name="40% - Accent2 9 4 2 3 4" xfId="31102" xr:uid="{C78F0782-194A-47CF-8166-4B08920677AF}"/>
    <cellStyle name="40% - Accent2 9 4 2 4" xfId="11664" xr:uid="{00000000-0005-0000-0000-000013380000}"/>
    <cellStyle name="40% - Accent2 9 4 2 4 2" xfId="35514" xr:uid="{71501CCD-E144-44ED-8D21-44FC393552A7}"/>
    <cellStyle name="40% - Accent2 9 4 2 5" xfId="19619" xr:uid="{00000000-0005-0000-0000-000014380000}"/>
    <cellStyle name="40% - Accent2 9 4 2 5 2" xfId="43452" xr:uid="{2F2A41AC-71FC-45FB-8914-F6714453273C}"/>
    <cellStyle name="40% - Accent2 9 4 2 6" xfId="27572" xr:uid="{CBD7ECC6-695C-4C9D-88C0-A5B03EDC9A20}"/>
    <cellStyle name="40% - Accent2 9 4 2_Exh G" xfId="2931" xr:uid="{00000000-0005-0000-0000-000015380000}"/>
    <cellStyle name="40% - Accent2 9 4 3" xfId="4517" xr:uid="{00000000-0005-0000-0000-000016380000}"/>
    <cellStyle name="40% - Accent2 9 4 3 2" xfId="8109" xr:uid="{00000000-0005-0000-0000-000017380000}"/>
    <cellStyle name="40% - Accent2 9 4 3 2 2" xfId="16080" xr:uid="{00000000-0005-0000-0000-000018380000}"/>
    <cellStyle name="40% - Accent2 9 4 3 2 2 2" xfId="39923" xr:uid="{FBB72158-22C5-4F6A-9684-7C2345134078}"/>
    <cellStyle name="40% - Accent2 9 4 3 2 3" xfId="24026" xr:uid="{00000000-0005-0000-0000-000019380000}"/>
    <cellStyle name="40% - Accent2 9 4 3 2 3 2" xfId="47859" xr:uid="{C9D2ED9E-9BD3-4987-BF00-929D31D34C52}"/>
    <cellStyle name="40% - Accent2 9 4 3 2 4" xfId="31982" xr:uid="{549D9582-2044-4CE7-952A-49E218904A11}"/>
    <cellStyle name="40% - Accent2 9 4 3 3" xfId="12542" xr:uid="{00000000-0005-0000-0000-00001A380000}"/>
    <cellStyle name="40% - Accent2 9 4 3 3 2" xfId="36392" xr:uid="{713A8996-D1BA-44F7-9428-9B9ADCCE8662}"/>
    <cellStyle name="40% - Accent2 9 4 3 4" xfId="20497" xr:uid="{00000000-0005-0000-0000-00001B380000}"/>
    <cellStyle name="40% - Accent2 9 4 3 4 2" xfId="44330" xr:uid="{5073C482-9A95-45B5-8566-4F1813C905BE}"/>
    <cellStyle name="40% - Accent2 9 4 3 5" xfId="28451" xr:uid="{13A11FA9-127A-430E-BDF9-7D731714D3B2}"/>
    <cellStyle name="40% - Accent2 9 4 4" xfId="6347" xr:uid="{00000000-0005-0000-0000-00001C380000}"/>
    <cellStyle name="40% - Accent2 9 4 4 2" xfId="14322" xr:uid="{00000000-0005-0000-0000-00001D380000}"/>
    <cellStyle name="40% - Accent2 9 4 4 2 2" xfId="38165" xr:uid="{0B5E94B6-7358-457E-BFE4-8621CBF0CA0F}"/>
    <cellStyle name="40% - Accent2 9 4 4 3" xfId="22269" xr:uid="{00000000-0005-0000-0000-00001E380000}"/>
    <cellStyle name="40% - Accent2 9 4 4 3 2" xfId="46102" xr:uid="{A6E95926-D0E9-4B72-81DA-4993D26D964A}"/>
    <cellStyle name="40% - Accent2 9 4 4 4" xfId="30224" xr:uid="{08750E39-DFC9-4069-B973-A9A6E0AA9ED8}"/>
    <cellStyle name="40% - Accent2 9 4 5" xfId="9890" xr:uid="{00000000-0005-0000-0000-00001F380000}"/>
    <cellStyle name="40% - Accent2 9 4 5 2" xfId="17848" xr:uid="{00000000-0005-0000-0000-000020380000}"/>
    <cellStyle name="40% - Accent2 9 4 5 2 2" xfId="41689" xr:uid="{4A67C841-9A28-4224-9B65-597308EB24D1}"/>
    <cellStyle name="40% - Accent2 9 4 5 3" xfId="25792" xr:uid="{00000000-0005-0000-0000-000021380000}"/>
    <cellStyle name="40% - Accent2 9 4 5 3 2" xfId="49625" xr:uid="{637120D7-D8BF-4C0F-8BCC-D9CD74F913B7}"/>
    <cellStyle name="40% - Accent2 9 4 5 4" xfId="33748" xr:uid="{FFDC60B5-21E1-4FCA-B332-6633A363CA3C}"/>
    <cellStyle name="40% - Accent2 9 4 6" xfId="10786" xr:uid="{00000000-0005-0000-0000-000022380000}"/>
    <cellStyle name="40% - Accent2 9 4 6 2" xfId="34636" xr:uid="{9E28BF84-998F-49F4-A0D9-F285D50BB857}"/>
    <cellStyle name="40% - Accent2 9 4 7" xfId="18741" xr:uid="{00000000-0005-0000-0000-000023380000}"/>
    <cellStyle name="40% - Accent2 9 4 7 2" xfId="42574" xr:uid="{A24F91E9-4FF4-4624-8AB2-7695D2F9656F}"/>
    <cellStyle name="40% - Accent2 9 4 8" xfId="26694" xr:uid="{FE117CEB-FEE7-482E-BE80-B12375EBF09E}"/>
    <cellStyle name="40% - Accent2 9 4_Exh G" xfId="2930" xr:uid="{00000000-0005-0000-0000-000024380000}"/>
    <cellStyle name="40% - Accent2 9 5" xfId="1457" xr:uid="{00000000-0005-0000-0000-000025380000}"/>
    <cellStyle name="40% - Accent2 9 5 2" xfId="4987" xr:uid="{00000000-0005-0000-0000-000026380000}"/>
    <cellStyle name="40% - Accent2 9 5 2 2" xfId="8578" xr:uid="{00000000-0005-0000-0000-000027380000}"/>
    <cellStyle name="40% - Accent2 9 5 2 2 2" xfId="16549" xr:uid="{00000000-0005-0000-0000-000028380000}"/>
    <cellStyle name="40% - Accent2 9 5 2 2 2 2" xfId="40392" xr:uid="{97E0802C-2D32-4541-9BF4-D6370A5F97E1}"/>
    <cellStyle name="40% - Accent2 9 5 2 2 3" xfId="24495" xr:uid="{00000000-0005-0000-0000-000029380000}"/>
    <cellStyle name="40% - Accent2 9 5 2 2 3 2" xfId="48328" xr:uid="{D28ED6C3-9AD5-4392-BF5F-3B7FA1C39564}"/>
    <cellStyle name="40% - Accent2 9 5 2 2 4" xfId="32451" xr:uid="{15FD246A-3044-44DA-927A-CFD7D9643CB1}"/>
    <cellStyle name="40% - Accent2 9 5 2 3" xfId="13011" xr:uid="{00000000-0005-0000-0000-00002A380000}"/>
    <cellStyle name="40% - Accent2 9 5 2 3 2" xfId="36861" xr:uid="{811C7A58-82DE-4C38-8AC7-0658EDB5BA3F}"/>
    <cellStyle name="40% - Accent2 9 5 2 4" xfId="20966" xr:uid="{00000000-0005-0000-0000-00002B380000}"/>
    <cellStyle name="40% - Accent2 9 5 2 4 2" xfId="44799" xr:uid="{70CE2AEE-49E9-488A-9BA2-B47053553A7B}"/>
    <cellStyle name="40% - Accent2 9 5 2 5" xfId="28920" xr:uid="{01325990-1747-4DDC-9D20-1C2603CCE963}"/>
    <cellStyle name="40% - Accent2 9 5 3" xfId="6819" xr:uid="{00000000-0005-0000-0000-00002C380000}"/>
    <cellStyle name="40% - Accent2 9 5 3 2" xfId="14791" xr:uid="{00000000-0005-0000-0000-00002D380000}"/>
    <cellStyle name="40% - Accent2 9 5 3 2 2" xfId="38634" xr:uid="{483359A7-7839-46A8-959B-0DFE307724E6}"/>
    <cellStyle name="40% - Accent2 9 5 3 3" xfId="22738" xr:uid="{00000000-0005-0000-0000-00002E380000}"/>
    <cellStyle name="40% - Accent2 9 5 3 3 2" xfId="46571" xr:uid="{80659E03-F25C-4E60-9456-EB937C950C97}"/>
    <cellStyle name="40% - Accent2 9 5 3 4" xfId="30693" xr:uid="{5B943B17-053C-4D8E-B2EA-2E7FD40207A8}"/>
    <cellStyle name="40% - Accent2 9 5 4" xfId="11255" xr:uid="{00000000-0005-0000-0000-00002F380000}"/>
    <cellStyle name="40% - Accent2 9 5 4 2" xfId="35105" xr:uid="{4632288E-7FF8-48E2-BDDC-74800F93B36C}"/>
    <cellStyle name="40% - Accent2 9 5 5" xfId="19210" xr:uid="{00000000-0005-0000-0000-000030380000}"/>
    <cellStyle name="40% - Accent2 9 5 5 2" xfId="43043" xr:uid="{3B9DC9D8-366F-423C-B531-AF00C43CEFD6}"/>
    <cellStyle name="40% - Accent2 9 5 6" xfId="27163" xr:uid="{AEAF5638-78D7-43CF-8BFE-C98A13F1CF30}"/>
    <cellStyle name="40% - Accent2 9 5_Exh G" xfId="2932" xr:uid="{00000000-0005-0000-0000-000031380000}"/>
    <cellStyle name="40% - Accent2 9 6" xfId="4108" xr:uid="{00000000-0005-0000-0000-000032380000}"/>
    <cellStyle name="40% - Accent2 9 6 2" xfId="7700" xr:uid="{00000000-0005-0000-0000-000033380000}"/>
    <cellStyle name="40% - Accent2 9 6 2 2" xfId="15671" xr:uid="{00000000-0005-0000-0000-000034380000}"/>
    <cellStyle name="40% - Accent2 9 6 2 2 2" xfId="39514" xr:uid="{2D5B5EDA-F6E1-4B45-B707-19E2FE4A4BAD}"/>
    <cellStyle name="40% - Accent2 9 6 2 3" xfId="23617" xr:uid="{00000000-0005-0000-0000-000035380000}"/>
    <cellStyle name="40% - Accent2 9 6 2 3 2" xfId="47450" xr:uid="{E2461A19-0D85-49A1-BB6B-29CC4399E9F1}"/>
    <cellStyle name="40% - Accent2 9 6 2 4" xfId="31573" xr:uid="{B2179914-3F62-438E-AFE6-D202F966EFC1}"/>
    <cellStyle name="40% - Accent2 9 6 3" xfId="12133" xr:uid="{00000000-0005-0000-0000-000036380000}"/>
    <cellStyle name="40% - Accent2 9 6 3 2" xfId="35983" xr:uid="{2D723C34-25F6-478B-8364-D9224EBEBD0C}"/>
    <cellStyle name="40% - Accent2 9 6 4" xfId="20088" xr:uid="{00000000-0005-0000-0000-000037380000}"/>
    <cellStyle name="40% - Accent2 9 6 4 2" xfId="43921" xr:uid="{275AC6AE-9F15-4E0D-8403-7B62CB4A4916}"/>
    <cellStyle name="40% - Accent2 9 6 5" xfId="28042" xr:uid="{51E2E43E-F68C-43FA-A868-66F5DD671B44}"/>
    <cellStyle name="40% - Accent2 9 7" xfId="5928" xr:uid="{00000000-0005-0000-0000-000038380000}"/>
    <cellStyle name="40% - Accent2 9 7 2" xfId="13912" xr:uid="{00000000-0005-0000-0000-000039380000}"/>
    <cellStyle name="40% - Accent2 9 7 2 2" xfId="37756" xr:uid="{318007FF-F307-45B4-A394-F6D204A13515}"/>
    <cellStyle name="40% - Accent2 9 7 3" xfId="21860" xr:uid="{00000000-0005-0000-0000-00003A380000}"/>
    <cellStyle name="40% - Accent2 9 7 3 2" xfId="45693" xr:uid="{A339FC58-0829-423F-9EC2-03387681CC21}"/>
    <cellStyle name="40% - Accent2 9 7 4" xfId="29815" xr:uid="{9C2F696A-32E6-436E-8A7F-7DCE9F539027}"/>
    <cellStyle name="40% - Accent2 9 8" xfId="9481" xr:uid="{00000000-0005-0000-0000-00003B380000}"/>
    <cellStyle name="40% - Accent2 9 8 2" xfId="17439" xr:uid="{00000000-0005-0000-0000-00003C380000}"/>
    <cellStyle name="40% - Accent2 9 8 2 2" xfId="41280" xr:uid="{6F5455DB-E785-40C3-A635-EACF1363CC04}"/>
    <cellStyle name="40% - Accent2 9 8 3" xfId="25383" xr:uid="{00000000-0005-0000-0000-00003D380000}"/>
    <cellStyle name="40% - Accent2 9 8 3 2" xfId="49216" xr:uid="{6989F803-62AE-4CB6-8E37-EDDC92C1BAA0}"/>
    <cellStyle name="40% - Accent2 9 8 4" xfId="33339" xr:uid="{CC2C912B-8DCE-4837-8F58-E22635F91000}"/>
    <cellStyle name="40% - Accent2 9 9" xfId="10377" xr:uid="{00000000-0005-0000-0000-00003E380000}"/>
    <cellStyle name="40% - Accent2 9 9 2" xfId="34227" xr:uid="{7A798301-80B6-4F6C-B333-B1D8E60F054C}"/>
    <cellStyle name="40% - Accent2 9_Exh G" xfId="2923" xr:uid="{00000000-0005-0000-0000-00003F380000}"/>
    <cellStyle name="40% - Accent3" xfId="49702" builtinId="39" customBuiltin="1"/>
    <cellStyle name="40% - Accent3 10" xfId="433" xr:uid="{00000000-0005-0000-0000-000040380000}"/>
    <cellStyle name="40% - Accent3 10 10" xfId="18336" xr:uid="{00000000-0005-0000-0000-000041380000}"/>
    <cellStyle name="40% - Accent3 10 10 2" xfId="42169" xr:uid="{F831439E-9CE4-46F0-B1A3-85C89AFD2B20}"/>
    <cellStyle name="40% - Accent3 10 11" xfId="26289" xr:uid="{D810F4AB-48F8-4CAB-9BBF-71C12F070960}"/>
    <cellStyle name="40% - Accent3 10 2" xfId="434" xr:uid="{00000000-0005-0000-0000-000042380000}"/>
    <cellStyle name="40% - Accent3 10 2 2" xfId="435" xr:uid="{00000000-0005-0000-0000-000043380000}"/>
    <cellStyle name="40% - Accent3 10 2 2 2" xfId="1463" xr:uid="{00000000-0005-0000-0000-000044380000}"/>
    <cellStyle name="40% - Accent3 10 2 2 2 2" xfId="4993" xr:uid="{00000000-0005-0000-0000-000045380000}"/>
    <cellStyle name="40% - Accent3 10 2 2 2 2 2" xfId="8584" xr:uid="{00000000-0005-0000-0000-000046380000}"/>
    <cellStyle name="40% - Accent3 10 2 2 2 2 2 2" xfId="16555" xr:uid="{00000000-0005-0000-0000-000047380000}"/>
    <cellStyle name="40% - Accent3 10 2 2 2 2 2 2 2" xfId="40398" xr:uid="{4ADF53B9-1AFC-4A7C-BAB0-BD4F851947D6}"/>
    <cellStyle name="40% - Accent3 10 2 2 2 2 2 3" xfId="24501" xr:uid="{00000000-0005-0000-0000-000048380000}"/>
    <cellStyle name="40% - Accent3 10 2 2 2 2 2 3 2" xfId="48334" xr:uid="{0F1C19A8-C569-4BC3-BFE5-4C02C00D5279}"/>
    <cellStyle name="40% - Accent3 10 2 2 2 2 2 4" xfId="32457" xr:uid="{F61D1097-BD2B-48D4-91B4-63D5A76F6CA5}"/>
    <cellStyle name="40% - Accent3 10 2 2 2 2 3" xfId="13017" xr:uid="{00000000-0005-0000-0000-000049380000}"/>
    <cellStyle name="40% - Accent3 10 2 2 2 2 3 2" xfId="36867" xr:uid="{ED84CC49-7143-4F23-AA0B-B0F8F18E82C1}"/>
    <cellStyle name="40% - Accent3 10 2 2 2 2 4" xfId="20972" xr:uid="{00000000-0005-0000-0000-00004A380000}"/>
    <cellStyle name="40% - Accent3 10 2 2 2 2 4 2" xfId="44805" xr:uid="{CF32FC18-5D42-41CB-8614-7ABE8835AACC}"/>
    <cellStyle name="40% - Accent3 10 2 2 2 2 5" xfId="28926" xr:uid="{44E7EC81-EDB7-4049-9DB3-A6C143AE4270}"/>
    <cellStyle name="40% - Accent3 10 2 2 2 3" xfId="6825" xr:uid="{00000000-0005-0000-0000-00004B380000}"/>
    <cellStyle name="40% - Accent3 10 2 2 2 3 2" xfId="14797" xr:uid="{00000000-0005-0000-0000-00004C380000}"/>
    <cellStyle name="40% - Accent3 10 2 2 2 3 2 2" xfId="38640" xr:uid="{B78C71F7-BC37-4BC9-B565-E6763E13DC9B}"/>
    <cellStyle name="40% - Accent3 10 2 2 2 3 3" xfId="22744" xr:uid="{00000000-0005-0000-0000-00004D380000}"/>
    <cellStyle name="40% - Accent3 10 2 2 2 3 3 2" xfId="46577" xr:uid="{FA5AB461-E856-4EAB-B2B3-83C457EED532}"/>
    <cellStyle name="40% - Accent3 10 2 2 2 3 4" xfId="30699" xr:uid="{3E8C87B7-C977-4C61-A4D5-AA5597E419D0}"/>
    <cellStyle name="40% - Accent3 10 2 2 2 4" xfId="11261" xr:uid="{00000000-0005-0000-0000-00004E380000}"/>
    <cellStyle name="40% - Accent3 10 2 2 2 4 2" xfId="35111" xr:uid="{33583B8E-C932-4C73-8DB4-1F48098BA284}"/>
    <cellStyle name="40% - Accent3 10 2 2 2 5" xfId="19216" xr:uid="{00000000-0005-0000-0000-00004F380000}"/>
    <cellStyle name="40% - Accent3 10 2 2 2 5 2" xfId="43049" xr:uid="{6866EE04-3C06-41C6-BA2E-3C8A7EBB07EF}"/>
    <cellStyle name="40% - Accent3 10 2 2 2 6" xfId="27169" xr:uid="{E1E2D537-17AB-4481-ACCD-76829A80C41C}"/>
    <cellStyle name="40% - Accent3 10 2 2 2_Exh G" xfId="2936" xr:uid="{00000000-0005-0000-0000-000050380000}"/>
    <cellStyle name="40% - Accent3 10 2 2 3" xfId="4114" xr:uid="{00000000-0005-0000-0000-000051380000}"/>
    <cellStyle name="40% - Accent3 10 2 2 3 2" xfId="7706" xr:uid="{00000000-0005-0000-0000-000052380000}"/>
    <cellStyle name="40% - Accent3 10 2 2 3 2 2" xfId="15677" xr:uid="{00000000-0005-0000-0000-000053380000}"/>
    <cellStyle name="40% - Accent3 10 2 2 3 2 2 2" xfId="39520" xr:uid="{B387E84B-44A7-4107-BE5D-B86F94428621}"/>
    <cellStyle name="40% - Accent3 10 2 2 3 2 3" xfId="23623" xr:uid="{00000000-0005-0000-0000-000054380000}"/>
    <cellStyle name="40% - Accent3 10 2 2 3 2 3 2" xfId="47456" xr:uid="{CCD626C6-D190-4C24-A32F-7F3A1E39389A}"/>
    <cellStyle name="40% - Accent3 10 2 2 3 2 4" xfId="31579" xr:uid="{BF1606F1-6083-4208-8312-3AD92567EF84}"/>
    <cellStyle name="40% - Accent3 10 2 2 3 3" xfId="12139" xr:uid="{00000000-0005-0000-0000-000055380000}"/>
    <cellStyle name="40% - Accent3 10 2 2 3 3 2" xfId="35989" xr:uid="{7EE5735C-17AB-46E7-B095-EEE516917AA2}"/>
    <cellStyle name="40% - Accent3 10 2 2 3 4" xfId="20094" xr:uid="{00000000-0005-0000-0000-000056380000}"/>
    <cellStyle name="40% - Accent3 10 2 2 3 4 2" xfId="43927" xr:uid="{915469C6-78A1-43AD-BBEF-494B3885C7AA}"/>
    <cellStyle name="40% - Accent3 10 2 2 3 5" xfId="28048" xr:uid="{7BEA732F-0C8C-4A27-B277-CF09AB3C0723}"/>
    <cellStyle name="40% - Accent3 10 2 2 4" xfId="5934" xr:uid="{00000000-0005-0000-0000-000057380000}"/>
    <cellStyle name="40% - Accent3 10 2 2 4 2" xfId="13918" xr:uid="{00000000-0005-0000-0000-000058380000}"/>
    <cellStyle name="40% - Accent3 10 2 2 4 2 2" xfId="37762" xr:uid="{54E30A2B-ACDD-41BA-A3F6-00937812F181}"/>
    <cellStyle name="40% - Accent3 10 2 2 4 3" xfId="21866" xr:uid="{00000000-0005-0000-0000-000059380000}"/>
    <cellStyle name="40% - Accent3 10 2 2 4 3 2" xfId="45699" xr:uid="{AB9F3E5B-71BA-41A1-B885-0823C8966DCE}"/>
    <cellStyle name="40% - Accent3 10 2 2 4 4" xfId="29821" xr:uid="{F5D757E8-FA08-4132-AC59-747F5A0F27E7}"/>
    <cellStyle name="40% - Accent3 10 2 2 5" xfId="9487" xr:uid="{00000000-0005-0000-0000-00005A380000}"/>
    <cellStyle name="40% - Accent3 10 2 2 5 2" xfId="17445" xr:uid="{00000000-0005-0000-0000-00005B380000}"/>
    <cellStyle name="40% - Accent3 10 2 2 5 2 2" xfId="41286" xr:uid="{E625AFE7-6541-49DC-A2A4-87A265EA5968}"/>
    <cellStyle name="40% - Accent3 10 2 2 5 3" xfId="25389" xr:uid="{00000000-0005-0000-0000-00005C380000}"/>
    <cellStyle name="40% - Accent3 10 2 2 5 3 2" xfId="49222" xr:uid="{A03713F1-BB47-486D-806E-614395F32A19}"/>
    <cellStyle name="40% - Accent3 10 2 2 5 4" xfId="33345" xr:uid="{2EAC7D85-FDBD-47AF-B863-5E660D1C7FE1}"/>
    <cellStyle name="40% - Accent3 10 2 2 6" xfId="10383" xr:uid="{00000000-0005-0000-0000-00005D380000}"/>
    <cellStyle name="40% - Accent3 10 2 2 6 2" xfId="34233" xr:uid="{F6EB6D4C-E59B-46AE-B6AD-9713CCE94657}"/>
    <cellStyle name="40% - Accent3 10 2 2 7" xfId="18338" xr:uid="{00000000-0005-0000-0000-00005E380000}"/>
    <cellStyle name="40% - Accent3 10 2 2 7 2" xfId="42171" xr:uid="{76265628-1937-472D-9AA6-1851D1453CFA}"/>
    <cellStyle name="40% - Accent3 10 2 2 8" xfId="26291" xr:uid="{B5DA5BB1-2E8D-4A6E-AB0F-00D204B7B6AC}"/>
    <cellStyle name="40% - Accent3 10 2 2_Exh G" xfId="2935" xr:uid="{00000000-0005-0000-0000-00005F380000}"/>
    <cellStyle name="40% - Accent3 10 2 3" xfId="1462" xr:uid="{00000000-0005-0000-0000-000060380000}"/>
    <cellStyle name="40% - Accent3 10 2 3 2" xfId="4992" xr:uid="{00000000-0005-0000-0000-000061380000}"/>
    <cellStyle name="40% - Accent3 10 2 3 2 2" xfId="8583" xr:uid="{00000000-0005-0000-0000-000062380000}"/>
    <cellStyle name="40% - Accent3 10 2 3 2 2 2" xfId="16554" xr:uid="{00000000-0005-0000-0000-000063380000}"/>
    <cellStyle name="40% - Accent3 10 2 3 2 2 2 2" xfId="40397" xr:uid="{67C75F41-CF5D-4D5F-BC34-D13541E55A25}"/>
    <cellStyle name="40% - Accent3 10 2 3 2 2 3" xfId="24500" xr:uid="{00000000-0005-0000-0000-000064380000}"/>
    <cellStyle name="40% - Accent3 10 2 3 2 2 3 2" xfId="48333" xr:uid="{84EF1E45-C767-46C3-A850-FBD293714D47}"/>
    <cellStyle name="40% - Accent3 10 2 3 2 2 4" xfId="32456" xr:uid="{6B15F6C4-5E22-49D7-BB56-C3F3A63C144B}"/>
    <cellStyle name="40% - Accent3 10 2 3 2 3" xfId="13016" xr:uid="{00000000-0005-0000-0000-000065380000}"/>
    <cellStyle name="40% - Accent3 10 2 3 2 3 2" xfId="36866" xr:uid="{25F4567A-9DD1-429F-85D2-B1D4FC2F2CF5}"/>
    <cellStyle name="40% - Accent3 10 2 3 2 4" xfId="20971" xr:uid="{00000000-0005-0000-0000-000066380000}"/>
    <cellStyle name="40% - Accent3 10 2 3 2 4 2" xfId="44804" xr:uid="{B5C60053-7BA6-4B9A-B269-9ECE30D8AF52}"/>
    <cellStyle name="40% - Accent3 10 2 3 2 5" xfId="28925" xr:uid="{922D32B1-8C59-40EA-A2AA-005E9C9AA880}"/>
    <cellStyle name="40% - Accent3 10 2 3 3" xfId="6824" xr:uid="{00000000-0005-0000-0000-000067380000}"/>
    <cellStyle name="40% - Accent3 10 2 3 3 2" xfId="14796" xr:uid="{00000000-0005-0000-0000-000068380000}"/>
    <cellStyle name="40% - Accent3 10 2 3 3 2 2" xfId="38639" xr:uid="{9FD37FA0-46F7-4DB3-B3A0-A597DA15394B}"/>
    <cellStyle name="40% - Accent3 10 2 3 3 3" xfId="22743" xr:uid="{00000000-0005-0000-0000-000069380000}"/>
    <cellStyle name="40% - Accent3 10 2 3 3 3 2" xfId="46576" xr:uid="{0688A684-3870-46F9-A19C-82673019AF8B}"/>
    <cellStyle name="40% - Accent3 10 2 3 3 4" xfId="30698" xr:uid="{EE9A72E7-B372-45A0-B74A-A24C68E203F7}"/>
    <cellStyle name="40% - Accent3 10 2 3 4" xfId="11260" xr:uid="{00000000-0005-0000-0000-00006A380000}"/>
    <cellStyle name="40% - Accent3 10 2 3 4 2" xfId="35110" xr:uid="{84DE924A-F527-4637-A4B1-248E5FF10910}"/>
    <cellStyle name="40% - Accent3 10 2 3 5" xfId="19215" xr:uid="{00000000-0005-0000-0000-00006B380000}"/>
    <cellStyle name="40% - Accent3 10 2 3 5 2" xfId="43048" xr:uid="{58351DA0-0A4B-4E28-B477-2732B64F0128}"/>
    <cellStyle name="40% - Accent3 10 2 3 6" xfId="27168" xr:uid="{8276EF07-84B3-41FB-A8BD-698A876DA13D}"/>
    <cellStyle name="40% - Accent3 10 2 3_Exh G" xfId="2937" xr:uid="{00000000-0005-0000-0000-00006C380000}"/>
    <cellStyle name="40% - Accent3 10 2 4" xfId="4113" xr:uid="{00000000-0005-0000-0000-00006D380000}"/>
    <cellStyle name="40% - Accent3 10 2 4 2" xfId="7705" xr:uid="{00000000-0005-0000-0000-00006E380000}"/>
    <cellStyle name="40% - Accent3 10 2 4 2 2" xfId="15676" xr:uid="{00000000-0005-0000-0000-00006F380000}"/>
    <cellStyle name="40% - Accent3 10 2 4 2 2 2" xfId="39519" xr:uid="{66A61A3D-52A2-4ED1-A648-3D6303B16986}"/>
    <cellStyle name="40% - Accent3 10 2 4 2 3" xfId="23622" xr:uid="{00000000-0005-0000-0000-000070380000}"/>
    <cellStyle name="40% - Accent3 10 2 4 2 3 2" xfId="47455" xr:uid="{16D638F0-C546-41A3-996E-784E69425CBA}"/>
    <cellStyle name="40% - Accent3 10 2 4 2 4" xfId="31578" xr:uid="{3DB5626B-CD0E-45AD-849B-522CCE9DECB7}"/>
    <cellStyle name="40% - Accent3 10 2 4 3" xfId="12138" xr:uid="{00000000-0005-0000-0000-000071380000}"/>
    <cellStyle name="40% - Accent3 10 2 4 3 2" xfId="35988" xr:uid="{4F2FD807-A3CE-4500-8C80-2DC9E87C5BA5}"/>
    <cellStyle name="40% - Accent3 10 2 4 4" xfId="20093" xr:uid="{00000000-0005-0000-0000-000072380000}"/>
    <cellStyle name="40% - Accent3 10 2 4 4 2" xfId="43926" xr:uid="{B48392DA-3F3D-4681-9129-2D90A2D76A0C}"/>
    <cellStyle name="40% - Accent3 10 2 4 5" xfId="28047" xr:uid="{1A23CCF9-6515-4498-B676-9713CB7BAB64}"/>
    <cellStyle name="40% - Accent3 10 2 5" xfId="5933" xr:uid="{00000000-0005-0000-0000-000073380000}"/>
    <cellStyle name="40% - Accent3 10 2 5 2" xfId="13917" xr:uid="{00000000-0005-0000-0000-000074380000}"/>
    <cellStyle name="40% - Accent3 10 2 5 2 2" xfId="37761" xr:uid="{7985F66D-DCBC-45E8-8309-56FE0827E004}"/>
    <cellStyle name="40% - Accent3 10 2 5 3" xfId="21865" xr:uid="{00000000-0005-0000-0000-000075380000}"/>
    <cellStyle name="40% - Accent3 10 2 5 3 2" xfId="45698" xr:uid="{A32A415E-03CC-4EEA-8738-D701E5BBCBBF}"/>
    <cellStyle name="40% - Accent3 10 2 5 4" xfId="29820" xr:uid="{804503F3-5B5E-485C-97D5-6647BAB9959E}"/>
    <cellStyle name="40% - Accent3 10 2 6" xfId="9486" xr:uid="{00000000-0005-0000-0000-000076380000}"/>
    <cellStyle name="40% - Accent3 10 2 6 2" xfId="17444" xr:uid="{00000000-0005-0000-0000-000077380000}"/>
    <cellStyle name="40% - Accent3 10 2 6 2 2" xfId="41285" xr:uid="{FD228C64-EDF0-466E-938E-A34068666FDD}"/>
    <cellStyle name="40% - Accent3 10 2 6 3" xfId="25388" xr:uid="{00000000-0005-0000-0000-000078380000}"/>
    <cellStyle name="40% - Accent3 10 2 6 3 2" xfId="49221" xr:uid="{088BD30A-F8FD-4C06-93DD-1E639BB198A6}"/>
    <cellStyle name="40% - Accent3 10 2 6 4" xfId="33344" xr:uid="{73A9AF9E-7292-45FE-BAF9-91CAF8AFA342}"/>
    <cellStyle name="40% - Accent3 10 2 7" xfId="10382" xr:uid="{00000000-0005-0000-0000-000079380000}"/>
    <cellStyle name="40% - Accent3 10 2 7 2" xfId="34232" xr:uid="{AF50873E-6695-41F1-A900-FE7BA96E521D}"/>
    <cellStyle name="40% - Accent3 10 2 8" xfId="18337" xr:uid="{00000000-0005-0000-0000-00007A380000}"/>
    <cellStyle name="40% - Accent3 10 2 8 2" xfId="42170" xr:uid="{347D3231-3DD6-4ECA-BEE6-ACB2AB618C2D}"/>
    <cellStyle name="40% - Accent3 10 2 9" xfId="26290" xr:uid="{F65C36E8-EF32-4683-B2F2-5C0C10BF1857}"/>
    <cellStyle name="40% - Accent3 10 2_Exh G" xfId="2934" xr:uid="{00000000-0005-0000-0000-00007B380000}"/>
    <cellStyle name="40% - Accent3 10 3" xfId="436" xr:uid="{00000000-0005-0000-0000-00007C380000}"/>
    <cellStyle name="40% - Accent3 10 3 2" xfId="1464" xr:uid="{00000000-0005-0000-0000-00007D380000}"/>
    <cellStyle name="40% - Accent3 10 3 2 2" xfId="4994" xr:uid="{00000000-0005-0000-0000-00007E380000}"/>
    <cellStyle name="40% - Accent3 10 3 2 2 2" xfId="8585" xr:uid="{00000000-0005-0000-0000-00007F380000}"/>
    <cellStyle name="40% - Accent3 10 3 2 2 2 2" xfId="16556" xr:uid="{00000000-0005-0000-0000-000080380000}"/>
    <cellStyle name="40% - Accent3 10 3 2 2 2 2 2" xfId="40399" xr:uid="{7CBF3352-1812-4B51-A510-FAA3FFF999DC}"/>
    <cellStyle name="40% - Accent3 10 3 2 2 2 3" xfId="24502" xr:uid="{00000000-0005-0000-0000-000081380000}"/>
    <cellStyle name="40% - Accent3 10 3 2 2 2 3 2" xfId="48335" xr:uid="{F6E650E8-2C45-4B05-9A54-8C3C198E1640}"/>
    <cellStyle name="40% - Accent3 10 3 2 2 2 4" xfId="32458" xr:uid="{3E03B960-75D8-4E33-8F4F-9CB8B1B70ADF}"/>
    <cellStyle name="40% - Accent3 10 3 2 2 3" xfId="13018" xr:uid="{00000000-0005-0000-0000-000082380000}"/>
    <cellStyle name="40% - Accent3 10 3 2 2 3 2" xfId="36868" xr:uid="{60125317-CE1A-468C-999D-091E358F65BF}"/>
    <cellStyle name="40% - Accent3 10 3 2 2 4" xfId="20973" xr:uid="{00000000-0005-0000-0000-000083380000}"/>
    <cellStyle name="40% - Accent3 10 3 2 2 4 2" xfId="44806" xr:uid="{D94F06A1-0FDF-4265-9A41-81F1A5437831}"/>
    <cellStyle name="40% - Accent3 10 3 2 2 5" xfId="28927" xr:uid="{E40BB5FB-A31B-4026-A3C4-2C33AEF72108}"/>
    <cellStyle name="40% - Accent3 10 3 2 3" xfId="6826" xr:uid="{00000000-0005-0000-0000-000084380000}"/>
    <cellStyle name="40% - Accent3 10 3 2 3 2" xfId="14798" xr:uid="{00000000-0005-0000-0000-000085380000}"/>
    <cellStyle name="40% - Accent3 10 3 2 3 2 2" xfId="38641" xr:uid="{B284695C-B384-48E0-BB99-3D5F38CFDD17}"/>
    <cellStyle name="40% - Accent3 10 3 2 3 3" xfId="22745" xr:uid="{00000000-0005-0000-0000-000086380000}"/>
    <cellStyle name="40% - Accent3 10 3 2 3 3 2" xfId="46578" xr:uid="{5CB2E02D-276C-4742-8003-0B9C8D80642B}"/>
    <cellStyle name="40% - Accent3 10 3 2 3 4" xfId="30700" xr:uid="{86DC389C-951B-4144-BBB7-A794CDCAC4AA}"/>
    <cellStyle name="40% - Accent3 10 3 2 4" xfId="11262" xr:uid="{00000000-0005-0000-0000-000087380000}"/>
    <cellStyle name="40% - Accent3 10 3 2 4 2" xfId="35112" xr:uid="{A8622CA6-6607-4B34-8C4B-B4BF71CFAA23}"/>
    <cellStyle name="40% - Accent3 10 3 2 5" xfId="19217" xr:uid="{00000000-0005-0000-0000-000088380000}"/>
    <cellStyle name="40% - Accent3 10 3 2 5 2" xfId="43050" xr:uid="{6C846587-00D9-430A-AFE1-9EF6FCA473C9}"/>
    <cellStyle name="40% - Accent3 10 3 2 6" xfId="27170" xr:uid="{62342D30-BA6E-40DB-975E-094393D498A2}"/>
    <cellStyle name="40% - Accent3 10 3 2_Exh G" xfId="2939" xr:uid="{00000000-0005-0000-0000-000089380000}"/>
    <cellStyle name="40% - Accent3 10 3 3" xfId="4115" xr:uid="{00000000-0005-0000-0000-00008A380000}"/>
    <cellStyle name="40% - Accent3 10 3 3 2" xfId="7707" xr:uid="{00000000-0005-0000-0000-00008B380000}"/>
    <cellStyle name="40% - Accent3 10 3 3 2 2" xfId="15678" xr:uid="{00000000-0005-0000-0000-00008C380000}"/>
    <cellStyle name="40% - Accent3 10 3 3 2 2 2" xfId="39521" xr:uid="{E594CA9E-19D5-438A-8972-DCE25D9C7F98}"/>
    <cellStyle name="40% - Accent3 10 3 3 2 3" xfId="23624" xr:uid="{00000000-0005-0000-0000-00008D380000}"/>
    <cellStyle name="40% - Accent3 10 3 3 2 3 2" xfId="47457" xr:uid="{337E24D0-3B15-4474-AEB0-6B14F8F7BD9D}"/>
    <cellStyle name="40% - Accent3 10 3 3 2 4" xfId="31580" xr:uid="{4D372761-8712-46CC-9618-72B043B06DE6}"/>
    <cellStyle name="40% - Accent3 10 3 3 3" xfId="12140" xr:uid="{00000000-0005-0000-0000-00008E380000}"/>
    <cellStyle name="40% - Accent3 10 3 3 3 2" xfId="35990" xr:uid="{248422C4-BB54-48B3-A5AC-F30C1180A30F}"/>
    <cellStyle name="40% - Accent3 10 3 3 4" xfId="20095" xr:uid="{00000000-0005-0000-0000-00008F380000}"/>
    <cellStyle name="40% - Accent3 10 3 3 4 2" xfId="43928" xr:uid="{6DE92F73-860C-473B-8931-3FD98D93FA01}"/>
    <cellStyle name="40% - Accent3 10 3 3 5" xfId="28049" xr:uid="{FA297A70-201F-4760-9CD6-A9E7654F2340}"/>
    <cellStyle name="40% - Accent3 10 3 4" xfId="5935" xr:uid="{00000000-0005-0000-0000-000090380000}"/>
    <cellStyle name="40% - Accent3 10 3 4 2" xfId="13919" xr:uid="{00000000-0005-0000-0000-000091380000}"/>
    <cellStyle name="40% - Accent3 10 3 4 2 2" xfId="37763" xr:uid="{D0E667E1-ECB1-4C7C-93B1-778108907DE0}"/>
    <cellStyle name="40% - Accent3 10 3 4 3" xfId="21867" xr:uid="{00000000-0005-0000-0000-000092380000}"/>
    <cellStyle name="40% - Accent3 10 3 4 3 2" xfId="45700" xr:uid="{029BEFBE-0D43-47C6-84D9-FE1680F1D3A7}"/>
    <cellStyle name="40% - Accent3 10 3 4 4" xfId="29822" xr:uid="{572A82EB-A3E6-4444-8DD9-7D79F2AC5999}"/>
    <cellStyle name="40% - Accent3 10 3 5" xfId="9488" xr:uid="{00000000-0005-0000-0000-000093380000}"/>
    <cellStyle name="40% - Accent3 10 3 5 2" xfId="17446" xr:uid="{00000000-0005-0000-0000-000094380000}"/>
    <cellStyle name="40% - Accent3 10 3 5 2 2" xfId="41287" xr:uid="{003E2AD7-DCC0-411A-B14D-B3E15AF51825}"/>
    <cellStyle name="40% - Accent3 10 3 5 3" xfId="25390" xr:uid="{00000000-0005-0000-0000-000095380000}"/>
    <cellStyle name="40% - Accent3 10 3 5 3 2" xfId="49223" xr:uid="{478A9ABB-4F1C-4400-9478-A25C4A0B5C56}"/>
    <cellStyle name="40% - Accent3 10 3 5 4" xfId="33346" xr:uid="{679CA8AD-433D-4A67-A1DD-B0021967EE4B}"/>
    <cellStyle name="40% - Accent3 10 3 6" xfId="10384" xr:uid="{00000000-0005-0000-0000-000096380000}"/>
    <cellStyle name="40% - Accent3 10 3 6 2" xfId="34234" xr:uid="{2EB6B681-B278-4328-86C3-EF9028C1547D}"/>
    <cellStyle name="40% - Accent3 10 3 7" xfId="18339" xr:uid="{00000000-0005-0000-0000-000097380000}"/>
    <cellStyle name="40% - Accent3 10 3 7 2" xfId="42172" xr:uid="{492307DA-A0E6-4B2C-9B66-006D977B5C46}"/>
    <cellStyle name="40% - Accent3 10 3 8" xfId="26292" xr:uid="{5D556E8E-8959-413F-A7AF-CC47994571CB}"/>
    <cellStyle name="40% - Accent3 10 3_Exh G" xfId="2938" xr:uid="{00000000-0005-0000-0000-000098380000}"/>
    <cellStyle name="40% - Accent3 10 4" xfId="958" xr:uid="{00000000-0005-0000-0000-000099380000}"/>
    <cellStyle name="40% - Accent3 10 5" xfId="1461" xr:uid="{00000000-0005-0000-0000-00009A380000}"/>
    <cellStyle name="40% - Accent3 10 5 2" xfId="4991" xr:uid="{00000000-0005-0000-0000-00009B380000}"/>
    <cellStyle name="40% - Accent3 10 5 2 2" xfId="8582" xr:uid="{00000000-0005-0000-0000-00009C380000}"/>
    <cellStyle name="40% - Accent3 10 5 2 2 2" xfId="16553" xr:uid="{00000000-0005-0000-0000-00009D380000}"/>
    <cellStyle name="40% - Accent3 10 5 2 2 2 2" xfId="40396" xr:uid="{57CF7236-C52C-4116-AD2B-A740996AC313}"/>
    <cellStyle name="40% - Accent3 10 5 2 2 3" xfId="24499" xr:uid="{00000000-0005-0000-0000-00009E380000}"/>
    <cellStyle name="40% - Accent3 10 5 2 2 3 2" xfId="48332" xr:uid="{710CA8F1-2F65-456F-8861-7F56EE9223A2}"/>
    <cellStyle name="40% - Accent3 10 5 2 2 4" xfId="32455" xr:uid="{92ECF40B-78C8-472C-A463-256868206ABD}"/>
    <cellStyle name="40% - Accent3 10 5 2 3" xfId="13015" xr:uid="{00000000-0005-0000-0000-00009F380000}"/>
    <cellStyle name="40% - Accent3 10 5 2 3 2" xfId="36865" xr:uid="{FAA50A9D-5DB3-4618-91DD-9116B5886629}"/>
    <cellStyle name="40% - Accent3 10 5 2 4" xfId="20970" xr:uid="{00000000-0005-0000-0000-0000A0380000}"/>
    <cellStyle name="40% - Accent3 10 5 2 4 2" xfId="44803" xr:uid="{0CA7B6D4-DB24-41D8-8C41-75B77392DC87}"/>
    <cellStyle name="40% - Accent3 10 5 2 5" xfId="28924" xr:uid="{3CE86311-98C7-4F85-9D64-236EECF6340B}"/>
    <cellStyle name="40% - Accent3 10 5 3" xfId="6823" xr:uid="{00000000-0005-0000-0000-0000A1380000}"/>
    <cellStyle name="40% - Accent3 10 5 3 2" xfId="14795" xr:uid="{00000000-0005-0000-0000-0000A2380000}"/>
    <cellStyle name="40% - Accent3 10 5 3 2 2" xfId="38638" xr:uid="{E34BC18E-6798-42B8-A29F-264CCB86014D}"/>
    <cellStyle name="40% - Accent3 10 5 3 3" xfId="22742" xr:uid="{00000000-0005-0000-0000-0000A3380000}"/>
    <cellStyle name="40% - Accent3 10 5 3 3 2" xfId="46575" xr:uid="{7B2D2981-2526-4157-AFF3-52D33A681628}"/>
    <cellStyle name="40% - Accent3 10 5 3 4" xfId="30697" xr:uid="{EEB5EC87-28E5-4133-8509-7936AC7D95C9}"/>
    <cellStyle name="40% - Accent3 10 5 4" xfId="11259" xr:uid="{00000000-0005-0000-0000-0000A4380000}"/>
    <cellStyle name="40% - Accent3 10 5 4 2" xfId="35109" xr:uid="{CD0DB8F3-7BAA-4EEB-A112-7402E4F91F11}"/>
    <cellStyle name="40% - Accent3 10 5 5" xfId="19214" xr:uid="{00000000-0005-0000-0000-0000A5380000}"/>
    <cellStyle name="40% - Accent3 10 5 5 2" xfId="43047" xr:uid="{9413FE93-0D7C-4DD2-B1F5-9D8DFAB0EADF}"/>
    <cellStyle name="40% - Accent3 10 5 6" xfId="27167" xr:uid="{A8A508A4-FA45-4C0B-83A0-F37A985B15E1}"/>
    <cellStyle name="40% - Accent3 10 5_Exh G" xfId="2940" xr:uid="{00000000-0005-0000-0000-0000A6380000}"/>
    <cellStyle name="40% - Accent3 10 6" xfId="4112" xr:uid="{00000000-0005-0000-0000-0000A7380000}"/>
    <cellStyle name="40% - Accent3 10 6 2" xfId="7704" xr:uid="{00000000-0005-0000-0000-0000A8380000}"/>
    <cellStyle name="40% - Accent3 10 6 2 2" xfId="15675" xr:uid="{00000000-0005-0000-0000-0000A9380000}"/>
    <cellStyle name="40% - Accent3 10 6 2 2 2" xfId="39518" xr:uid="{22EDDD45-9990-4602-99E3-58175A1AACDD}"/>
    <cellStyle name="40% - Accent3 10 6 2 3" xfId="23621" xr:uid="{00000000-0005-0000-0000-0000AA380000}"/>
    <cellStyle name="40% - Accent3 10 6 2 3 2" xfId="47454" xr:uid="{627A2A13-FF4C-44C0-9818-7BF63B452079}"/>
    <cellStyle name="40% - Accent3 10 6 2 4" xfId="31577" xr:uid="{EC7EF4B0-6F00-4B32-BF3F-862CAEB5BE21}"/>
    <cellStyle name="40% - Accent3 10 6 3" xfId="12137" xr:uid="{00000000-0005-0000-0000-0000AB380000}"/>
    <cellStyle name="40% - Accent3 10 6 3 2" xfId="35987" xr:uid="{F7D1DEDF-ECA7-4C68-8675-4970AF887DB2}"/>
    <cellStyle name="40% - Accent3 10 6 4" xfId="20092" xr:uid="{00000000-0005-0000-0000-0000AC380000}"/>
    <cellStyle name="40% - Accent3 10 6 4 2" xfId="43925" xr:uid="{0CA7035D-C1C3-4B39-8E5A-DF3A6A00ADEC}"/>
    <cellStyle name="40% - Accent3 10 6 5" xfId="28046" xr:uid="{6B743942-CF46-4A19-AABA-68D1AB26F2D0}"/>
    <cellStyle name="40% - Accent3 10 7" xfId="5932" xr:uid="{00000000-0005-0000-0000-0000AD380000}"/>
    <cellStyle name="40% - Accent3 10 7 2" xfId="13916" xr:uid="{00000000-0005-0000-0000-0000AE380000}"/>
    <cellStyle name="40% - Accent3 10 7 2 2" xfId="37760" xr:uid="{9DE25303-D850-4FFC-AEE5-9E1A7767DCFA}"/>
    <cellStyle name="40% - Accent3 10 7 3" xfId="21864" xr:uid="{00000000-0005-0000-0000-0000AF380000}"/>
    <cellStyle name="40% - Accent3 10 7 3 2" xfId="45697" xr:uid="{4E993591-69AD-46A3-A8CF-7282729E5591}"/>
    <cellStyle name="40% - Accent3 10 7 4" xfId="29819" xr:uid="{57811158-C316-40B4-83CB-3D3E2D990143}"/>
    <cellStyle name="40% - Accent3 10 8" xfId="9485" xr:uid="{00000000-0005-0000-0000-0000B0380000}"/>
    <cellStyle name="40% - Accent3 10 8 2" xfId="17443" xr:uid="{00000000-0005-0000-0000-0000B1380000}"/>
    <cellStyle name="40% - Accent3 10 8 2 2" xfId="41284" xr:uid="{6BBAA99D-C26A-4994-A7C7-17D70B1BAEC6}"/>
    <cellStyle name="40% - Accent3 10 8 3" xfId="25387" xr:uid="{00000000-0005-0000-0000-0000B2380000}"/>
    <cellStyle name="40% - Accent3 10 8 3 2" xfId="49220" xr:uid="{7BAA4C92-A62C-40E5-96C1-932654397E29}"/>
    <cellStyle name="40% - Accent3 10 8 4" xfId="33343" xr:uid="{942B01AD-C54D-4410-AD40-9B788B8083C2}"/>
    <cellStyle name="40% - Accent3 10 9" xfId="10381" xr:uid="{00000000-0005-0000-0000-0000B3380000}"/>
    <cellStyle name="40% - Accent3 10 9 2" xfId="34231" xr:uid="{F4FB3A4B-5865-4361-B659-7E66520C4CA1}"/>
    <cellStyle name="40% - Accent3 10_Exh G" xfId="2933" xr:uid="{00000000-0005-0000-0000-0000B4380000}"/>
    <cellStyle name="40% - Accent3 11" xfId="437" xr:uid="{00000000-0005-0000-0000-0000B5380000}"/>
    <cellStyle name="40% - Accent3 11 10" xfId="26293" xr:uid="{8F5055ED-DD13-4687-A390-BC148DC9BBBF}"/>
    <cellStyle name="40% - Accent3 11 2" xfId="438" xr:uid="{00000000-0005-0000-0000-0000B6380000}"/>
    <cellStyle name="40% - Accent3 11 2 2" xfId="439" xr:uid="{00000000-0005-0000-0000-0000B7380000}"/>
    <cellStyle name="40% - Accent3 11 2 2 2" xfId="1467" xr:uid="{00000000-0005-0000-0000-0000B8380000}"/>
    <cellStyle name="40% - Accent3 11 2 2 2 2" xfId="4997" xr:uid="{00000000-0005-0000-0000-0000B9380000}"/>
    <cellStyle name="40% - Accent3 11 2 2 2 2 2" xfId="8588" xr:uid="{00000000-0005-0000-0000-0000BA380000}"/>
    <cellStyle name="40% - Accent3 11 2 2 2 2 2 2" xfId="16559" xr:uid="{00000000-0005-0000-0000-0000BB380000}"/>
    <cellStyle name="40% - Accent3 11 2 2 2 2 2 2 2" xfId="40402" xr:uid="{40763EC8-81EC-4482-A071-81A1D83D1F59}"/>
    <cellStyle name="40% - Accent3 11 2 2 2 2 2 3" xfId="24505" xr:uid="{00000000-0005-0000-0000-0000BC380000}"/>
    <cellStyle name="40% - Accent3 11 2 2 2 2 2 3 2" xfId="48338" xr:uid="{8DD30D96-002A-49D5-9CD9-9592164E91D8}"/>
    <cellStyle name="40% - Accent3 11 2 2 2 2 2 4" xfId="32461" xr:uid="{2384EE59-06FA-41C2-BBD5-9D5F35DFFBA6}"/>
    <cellStyle name="40% - Accent3 11 2 2 2 2 3" xfId="13021" xr:uid="{00000000-0005-0000-0000-0000BD380000}"/>
    <cellStyle name="40% - Accent3 11 2 2 2 2 3 2" xfId="36871" xr:uid="{F5FD0C82-FB74-4517-9EE1-481219644F67}"/>
    <cellStyle name="40% - Accent3 11 2 2 2 2 4" xfId="20976" xr:uid="{00000000-0005-0000-0000-0000BE380000}"/>
    <cellStyle name="40% - Accent3 11 2 2 2 2 4 2" xfId="44809" xr:uid="{A48C8847-82FC-4728-AE89-9447F4EAF998}"/>
    <cellStyle name="40% - Accent3 11 2 2 2 2 5" xfId="28930" xr:uid="{25BF4C8B-5B70-4B91-BF3D-1E66ABB24A1A}"/>
    <cellStyle name="40% - Accent3 11 2 2 2 3" xfId="6829" xr:uid="{00000000-0005-0000-0000-0000BF380000}"/>
    <cellStyle name="40% - Accent3 11 2 2 2 3 2" xfId="14801" xr:uid="{00000000-0005-0000-0000-0000C0380000}"/>
    <cellStyle name="40% - Accent3 11 2 2 2 3 2 2" xfId="38644" xr:uid="{A09EE429-8FA6-43E5-BE42-742DCD344DDD}"/>
    <cellStyle name="40% - Accent3 11 2 2 2 3 3" xfId="22748" xr:uid="{00000000-0005-0000-0000-0000C1380000}"/>
    <cellStyle name="40% - Accent3 11 2 2 2 3 3 2" xfId="46581" xr:uid="{7ADCF931-99A0-45D4-974C-E7437BC91225}"/>
    <cellStyle name="40% - Accent3 11 2 2 2 3 4" xfId="30703" xr:uid="{302AC81F-A427-466B-B6DF-08DBAAF0CF56}"/>
    <cellStyle name="40% - Accent3 11 2 2 2 4" xfId="11265" xr:uid="{00000000-0005-0000-0000-0000C2380000}"/>
    <cellStyle name="40% - Accent3 11 2 2 2 4 2" xfId="35115" xr:uid="{1CB6CBA2-B1F5-4F31-BD7D-683680834177}"/>
    <cellStyle name="40% - Accent3 11 2 2 2 5" xfId="19220" xr:uid="{00000000-0005-0000-0000-0000C3380000}"/>
    <cellStyle name="40% - Accent3 11 2 2 2 5 2" xfId="43053" xr:uid="{3803AAE6-DD49-44ED-A590-DDCB3C334563}"/>
    <cellStyle name="40% - Accent3 11 2 2 2 6" xfId="27173" xr:uid="{D63D38DA-38E9-48AC-A191-E89B4785EB75}"/>
    <cellStyle name="40% - Accent3 11 2 2 2_Exh G" xfId="2944" xr:uid="{00000000-0005-0000-0000-0000C4380000}"/>
    <cellStyle name="40% - Accent3 11 2 2 3" xfId="4118" xr:uid="{00000000-0005-0000-0000-0000C5380000}"/>
    <cellStyle name="40% - Accent3 11 2 2 3 2" xfId="7710" xr:uid="{00000000-0005-0000-0000-0000C6380000}"/>
    <cellStyle name="40% - Accent3 11 2 2 3 2 2" xfId="15681" xr:uid="{00000000-0005-0000-0000-0000C7380000}"/>
    <cellStyle name="40% - Accent3 11 2 2 3 2 2 2" xfId="39524" xr:uid="{E7C4C7EE-BC8B-49D8-BAAD-540353C9A63D}"/>
    <cellStyle name="40% - Accent3 11 2 2 3 2 3" xfId="23627" xr:uid="{00000000-0005-0000-0000-0000C8380000}"/>
    <cellStyle name="40% - Accent3 11 2 2 3 2 3 2" xfId="47460" xr:uid="{D814541F-D38B-440A-894E-A4EDCCD048CA}"/>
    <cellStyle name="40% - Accent3 11 2 2 3 2 4" xfId="31583" xr:uid="{25332F0F-D894-4F6C-88D4-AA5984DBCA69}"/>
    <cellStyle name="40% - Accent3 11 2 2 3 3" xfId="12143" xr:uid="{00000000-0005-0000-0000-0000C9380000}"/>
    <cellStyle name="40% - Accent3 11 2 2 3 3 2" xfId="35993" xr:uid="{2CB9E787-0B73-4F52-931D-74402B3F7BFB}"/>
    <cellStyle name="40% - Accent3 11 2 2 3 4" xfId="20098" xr:uid="{00000000-0005-0000-0000-0000CA380000}"/>
    <cellStyle name="40% - Accent3 11 2 2 3 4 2" xfId="43931" xr:uid="{3DFBFCF9-0A6A-4B26-95CA-6284029300D9}"/>
    <cellStyle name="40% - Accent3 11 2 2 3 5" xfId="28052" xr:uid="{29B73428-76E3-4598-8AEF-C41E85A93CE9}"/>
    <cellStyle name="40% - Accent3 11 2 2 4" xfId="5938" xr:uid="{00000000-0005-0000-0000-0000CB380000}"/>
    <cellStyle name="40% - Accent3 11 2 2 4 2" xfId="13922" xr:uid="{00000000-0005-0000-0000-0000CC380000}"/>
    <cellStyle name="40% - Accent3 11 2 2 4 2 2" xfId="37766" xr:uid="{7B4A6E72-355B-413E-BD4E-381F371F9C6D}"/>
    <cellStyle name="40% - Accent3 11 2 2 4 3" xfId="21870" xr:uid="{00000000-0005-0000-0000-0000CD380000}"/>
    <cellStyle name="40% - Accent3 11 2 2 4 3 2" xfId="45703" xr:uid="{A34D1EF0-3DB1-41D1-ABD6-B3FCC14281B7}"/>
    <cellStyle name="40% - Accent3 11 2 2 4 4" xfId="29825" xr:uid="{5A64A901-0F26-4B40-A945-1D8C96BF6EF0}"/>
    <cellStyle name="40% - Accent3 11 2 2 5" xfId="9491" xr:uid="{00000000-0005-0000-0000-0000CE380000}"/>
    <cellStyle name="40% - Accent3 11 2 2 5 2" xfId="17449" xr:uid="{00000000-0005-0000-0000-0000CF380000}"/>
    <cellStyle name="40% - Accent3 11 2 2 5 2 2" xfId="41290" xr:uid="{350A71AD-E72E-408F-9CD2-8A459D143D72}"/>
    <cellStyle name="40% - Accent3 11 2 2 5 3" xfId="25393" xr:uid="{00000000-0005-0000-0000-0000D0380000}"/>
    <cellStyle name="40% - Accent3 11 2 2 5 3 2" xfId="49226" xr:uid="{37C370B5-6B71-4328-8FB1-45059FD08D81}"/>
    <cellStyle name="40% - Accent3 11 2 2 5 4" xfId="33349" xr:uid="{772216DB-2AB2-42D3-B1A1-91C47EB0CEC5}"/>
    <cellStyle name="40% - Accent3 11 2 2 6" xfId="10387" xr:uid="{00000000-0005-0000-0000-0000D1380000}"/>
    <cellStyle name="40% - Accent3 11 2 2 6 2" xfId="34237" xr:uid="{AF2B092E-7EF2-4DA7-B7A1-5E816514F928}"/>
    <cellStyle name="40% - Accent3 11 2 2 7" xfId="18342" xr:uid="{00000000-0005-0000-0000-0000D2380000}"/>
    <cellStyle name="40% - Accent3 11 2 2 7 2" xfId="42175" xr:uid="{09759246-EAA5-4E14-B925-0D1DBFD90654}"/>
    <cellStyle name="40% - Accent3 11 2 2 8" xfId="26295" xr:uid="{13C75EB2-F282-4401-9339-984B7DFC822C}"/>
    <cellStyle name="40% - Accent3 11 2 2_Exh G" xfId="2943" xr:uid="{00000000-0005-0000-0000-0000D3380000}"/>
    <cellStyle name="40% - Accent3 11 2 3" xfId="1466" xr:uid="{00000000-0005-0000-0000-0000D4380000}"/>
    <cellStyle name="40% - Accent3 11 2 3 2" xfId="4996" xr:uid="{00000000-0005-0000-0000-0000D5380000}"/>
    <cellStyle name="40% - Accent3 11 2 3 2 2" xfId="8587" xr:uid="{00000000-0005-0000-0000-0000D6380000}"/>
    <cellStyle name="40% - Accent3 11 2 3 2 2 2" xfId="16558" xr:uid="{00000000-0005-0000-0000-0000D7380000}"/>
    <cellStyle name="40% - Accent3 11 2 3 2 2 2 2" xfId="40401" xr:uid="{6752436D-C1A1-47A3-8604-41A3322EAAAF}"/>
    <cellStyle name="40% - Accent3 11 2 3 2 2 3" xfId="24504" xr:uid="{00000000-0005-0000-0000-0000D8380000}"/>
    <cellStyle name="40% - Accent3 11 2 3 2 2 3 2" xfId="48337" xr:uid="{C711F6FD-661D-4406-A818-79D48C62ADA3}"/>
    <cellStyle name="40% - Accent3 11 2 3 2 2 4" xfId="32460" xr:uid="{E648DF9B-F0F4-407A-9AC5-A56BA159523A}"/>
    <cellStyle name="40% - Accent3 11 2 3 2 3" xfId="13020" xr:uid="{00000000-0005-0000-0000-0000D9380000}"/>
    <cellStyle name="40% - Accent3 11 2 3 2 3 2" xfId="36870" xr:uid="{3E6F95E6-EEB3-4347-883E-64BB8F1B0617}"/>
    <cellStyle name="40% - Accent3 11 2 3 2 4" xfId="20975" xr:uid="{00000000-0005-0000-0000-0000DA380000}"/>
    <cellStyle name="40% - Accent3 11 2 3 2 4 2" xfId="44808" xr:uid="{9A507236-BCF2-4416-8735-E1BC70616B54}"/>
    <cellStyle name="40% - Accent3 11 2 3 2 5" xfId="28929" xr:uid="{2F6044A9-6550-4C0D-89C6-278AF9FE7688}"/>
    <cellStyle name="40% - Accent3 11 2 3 3" xfId="6828" xr:uid="{00000000-0005-0000-0000-0000DB380000}"/>
    <cellStyle name="40% - Accent3 11 2 3 3 2" xfId="14800" xr:uid="{00000000-0005-0000-0000-0000DC380000}"/>
    <cellStyle name="40% - Accent3 11 2 3 3 2 2" xfId="38643" xr:uid="{536B4A12-CF59-4E9D-A898-F494C987BEEE}"/>
    <cellStyle name="40% - Accent3 11 2 3 3 3" xfId="22747" xr:uid="{00000000-0005-0000-0000-0000DD380000}"/>
    <cellStyle name="40% - Accent3 11 2 3 3 3 2" xfId="46580" xr:uid="{0EA0C4AD-C023-40E4-B8EC-A9E1524BC493}"/>
    <cellStyle name="40% - Accent3 11 2 3 3 4" xfId="30702" xr:uid="{94B5F2A5-614F-48BF-9905-0DC4B1A47786}"/>
    <cellStyle name="40% - Accent3 11 2 3 4" xfId="11264" xr:uid="{00000000-0005-0000-0000-0000DE380000}"/>
    <cellStyle name="40% - Accent3 11 2 3 4 2" xfId="35114" xr:uid="{750F56FC-08F8-47F6-A971-AC8BCA034096}"/>
    <cellStyle name="40% - Accent3 11 2 3 5" xfId="19219" xr:uid="{00000000-0005-0000-0000-0000DF380000}"/>
    <cellStyle name="40% - Accent3 11 2 3 5 2" xfId="43052" xr:uid="{321A63C9-414E-4605-ADBB-EC91054DECB8}"/>
    <cellStyle name="40% - Accent3 11 2 3 6" xfId="27172" xr:uid="{4AA82CF9-D8C8-46D4-BC2C-D0ABD27DF618}"/>
    <cellStyle name="40% - Accent3 11 2 3_Exh G" xfId="2945" xr:uid="{00000000-0005-0000-0000-0000E0380000}"/>
    <cellStyle name="40% - Accent3 11 2 4" xfId="4117" xr:uid="{00000000-0005-0000-0000-0000E1380000}"/>
    <cellStyle name="40% - Accent3 11 2 4 2" xfId="7709" xr:uid="{00000000-0005-0000-0000-0000E2380000}"/>
    <cellStyle name="40% - Accent3 11 2 4 2 2" xfId="15680" xr:uid="{00000000-0005-0000-0000-0000E3380000}"/>
    <cellStyle name="40% - Accent3 11 2 4 2 2 2" xfId="39523" xr:uid="{2005AB95-4A3D-44C5-A537-499F584E98A7}"/>
    <cellStyle name="40% - Accent3 11 2 4 2 3" xfId="23626" xr:uid="{00000000-0005-0000-0000-0000E4380000}"/>
    <cellStyle name="40% - Accent3 11 2 4 2 3 2" xfId="47459" xr:uid="{88C18D3A-097A-488A-BCB4-F54A61F2B8D0}"/>
    <cellStyle name="40% - Accent3 11 2 4 2 4" xfId="31582" xr:uid="{7D4E0D5B-5F90-4A1D-95A0-2A1E3AB37243}"/>
    <cellStyle name="40% - Accent3 11 2 4 3" xfId="12142" xr:uid="{00000000-0005-0000-0000-0000E5380000}"/>
    <cellStyle name="40% - Accent3 11 2 4 3 2" xfId="35992" xr:uid="{14178B1D-F80D-4579-988C-8AC72E54BCF1}"/>
    <cellStyle name="40% - Accent3 11 2 4 4" xfId="20097" xr:uid="{00000000-0005-0000-0000-0000E6380000}"/>
    <cellStyle name="40% - Accent3 11 2 4 4 2" xfId="43930" xr:uid="{BE3C46B3-5E4E-4102-ADCB-B4326559894A}"/>
    <cellStyle name="40% - Accent3 11 2 4 5" xfId="28051" xr:uid="{8F4B148B-F681-4FA4-86F4-416BB5558CE8}"/>
    <cellStyle name="40% - Accent3 11 2 5" xfId="5937" xr:uid="{00000000-0005-0000-0000-0000E7380000}"/>
    <cellStyle name="40% - Accent3 11 2 5 2" xfId="13921" xr:uid="{00000000-0005-0000-0000-0000E8380000}"/>
    <cellStyle name="40% - Accent3 11 2 5 2 2" xfId="37765" xr:uid="{1C4372FD-8C11-4458-ADF3-4CFAF68BB87B}"/>
    <cellStyle name="40% - Accent3 11 2 5 3" xfId="21869" xr:uid="{00000000-0005-0000-0000-0000E9380000}"/>
    <cellStyle name="40% - Accent3 11 2 5 3 2" xfId="45702" xr:uid="{F79211D0-55E6-49DF-A612-398B413DE6E7}"/>
    <cellStyle name="40% - Accent3 11 2 5 4" xfId="29824" xr:uid="{5A6860B3-75EB-4CE0-8822-58F8D5AD79A7}"/>
    <cellStyle name="40% - Accent3 11 2 6" xfId="9490" xr:uid="{00000000-0005-0000-0000-0000EA380000}"/>
    <cellStyle name="40% - Accent3 11 2 6 2" xfId="17448" xr:uid="{00000000-0005-0000-0000-0000EB380000}"/>
    <cellStyle name="40% - Accent3 11 2 6 2 2" xfId="41289" xr:uid="{8FF46466-E96F-4ABD-83C5-86ACF79ADBCB}"/>
    <cellStyle name="40% - Accent3 11 2 6 3" xfId="25392" xr:uid="{00000000-0005-0000-0000-0000EC380000}"/>
    <cellStyle name="40% - Accent3 11 2 6 3 2" xfId="49225" xr:uid="{24FC201F-C163-4556-9E0C-D0ABEAC2695B}"/>
    <cellStyle name="40% - Accent3 11 2 6 4" xfId="33348" xr:uid="{4BC5800E-219B-4C31-8CF2-1F85987B7C83}"/>
    <cellStyle name="40% - Accent3 11 2 7" xfId="10386" xr:uid="{00000000-0005-0000-0000-0000ED380000}"/>
    <cellStyle name="40% - Accent3 11 2 7 2" xfId="34236" xr:uid="{82EEA6BB-344F-4F8B-8DD7-6818AEFE357B}"/>
    <cellStyle name="40% - Accent3 11 2 8" xfId="18341" xr:uid="{00000000-0005-0000-0000-0000EE380000}"/>
    <cellStyle name="40% - Accent3 11 2 8 2" xfId="42174" xr:uid="{A18AD9A0-0D02-4B0F-8C70-39EFDAD768C8}"/>
    <cellStyle name="40% - Accent3 11 2 9" xfId="26294" xr:uid="{7A6A4971-7B57-4DC7-BD62-900658D9F806}"/>
    <cellStyle name="40% - Accent3 11 2_Exh G" xfId="2942" xr:uid="{00000000-0005-0000-0000-0000EF380000}"/>
    <cellStyle name="40% - Accent3 11 3" xfId="440" xr:uid="{00000000-0005-0000-0000-0000F0380000}"/>
    <cellStyle name="40% - Accent3 11 3 2" xfId="1468" xr:uid="{00000000-0005-0000-0000-0000F1380000}"/>
    <cellStyle name="40% - Accent3 11 3 2 2" xfId="4998" xr:uid="{00000000-0005-0000-0000-0000F2380000}"/>
    <cellStyle name="40% - Accent3 11 3 2 2 2" xfId="8589" xr:uid="{00000000-0005-0000-0000-0000F3380000}"/>
    <cellStyle name="40% - Accent3 11 3 2 2 2 2" xfId="16560" xr:uid="{00000000-0005-0000-0000-0000F4380000}"/>
    <cellStyle name="40% - Accent3 11 3 2 2 2 2 2" xfId="40403" xr:uid="{BE05F68D-FA96-477D-BE49-6C619173E8F9}"/>
    <cellStyle name="40% - Accent3 11 3 2 2 2 3" xfId="24506" xr:uid="{00000000-0005-0000-0000-0000F5380000}"/>
    <cellStyle name="40% - Accent3 11 3 2 2 2 3 2" xfId="48339" xr:uid="{E8152564-311A-4C63-AB70-8669AE4EB4C4}"/>
    <cellStyle name="40% - Accent3 11 3 2 2 2 4" xfId="32462" xr:uid="{7F266F41-EC47-424E-9D91-70C9723687AB}"/>
    <cellStyle name="40% - Accent3 11 3 2 2 3" xfId="13022" xr:uid="{00000000-0005-0000-0000-0000F6380000}"/>
    <cellStyle name="40% - Accent3 11 3 2 2 3 2" xfId="36872" xr:uid="{68BA6606-8298-43B6-8081-BF93AB2DA7B4}"/>
    <cellStyle name="40% - Accent3 11 3 2 2 4" xfId="20977" xr:uid="{00000000-0005-0000-0000-0000F7380000}"/>
    <cellStyle name="40% - Accent3 11 3 2 2 4 2" xfId="44810" xr:uid="{CC1169C7-4CC0-4EDB-A8EF-337A19561243}"/>
    <cellStyle name="40% - Accent3 11 3 2 2 5" xfId="28931" xr:uid="{9248ED0F-DCB0-4048-BC6E-2A9F90616DF1}"/>
    <cellStyle name="40% - Accent3 11 3 2 3" xfId="6830" xr:uid="{00000000-0005-0000-0000-0000F8380000}"/>
    <cellStyle name="40% - Accent3 11 3 2 3 2" xfId="14802" xr:uid="{00000000-0005-0000-0000-0000F9380000}"/>
    <cellStyle name="40% - Accent3 11 3 2 3 2 2" xfId="38645" xr:uid="{8EB315DB-3E8E-48B4-930D-553F9C1C1895}"/>
    <cellStyle name="40% - Accent3 11 3 2 3 3" xfId="22749" xr:uid="{00000000-0005-0000-0000-0000FA380000}"/>
    <cellStyle name="40% - Accent3 11 3 2 3 3 2" xfId="46582" xr:uid="{BE9F07CA-81DB-4349-A79F-BD19A266DED8}"/>
    <cellStyle name="40% - Accent3 11 3 2 3 4" xfId="30704" xr:uid="{1BEE36D1-0AAC-4451-8C14-5E3A01F1AAAD}"/>
    <cellStyle name="40% - Accent3 11 3 2 4" xfId="11266" xr:uid="{00000000-0005-0000-0000-0000FB380000}"/>
    <cellStyle name="40% - Accent3 11 3 2 4 2" xfId="35116" xr:uid="{82E891E5-5E60-4920-89C0-060B1A8CD6EB}"/>
    <cellStyle name="40% - Accent3 11 3 2 5" xfId="19221" xr:uid="{00000000-0005-0000-0000-0000FC380000}"/>
    <cellStyle name="40% - Accent3 11 3 2 5 2" xfId="43054" xr:uid="{D01B0282-CB8F-431C-AC3F-B13CAB30EA69}"/>
    <cellStyle name="40% - Accent3 11 3 2 6" xfId="27174" xr:uid="{6965F987-6A4D-441D-BF9E-773CFFB2C506}"/>
    <cellStyle name="40% - Accent3 11 3 2_Exh G" xfId="2947" xr:uid="{00000000-0005-0000-0000-0000FD380000}"/>
    <cellStyle name="40% - Accent3 11 3 3" xfId="4119" xr:uid="{00000000-0005-0000-0000-0000FE380000}"/>
    <cellStyle name="40% - Accent3 11 3 3 2" xfId="7711" xr:uid="{00000000-0005-0000-0000-0000FF380000}"/>
    <cellStyle name="40% - Accent3 11 3 3 2 2" xfId="15682" xr:uid="{00000000-0005-0000-0000-000000390000}"/>
    <cellStyle name="40% - Accent3 11 3 3 2 2 2" xfId="39525" xr:uid="{61B36BA2-834D-4B7B-AF8C-B9D7539CB6B7}"/>
    <cellStyle name="40% - Accent3 11 3 3 2 3" xfId="23628" xr:uid="{00000000-0005-0000-0000-000001390000}"/>
    <cellStyle name="40% - Accent3 11 3 3 2 3 2" xfId="47461" xr:uid="{7582120C-97E8-4534-A3EC-9348D1E7B090}"/>
    <cellStyle name="40% - Accent3 11 3 3 2 4" xfId="31584" xr:uid="{41CE5280-2E3D-4E54-BD00-A101F079624D}"/>
    <cellStyle name="40% - Accent3 11 3 3 3" xfId="12144" xr:uid="{00000000-0005-0000-0000-000002390000}"/>
    <cellStyle name="40% - Accent3 11 3 3 3 2" xfId="35994" xr:uid="{704D2823-7778-460F-83FA-F4BA2D4AE157}"/>
    <cellStyle name="40% - Accent3 11 3 3 4" xfId="20099" xr:uid="{00000000-0005-0000-0000-000003390000}"/>
    <cellStyle name="40% - Accent3 11 3 3 4 2" xfId="43932" xr:uid="{59465280-A2E6-42AC-A1F8-D8BB685C87CD}"/>
    <cellStyle name="40% - Accent3 11 3 3 5" xfId="28053" xr:uid="{B2F10BE6-D94C-41D4-AD1E-B0A5BD9E9507}"/>
    <cellStyle name="40% - Accent3 11 3 4" xfId="5939" xr:uid="{00000000-0005-0000-0000-000004390000}"/>
    <cellStyle name="40% - Accent3 11 3 4 2" xfId="13923" xr:uid="{00000000-0005-0000-0000-000005390000}"/>
    <cellStyle name="40% - Accent3 11 3 4 2 2" xfId="37767" xr:uid="{312CB3EA-84E5-4616-93D0-2E4F2903D8B3}"/>
    <cellStyle name="40% - Accent3 11 3 4 3" xfId="21871" xr:uid="{00000000-0005-0000-0000-000006390000}"/>
    <cellStyle name="40% - Accent3 11 3 4 3 2" xfId="45704" xr:uid="{39DD4414-2ADF-4186-A978-5B238ECA292B}"/>
    <cellStyle name="40% - Accent3 11 3 4 4" xfId="29826" xr:uid="{01A0B7CB-E5C8-437F-8C4F-47AE3C5550D1}"/>
    <cellStyle name="40% - Accent3 11 3 5" xfId="9492" xr:uid="{00000000-0005-0000-0000-000007390000}"/>
    <cellStyle name="40% - Accent3 11 3 5 2" xfId="17450" xr:uid="{00000000-0005-0000-0000-000008390000}"/>
    <cellStyle name="40% - Accent3 11 3 5 2 2" xfId="41291" xr:uid="{879F2AE0-4B0C-45F9-B3CE-F39BA81EDCA3}"/>
    <cellStyle name="40% - Accent3 11 3 5 3" xfId="25394" xr:uid="{00000000-0005-0000-0000-000009390000}"/>
    <cellStyle name="40% - Accent3 11 3 5 3 2" xfId="49227" xr:uid="{BED1F27F-3EE0-43D0-AC03-0F9A0C3FF7AB}"/>
    <cellStyle name="40% - Accent3 11 3 5 4" xfId="33350" xr:uid="{A1D03E28-86A3-4845-89A7-16FDBDC9820A}"/>
    <cellStyle name="40% - Accent3 11 3 6" xfId="10388" xr:uid="{00000000-0005-0000-0000-00000A390000}"/>
    <cellStyle name="40% - Accent3 11 3 6 2" xfId="34238" xr:uid="{AD292949-BEA0-4D43-AECC-E69E422100E6}"/>
    <cellStyle name="40% - Accent3 11 3 7" xfId="18343" xr:uid="{00000000-0005-0000-0000-00000B390000}"/>
    <cellStyle name="40% - Accent3 11 3 7 2" xfId="42176" xr:uid="{662658F5-0C42-4C32-A03F-DF0710BE4A85}"/>
    <cellStyle name="40% - Accent3 11 3 8" xfId="26296" xr:uid="{DEFE11F3-9078-4B9D-8734-8DD5F6BC9E22}"/>
    <cellStyle name="40% - Accent3 11 3_Exh G" xfId="2946" xr:uid="{00000000-0005-0000-0000-00000C390000}"/>
    <cellStyle name="40% - Accent3 11 4" xfId="1465" xr:uid="{00000000-0005-0000-0000-00000D390000}"/>
    <cellStyle name="40% - Accent3 11 4 2" xfId="4995" xr:uid="{00000000-0005-0000-0000-00000E390000}"/>
    <cellStyle name="40% - Accent3 11 4 2 2" xfId="8586" xr:uid="{00000000-0005-0000-0000-00000F390000}"/>
    <cellStyle name="40% - Accent3 11 4 2 2 2" xfId="16557" xr:uid="{00000000-0005-0000-0000-000010390000}"/>
    <cellStyle name="40% - Accent3 11 4 2 2 2 2" xfId="40400" xr:uid="{7020D6BF-BDF0-4F92-B0DC-3B743A5454DD}"/>
    <cellStyle name="40% - Accent3 11 4 2 2 3" xfId="24503" xr:uid="{00000000-0005-0000-0000-000011390000}"/>
    <cellStyle name="40% - Accent3 11 4 2 2 3 2" xfId="48336" xr:uid="{6BEE27FE-E814-4AFB-92DA-1D7F403B6196}"/>
    <cellStyle name="40% - Accent3 11 4 2 2 4" xfId="32459" xr:uid="{5E952A09-7548-4E32-BD2E-2648C4A2660C}"/>
    <cellStyle name="40% - Accent3 11 4 2 3" xfId="13019" xr:uid="{00000000-0005-0000-0000-000012390000}"/>
    <cellStyle name="40% - Accent3 11 4 2 3 2" xfId="36869" xr:uid="{52E0DE41-90C9-4AF2-B1F3-37C1AEA787F2}"/>
    <cellStyle name="40% - Accent3 11 4 2 4" xfId="20974" xr:uid="{00000000-0005-0000-0000-000013390000}"/>
    <cellStyle name="40% - Accent3 11 4 2 4 2" xfId="44807" xr:uid="{3E75B81B-5987-4B52-8213-E37DAD0B10A7}"/>
    <cellStyle name="40% - Accent3 11 4 2 5" xfId="28928" xr:uid="{09FC0DEF-D2AB-4BB3-8F5D-9C8CCB4AB696}"/>
    <cellStyle name="40% - Accent3 11 4 3" xfId="6827" xr:uid="{00000000-0005-0000-0000-000014390000}"/>
    <cellStyle name="40% - Accent3 11 4 3 2" xfId="14799" xr:uid="{00000000-0005-0000-0000-000015390000}"/>
    <cellStyle name="40% - Accent3 11 4 3 2 2" xfId="38642" xr:uid="{442B0495-BFB3-441A-BE67-7876860685AE}"/>
    <cellStyle name="40% - Accent3 11 4 3 3" xfId="22746" xr:uid="{00000000-0005-0000-0000-000016390000}"/>
    <cellStyle name="40% - Accent3 11 4 3 3 2" xfId="46579" xr:uid="{FBE9C73A-8AC9-45ED-94E3-D58D167BEB0C}"/>
    <cellStyle name="40% - Accent3 11 4 3 4" xfId="30701" xr:uid="{C3ED9023-FE0E-4C8E-A551-51E17A83D975}"/>
    <cellStyle name="40% - Accent3 11 4 4" xfId="11263" xr:uid="{00000000-0005-0000-0000-000017390000}"/>
    <cellStyle name="40% - Accent3 11 4 4 2" xfId="35113" xr:uid="{76DD4F48-2506-4D05-B55E-F2717C7F8700}"/>
    <cellStyle name="40% - Accent3 11 4 5" xfId="19218" xr:uid="{00000000-0005-0000-0000-000018390000}"/>
    <cellStyle name="40% - Accent3 11 4 5 2" xfId="43051" xr:uid="{455C5A0D-B57A-4861-8F50-FE43C5DF68FC}"/>
    <cellStyle name="40% - Accent3 11 4 6" xfId="27171" xr:uid="{FDF3405E-35AF-4D74-BA5C-7F2FD6B3132C}"/>
    <cellStyle name="40% - Accent3 11 4_Exh G" xfId="2948" xr:uid="{00000000-0005-0000-0000-000019390000}"/>
    <cellStyle name="40% - Accent3 11 5" xfId="4116" xr:uid="{00000000-0005-0000-0000-00001A390000}"/>
    <cellStyle name="40% - Accent3 11 5 2" xfId="7708" xr:uid="{00000000-0005-0000-0000-00001B390000}"/>
    <cellStyle name="40% - Accent3 11 5 2 2" xfId="15679" xr:uid="{00000000-0005-0000-0000-00001C390000}"/>
    <cellStyle name="40% - Accent3 11 5 2 2 2" xfId="39522" xr:uid="{405322EF-B947-4654-BAD5-1BE979060CBF}"/>
    <cellStyle name="40% - Accent3 11 5 2 3" xfId="23625" xr:uid="{00000000-0005-0000-0000-00001D390000}"/>
    <cellStyle name="40% - Accent3 11 5 2 3 2" xfId="47458" xr:uid="{7DA761A5-6F12-4F9B-923C-A9F3771C7E1C}"/>
    <cellStyle name="40% - Accent3 11 5 2 4" xfId="31581" xr:uid="{3C56DDB6-415E-4F86-BD9F-E9494A401534}"/>
    <cellStyle name="40% - Accent3 11 5 3" xfId="12141" xr:uid="{00000000-0005-0000-0000-00001E390000}"/>
    <cellStyle name="40% - Accent3 11 5 3 2" xfId="35991" xr:uid="{F3A363EA-8818-4340-88B4-FF80CE831EBB}"/>
    <cellStyle name="40% - Accent3 11 5 4" xfId="20096" xr:uid="{00000000-0005-0000-0000-00001F390000}"/>
    <cellStyle name="40% - Accent3 11 5 4 2" xfId="43929" xr:uid="{CDC4BB20-1F24-4086-B535-A9170C9D9CF2}"/>
    <cellStyle name="40% - Accent3 11 5 5" xfId="28050" xr:uid="{66BF3940-5B8A-49CC-B575-1F41470EF590}"/>
    <cellStyle name="40% - Accent3 11 6" xfId="5936" xr:uid="{00000000-0005-0000-0000-000020390000}"/>
    <cellStyle name="40% - Accent3 11 6 2" xfId="13920" xr:uid="{00000000-0005-0000-0000-000021390000}"/>
    <cellStyle name="40% - Accent3 11 6 2 2" xfId="37764" xr:uid="{BE003510-9B29-4120-A042-A7F0293D2F83}"/>
    <cellStyle name="40% - Accent3 11 6 3" xfId="21868" xr:uid="{00000000-0005-0000-0000-000022390000}"/>
    <cellStyle name="40% - Accent3 11 6 3 2" xfId="45701" xr:uid="{B8B20C70-9A7A-4656-BD5F-6D73CAA5611D}"/>
    <cellStyle name="40% - Accent3 11 6 4" xfId="29823" xr:uid="{2CF0CBD9-01A6-418A-8718-81CDA7DDCD5C}"/>
    <cellStyle name="40% - Accent3 11 7" xfId="9489" xr:uid="{00000000-0005-0000-0000-000023390000}"/>
    <cellStyle name="40% - Accent3 11 7 2" xfId="17447" xr:uid="{00000000-0005-0000-0000-000024390000}"/>
    <cellStyle name="40% - Accent3 11 7 2 2" xfId="41288" xr:uid="{9FBE0641-1697-45EC-B214-9C6CE5CA1E1E}"/>
    <cellStyle name="40% - Accent3 11 7 3" xfId="25391" xr:uid="{00000000-0005-0000-0000-000025390000}"/>
    <cellStyle name="40% - Accent3 11 7 3 2" xfId="49224" xr:uid="{31BB3123-251B-4CFC-9CCA-AF791198B233}"/>
    <cellStyle name="40% - Accent3 11 7 4" xfId="33347" xr:uid="{92FB7D10-5D44-475E-88F8-F4E7B7D90E8D}"/>
    <cellStyle name="40% - Accent3 11 8" xfId="10385" xr:uid="{00000000-0005-0000-0000-000026390000}"/>
    <cellStyle name="40% - Accent3 11 8 2" xfId="34235" xr:uid="{3E8BE526-9602-4A2E-91EE-7B405E51F524}"/>
    <cellStyle name="40% - Accent3 11 9" xfId="18340" xr:uid="{00000000-0005-0000-0000-000027390000}"/>
    <cellStyle name="40% - Accent3 11 9 2" xfId="42173" xr:uid="{A9D09D68-AA8F-4574-A3BA-3BCC6D391B80}"/>
    <cellStyle name="40% - Accent3 11_Exh G" xfId="2941" xr:uid="{00000000-0005-0000-0000-000028390000}"/>
    <cellStyle name="40% - Accent3 12" xfId="441" xr:uid="{00000000-0005-0000-0000-000029390000}"/>
    <cellStyle name="40% - Accent3 12 10" xfId="26297" xr:uid="{50B186F4-BE75-4323-B915-2830404B5BFB}"/>
    <cellStyle name="40% - Accent3 12 2" xfId="442" xr:uid="{00000000-0005-0000-0000-00002A390000}"/>
    <cellStyle name="40% - Accent3 12 2 2" xfId="443" xr:uid="{00000000-0005-0000-0000-00002B390000}"/>
    <cellStyle name="40% - Accent3 12 2 2 2" xfId="1471" xr:uid="{00000000-0005-0000-0000-00002C390000}"/>
    <cellStyle name="40% - Accent3 12 2 2 2 2" xfId="5001" xr:uid="{00000000-0005-0000-0000-00002D390000}"/>
    <cellStyle name="40% - Accent3 12 2 2 2 2 2" xfId="8592" xr:uid="{00000000-0005-0000-0000-00002E390000}"/>
    <cellStyle name="40% - Accent3 12 2 2 2 2 2 2" xfId="16563" xr:uid="{00000000-0005-0000-0000-00002F390000}"/>
    <cellStyle name="40% - Accent3 12 2 2 2 2 2 2 2" xfId="40406" xr:uid="{7988C3AF-B379-4A46-9BD9-5C7A576F58E3}"/>
    <cellStyle name="40% - Accent3 12 2 2 2 2 2 3" xfId="24509" xr:uid="{00000000-0005-0000-0000-000030390000}"/>
    <cellStyle name="40% - Accent3 12 2 2 2 2 2 3 2" xfId="48342" xr:uid="{205E6C44-0175-4927-B8E8-B27765C5F738}"/>
    <cellStyle name="40% - Accent3 12 2 2 2 2 2 4" xfId="32465" xr:uid="{17A8B17F-B5EF-4787-91A3-5F18AF2C59FF}"/>
    <cellStyle name="40% - Accent3 12 2 2 2 2 3" xfId="13025" xr:uid="{00000000-0005-0000-0000-000031390000}"/>
    <cellStyle name="40% - Accent3 12 2 2 2 2 3 2" xfId="36875" xr:uid="{86E47A43-1BDF-41AF-9143-FE0E81A2A3DF}"/>
    <cellStyle name="40% - Accent3 12 2 2 2 2 4" xfId="20980" xr:uid="{00000000-0005-0000-0000-000032390000}"/>
    <cellStyle name="40% - Accent3 12 2 2 2 2 4 2" xfId="44813" xr:uid="{609A2972-33C7-4B1F-A11F-B046C83FB3E4}"/>
    <cellStyle name="40% - Accent3 12 2 2 2 2 5" xfId="28934" xr:uid="{50E90ABA-0FA0-4118-B243-D904C49B2E2C}"/>
    <cellStyle name="40% - Accent3 12 2 2 2 3" xfId="6833" xr:uid="{00000000-0005-0000-0000-000033390000}"/>
    <cellStyle name="40% - Accent3 12 2 2 2 3 2" xfId="14805" xr:uid="{00000000-0005-0000-0000-000034390000}"/>
    <cellStyle name="40% - Accent3 12 2 2 2 3 2 2" xfId="38648" xr:uid="{87A979DD-E811-435D-987E-AA8DADDFD688}"/>
    <cellStyle name="40% - Accent3 12 2 2 2 3 3" xfId="22752" xr:uid="{00000000-0005-0000-0000-000035390000}"/>
    <cellStyle name="40% - Accent3 12 2 2 2 3 3 2" xfId="46585" xr:uid="{5464DD08-18D5-421E-9828-062B5CF1D7C3}"/>
    <cellStyle name="40% - Accent3 12 2 2 2 3 4" xfId="30707" xr:uid="{32D9DA5C-F987-4F39-94C3-BBF4FFE80DDD}"/>
    <cellStyle name="40% - Accent3 12 2 2 2 4" xfId="11269" xr:uid="{00000000-0005-0000-0000-000036390000}"/>
    <cellStyle name="40% - Accent3 12 2 2 2 4 2" xfId="35119" xr:uid="{79D8D395-7A45-480D-9DC2-EEAC402A71E5}"/>
    <cellStyle name="40% - Accent3 12 2 2 2 5" xfId="19224" xr:uid="{00000000-0005-0000-0000-000037390000}"/>
    <cellStyle name="40% - Accent3 12 2 2 2 5 2" xfId="43057" xr:uid="{CAC01408-6B3E-485E-971B-95F0F9DC2662}"/>
    <cellStyle name="40% - Accent3 12 2 2 2 6" xfId="27177" xr:uid="{B29BD3DC-0E6D-44C5-95CA-B2E45A62B582}"/>
    <cellStyle name="40% - Accent3 12 2 2 2_Exh G" xfId="2952" xr:uid="{00000000-0005-0000-0000-000038390000}"/>
    <cellStyle name="40% - Accent3 12 2 2 3" xfId="4122" xr:uid="{00000000-0005-0000-0000-000039390000}"/>
    <cellStyle name="40% - Accent3 12 2 2 3 2" xfId="7714" xr:uid="{00000000-0005-0000-0000-00003A390000}"/>
    <cellStyle name="40% - Accent3 12 2 2 3 2 2" xfId="15685" xr:uid="{00000000-0005-0000-0000-00003B390000}"/>
    <cellStyle name="40% - Accent3 12 2 2 3 2 2 2" xfId="39528" xr:uid="{B4243537-B338-46F8-BFC8-5A0739C974EE}"/>
    <cellStyle name="40% - Accent3 12 2 2 3 2 3" xfId="23631" xr:uid="{00000000-0005-0000-0000-00003C390000}"/>
    <cellStyle name="40% - Accent3 12 2 2 3 2 3 2" xfId="47464" xr:uid="{D5E10D40-CB94-4053-AD0D-793CE5AC302E}"/>
    <cellStyle name="40% - Accent3 12 2 2 3 2 4" xfId="31587" xr:uid="{93D7DC1D-7DF9-48CE-B638-A5C3D6EFE876}"/>
    <cellStyle name="40% - Accent3 12 2 2 3 3" xfId="12147" xr:uid="{00000000-0005-0000-0000-00003D390000}"/>
    <cellStyle name="40% - Accent3 12 2 2 3 3 2" xfId="35997" xr:uid="{C715E25E-892A-4EF3-BBFC-8742BDB68C80}"/>
    <cellStyle name="40% - Accent3 12 2 2 3 4" xfId="20102" xr:uid="{00000000-0005-0000-0000-00003E390000}"/>
    <cellStyle name="40% - Accent3 12 2 2 3 4 2" xfId="43935" xr:uid="{6BC43147-A819-4555-81D5-166F6A6483BF}"/>
    <cellStyle name="40% - Accent3 12 2 2 3 5" xfId="28056" xr:uid="{31CE2B8A-73A7-4F15-81C5-DFEBC38EDD7C}"/>
    <cellStyle name="40% - Accent3 12 2 2 4" xfId="5942" xr:uid="{00000000-0005-0000-0000-00003F390000}"/>
    <cellStyle name="40% - Accent3 12 2 2 4 2" xfId="13926" xr:uid="{00000000-0005-0000-0000-000040390000}"/>
    <cellStyle name="40% - Accent3 12 2 2 4 2 2" xfId="37770" xr:uid="{E0E329F9-DE25-4804-AA78-7D6EE64476B3}"/>
    <cellStyle name="40% - Accent3 12 2 2 4 3" xfId="21874" xr:uid="{00000000-0005-0000-0000-000041390000}"/>
    <cellStyle name="40% - Accent3 12 2 2 4 3 2" xfId="45707" xr:uid="{D1729AC8-68E6-469B-9264-688495BA4E2E}"/>
    <cellStyle name="40% - Accent3 12 2 2 4 4" xfId="29829" xr:uid="{3B1CD2E5-C7EA-470A-8A04-204A9078CE53}"/>
    <cellStyle name="40% - Accent3 12 2 2 5" xfId="9495" xr:uid="{00000000-0005-0000-0000-000042390000}"/>
    <cellStyle name="40% - Accent3 12 2 2 5 2" xfId="17453" xr:uid="{00000000-0005-0000-0000-000043390000}"/>
    <cellStyle name="40% - Accent3 12 2 2 5 2 2" xfId="41294" xr:uid="{08E61AA6-D227-4F60-8784-D0AF8117889E}"/>
    <cellStyle name="40% - Accent3 12 2 2 5 3" xfId="25397" xr:uid="{00000000-0005-0000-0000-000044390000}"/>
    <cellStyle name="40% - Accent3 12 2 2 5 3 2" xfId="49230" xr:uid="{82B6F76B-46CE-42F3-B3E9-65F375629FE2}"/>
    <cellStyle name="40% - Accent3 12 2 2 5 4" xfId="33353" xr:uid="{CF13B194-5C21-4630-BBEE-B9322B9135FD}"/>
    <cellStyle name="40% - Accent3 12 2 2 6" xfId="10391" xr:uid="{00000000-0005-0000-0000-000045390000}"/>
    <cellStyle name="40% - Accent3 12 2 2 6 2" xfId="34241" xr:uid="{29321987-3C10-4BA5-B604-6602F7F67447}"/>
    <cellStyle name="40% - Accent3 12 2 2 7" xfId="18346" xr:uid="{00000000-0005-0000-0000-000046390000}"/>
    <cellStyle name="40% - Accent3 12 2 2 7 2" xfId="42179" xr:uid="{1FECD364-E191-465C-ADFD-DAFA9A8183D6}"/>
    <cellStyle name="40% - Accent3 12 2 2 8" xfId="26299" xr:uid="{4F6DC7E0-4732-48AA-9C29-43D916E9B383}"/>
    <cellStyle name="40% - Accent3 12 2 2_Exh G" xfId="2951" xr:uid="{00000000-0005-0000-0000-000047390000}"/>
    <cellStyle name="40% - Accent3 12 2 3" xfId="1470" xr:uid="{00000000-0005-0000-0000-000048390000}"/>
    <cellStyle name="40% - Accent3 12 2 3 2" xfId="5000" xr:uid="{00000000-0005-0000-0000-000049390000}"/>
    <cellStyle name="40% - Accent3 12 2 3 2 2" xfId="8591" xr:uid="{00000000-0005-0000-0000-00004A390000}"/>
    <cellStyle name="40% - Accent3 12 2 3 2 2 2" xfId="16562" xr:uid="{00000000-0005-0000-0000-00004B390000}"/>
    <cellStyle name="40% - Accent3 12 2 3 2 2 2 2" xfId="40405" xr:uid="{4B5216E2-E9D3-4799-AAD6-801E1864D253}"/>
    <cellStyle name="40% - Accent3 12 2 3 2 2 3" xfId="24508" xr:uid="{00000000-0005-0000-0000-00004C390000}"/>
    <cellStyle name="40% - Accent3 12 2 3 2 2 3 2" xfId="48341" xr:uid="{EBC0A154-9F9B-48D6-805E-A94439427F4E}"/>
    <cellStyle name="40% - Accent3 12 2 3 2 2 4" xfId="32464" xr:uid="{D201A6FB-EDD1-4C55-B80E-86B3EECCF19A}"/>
    <cellStyle name="40% - Accent3 12 2 3 2 3" xfId="13024" xr:uid="{00000000-0005-0000-0000-00004D390000}"/>
    <cellStyle name="40% - Accent3 12 2 3 2 3 2" xfId="36874" xr:uid="{8C3C42BB-C68A-4899-961D-93B132BEFDAD}"/>
    <cellStyle name="40% - Accent3 12 2 3 2 4" xfId="20979" xr:uid="{00000000-0005-0000-0000-00004E390000}"/>
    <cellStyle name="40% - Accent3 12 2 3 2 4 2" xfId="44812" xr:uid="{0506F050-F712-4B7D-97FA-7AF0A8ABCC04}"/>
    <cellStyle name="40% - Accent3 12 2 3 2 5" xfId="28933" xr:uid="{A9FF8579-0413-4A58-A489-5068E4F3C351}"/>
    <cellStyle name="40% - Accent3 12 2 3 3" xfId="6832" xr:uid="{00000000-0005-0000-0000-00004F390000}"/>
    <cellStyle name="40% - Accent3 12 2 3 3 2" xfId="14804" xr:uid="{00000000-0005-0000-0000-000050390000}"/>
    <cellStyle name="40% - Accent3 12 2 3 3 2 2" xfId="38647" xr:uid="{792F113B-880C-45FB-AFB2-8F8F42D71713}"/>
    <cellStyle name="40% - Accent3 12 2 3 3 3" xfId="22751" xr:uid="{00000000-0005-0000-0000-000051390000}"/>
    <cellStyle name="40% - Accent3 12 2 3 3 3 2" xfId="46584" xr:uid="{2CCE9B6D-A835-4990-9869-2236D92DC173}"/>
    <cellStyle name="40% - Accent3 12 2 3 3 4" xfId="30706" xr:uid="{226F4F81-DC77-45C9-AFF3-6EEBF0D2C5E3}"/>
    <cellStyle name="40% - Accent3 12 2 3 4" xfId="11268" xr:uid="{00000000-0005-0000-0000-000052390000}"/>
    <cellStyle name="40% - Accent3 12 2 3 4 2" xfId="35118" xr:uid="{05F1B0E2-86A2-40AC-8B6F-6AD1D808C827}"/>
    <cellStyle name="40% - Accent3 12 2 3 5" xfId="19223" xr:uid="{00000000-0005-0000-0000-000053390000}"/>
    <cellStyle name="40% - Accent3 12 2 3 5 2" xfId="43056" xr:uid="{FCD480A1-A667-466C-A64E-D31920E4038F}"/>
    <cellStyle name="40% - Accent3 12 2 3 6" xfId="27176" xr:uid="{7FC0AA22-CECC-486C-820F-D9DC2931A087}"/>
    <cellStyle name="40% - Accent3 12 2 3_Exh G" xfId="2953" xr:uid="{00000000-0005-0000-0000-000054390000}"/>
    <cellStyle name="40% - Accent3 12 2 4" xfId="4121" xr:uid="{00000000-0005-0000-0000-000055390000}"/>
    <cellStyle name="40% - Accent3 12 2 4 2" xfId="7713" xr:uid="{00000000-0005-0000-0000-000056390000}"/>
    <cellStyle name="40% - Accent3 12 2 4 2 2" xfId="15684" xr:uid="{00000000-0005-0000-0000-000057390000}"/>
    <cellStyle name="40% - Accent3 12 2 4 2 2 2" xfId="39527" xr:uid="{71EA8572-EB79-4711-95F4-079789EFB982}"/>
    <cellStyle name="40% - Accent3 12 2 4 2 3" xfId="23630" xr:uid="{00000000-0005-0000-0000-000058390000}"/>
    <cellStyle name="40% - Accent3 12 2 4 2 3 2" xfId="47463" xr:uid="{35220E10-A6E9-4395-8A52-2806656C5B45}"/>
    <cellStyle name="40% - Accent3 12 2 4 2 4" xfId="31586" xr:uid="{DE2F3C5B-7AC0-47AC-B7BE-BB30CF68AD8C}"/>
    <cellStyle name="40% - Accent3 12 2 4 3" xfId="12146" xr:uid="{00000000-0005-0000-0000-000059390000}"/>
    <cellStyle name="40% - Accent3 12 2 4 3 2" xfId="35996" xr:uid="{7FE52DB4-25AA-4F4D-9324-648717165EF3}"/>
    <cellStyle name="40% - Accent3 12 2 4 4" xfId="20101" xr:uid="{00000000-0005-0000-0000-00005A390000}"/>
    <cellStyle name="40% - Accent3 12 2 4 4 2" xfId="43934" xr:uid="{9B2DC97B-56B0-4438-BF4A-18638C6FC841}"/>
    <cellStyle name="40% - Accent3 12 2 4 5" xfId="28055" xr:uid="{9E1A6068-80EF-481F-A6C7-12301424A7FC}"/>
    <cellStyle name="40% - Accent3 12 2 5" xfId="5941" xr:uid="{00000000-0005-0000-0000-00005B390000}"/>
    <cellStyle name="40% - Accent3 12 2 5 2" xfId="13925" xr:uid="{00000000-0005-0000-0000-00005C390000}"/>
    <cellStyle name="40% - Accent3 12 2 5 2 2" xfId="37769" xr:uid="{BF9FA8F7-36D8-49E1-8C23-C973F8BB5300}"/>
    <cellStyle name="40% - Accent3 12 2 5 3" xfId="21873" xr:uid="{00000000-0005-0000-0000-00005D390000}"/>
    <cellStyle name="40% - Accent3 12 2 5 3 2" xfId="45706" xr:uid="{AC8E5D6F-AD05-4941-A6CD-F4408AD67CE6}"/>
    <cellStyle name="40% - Accent3 12 2 5 4" xfId="29828" xr:uid="{AB2C0784-303A-4188-B6C9-2BACE265E918}"/>
    <cellStyle name="40% - Accent3 12 2 6" xfId="9494" xr:uid="{00000000-0005-0000-0000-00005E390000}"/>
    <cellStyle name="40% - Accent3 12 2 6 2" xfId="17452" xr:uid="{00000000-0005-0000-0000-00005F390000}"/>
    <cellStyle name="40% - Accent3 12 2 6 2 2" xfId="41293" xr:uid="{8697538C-A0A3-4A69-9287-D24DBEAAB65F}"/>
    <cellStyle name="40% - Accent3 12 2 6 3" xfId="25396" xr:uid="{00000000-0005-0000-0000-000060390000}"/>
    <cellStyle name="40% - Accent3 12 2 6 3 2" xfId="49229" xr:uid="{0BF601B8-4FC8-466C-A4FA-4A9D99C1B946}"/>
    <cellStyle name="40% - Accent3 12 2 6 4" xfId="33352" xr:uid="{6497C456-0A91-44A0-9562-B0CC2D83BA71}"/>
    <cellStyle name="40% - Accent3 12 2 7" xfId="10390" xr:uid="{00000000-0005-0000-0000-000061390000}"/>
    <cellStyle name="40% - Accent3 12 2 7 2" xfId="34240" xr:uid="{5D27C993-36F1-4B4C-A2FB-10A7173918FE}"/>
    <cellStyle name="40% - Accent3 12 2 8" xfId="18345" xr:uid="{00000000-0005-0000-0000-000062390000}"/>
    <cellStyle name="40% - Accent3 12 2 8 2" xfId="42178" xr:uid="{88453CA9-18D8-4AF3-96A8-2E17115A01CA}"/>
    <cellStyle name="40% - Accent3 12 2 9" xfId="26298" xr:uid="{D96F55E0-9E26-41F7-85B7-AB70B0AA4225}"/>
    <cellStyle name="40% - Accent3 12 2_Exh G" xfId="2950" xr:uid="{00000000-0005-0000-0000-000063390000}"/>
    <cellStyle name="40% - Accent3 12 3" xfId="444" xr:uid="{00000000-0005-0000-0000-000064390000}"/>
    <cellStyle name="40% - Accent3 12 3 2" xfId="1472" xr:uid="{00000000-0005-0000-0000-000065390000}"/>
    <cellStyle name="40% - Accent3 12 3 2 2" xfId="5002" xr:uid="{00000000-0005-0000-0000-000066390000}"/>
    <cellStyle name="40% - Accent3 12 3 2 2 2" xfId="8593" xr:uid="{00000000-0005-0000-0000-000067390000}"/>
    <cellStyle name="40% - Accent3 12 3 2 2 2 2" xfId="16564" xr:uid="{00000000-0005-0000-0000-000068390000}"/>
    <cellStyle name="40% - Accent3 12 3 2 2 2 2 2" xfId="40407" xr:uid="{D6AE9146-F760-406B-A690-C79B69145070}"/>
    <cellStyle name="40% - Accent3 12 3 2 2 2 3" xfId="24510" xr:uid="{00000000-0005-0000-0000-000069390000}"/>
    <cellStyle name="40% - Accent3 12 3 2 2 2 3 2" xfId="48343" xr:uid="{C36EBAAC-7703-4C84-97F5-A838526C9008}"/>
    <cellStyle name="40% - Accent3 12 3 2 2 2 4" xfId="32466" xr:uid="{B78D403A-FDF0-45DD-A2CC-E07435D902AC}"/>
    <cellStyle name="40% - Accent3 12 3 2 2 3" xfId="13026" xr:uid="{00000000-0005-0000-0000-00006A390000}"/>
    <cellStyle name="40% - Accent3 12 3 2 2 3 2" xfId="36876" xr:uid="{476340BA-9DEB-4B2E-BB14-BEFE8303DF0B}"/>
    <cellStyle name="40% - Accent3 12 3 2 2 4" xfId="20981" xr:uid="{00000000-0005-0000-0000-00006B390000}"/>
    <cellStyle name="40% - Accent3 12 3 2 2 4 2" xfId="44814" xr:uid="{8516379E-F56F-4815-AB18-CED6200C76AC}"/>
    <cellStyle name="40% - Accent3 12 3 2 2 5" xfId="28935" xr:uid="{49AD85C0-B852-4450-B848-FF8683903DAA}"/>
    <cellStyle name="40% - Accent3 12 3 2 3" xfId="6834" xr:uid="{00000000-0005-0000-0000-00006C390000}"/>
    <cellStyle name="40% - Accent3 12 3 2 3 2" xfId="14806" xr:uid="{00000000-0005-0000-0000-00006D390000}"/>
    <cellStyle name="40% - Accent3 12 3 2 3 2 2" xfId="38649" xr:uid="{2D54C9F8-A9E6-4F5D-BAEE-409DABF48F4B}"/>
    <cellStyle name="40% - Accent3 12 3 2 3 3" xfId="22753" xr:uid="{00000000-0005-0000-0000-00006E390000}"/>
    <cellStyle name="40% - Accent3 12 3 2 3 3 2" xfId="46586" xr:uid="{17B91554-099C-41CA-9B50-79663DDB0537}"/>
    <cellStyle name="40% - Accent3 12 3 2 3 4" xfId="30708" xr:uid="{AD2A565C-EFCA-430F-8D5A-57A6A69720AF}"/>
    <cellStyle name="40% - Accent3 12 3 2 4" xfId="11270" xr:uid="{00000000-0005-0000-0000-00006F390000}"/>
    <cellStyle name="40% - Accent3 12 3 2 4 2" xfId="35120" xr:uid="{2D23CE79-0A5F-44E9-B8E8-50583ACAB488}"/>
    <cellStyle name="40% - Accent3 12 3 2 5" xfId="19225" xr:uid="{00000000-0005-0000-0000-000070390000}"/>
    <cellStyle name="40% - Accent3 12 3 2 5 2" xfId="43058" xr:uid="{6216D79A-33F0-44D0-9BFB-71E356B51E91}"/>
    <cellStyle name="40% - Accent3 12 3 2 6" xfId="27178" xr:uid="{D6F267CC-DAFE-4DBD-AA93-CE82E0479EE5}"/>
    <cellStyle name="40% - Accent3 12 3 2_Exh G" xfId="2955" xr:uid="{00000000-0005-0000-0000-000071390000}"/>
    <cellStyle name="40% - Accent3 12 3 3" xfId="4123" xr:uid="{00000000-0005-0000-0000-000072390000}"/>
    <cellStyle name="40% - Accent3 12 3 3 2" xfId="7715" xr:uid="{00000000-0005-0000-0000-000073390000}"/>
    <cellStyle name="40% - Accent3 12 3 3 2 2" xfId="15686" xr:uid="{00000000-0005-0000-0000-000074390000}"/>
    <cellStyle name="40% - Accent3 12 3 3 2 2 2" xfId="39529" xr:uid="{CE876B4A-5E22-4A57-A6A3-C0FFE9D126F0}"/>
    <cellStyle name="40% - Accent3 12 3 3 2 3" xfId="23632" xr:uid="{00000000-0005-0000-0000-000075390000}"/>
    <cellStyle name="40% - Accent3 12 3 3 2 3 2" xfId="47465" xr:uid="{E7284B5E-4320-46E7-8824-2CC060C4157F}"/>
    <cellStyle name="40% - Accent3 12 3 3 2 4" xfId="31588" xr:uid="{96E8D99F-4F52-4532-B24E-3E28CC5F4C65}"/>
    <cellStyle name="40% - Accent3 12 3 3 3" xfId="12148" xr:uid="{00000000-0005-0000-0000-000076390000}"/>
    <cellStyle name="40% - Accent3 12 3 3 3 2" xfId="35998" xr:uid="{756EA774-118F-4E62-80D9-6075ACF60D17}"/>
    <cellStyle name="40% - Accent3 12 3 3 4" xfId="20103" xr:uid="{00000000-0005-0000-0000-000077390000}"/>
    <cellStyle name="40% - Accent3 12 3 3 4 2" xfId="43936" xr:uid="{AEB77B8E-2F4F-49BD-8C9A-396F25A68900}"/>
    <cellStyle name="40% - Accent3 12 3 3 5" xfId="28057" xr:uid="{5046BE75-D0B2-4DC7-BF73-7791AA1C644C}"/>
    <cellStyle name="40% - Accent3 12 3 4" xfId="5943" xr:uid="{00000000-0005-0000-0000-000078390000}"/>
    <cellStyle name="40% - Accent3 12 3 4 2" xfId="13927" xr:uid="{00000000-0005-0000-0000-000079390000}"/>
    <cellStyle name="40% - Accent3 12 3 4 2 2" xfId="37771" xr:uid="{7224D535-DEEB-4457-A373-4164D02F53BB}"/>
    <cellStyle name="40% - Accent3 12 3 4 3" xfId="21875" xr:uid="{00000000-0005-0000-0000-00007A390000}"/>
    <cellStyle name="40% - Accent3 12 3 4 3 2" xfId="45708" xr:uid="{327DA871-78F5-4E34-B3E2-4E99141A4FFB}"/>
    <cellStyle name="40% - Accent3 12 3 4 4" xfId="29830" xr:uid="{FD2BF93A-4BAE-4432-B054-02F6ACC78DA7}"/>
    <cellStyle name="40% - Accent3 12 3 5" xfId="9496" xr:uid="{00000000-0005-0000-0000-00007B390000}"/>
    <cellStyle name="40% - Accent3 12 3 5 2" xfId="17454" xr:uid="{00000000-0005-0000-0000-00007C390000}"/>
    <cellStyle name="40% - Accent3 12 3 5 2 2" xfId="41295" xr:uid="{590827D8-B4D0-48A1-83F2-184AD14A1F09}"/>
    <cellStyle name="40% - Accent3 12 3 5 3" xfId="25398" xr:uid="{00000000-0005-0000-0000-00007D390000}"/>
    <cellStyle name="40% - Accent3 12 3 5 3 2" xfId="49231" xr:uid="{BC0A6678-8C36-4E04-AF80-07644C358952}"/>
    <cellStyle name="40% - Accent3 12 3 5 4" xfId="33354" xr:uid="{F5DC7111-F962-4C75-B761-BFC0E198ACDA}"/>
    <cellStyle name="40% - Accent3 12 3 6" xfId="10392" xr:uid="{00000000-0005-0000-0000-00007E390000}"/>
    <cellStyle name="40% - Accent3 12 3 6 2" xfId="34242" xr:uid="{481CC3B3-AB38-46E1-975E-7D7BA15C957A}"/>
    <cellStyle name="40% - Accent3 12 3 7" xfId="18347" xr:uid="{00000000-0005-0000-0000-00007F390000}"/>
    <cellStyle name="40% - Accent3 12 3 7 2" xfId="42180" xr:uid="{C45E880E-1BEA-4D4E-80C2-CB9BB3E582F8}"/>
    <cellStyle name="40% - Accent3 12 3 8" xfId="26300" xr:uid="{220DCA65-4909-4E73-A23F-AC325021E8FB}"/>
    <cellStyle name="40% - Accent3 12 3_Exh G" xfId="2954" xr:uid="{00000000-0005-0000-0000-000080390000}"/>
    <cellStyle name="40% - Accent3 12 4" xfId="1469" xr:uid="{00000000-0005-0000-0000-000081390000}"/>
    <cellStyle name="40% - Accent3 12 4 2" xfId="4999" xr:uid="{00000000-0005-0000-0000-000082390000}"/>
    <cellStyle name="40% - Accent3 12 4 2 2" xfId="8590" xr:uid="{00000000-0005-0000-0000-000083390000}"/>
    <cellStyle name="40% - Accent3 12 4 2 2 2" xfId="16561" xr:uid="{00000000-0005-0000-0000-000084390000}"/>
    <cellStyle name="40% - Accent3 12 4 2 2 2 2" xfId="40404" xr:uid="{410CB908-2538-42EB-9C49-2818464BEC30}"/>
    <cellStyle name="40% - Accent3 12 4 2 2 3" xfId="24507" xr:uid="{00000000-0005-0000-0000-000085390000}"/>
    <cellStyle name="40% - Accent3 12 4 2 2 3 2" xfId="48340" xr:uid="{448F98A2-DC71-4D90-AFE0-7E2D6187BB0B}"/>
    <cellStyle name="40% - Accent3 12 4 2 2 4" xfId="32463" xr:uid="{08406362-11F9-4C7C-80DC-93285FE0E848}"/>
    <cellStyle name="40% - Accent3 12 4 2 3" xfId="13023" xr:uid="{00000000-0005-0000-0000-000086390000}"/>
    <cellStyle name="40% - Accent3 12 4 2 3 2" xfId="36873" xr:uid="{7ECA8A21-022A-4067-B22A-125FF28A30A5}"/>
    <cellStyle name="40% - Accent3 12 4 2 4" xfId="20978" xr:uid="{00000000-0005-0000-0000-000087390000}"/>
    <cellStyle name="40% - Accent3 12 4 2 4 2" xfId="44811" xr:uid="{4D81998C-C1F4-4D56-9CD7-CB8B9887E7F7}"/>
    <cellStyle name="40% - Accent3 12 4 2 5" xfId="28932" xr:uid="{85AF902D-0194-42FC-BD89-DFD14C400217}"/>
    <cellStyle name="40% - Accent3 12 4 3" xfId="6831" xr:uid="{00000000-0005-0000-0000-000088390000}"/>
    <cellStyle name="40% - Accent3 12 4 3 2" xfId="14803" xr:uid="{00000000-0005-0000-0000-000089390000}"/>
    <cellStyle name="40% - Accent3 12 4 3 2 2" xfId="38646" xr:uid="{8F36CAC2-7C2B-40C0-BEFE-8CD1E9C8CA24}"/>
    <cellStyle name="40% - Accent3 12 4 3 3" xfId="22750" xr:uid="{00000000-0005-0000-0000-00008A390000}"/>
    <cellStyle name="40% - Accent3 12 4 3 3 2" xfId="46583" xr:uid="{04A3F83D-0EE0-4F9F-BCC7-2941A5CBCCE9}"/>
    <cellStyle name="40% - Accent3 12 4 3 4" xfId="30705" xr:uid="{95F424DB-33BC-43F2-871A-23EEE963DE06}"/>
    <cellStyle name="40% - Accent3 12 4 4" xfId="11267" xr:uid="{00000000-0005-0000-0000-00008B390000}"/>
    <cellStyle name="40% - Accent3 12 4 4 2" xfId="35117" xr:uid="{2BD9F799-14F1-4EA2-A97F-578266B08C49}"/>
    <cellStyle name="40% - Accent3 12 4 5" xfId="19222" xr:uid="{00000000-0005-0000-0000-00008C390000}"/>
    <cellStyle name="40% - Accent3 12 4 5 2" xfId="43055" xr:uid="{3BAB6FFA-8C3E-4C86-8424-F720290376EC}"/>
    <cellStyle name="40% - Accent3 12 4 6" xfId="27175" xr:uid="{BE21B014-1878-403E-A2CD-AA589CE5ECFA}"/>
    <cellStyle name="40% - Accent3 12 4_Exh G" xfId="2956" xr:uid="{00000000-0005-0000-0000-00008D390000}"/>
    <cellStyle name="40% - Accent3 12 5" xfId="4120" xr:uid="{00000000-0005-0000-0000-00008E390000}"/>
    <cellStyle name="40% - Accent3 12 5 2" xfId="7712" xr:uid="{00000000-0005-0000-0000-00008F390000}"/>
    <cellStyle name="40% - Accent3 12 5 2 2" xfId="15683" xr:uid="{00000000-0005-0000-0000-000090390000}"/>
    <cellStyle name="40% - Accent3 12 5 2 2 2" xfId="39526" xr:uid="{D432A8A4-EE95-48A7-B507-6178153DA09B}"/>
    <cellStyle name="40% - Accent3 12 5 2 3" xfId="23629" xr:uid="{00000000-0005-0000-0000-000091390000}"/>
    <cellStyle name="40% - Accent3 12 5 2 3 2" xfId="47462" xr:uid="{92B19D84-7C4D-4368-BE46-F8A3F738F79B}"/>
    <cellStyle name="40% - Accent3 12 5 2 4" xfId="31585" xr:uid="{27CA6606-503A-434C-91A2-713A980800AB}"/>
    <cellStyle name="40% - Accent3 12 5 3" xfId="12145" xr:uid="{00000000-0005-0000-0000-000092390000}"/>
    <cellStyle name="40% - Accent3 12 5 3 2" xfId="35995" xr:uid="{692D875C-8E20-4878-9029-ADC9E2E1274A}"/>
    <cellStyle name="40% - Accent3 12 5 4" xfId="20100" xr:uid="{00000000-0005-0000-0000-000093390000}"/>
    <cellStyle name="40% - Accent3 12 5 4 2" xfId="43933" xr:uid="{1F35F925-DCCD-4BCB-B798-5F9025A02204}"/>
    <cellStyle name="40% - Accent3 12 5 5" xfId="28054" xr:uid="{C1E5CEC0-253D-4B3D-82BF-217BFD88F8A1}"/>
    <cellStyle name="40% - Accent3 12 6" xfId="5940" xr:uid="{00000000-0005-0000-0000-000094390000}"/>
    <cellStyle name="40% - Accent3 12 6 2" xfId="13924" xr:uid="{00000000-0005-0000-0000-000095390000}"/>
    <cellStyle name="40% - Accent3 12 6 2 2" xfId="37768" xr:uid="{C2294583-BDC9-4DF5-AFA3-7193351689DA}"/>
    <cellStyle name="40% - Accent3 12 6 3" xfId="21872" xr:uid="{00000000-0005-0000-0000-000096390000}"/>
    <cellStyle name="40% - Accent3 12 6 3 2" xfId="45705" xr:uid="{E129C3E6-8EDA-453E-9562-3293EA3ED901}"/>
    <cellStyle name="40% - Accent3 12 6 4" xfId="29827" xr:uid="{D86A4760-DCCF-4E17-8995-01CA903B7B5A}"/>
    <cellStyle name="40% - Accent3 12 7" xfId="9493" xr:uid="{00000000-0005-0000-0000-000097390000}"/>
    <cellStyle name="40% - Accent3 12 7 2" xfId="17451" xr:uid="{00000000-0005-0000-0000-000098390000}"/>
    <cellStyle name="40% - Accent3 12 7 2 2" xfId="41292" xr:uid="{BC9D215B-46D6-4A55-B7D7-79CE569E7E93}"/>
    <cellStyle name="40% - Accent3 12 7 3" xfId="25395" xr:uid="{00000000-0005-0000-0000-000099390000}"/>
    <cellStyle name="40% - Accent3 12 7 3 2" xfId="49228" xr:uid="{A141F370-971F-42D1-962B-2B3FC359CE59}"/>
    <cellStyle name="40% - Accent3 12 7 4" xfId="33351" xr:uid="{5B752A54-FB93-4779-B138-F9519C8353AA}"/>
    <cellStyle name="40% - Accent3 12 8" xfId="10389" xr:uid="{00000000-0005-0000-0000-00009A390000}"/>
    <cellStyle name="40% - Accent3 12 8 2" xfId="34239" xr:uid="{559F1E7B-3A78-47C7-A97A-BFCC13497E15}"/>
    <cellStyle name="40% - Accent3 12 9" xfId="18344" xr:uid="{00000000-0005-0000-0000-00009B390000}"/>
    <cellStyle name="40% - Accent3 12 9 2" xfId="42177" xr:uid="{17632AB3-8AD7-440E-8D1C-C6A4DE32DB58}"/>
    <cellStyle name="40% - Accent3 12_Exh G" xfId="2949" xr:uid="{00000000-0005-0000-0000-00009C390000}"/>
    <cellStyle name="40% - Accent3 13" xfId="445" xr:uid="{00000000-0005-0000-0000-00009D390000}"/>
    <cellStyle name="40% - Accent3 13 10" xfId="26301" xr:uid="{A6B4D995-40AC-4BDA-8E85-11967BD18740}"/>
    <cellStyle name="40% - Accent3 13 2" xfId="446" xr:uid="{00000000-0005-0000-0000-00009E390000}"/>
    <cellStyle name="40% - Accent3 13 2 2" xfId="447" xr:uid="{00000000-0005-0000-0000-00009F390000}"/>
    <cellStyle name="40% - Accent3 13 2 2 2" xfId="1475" xr:uid="{00000000-0005-0000-0000-0000A0390000}"/>
    <cellStyle name="40% - Accent3 13 2 2 2 2" xfId="5005" xr:uid="{00000000-0005-0000-0000-0000A1390000}"/>
    <cellStyle name="40% - Accent3 13 2 2 2 2 2" xfId="8596" xr:uid="{00000000-0005-0000-0000-0000A2390000}"/>
    <cellStyle name="40% - Accent3 13 2 2 2 2 2 2" xfId="16567" xr:uid="{00000000-0005-0000-0000-0000A3390000}"/>
    <cellStyle name="40% - Accent3 13 2 2 2 2 2 2 2" xfId="40410" xr:uid="{CD11F873-70C1-4B2F-9C5C-34CC9C3F0CEC}"/>
    <cellStyle name="40% - Accent3 13 2 2 2 2 2 3" xfId="24513" xr:uid="{00000000-0005-0000-0000-0000A4390000}"/>
    <cellStyle name="40% - Accent3 13 2 2 2 2 2 3 2" xfId="48346" xr:uid="{2043A819-FBFA-4D4F-8332-1A4AF652D94D}"/>
    <cellStyle name="40% - Accent3 13 2 2 2 2 2 4" xfId="32469" xr:uid="{10FA5580-26EE-4386-B726-E80DFAE7C2C5}"/>
    <cellStyle name="40% - Accent3 13 2 2 2 2 3" xfId="13029" xr:uid="{00000000-0005-0000-0000-0000A5390000}"/>
    <cellStyle name="40% - Accent3 13 2 2 2 2 3 2" xfId="36879" xr:uid="{DC18C896-EBCD-4D84-AB00-579357532564}"/>
    <cellStyle name="40% - Accent3 13 2 2 2 2 4" xfId="20984" xr:uid="{00000000-0005-0000-0000-0000A6390000}"/>
    <cellStyle name="40% - Accent3 13 2 2 2 2 4 2" xfId="44817" xr:uid="{F3312416-2791-406A-AAD1-41677AF1F1D3}"/>
    <cellStyle name="40% - Accent3 13 2 2 2 2 5" xfId="28938" xr:uid="{62D7F712-C27B-411A-B2E7-EA4405E58C1D}"/>
    <cellStyle name="40% - Accent3 13 2 2 2 3" xfId="6837" xr:uid="{00000000-0005-0000-0000-0000A7390000}"/>
    <cellStyle name="40% - Accent3 13 2 2 2 3 2" xfId="14809" xr:uid="{00000000-0005-0000-0000-0000A8390000}"/>
    <cellStyle name="40% - Accent3 13 2 2 2 3 2 2" xfId="38652" xr:uid="{451D3F83-D2A5-4E1C-93ED-D5BF065B860C}"/>
    <cellStyle name="40% - Accent3 13 2 2 2 3 3" xfId="22756" xr:uid="{00000000-0005-0000-0000-0000A9390000}"/>
    <cellStyle name="40% - Accent3 13 2 2 2 3 3 2" xfId="46589" xr:uid="{646E9C59-923C-4B24-8670-8D8E38C96F0A}"/>
    <cellStyle name="40% - Accent3 13 2 2 2 3 4" xfId="30711" xr:uid="{15966F91-2377-4939-9BC6-B6962E14C227}"/>
    <cellStyle name="40% - Accent3 13 2 2 2 4" xfId="11273" xr:uid="{00000000-0005-0000-0000-0000AA390000}"/>
    <cellStyle name="40% - Accent3 13 2 2 2 4 2" xfId="35123" xr:uid="{85B97C23-DAD8-4A6A-A4A3-DAF947940DBD}"/>
    <cellStyle name="40% - Accent3 13 2 2 2 5" xfId="19228" xr:uid="{00000000-0005-0000-0000-0000AB390000}"/>
    <cellStyle name="40% - Accent3 13 2 2 2 5 2" xfId="43061" xr:uid="{10A9D414-4E93-414C-9A53-2AC7A5F59F99}"/>
    <cellStyle name="40% - Accent3 13 2 2 2 6" xfId="27181" xr:uid="{4ECE735D-8204-4E08-95E2-E089209EFED9}"/>
    <cellStyle name="40% - Accent3 13 2 2 2_Exh G" xfId="2960" xr:uid="{00000000-0005-0000-0000-0000AC390000}"/>
    <cellStyle name="40% - Accent3 13 2 2 3" xfId="4126" xr:uid="{00000000-0005-0000-0000-0000AD390000}"/>
    <cellStyle name="40% - Accent3 13 2 2 3 2" xfId="7718" xr:uid="{00000000-0005-0000-0000-0000AE390000}"/>
    <cellStyle name="40% - Accent3 13 2 2 3 2 2" xfId="15689" xr:uid="{00000000-0005-0000-0000-0000AF390000}"/>
    <cellStyle name="40% - Accent3 13 2 2 3 2 2 2" xfId="39532" xr:uid="{FD55D23B-6226-4ACF-ABED-733E3FCD5A3B}"/>
    <cellStyle name="40% - Accent3 13 2 2 3 2 3" xfId="23635" xr:uid="{00000000-0005-0000-0000-0000B0390000}"/>
    <cellStyle name="40% - Accent3 13 2 2 3 2 3 2" xfId="47468" xr:uid="{81839022-D968-4DDA-B2A3-7ACD2F8E2444}"/>
    <cellStyle name="40% - Accent3 13 2 2 3 2 4" xfId="31591" xr:uid="{C58B0839-1534-4A1A-B77C-E02168EFC624}"/>
    <cellStyle name="40% - Accent3 13 2 2 3 3" xfId="12151" xr:uid="{00000000-0005-0000-0000-0000B1390000}"/>
    <cellStyle name="40% - Accent3 13 2 2 3 3 2" xfId="36001" xr:uid="{62DCD7CA-467F-4429-99F9-6ECEB9F31D81}"/>
    <cellStyle name="40% - Accent3 13 2 2 3 4" xfId="20106" xr:uid="{00000000-0005-0000-0000-0000B2390000}"/>
    <cellStyle name="40% - Accent3 13 2 2 3 4 2" xfId="43939" xr:uid="{CA18A6F7-0318-43C1-BE26-E60ECE5ABC7F}"/>
    <cellStyle name="40% - Accent3 13 2 2 3 5" xfId="28060" xr:uid="{72D01BD1-B121-4DD5-8483-DA146120D2D0}"/>
    <cellStyle name="40% - Accent3 13 2 2 4" xfId="5946" xr:uid="{00000000-0005-0000-0000-0000B3390000}"/>
    <cellStyle name="40% - Accent3 13 2 2 4 2" xfId="13930" xr:uid="{00000000-0005-0000-0000-0000B4390000}"/>
    <cellStyle name="40% - Accent3 13 2 2 4 2 2" xfId="37774" xr:uid="{B56F07F5-F9F8-48E5-9A26-E425BE6443E3}"/>
    <cellStyle name="40% - Accent3 13 2 2 4 3" xfId="21878" xr:uid="{00000000-0005-0000-0000-0000B5390000}"/>
    <cellStyle name="40% - Accent3 13 2 2 4 3 2" xfId="45711" xr:uid="{0960330C-CE38-4423-8797-258AE8D087DC}"/>
    <cellStyle name="40% - Accent3 13 2 2 4 4" xfId="29833" xr:uid="{39B0C29D-CBF4-45FE-87D4-90417DDE7FC0}"/>
    <cellStyle name="40% - Accent3 13 2 2 5" xfId="9499" xr:uid="{00000000-0005-0000-0000-0000B6390000}"/>
    <cellStyle name="40% - Accent3 13 2 2 5 2" xfId="17457" xr:uid="{00000000-0005-0000-0000-0000B7390000}"/>
    <cellStyle name="40% - Accent3 13 2 2 5 2 2" xfId="41298" xr:uid="{0AEF84EC-E5E2-4E87-9D95-0A7175861B75}"/>
    <cellStyle name="40% - Accent3 13 2 2 5 3" xfId="25401" xr:uid="{00000000-0005-0000-0000-0000B8390000}"/>
    <cellStyle name="40% - Accent3 13 2 2 5 3 2" xfId="49234" xr:uid="{EEDA3109-8DC0-4001-9252-AC8B75F07010}"/>
    <cellStyle name="40% - Accent3 13 2 2 5 4" xfId="33357" xr:uid="{BD9959F4-154C-4F37-87BC-0970EA9851D5}"/>
    <cellStyle name="40% - Accent3 13 2 2 6" xfId="10395" xr:uid="{00000000-0005-0000-0000-0000B9390000}"/>
    <cellStyle name="40% - Accent3 13 2 2 6 2" xfId="34245" xr:uid="{BDDFD51A-A62E-4619-99D9-D6B31BB5EF14}"/>
    <cellStyle name="40% - Accent3 13 2 2 7" xfId="18350" xr:uid="{00000000-0005-0000-0000-0000BA390000}"/>
    <cellStyle name="40% - Accent3 13 2 2 7 2" xfId="42183" xr:uid="{6263E635-B7D5-4215-BB47-D86CF0D10D22}"/>
    <cellStyle name="40% - Accent3 13 2 2 8" xfId="26303" xr:uid="{A733CE9D-5A08-434E-940F-66DB66AC02D7}"/>
    <cellStyle name="40% - Accent3 13 2 2_Exh G" xfId="2959" xr:uid="{00000000-0005-0000-0000-0000BB390000}"/>
    <cellStyle name="40% - Accent3 13 2 3" xfId="1474" xr:uid="{00000000-0005-0000-0000-0000BC390000}"/>
    <cellStyle name="40% - Accent3 13 2 3 2" xfId="5004" xr:uid="{00000000-0005-0000-0000-0000BD390000}"/>
    <cellStyle name="40% - Accent3 13 2 3 2 2" xfId="8595" xr:uid="{00000000-0005-0000-0000-0000BE390000}"/>
    <cellStyle name="40% - Accent3 13 2 3 2 2 2" xfId="16566" xr:uid="{00000000-0005-0000-0000-0000BF390000}"/>
    <cellStyle name="40% - Accent3 13 2 3 2 2 2 2" xfId="40409" xr:uid="{68E905F7-0270-49CF-AFDA-C628FCDA4806}"/>
    <cellStyle name="40% - Accent3 13 2 3 2 2 3" xfId="24512" xr:uid="{00000000-0005-0000-0000-0000C0390000}"/>
    <cellStyle name="40% - Accent3 13 2 3 2 2 3 2" xfId="48345" xr:uid="{32C466D3-4E43-4606-8FB1-D6BEF7E08EB6}"/>
    <cellStyle name="40% - Accent3 13 2 3 2 2 4" xfId="32468" xr:uid="{9A67C178-E161-4DFF-BB2B-368E87F88544}"/>
    <cellStyle name="40% - Accent3 13 2 3 2 3" xfId="13028" xr:uid="{00000000-0005-0000-0000-0000C1390000}"/>
    <cellStyle name="40% - Accent3 13 2 3 2 3 2" xfId="36878" xr:uid="{BD259F23-98C9-483E-BFE3-6988A1A8E645}"/>
    <cellStyle name="40% - Accent3 13 2 3 2 4" xfId="20983" xr:uid="{00000000-0005-0000-0000-0000C2390000}"/>
    <cellStyle name="40% - Accent3 13 2 3 2 4 2" xfId="44816" xr:uid="{0D89719E-95B1-4AD7-B271-8D319A04396C}"/>
    <cellStyle name="40% - Accent3 13 2 3 2 5" xfId="28937" xr:uid="{D75ADBFD-4B23-4D76-936D-A1D814CE1D64}"/>
    <cellStyle name="40% - Accent3 13 2 3 3" xfId="6836" xr:uid="{00000000-0005-0000-0000-0000C3390000}"/>
    <cellStyle name="40% - Accent3 13 2 3 3 2" xfId="14808" xr:uid="{00000000-0005-0000-0000-0000C4390000}"/>
    <cellStyle name="40% - Accent3 13 2 3 3 2 2" xfId="38651" xr:uid="{91F7CD96-F461-474C-86DE-E706AB391610}"/>
    <cellStyle name="40% - Accent3 13 2 3 3 3" xfId="22755" xr:uid="{00000000-0005-0000-0000-0000C5390000}"/>
    <cellStyle name="40% - Accent3 13 2 3 3 3 2" xfId="46588" xr:uid="{F7ED104B-0D3E-4CEA-B246-8F4F736AAECF}"/>
    <cellStyle name="40% - Accent3 13 2 3 3 4" xfId="30710" xr:uid="{50885B64-6D0D-4DC9-847C-C65AC862815E}"/>
    <cellStyle name="40% - Accent3 13 2 3 4" xfId="11272" xr:uid="{00000000-0005-0000-0000-0000C6390000}"/>
    <cellStyle name="40% - Accent3 13 2 3 4 2" xfId="35122" xr:uid="{36A24932-8FDB-47C2-BDF7-15E0437D5FE3}"/>
    <cellStyle name="40% - Accent3 13 2 3 5" xfId="19227" xr:uid="{00000000-0005-0000-0000-0000C7390000}"/>
    <cellStyle name="40% - Accent3 13 2 3 5 2" xfId="43060" xr:uid="{F07E5A24-74F0-405E-AA2D-0F9BF92B8C78}"/>
    <cellStyle name="40% - Accent3 13 2 3 6" xfId="27180" xr:uid="{7C2D23A3-2F0A-487A-9023-44D6319E30E8}"/>
    <cellStyle name="40% - Accent3 13 2 3_Exh G" xfId="2961" xr:uid="{00000000-0005-0000-0000-0000C8390000}"/>
    <cellStyle name="40% - Accent3 13 2 4" xfId="4125" xr:uid="{00000000-0005-0000-0000-0000C9390000}"/>
    <cellStyle name="40% - Accent3 13 2 4 2" xfId="7717" xr:uid="{00000000-0005-0000-0000-0000CA390000}"/>
    <cellStyle name="40% - Accent3 13 2 4 2 2" xfId="15688" xr:uid="{00000000-0005-0000-0000-0000CB390000}"/>
    <cellStyle name="40% - Accent3 13 2 4 2 2 2" xfId="39531" xr:uid="{8C2D98DC-F5DC-4A3D-8D26-4F26BD7EBBB4}"/>
    <cellStyle name="40% - Accent3 13 2 4 2 3" xfId="23634" xr:uid="{00000000-0005-0000-0000-0000CC390000}"/>
    <cellStyle name="40% - Accent3 13 2 4 2 3 2" xfId="47467" xr:uid="{DCAB4954-DEA7-4FB9-A7F8-D8DF4DAAA26F}"/>
    <cellStyle name="40% - Accent3 13 2 4 2 4" xfId="31590" xr:uid="{9FDA7654-43EB-4E59-934B-5DB7DC3B9E32}"/>
    <cellStyle name="40% - Accent3 13 2 4 3" xfId="12150" xr:uid="{00000000-0005-0000-0000-0000CD390000}"/>
    <cellStyle name="40% - Accent3 13 2 4 3 2" xfId="36000" xr:uid="{7E7DD5A7-ECBD-4879-AABE-5511CEB22295}"/>
    <cellStyle name="40% - Accent3 13 2 4 4" xfId="20105" xr:uid="{00000000-0005-0000-0000-0000CE390000}"/>
    <cellStyle name="40% - Accent3 13 2 4 4 2" xfId="43938" xr:uid="{B53EB556-A98D-48CB-A7CF-331E62E3DB90}"/>
    <cellStyle name="40% - Accent3 13 2 4 5" xfId="28059" xr:uid="{E5EF464A-D3BB-40E0-A716-0D527B4FA662}"/>
    <cellStyle name="40% - Accent3 13 2 5" xfId="5945" xr:uid="{00000000-0005-0000-0000-0000CF390000}"/>
    <cellStyle name="40% - Accent3 13 2 5 2" xfId="13929" xr:uid="{00000000-0005-0000-0000-0000D0390000}"/>
    <cellStyle name="40% - Accent3 13 2 5 2 2" xfId="37773" xr:uid="{3D32EE5C-6D9A-4D07-B894-F8DCE74A2813}"/>
    <cellStyle name="40% - Accent3 13 2 5 3" xfId="21877" xr:uid="{00000000-0005-0000-0000-0000D1390000}"/>
    <cellStyle name="40% - Accent3 13 2 5 3 2" xfId="45710" xr:uid="{10C50A3D-618E-4896-B06F-68BDE2447BBF}"/>
    <cellStyle name="40% - Accent3 13 2 5 4" xfId="29832" xr:uid="{F5FF86D4-81B5-4509-907D-AD970833B49C}"/>
    <cellStyle name="40% - Accent3 13 2 6" xfId="9498" xr:uid="{00000000-0005-0000-0000-0000D2390000}"/>
    <cellStyle name="40% - Accent3 13 2 6 2" xfId="17456" xr:uid="{00000000-0005-0000-0000-0000D3390000}"/>
    <cellStyle name="40% - Accent3 13 2 6 2 2" xfId="41297" xr:uid="{5294745F-EFA3-4966-BE86-3CFAEF4B0E8A}"/>
    <cellStyle name="40% - Accent3 13 2 6 3" xfId="25400" xr:uid="{00000000-0005-0000-0000-0000D4390000}"/>
    <cellStyle name="40% - Accent3 13 2 6 3 2" xfId="49233" xr:uid="{D084D615-3A2E-46F8-9403-D425EED2E3BD}"/>
    <cellStyle name="40% - Accent3 13 2 6 4" xfId="33356" xr:uid="{D689EDB2-DA10-447B-BD70-8BF00B34A30E}"/>
    <cellStyle name="40% - Accent3 13 2 7" xfId="10394" xr:uid="{00000000-0005-0000-0000-0000D5390000}"/>
    <cellStyle name="40% - Accent3 13 2 7 2" xfId="34244" xr:uid="{19BEA041-8CF5-4034-AD2C-15059855A29D}"/>
    <cellStyle name="40% - Accent3 13 2 8" xfId="18349" xr:uid="{00000000-0005-0000-0000-0000D6390000}"/>
    <cellStyle name="40% - Accent3 13 2 8 2" xfId="42182" xr:uid="{A1A01E94-A931-476F-9AA1-200C247609DC}"/>
    <cellStyle name="40% - Accent3 13 2 9" xfId="26302" xr:uid="{5848D651-68F3-4BF1-87CE-9DCFCA1BA442}"/>
    <cellStyle name="40% - Accent3 13 2_Exh G" xfId="2958" xr:uid="{00000000-0005-0000-0000-0000D7390000}"/>
    <cellStyle name="40% - Accent3 13 3" xfId="448" xr:uid="{00000000-0005-0000-0000-0000D8390000}"/>
    <cellStyle name="40% - Accent3 13 3 2" xfId="1476" xr:uid="{00000000-0005-0000-0000-0000D9390000}"/>
    <cellStyle name="40% - Accent3 13 3 2 2" xfId="5006" xr:uid="{00000000-0005-0000-0000-0000DA390000}"/>
    <cellStyle name="40% - Accent3 13 3 2 2 2" xfId="8597" xr:uid="{00000000-0005-0000-0000-0000DB390000}"/>
    <cellStyle name="40% - Accent3 13 3 2 2 2 2" xfId="16568" xr:uid="{00000000-0005-0000-0000-0000DC390000}"/>
    <cellStyle name="40% - Accent3 13 3 2 2 2 2 2" xfId="40411" xr:uid="{62354B5D-CCDE-40E7-B9B9-B7CB739BE6F8}"/>
    <cellStyle name="40% - Accent3 13 3 2 2 2 3" xfId="24514" xr:uid="{00000000-0005-0000-0000-0000DD390000}"/>
    <cellStyle name="40% - Accent3 13 3 2 2 2 3 2" xfId="48347" xr:uid="{D739A099-CD00-41C0-8C82-5F7123577100}"/>
    <cellStyle name="40% - Accent3 13 3 2 2 2 4" xfId="32470" xr:uid="{B016E22B-DF2B-4C59-8064-94BA7DB5205A}"/>
    <cellStyle name="40% - Accent3 13 3 2 2 3" xfId="13030" xr:uid="{00000000-0005-0000-0000-0000DE390000}"/>
    <cellStyle name="40% - Accent3 13 3 2 2 3 2" xfId="36880" xr:uid="{F04DB6E1-1BAC-45FC-A4E7-219200A23E73}"/>
    <cellStyle name="40% - Accent3 13 3 2 2 4" xfId="20985" xr:uid="{00000000-0005-0000-0000-0000DF390000}"/>
    <cellStyle name="40% - Accent3 13 3 2 2 4 2" xfId="44818" xr:uid="{ADC09437-7B6B-43FF-BA83-237ADAFA9C8E}"/>
    <cellStyle name="40% - Accent3 13 3 2 2 5" xfId="28939" xr:uid="{7D87D8D1-1858-4404-BFC4-EF9CD889DF7C}"/>
    <cellStyle name="40% - Accent3 13 3 2 3" xfId="6838" xr:uid="{00000000-0005-0000-0000-0000E0390000}"/>
    <cellStyle name="40% - Accent3 13 3 2 3 2" xfId="14810" xr:uid="{00000000-0005-0000-0000-0000E1390000}"/>
    <cellStyle name="40% - Accent3 13 3 2 3 2 2" xfId="38653" xr:uid="{B7CFF18F-812E-4F8A-8B9B-2271E8EDDADB}"/>
    <cellStyle name="40% - Accent3 13 3 2 3 3" xfId="22757" xr:uid="{00000000-0005-0000-0000-0000E2390000}"/>
    <cellStyle name="40% - Accent3 13 3 2 3 3 2" xfId="46590" xr:uid="{40006922-D74F-42AC-8996-8E8660F969C6}"/>
    <cellStyle name="40% - Accent3 13 3 2 3 4" xfId="30712" xr:uid="{D223818E-8709-4F54-8A8F-9BA84CEF0B0D}"/>
    <cellStyle name="40% - Accent3 13 3 2 4" xfId="11274" xr:uid="{00000000-0005-0000-0000-0000E3390000}"/>
    <cellStyle name="40% - Accent3 13 3 2 4 2" xfId="35124" xr:uid="{E17D8EAD-0705-4719-8AED-88B27F426F3B}"/>
    <cellStyle name="40% - Accent3 13 3 2 5" xfId="19229" xr:uid="{00000000-0005-0000-0000-0000E4390000}"/>
    <cellStyle name="40% - Accent3 13 3 2 5 2" xfId="43062" xr:uid="{B3CED1C2-5B6C-4332-AFE2-E70EB56E4E85}"/>
    <cellStyle name="40% - Accent3 13 3 2 6" xfId="27182" xr:uid="{C04FAEEF-8C73-4009-9033-CBD159D22E75}"/>
    <cellStyle name="40% - Accent3 13 3 2_Exh G" xfId="2963" xr:uid="{00000000-0005-0000-0000-0000E5390000}"/>
    <cellStyle name="40% - Accent3 13 3 3" xfId="4127" xr:uid="{00000000-0005-0000-0000-0000E6390000}"/>
    <cellStyle name="40% - Accent3 13 3 3 2" xfId="7719" xr:uid="{00000000-0005-0000-0000-0000E7390000}"/>
    <cellStyle name="40% - Accent3 13 3 3 2 2" xfId="15690" xr:uid="{00000000-0005-0000-0000-0000E8390000}"/>
    <cellStyle name="40% - Accent3 13 3 3 2 2 2" xfId="39533" xr:uid="{79DB8F3E-E5A9-4B69-93E2-FAC63B993CB4}"/>
    <cellStyle name="40% - Accent3 13 3 3 2 3" xfId="23636" xr:uid="{00000000-0005-0000-0000-0000E9390000}"/>
    <cellStyle name="40% - Accent3 13 3 3 2 3 2" xfId="47469" xr:uid="{586C955A-10D4-42D5-BD7C-2407286AC35A}"/>
    <cellStyle name="40% - Accent3 13 3 3 2 4" xfId="31592" xr:uid="{ECC06B10-11A6-4435-97E9-0FBEAFE1C82B}"/>
    <cellStyle name="40% - Accent3 13 3 3 3" xfId="12152" xr:uid="{00000000-0005-0000-0000-0000EA390000}"/>
    <cellStyle name="40% - Accent3 13 3 3 3 2" xfId="36002" xr:uid="{23C68C35-7FF1-422A-9B36-47E29D6D6135}"/>
    <cellStyle name="40% - Accent3 13 3 3 4" xfId="20107" xr:uid="{00000000-0005-0000-0000-0000EB390000}"/>
    <cellStyle name="40% - Accent3 13 3 3 4 2" xfId="43940" xr:uid="{0934E5E7-44B6-4EAE-8E67-18674D3ED2A0}"/>
    <cellStyle name="40% - Accent3 13 3 3 5" xfId="28061" xr:uid="{429EB644-17B9-4E3F-BADC-00BEEAB10629}"/>
    <cellStyle name="40% - Accent3 13 3 4" xfId="5947" xr:uid="{00000000-0005-0000-0000-0000EC390000}"/>
    <cellStyle name="40% - Accent3 13 3 4 2" xfId="13931" xr:uid="{00000000-0005-0000-0000-0000ED390000}"/>
    <cellStyle name="40% - Accent3 13 3 4 2 2" xfId="37775" xr:uid="{41693659-54F9-47C0-BBF2-84BE60C9B0DB}"/>
    <cellStyle name="40% - Accent3 13 3 4 3" xfId="21879" xr:uid="{00000000-0005-0000-0000-0000EE390000}"/>
    <cellStyle name="40% - Accent3 13 3 4 3 2" xfId="45712" xr:uid="{9DE9B664-5408-44D9-926A-E6F999F0A1EC}"/>
    <cellStyle name="40% - Accent3 13 3 4 4" xfId="29834" xr:uid="{6C941219-3EA9-4136-A22E-0FF62DBB56B5}"/>
    <cellStyle name="40% - Accent3 13 3 5" xfId="9500" xr:uid="{00000000-0005-0000-0000-0000EF390000}"/>
    <cellStyle name="40% - Accent3 13 3 5 2" xfId="17458" xr:uid="{00000000-0005-0000-0000-0000F0390000}"/>
    <cellStyle name="40% - Accent3 13 3 5 2 2" xfId="41299" xr:uid="{A88133B5-4789-4C2B-A71D-987BBAE0C06D}"/>
    <cellStyle name="40% - Accent3 13 3 5 3" xfId="25402" xr:uid="{00000000-0005-0000-0000-0000F1390000}"/>
    <cellStyle name="40% - Accent3 13 3 5 3 2" xfId="49235" xr:uid="{C25D845A-A8EF-49CE-BF89-8548FFB388A2}"/>
    <cellStyle name="40% - Accent3 13 3 5 4" xfId="33358" xr:uid="{6B56F987-7726-4282-8974-985D998A4B78}"/>
    <cellStyle name="40% - Accent3 13 3 6" xfId="10396" xr:uid="{00000000-0005-0000-0000-0000F2390000}"/>
    <cellStyle name="40% - Accent3 13 3 6 2" xfId="34246" xr:uid="{03427FCF-8E57-4793-9DEB-0BF58062B2DF}"/>
    <cellStyle name="40% - Accent3 13 3 7" xfId="18351" xr:uid="{00000000-0005-0000-0000-0000F3390000}"/>
    <cellStyle name="40% - Accent3 13 3 7 2" xfId="42184" xr:uid="{22C7A55D-C986-4846-BB86-A57AD06979C0}"/>
    <cellStyle name="40% - Accent3 13 3 8" xfId="26304" xr:uid="{72B9E3F4-F9BD-4AB5-9366-62926B972A9E}"/>
    <cellStyle name="40% - Accent3 13 3_Exh G" xfId="2962" xr:uid="{00000000-0005-0000-0000-0000F4390000}"/>
    <cellStyle name="40% - Accent3 13 4" xfId="1473" xr:uid="{00000000-0005-0000-0000-0000F5390000}"/>
    <cellStyle name="40% - Accent3 13 4 2" xfId="5003" xr:uid="{00000000-0005-0000-0000-0000F6390000}"/>
    <cellStyle name="40% - Accent3 13 4 2 2" xfId="8594" xr:uid="{00000000-0005-0000-0000-0000F7390000}"/>
    <cellStyle name="40% - Accent3 13 4 2 2 2" xfId="16565" xr:uid="{00000000-0005-0000-0000-0000F8390000}"/>
    <cellStyle name="40% - Accent3 13 4 2 2 2 2" xfId="40408" xr:uid="{35EE409E-C5C7-4FEE-9CE4-1A078213EF26}"/>
    <cellStyle name="40% - Accent3 13 4 2 2 3" xfId="24511" xr:uid="{00000000-0005-0000-0000-0000F9390000}"/>
    <cellStyle name="40% - Accent3 13 4 2 2 3 2" xfId="48344" xr:uid="{B5CC02B1-AA53-4EC2-B511-1B81424C2601}"/>
    <cellStyle name="40% - Accent3 13 4 2 2 4" xfId="32467" xr:uid="{92CFF5E3-A8B4-4248-B6B0-B0864F69657C}"/>
    <cellStyle name="40% - Accent3 13 4 2 3" xfId="13027" xr:uid="{00000000-0005-0000-0000-0000FA390000}"/>
    <cellStyle name="40% - Accent3 13 4 2 3 2" xfId="36877" xr:uid="{C38B6737-041D-44C7-9658-8FA5B8963179}"/>
    <cellStyle name="40% - Accent3 13 4 2 4" xfId="20982" xr:uid="{00000000-0005-0000-0000-0000FB390000}"/>
    <cellStyle name="40% - Accent3 13 4 2 4 2" xfId="44815" xr:uid="{516389AB-AC12-4010-A8E2-46CED23D284F}"/>
    <cellStyle name="40% - Accent3 13 4 2 5" xfId="28936" xr:uid="{D49181B4-8CDA-40DC-A83D-FB867839133A}"/>
    <cellStyle name="40% - Accent3 13 4 3" xfId="6835" xr:uid="{00000000-0005-0000-0000-0000FC390000}"/>
    <cellStyle name="40% - Accent3 13 4 3 2" xfId="14807" xr:uid="{00000000-0005-0000-0000-0000FD390000}"/>
    <cellStyle name="40% - Accent3 13 4 3 2 2" xfId="38650" xr:uid="{69415B6B-2E89-42E1-BE2A-79EE5A721892}"/>
    <cellStyle name="40% - Accent3 13 4 3 3" xfId="22754" xr:uid="{00000000-0005-0000-0000-0000FE390000}"/>
    <cellStyle name="40% - Accent3 13 4 3 3 2" xfId="46587" xr:uid="{8BB64479-FEED-49DB-BD07-3C63955BCEA3}"/>
    <cellStyle name="40% - Accent3 13 4 3 4" xfId="30709" xr:uid="{F866B10B-1994-4149-AF92-9A46F40D57E1}"/>
    <cellStyle name="40% - Accent3 13 4 4" xfId="11271" xr:uid="{00000000-0005-0000-0000-0000FF390000}"/>
    <cellStyle name="40% - Accent3 13 4 4 2" xfId="35121" xr:uid="{91267AAF-5CE9-4A32-B7DE-05B737EE0A27}"/>
    <cellStyle name="40% - Accent3 13 4 5" xfId="19226" xr:uid="{00000000-0005-0000-0000-0000003A0000}"/>
    <cellStyle name="40% - Accent3 13 4 5 2" xfId="43059" xr:uid="{58C3064E-4570-460E-BD9A-EA6A71C259B9}"/>
    <cellStyle name="40% - Accent3 13 4 6" xfId="27179" xr:uid="{BC5EBF7A-08B7-4803-808F-B19799FE6328}"/>
    <cellStyle name="40% - Accent3 13 4_Exh G" xfId="2964" xr:uid="{00000000-0005-0000-0000-0000013A0000}"/>
    <cellStyle name="40% - Accent3 13 5" xfId="4124" xr:uid="{00000000-0005-0000-0000-0000023A0000}"/>
    <cellStyle name="40% - Accent3 13 5 2" xfId="7716" xr:uid="{00000000-0005-0000-0000-0000033A0000}"/>
    <cellStyle name="40% - Accent3 13 5 2 2" xfId="15687" xr:uid="{00000000-0005-0000-0000-0000043A0000}"/>
    <cellStyle name="40% - Accent3 13 5 2 2 2" xfId="39530" xr:uid="{FB8E4AD8-EC04-436E-832F-2E091FC6E626}"/>
    <cellStyle name="40% - Accent3 13 5 2 3" xfId="23633" xr:uid="{00000000-0005-0000-0000-0000053A0000}"/>
    <cellStyle name="40% - Accent3 13 5 2 3 2" xfId="47466" xr:uid="{993BB98F-D660-4A8F-B325-DF43D87F15D4}"/>
    <cellStyle name="40% - Accent3 13 5 2 4" xfId="31589" xr:uid="{3FA39635-EC52-422F-839F-4CD26660AEDD}"/>
    <cellStyle name="40% - Accent3 13 5 3" xfId="12149" xr:uid="{00000000-0005-0000-0000-0000063A0000}"/>
    <cellStyle name="40% - Accent3 13 5 3 2" xfId="35999" xr:uid="{C8A3FFED-02F5-417D-AFB1-B084F568047D}"/>
    <cellStyle name="40% - Accent3 13 5 4" xfId="20104" xr:uid="{00000000-0005-0000-0000-0000073A0000}"/>
    <cellStyle name="40% - Accent3 13 5 4 2" xfId="43937" xr:uid="{E136148B-18A7-4C71-B6A4-ADBF3AFC4AB6}"/>
    <cellStyle name="40% - Accent3 13 5 5" xfId="28058" xr:uid="{8E4BB517-17C1-4C7D-98C2-BE8B49A4DD57}"/>
    <cellStyle name="40% - Accent3 13 6" xfId="5944" xr:uid="{00000000-0005-0000-0000-0000083A0000}"/>
    <cellStyle name="40% - Accent3 13 6 2" xfId="13928" xr:uid="{00000000-0005-0000-0000-0000093A0000}"/>
    <cellStyle name="40% - Accent3 13 6 2 2" xfId="37772" xr:uid="{8444A1B9-07D2-40A9-80E9-6229B3071D67}"/>
    <cellStyle name="40% - Accent3 13 6 3" xfId="21876" xr:uid="{00000000-0005-0000-0000-00000A3A0000}"/>
    <cellStyle name="40% - Accent3 13 6 3 2" xfId="45709" xr:uid="{9ACB47D0-FB66-47D1-B9B3-15F762DAD765}"/>
    <cellStyle name="40% - Accent3 13 6 4" xfId="29831" xr:uid="{22767A29-401A-4319-9F96-8D60BF2B9A5A}"/>
    <cellStyle name="40% - Accent3 13 7" xfId="9497" xr:uid="{00000000-0005-0000-0000-00000B3A0000}"/>
    <cellStyle name="40% - Accent3 13 7 2" xfId="17455" xr:uid="{00000000-0005-0000-0000-00000C3A0000}"/>
    <cellStyle name="40% - Accent3 13 7 2 2" xfId="41296" xr:uid="{BE9CE187-8131-41D1-89A8-6BF785ED95C1}"/>
    <cellStyle name="40% - Accent3 13 7 3" xfId="25399" xr:uid="{00000000-0005-0000-0000-00000D3A0000}"/>
    <cellStyle name="40% - Accent3 13 7 3 2" xfId="49232" xr:uid="{DC3FC18A-91A4-4B52-B3CF-8DAD272ADC80}"/>
    <cellStyle name="40% - Accent3 13 7 4" xfId="33355" xr:uid="{C0920F0A-0976-4F53-970C-DD1E0912E052}"/>
    <cellStyle name="40% - Accent3 13 8" xfId="10393" xr:uid="{00000000-0005-0000-0000-00000E3A0000}"/>
    <cellStyle name="40% - Accent3 13 8 2" xfId="34243" xr:uid="{F928DB4B-6181-4E2B-B5F5-48E36AD3EA90}"/>
    <cellStyle name="40% - Accent3 13 9" xfId="18348" xr:uid="{00000000-0005-0000-0000-00000F3A0000}"/>
    <cellStyle name="40% - Accent3 13 9 2" xfId="42181" xr:uid="{DB69F4A0-CA54-4C96-ACC5-CFC5EB839BBE}"/>
    <cellStyle name="40% - Accent3 13_Exh G" xfId="2957" xr:uid="{00000000-0005-0000-0000-0000103A0000}"/>
    <cellStyle name="40% - Accent3 14" xfId="449" xr:uid="{00000000-0005-0000-0000-0000113A0000}"/>
    <cellStyle name="40% - Accent3 14 2" xfId="450" xr:uid="{00000000-0005-0000-0000-0000123A0000}"/>
    <cellStyle name="40% - Accent3 14 2 2" xfId="1478" xr:uid="{00000000-0005-0000-0000-0000133A0000}"/>
    <cellStyle name="40% - Accent3 14 2 2 2" xfId="5008" xr:uid="{00000000-0005-0000-0000-0000143A0000}"/>
    <cellStyle name="40% - Accent3 14 2 2 2 2" xfId="8599" xr:uid="{00000000-0005-0000-0000-0000153A0000}"/>
    <cellStyle name="40% - Accent3 14 2 2 2 2 2" xfId="16570" xr:uid="{00000000-0005-0000-0000-0000163A0000}"/>
    <cellStyle name="40% - Accent3 14 2 2 2 2 2 2" xfId="40413" xr:uid="{21EF5200-9080-4EE6-9D97-E15DCA6E809B}"/>
    <cellStyle name="40% - Accent3 14 2 2 2 2 3" xfId="24516" xr:uid="{00000000-0005-0000-0000-0000173A0000}"/>
    <cellStyle name="40% - Accent3 14 2 2 2 2 3 2" xfId="48349" xr:uid="{A689177E-BA92-4CB5-8917-F4E92066C5B2}"/>
    <cellStyle name="40% - Accent3 14 2 2 2 2 4" xfId="32472" xr:uid="{E5EB68AF-2B13-4F9A-B6B2-4534559A585B}"/>
    <cellStyle name="40% - Accent3 14 2 2 2 3" xfId="13032" xr:uid="{00000000-0005-0000-0000-0000183A0000}"/>
    <cellStyle name="40% - Accent3 14 2 2 2 3 2" xfId="36882" xr:uid="{15DEC2A2-4CAE-4843-90F2-D79CDA84CDAF}"/>
    <cellStyle name="40% - Accent3 14 2 2 2 4" xfId="20987" xr:uid="{00000000-0005-0000-0000-0000193A0000}"/>
    <cellStyle name="40% - Accent3 14 2 2 2 4 2" xfId="44820" xr:uid="{675B44B3-A1E9-4B62-91A8-73E2733F4F1D}"/>
    <cellStyle name="40% - Accent3 14 2 2 2 5" xfId="28941" xr:uid="{BA645A7D-27A4-445C-B7E6-36B040128D2B}"/>
    <cellStyle name="40% - Accent3 14 2 2 3" xfId="6840" xr:uid="{00000000-0005-0000-0000-00001A3A0000}"/>
    <cellStyle name="40% - Accent3 14 2 2 3 2" xfId="14812" xr:uid="{00000000-0005-0000-0000-00001B3A0000}"/>
    <cellStyle name="40% - Accent3 14 2 2 3 2 2" xfId="38655" xr:uid="{1F1B55A7-6CBF-4080-991C-5708D853361D}"/>
    <cellStyle name="40% - Accent3 14 2 2 3 3" xfId="22759" xr:uid="{00000000-0005-0000-0000-00001C3A0000}"/>
    <cellStyle name="40% - Accent3 14 2 2 3 3 2" xfId="46592" xr:uid="{2FF48617-F8E0-49F1-B12E-7A9DE5ABFDAF}"/>
    <cellStyle name="40% - Accent3 14 2 2 3 4" xfId="30714" xr:uid="{822CDEC6-0793-4B25-9B29-3C49F8EFC09A}"/>
    <cellStyle name="40% - Accent3 14 2 2 4" xfId="11276" xr:uid="{00000000-0005-0000-0000-00001D3A0000}"/>
    <cellStyle name="40% - Accent3 14 2 2 4 2" xfId="35126" xr:uid="{A7F2F857-3C08-4B02-8F24-6F29AE69256A}"/>
    <cellStyle name="40% - Accent3 14 2 2 5" xfId="19231" xr:uid="{00000000-0005-0000-0000-00001E3A0000}"/>
    <cellStyle name="40% - Accent3 14 2 2 5 2" xfId="43064" xr:uid="{00444751-394F-478E-ADB9-0AFB98A300F7}"/>
    <cellStyle name="40% - Accent3 14 2 2 6" xfId="27184" xr:uid="{172C901E-9543-4207-9E27-F3BACACCA96C}"/>
    <cellStyle name="40% - Accent3 14 2 2_Exh G" xfId="2967" xr:uid="{00000000-0005-0000-0000-00001F3A0000}"/>
    <cellStyle name="40% - Accent3 14 2 3" xfId="4129" xr:uid="{00000000-0005-0000-0000-0000203A0000}"/>
    <cellStyle name="40% - Accent3 14 2 3 2" xfId="7721" xr:uid="{00000000-0005-0000-0000-0000213A0000}"/>
    <cellStyle name="40% - Accent3 14 2 3 2 2" xfId="15692" xr:uid="{00000000-0005-0000-0000-0000223A0000}"/>
    <cellStyle name="40% - Accent3 14 2 3 2 2 2" xfId="39535" xr:uid="{B6A0E23C-A935-4695-9D2F-FC5C75AFD790}"/>
    <cellStyle name="40% - Accent3 14 2 3 2 3" xfId="23638" xr:uid="{00000000-0005-0000-0000-0000233A0000}"/>
    <cellStyle name="40% - Accent3 14 2 3 2 3 2" xfId="47471" xr:uid="{16A889FF-70C1-4B3C-951F-2B3BE3B35202}"/>
    <cellStyle name="40% - Accent3 14 2 3 2 4" xfId="31594" xr:uid="{3CA7F7B8-FC80-41C7-80E8-2E7F286B1C0C}"/>
    <cellStyle name="40% - Accent3 14 2 3 3" xfId="12154" xr:uid="{00000000-0005-0000-0000-0000243A0000}"/>
    <cellStyle name="40% - Accent3 14 2 3 3 2" xfId="36004" xr:uid="{D0A9B773-8226-4563-852B-81287FE81522}"/>
    <cellStyle name="40% - Accent3 14 2 3 4" xfId="20109" xr:uid="{00000000-0005-0000-0000-0000253A0000}"/>
    <cellStyle name="40% - Accent3 14 2 3 4 2" xfId="43942" xr:uid="{071894DB-26B4-4952-8A5C-F319E898F554}"/>
    <cellStyle name="40% - Accent3 14 2 3 5" xfId="28063" xr:uid="{EB9675C2-B9BE-4EDB-A687-7EB3F3D37F24}"/>
    <cellStyle name="40% - Accent3 14 2 4" xfId="5949" xr:uid="{00000000-0005-0000-0000-0000263A0000}"/>
    <cellStyle name="40% - Accent3 14 2 4 2" xfId="13933" xr:uid="{00000000-0005-0000-0000-0000273A0000}"/>
    <cellStyle name="40% - Accent3 14 2 4 2 2" xfId="37777" xr:uid="{78CE96DE-E3BB-4DB9-AEEF-12B045B6947D}"/>
    <cellStyle name="40% - Accent3 14 2 4 3" xfId="21881" xr:uid="{00000000-0005-0000-0000-0000283A0000}"/>
    <cellStyle name="40% - Accent3 14 2 4 3 2" xfId="45714" xr:uid="{0608D19E-2CE2-427B-AAE9-A1FC6408BD62}"/>
    <cellStyle name="40% - Accent3 14 2 4 4" xfId="29836" xr:uid="{FA69A4A5-4136-43DB-9EAE-F158936931BD}"/>
    <cellStyle name="40% - Accent3 14 2 5" xfId="9502" xr:uid="{00000000-0005-0000-0000-0000293A0000}"/>
    <cellStyle name="40% - Accent3 14 2 5 2" xfId="17460" xr:uid="{00000000-0005-0000-0000-00002A3A0000}"/>
    <cellStyle name="40% - Accent3 14 2 5 2 2" xfId="41301" xr:uid="{C190524B-F9BF-48A2-8C3B-D4B07EF682EF}"/>
    <cellStyle name="40% - Accent3 14 2 5 3" xfId="25404" xr:uid="{00000000-0005-0000-0000-00002B3A0000}"/>
    <cellStyle name="40% - Accent3 14 2 5 3 2" xfId="49237" xr:uid="{37C21661-1EE5-4CC3-B2CA-08977F1EECBE}"/>
    <cellStyle name="40% - Accent3 14 2 5 4" xfId="33360" xr:uid="{0D4B9B0A-F1D2-4224-9E32-FC12BD8E275F}"/>
    <cellStyle name="40% - Accent3 14 2 6" xfId="10398" xr:uid="{00000000-0005-0000-0000-00002C3A0000}"/>
    <cellStyle name="40% - Accent3 14 2 6 2" xfId="34248" xr:uid="{AAC915C6-DAC5-44F8-8FC5-2602C249FE7D}"/>
    <cellStyle name="40% - Accent3 14 2 7" xfId="18353" xr:uid="{00000000-0005-0000-0000-00002D3A0000}"/>
    <cellStyle name="40% - Accent3 14 2 7 2" xfId="42186" xr:uid="{28CB3C27-75FC-43EF-9600-5FDF4FFA0DFC}"/>
    <cellStyle name="40% - Accent3 14 2 8" xfId="26306" xr:uid="{28D63E3F-9003-42C0-8161-0DC3763C36D1}"/>
    <cellStyle name="40% - Accent3 14 2_Exh G" xfId="2966" xr:uid="{00000000-0005-0000-0000-00002E3A0000}"/>
    <cellStyle name="40% - Accent3 14 3" xfId="1477" xr:uid="{00000000-0005-0000-0000-00002F3A0000}"/>
    <cellStyle name="40% - Accent3 14 3 2" xfId="5007" xr:uid="{00000000-0005-0000-0000-0000303A0000}"/>
    <cellStyle name="40% - Accent3 14 3 2 2" xfId="8598" xr:uid="{00000000-0005-0000-0000-0000313A0000}"/>
    <cellStyle name="40% - Accent3 14 3 2 2 2" xfId="16569" xr:uid="{00000000-0005-0000-0000-0000323A0000}"/>
    <cellStyle name="40% - Accent3 14 3 2 2 2 2" xfId="40412" xr:uid="{5F2AA02B-CC26-4890-A5D6-09B276433BEE}"/>
    <cellStyle name="40% - Accent3 14 3 2 2 3" xfId="24515" xr:uid="{00000000-0005-0000-0000-0000333A0000}"/>
    <cellStyle name="40% - Accent3 14 3 2 2 3 2" xfId="48348" xr:uid="{7FA589DA-796C-4799-B807-BE3406C2A7AB}"/>
    <cellStyle name="40% - Accent3 14 3 2 2 4" xfId="32471" xr:uid="{8957CA48-5826-4DBA-934E-05E7EE1869B2}"/>
    <cellStyle name="40% - Accent3 14 3 2 3" xfId="13031" xr:uid="{00000000-0005-0000-0000-0000343A0000}"/>
    <cellStyle name="40% - Accent3 14 3 2 3 2" xfId="36881" xr:uid="{B7725456-64DD-4F9F-8D53-F0278DE089C2}"/>
    <cellStyle name="40% - Accent3 14 3 2 4" xfId="20986" xr:uid="{00000000-0005-0000-0000-0000353A0000}"/>
    <cellStyle name="40% - Accent3 14 3 2 4 2" xfId="44819" xr:uid="{8CCCC2C5-018F-499E-AC27-ACA3D94DB6EE}"/>
    <cellStyle name="40% - Accent3 14 3 2 5" xfId="28940" xr:uid="{3EE9CFD2-39B0-46F4-B642-0F39C534A890}"/>
    <cellStyle name="40% - Accent3 14 3 3" xfId="6839" xr:uid="{00000000-0005-0000-0000-0000363A0000}"/>
    <cellStyle name="40% - Accent3 14 3 3 2" xfId="14811" xr:uid="{00000000-0005-0000-0000-0000373A0000}"/>
    <cellStyle name="40% - Accent3 14 3 3 2 2" xfId="38654" xr:uid="{0CF72982-F1E4-44EF-BD98-47081902237C}"/>
    <cellStyle name="40% - Accent3 14 3 3 3" xfId="22758" xr:uid="{00000000-0005-0000-0000-0000383A0000}"/>
    <cellStyle name="40% - Accent3 14 3 3 3 2" xfId="46591" xr:uid="{90D05A74-4586-4B34-85D4-7345DDC09542}"/>
    <cellStyle name="40% - Accent3 14 3 3 4" xfId="30713" xr:uid="{17F64991-BF6F-4162-8566-D2315FAD1A52}"/>
    <cellStyle name="40% - Accent3 14 3 4" xfId="11275" xr:uid="{00000000-0005-0000-0000-0000393A0000}"/>
    <cellStyle name="40% - Accent3 14 3 4 2" xfId="35125" xr:uid="{7558A0CE-9881-44E4-801E-B31B0C868789}"/>
    <cellStyle name="40% - Accent3 14 3 5" xfId="19230" xr:uid="{00000000-0005-0000-0000-00003A3A0000}"/>
    <cellStyle name="40% - Accent3 14 3 5 2" xfId="43063" xr:uid="{03F0C95B-6F81-493E-8981-D79B75BAE43A}"/>
    <cellStyle name="40% - Accent3 14 3 6" xfId="27183" xr:uid="{66DF7E40-1EB5-4837-AACC-D3920A120865}"/>
    <cellStyle name="40% - Accent3 14 3_Exh G" xfId="2968" xr:uid="{00000000-0005-0000-0000-00003B3A0000}"/>
    <cellStyle name="40% - Accent3 14 4" xfId="4128" xr:uid="{00000000-0005-0000-0000-00003C3A0000}"/>
    <cellStyle name="40% - Accent3 14 4 2" xfId="7720" xr:uid="{00000000-0005-0000-0000-00003D3A0000}"/>
    <cellStyle name="40% - Accent3 14 4 2 2" xfId="15691" xr:uid="{00000000-0005-0000-0000-00003E3A0000}"/>
    <cellStyle name="40% - Accent3 14 4 2 2 2" xfId="39534" xr:uid="{82A34EAB-6CC6-46CD-9406-801D0487EA34}"/>
    <cellStyle name="40% - Accent3 14 4 2 3" xfId="23637" xr:uid="{00000000-0005-0000-0000-00003F3A0000}"/>
    <cellStyle name="40% - Accent3 14 4 2 3 2" xfId="47470" xr:uid="{668413C1-23A5-459B-B524-4CCE8DF814AC}"/>
    <cellStyle name="40% - Accent3 14 4 2 4" xfId="31593" xr:uid="{B8998B08-94F2-4E34-A522-A54510D2111D}"/>
    <cellStyle name="40% - Accent3 14 4 3" xfId="12153" xr:uid="{00000000-0005-0000-0000-0000403A0000}"/>
    <cellStyle name="40% - Accent3 14 4 3 2" xfId="36003" xr:uid="{2E1551DA-97D4-4017-AB7A-76411D12B415}"/>
    <cellStyle name="40% - Accent3 14 4 4" xfId="20108" xr:uid="{00000000-0005-0000-0000-0000413A0000}"/>
    <cellStyle name="40% - Accent3 14 4 4 2" xfId="43941" xr:uid="{37CD7FFA-D06E-4700-A09F-563D2D441153}"/>
    <cellStyle name="40% - Accent3 14 4 5" xfId="28062" xr:uid="{10673A11-8415-4ABC-BABF-86434214C925}"/>
    <cellStyle name="40% - Accent3 14 5" xfId="5948" xr:uid="{00000000-0005-0000-0000-0000423A0000}"/>
    <cellStyle name="40% - Accent3 14 5 2" xfId="13932" xr:uid="{00000000-0005-0000-0000-0000433A0000}"/>
    <cellStyle name="40% - Accent3 14 5 2 2" xfId="37776" xr:uid="{1AE2E17C-6AB5-4607-9758-2BACBC4F2084}"/>
    <cellStyle name="40% - Accent3 14 5 3" xfId="21880" xr:uid="{00000000-0005-0000-0000-0000443A0000}"/>
    <cellStyle name="40% - Accent3 14 5 3 2" xfId="45713" xr:uid="{BEE57E93-1459-4BE1-8116-762D81693D26}"/>
    <cellStyle name="40% - Accent3 14 5 4" xfId="29835" xr:uid="{80899754-4F0E-4872-BD3F-19618D04DBB7}"/>
    <cellStyle name="40% - Accent3 14 6" xfId="9501" xr:uid="{00000000-0005-0000-0000-0000453A0000}"/>
    <cellStyle name="40% - Accent3 14 6 2" xfId="17459" xr:uid="{00000000-0005-0000-0000-0000463A0000}"/>
    <cellStyle name="40% - Accent3 14 6 2 2" xfId="41300" xr:uid="{F4C33A78-F2A2-4A77-9A81-384148D399BE}"/>
    <cellStyle name="40% - Accent3 14 6 3" xfId="25403" xr:uid="{00000000-0005-0000-0000-0000473A0000}"/>
    <cellStyle name="40% - Accent3 14 6 3 2" xfId="49236" xr:uid="{403188BF-B2F9-483B-9A08-9A9A943B2A04}"/>
    <cellStyle name="40% - Accent3 14 6 4" xfId="33359" xr:uid="{7A17EB1B-6395-4634-A828-1F7C9525027F}"/>
    <cellStyle name="40% - Accent3 14 7" xfId="10397" xr:uid="{00000000-0005-0000-0000-0000483A0000}"/>
    <cellStyle name="40% - Accent3 14 7 2" xfId="34247" xr:uid="{0D65C353-42D5-4E5E-9473-75298B8BB129}"/>
    <cellStyle name="40% - Accent3 14 8" xfId="18352" xr:uid="{00000000-0005-0000-0000-0000493A0000}"/>
    <cellStyle name="40% - Accent3 14 8 2" xfId="42185" xr:uid="{8526F4BB-9806-4844-90F7-0CE1CA3DAFCE}"/>
    <cellStyle name="40% - Accent3 14 9" xfId="26305" xr:uid="{CEBEF26D-23C3-4E51-8877-23C9596A6718}"/>
    <cellStyle name="40% - Accent3 14_Exh G" xfId="2965" xr:uid="{00000000-0005-0000-0000-00004A3A0000}"/>
    <cellStyle name="40% - Accent3 15" xfId="451" xr:uid="{00000000-0005-0000-0000-00004B3A0000}"/>
    <cellStyle name="40% - Accent3 15 2" xfId="1479" xr:uid="{00000000-0005-0000-0000-00004C3A0000}"/>
    <cellStyle name="40% - Accent3 15 2 2" xfId="5009" xr:uid="{00000000-0005-0000-0000-00004D3A0000}"/>
    <cellStyle name="40% - Accent3 15 2 2 2" xfId="8600" xr:uid="{00000000-0005-0000-0000-00004E3A0000}"/>
    <cellStyle name="40% - Accent3 15 2 2 2 2" xfId="16571" xr:uid="{00000000-0005-0000-0000-00004F3A0000}"/>
    <cellStyle name="40% - Accent3 15 2 2 2 2 2" xfId="40414" xr:uid="{4A379F22-C969-485A-94DC-ECC91F9FFB95}"/>
    <cellStyle name="40% - Accent3 15 2 2 2 3" xfId="24517" xr:uid="{00000000-0005-0000-0000-0000503A0000}"/>
    <cellStyle name="40% - Accent3 15 2 2 2 3 2" xfId="48350" xr:uid="{FE79684E-2CE5-43B5-902B-FFD810990671}"/>
    <cellStyle name="40% - Accent3 15 2 2 2 4" xfId="32473" xr:uid="{AEB45EC4-D087-476B-92CF-1DAFDDCCC73C}"/>
    <cellStyle name="40% - Accent3 15 2 2 3" xfId="13033" xr:uid="{00000000-0005-0000-0000-0000513A0000}"/>
    <cellStyle name="40% - Accent3 15 2 2 3 2" xfId="36883" xr:uid="{33916CFC-9BF7-46D9-A646-7FF344A14CCC}"/>
    <cellStyle name="40% - Accent3 15 2 2 4" xfId="20988" xr:uid="{00000000-0005-0000-0000-0000523A0000}"/>
    <cellStyle name="40% - Accent3 15 2 2 4 2" xfId="44821" xr:uid="{65A777F0-8799-4994-93F6-E20D6D682738}"/>
    <cellStyle name="40% - Accent3 15 2 2 5" xfId="28942" xr:uid="{7E300B5B-9123-4B4B-BD42-86D80536454C}"/>
    <cellStyle name="40% - Accent3 15 2 3" xfId="6841" xr:uid="{00000000-0005-0000-0000-0000533A0000}"/>
    <cellStyle name="40% - Accent3 15 2 3 2" xfId="14813" xr:uid="{00000000-0005-0000-0000-0000543A0000}"/>
    <cellStyle name="40% - Accent3 15 2 3 2 2" xfId="38656" xr:uid="{1051C95B-DC07-4E2C-974D-3F9DE32F0B96}"/>
    <cellStyle name="40% - Accent3 15 2 3 3" xfId="22760" xr:uid="{00000000-0005-0000-0000-0000553A0000}"/>
    <cellStyle name="40% - Accent3 15 2 3 3 2" xfId="46593" xr:uid="{EEDB673B-FBCC-45F8-BBDB-5DCA988676B3}"/>
    <cellStyle name="40% - Accent3 15 2 3 4" xfId="30715" xr:uid="{C351BF88-8427-450E-A851-540070D96C57}"/>
    <cellStyle name="40% - Accent3 15 2 4" xfId="11277" xr:uid="{00000000-0005-0000-0000-0000563A0000}"/>
    <cellStyle name="40% - Accent3 15 2 4 2" xfId="35127" xr:uid="{2E1F7FB1-E2FA-497B-B1BF-D392F055FE30}"/>
    <cellStyle name="40% - Accent3 15 2 5" xfId="19232" xr:uid="{00000000-0005-0000-0000-0000573A0000}"/>
    <cellStyle name="40% - Accent3 15 2 5 2" xfId="43065" xr:uid="{7A911C76-DBA6-420E-8DCE-05394107EC83}"/>
    <cellStyle name="40% - Accent3 15 2 6" xfId="27185" xr:uid="{D1D4B29E-A001-4638-AE7D-FCA513E4CC6F}"/>
    <cellStyle name="40% - Accent3 15 2_Exh G" xfId="2970" xr:uid="{00000000-0005-0000-0000-0000583A0000}"/>
    <cellStyle name="40% - Accent3 15 3" xfId="4130" xr:uid="{00000000-0005-0000-0000-0000593A0000}"/>
    <cellStyle name="40% - Accent3 15 3 2" xfId="7722" xr:uid="{00000000-0005-0000-0000-00005A3A0000}"/>
    <cellStyle name="40% - Accent3 15 3 2 2" xfId="15693" xr:uid="{00000000-0005-0000-0000-00005B3A0000}"/>
    <cellStyle name="40% - Accent3 15 3 2 2 2" xfId="39536" xr:uid="{A4D1C3B7-0231-49A7-959F-68999D959F51}"/>
    <cellStyle name="40% - Accent3 15 3 2 3" xfId="23639" xr:uid="{00000000-0005-0000-0000-00005C3A0000}"/>
    <cellStyle name="40% - Accent3 15 3 2 3 2" xfId="47472" xr:uid="{D14CB2B5-4A0B-459A-8E52-D95BD591539E}"/>
    <cellStyle name="40% - Accent3 15 3 2 4" xfId="31595" xr:uid="{3A899E47-32C7-458F-B0CE-CDC7455EEF0B}"/>
    <cellStyle name="40% - Accent3 15 3 3" xfId="12155" xr:uid="{00000000-0005-0000-0000-00005D3A0000}"/>
    <cellStyle name="40% - Accent3 15 3 3 2" xfId="36005" xr:uid="{0A0B8FA5-7940-494D-9FD6-13B6AA097E83}"/>
    <cellStyle name="40% - Accent3 15 3 4" xfId="20110" xr:uid="{00000000-0005-0000-0000-00005E3A0000}"/>
    <cellStyle name="40% - Accent3 15 3 4 2" xfId="43943" xr:uid="{255752D0-6B0D-4EBC-B1EA-266492368E32}"/>
    <cellStyle name="40% - Accent3 15 3 5" xfId="28064" xr:uid="{F75186E6-0675-4706-8AC8-B32E7EB6FD54}"/>
    <cellStyle name="40% - Accent3 15 4" xfId="5950" xr:uid="{00000000-0005-0000-0000-00005F3A0000}"/>
    <cellStyle name="40% - Accent3 15 4 2" xfId="13934" xr:uid="{00000000-0005-0000-0000-0000603A0000}"/>
    <cellStyle name="40% - Accent3 15 4 2 2" xfId="37778" xr:uid="{2B9E15FA-AB63-4303-82E5-CB0EBA97F95B}"/>
    <cellStyle name="40% - Accent3 15 4 3" xfId="21882" xr:uid="{00000000-0005-0000-0000-0000613A0000}"/>
    <cellStyle name="40% - Accent3 15 4 3 2" xfId="45715" xr:uid="{80C59D2D-4073-41CC-B10C-C17D99157B05}"/>
    <cellStyle name="40% - Accent3 15 4 4" xfId="29837" xr:uid="{4260F208-B198-4ED7-B12E-281EBB1742BC}"/>
    <cellStyle name="40% - Accent3 15 5" xfId="9503" xr:uid="{00000000-0005-0000-0000-0000623A0000}"/>
    <cellStyle name="40% - Accent3 15 5 2" xfId="17461" xr:uid="{00000000-0005-0000-0000-0000633A0000}"/>
    <cellStyle name="40% - Accent3 15 5 2 2" xfId="41302" xr:uid="{19FEA6D8-8456-49D3-A869-4DE2C6BE5810}"/>
    <cellStyle name="40% - Accent3 15 5 3" xfId="25405" xr:uid="{00000000-0005-0000-0000-0000643A0000}"/>
    <cellStyle name="40% - Accent3 15 5 3 2" xfId="49238" xr:uid="{5E59979B-5978-494A-8D7E-24228FCE4BC0}"/>
    <cellStyle name="40% - Accent3 15 5 4" xfId="33361" xr:uid="{BA4FB271-FE89-4996-8290-C42C77614978}"/>
    <cellStyle name="40% - Accent3 15 6" xfId="10399" xr:uid="{00000000-0005-0000-0000-0000653A0000}"/>
    <cellStyle name="40% - Accent3 15 6 2" xfId="34249" xr:uid="{6414D527-02AE-46B7-BC65-BC8493D8838D}"/>
    <cellStyle name="40% - Accent3 15 7" xfId="18354" xr:uid="{00000000-0005-0000-0000-0000663A0000}"/>
    <cellStyle name="40% - Accent3 15 7 2" xfId="42187" xr:uid="{C58DF456-73C7-4A58-BB5E-0D3480E80FC8}"/>
    <cellStyle name="40% - Accent3 15 8" xfId="26307" xr:uid="{6A522C98-A31D-4FFD-8923-E45B7734DE20}"/>
    <cellStyle name="40% - Accent3 15_Exh G" xfId="2969" xr:uid="{00000000-0005-0000-0000-0000673A0000}"/>
    <cellStyle name="40% - Accent3 16" xfId="851" xr:uid="{00000000-0005-0000-0000-0000683A0000}"/>
    <cellStyle name="40% - Accent3 16 2" xfId="1790" xr:uid="{00000000-0005-0000-0000-0000693A0000}"/>
    <cellStyle name="40% - Accent3 16 2 2" xfId="5311" xr:uid="{00000000-0005-0000-0000-00006A3A0000}"/>
    <cellStyle name="40% - Accent3 16 2 2 2" xfId="8902" xr:uid="{00000000-0005-0000-0000-00006B3A0000}"/>
    <cellStyle name="40% - Accent3 16 2 2 2 2" xfId="16873" xr:uid="{00000000-0005-0000-0000-00006C3A0000}"/>
    <cellStyle name="40% - Accent3 16 2 2 2 2 2" xfId="40716" xr:uid="{C00246A6-7E8E-4667-B4AF-7BA41B586E7E}"/>
    <cellStyle name="40% - Accent3 16 2 2 2 3" xfId="24819" xr:uid="{00000000-0005-0000-0000-00006D3A0000}"/>
    <cellStyle name="40% - Accent3 16 2 2 2 3 2" xfId="48652" xr:uid="{F6FD2929-E683-401D-87C5-274DD0670086}"/>
    <cellStyle name="40% - Accent3 16 2 2 2 4" xfId="32775" xr:uid="{9A158853-A394-4850-A2F0-251A6D2A32FA}"/>
    <cellStyle name="40% - Accent3 16 2 2 3" xfId="13335" xr:uid="{00000000-0005-0000-0000-00006E3A0000}"/>
    <cellStyle name="40% - Accent3 16 2 2 3 2" xfId="37185" xr:uid="{9BC83367-BC56-4514-BC54-EB3FB15265E5}"/>
    <cellStyle name="40% - Accent3 16 2 2 4" xfId="21290" xr:uid="{00000000-0005-0000-0000-00006F3A0000}"/>
    <cellStyle name="40% - Accent3 16 2 2 4 2" xfId="45123" xr:uid="{A8B68BC7-CE3C-4E69-ADB8-E3ADA3684124}"/>
    <cellStyle name="40% - Accent3 16 2 2 5" xfId="29244" xr:uid="{04D7B683-83D1-424E-8D4B-CCB52FDA61C9}"/>
    <cellStyle name="40% - Accent3 16 2 3" xfId="7143" xr:uid="{00000000-0005-0000-0000-0000703A0000}"/>
    <cellStyle name="40% - Accent3 16 2 3 2" xfId="15115" xr:uid="{00000000-0005-0000-0000-0000713A0000}"/>
    <cellStyle name="40% - Accent3 16 2 3 2 2" xfId="38958" xr:uid="{847680C3-31A1-4D4F-9B1F-FB592CF49D77}"/>
    <cellStyle name="40% - Accent3 16 2 3 3" xfId="23062" xr:uid="{00000000-0005-0000-0000-0000723A0000}"/>
    <cellStyle name="40% - Accent3 16 2 3 3 2" xfId="46895" xr:uid="{A0B5083E-BB28-4D34-BBE1-38FA8E9BF984}"/>
    <cellStyle name="40% - Accent3 16 2 3 4" xfId="31017" xr:uid="{49F85900-9B4E-4DAD-9B70-872E7BCB1456}"/>
    <cellStyle name="40% - Accent3 16 2 4" xfId="11579" xr:uid="{00000000-0005-0000-0000-0000733A0000}"/>
    <cellStyle name="40% - Accent3 16 2 4 2" xfId="35429" xr:uid="{826E88CF-E929-4B78-9ADA-E7B773FFFF99}"/>
    <cellStyle name="40% - Accent3 16 2 5" xfId="19534" xr:uid="{00000000-0005-0000-0000-0000743A0000}"/>
    <cellStyle name="40% - Accent3 16 2 5 2" xfId="43367" xr:uid="{A6F0EB9D-5C11-44CF-AEC4-692DDB7DE294}"/>
    <cellStyle name="40% - Accent3 16 2 6" xfId="27487" xr:uid="{7251BE49-863C-470D-BF9F-86F422A67108}"/>
    <cellStyle name="40% - Accent3 16 2_Exh G" xfId="2972" xr:uid="{00000000-0005-0000-0000-0000753A0000}"/>
    <cellStyle name="40% - Accent3 16 3" xfId="4432" xr:uid="{00000000-0005-0000-0000-0000763A0000}"/>
    <cellStyle name="40% - Accent3 16 3 2" xfId="8024" xr:uid="{00000000-0005-0000-0000-0000773A0000}"/>
    <cellStyle name="40% - Accent3 16 3 2 2" xfId="15995" xr:uid="{00000000-0005-0000-0000-0000783A0000}"/>
    <cellStyle name="40% - Accent3 16 3 2 2 2" xfId="39838" xr:uid="{C46C76FA-653A-41B3-AF33-5025A8EC4985}"/>
    <cellStyle name="40% - Accent3 16 3 2 3" xfId="23941" xr:uid="{00000000-0005-0000-0000-0000793A0000}"/>
    <cellStyle name="40% - Accent3 16 3 2 3 2" xfId="47774" xr:uid="{F2AF127B-CBAE-4960-B70E-BD9193CA6DC2}"/>
    <cellStyle name="40% - Accent3 16 3 2 4" xfId="31897" xr:uid="{82B8B9F9-0A7D-49A7-8D8F-91168BF1AFDC}"/>
    <cellStyle name="40% - Accent3 16 3 3" xfId="12457" xr:uid="{00000000-0005-0000-0000-00007A3A0000}"/>
    <cellStyle name="40% - Accent3 16 3 3 2" xfId="36307" xr:uid="{488FBD45-AB32-4587-884D-7A6D275ABCC4}"/>
    <cellStyle name="40% - Accent3 16 3 4" xfId="20412" xr:uid="{00000000-0005-0000-0000-00007B3A0000}"/>
    <cellStyle name="40% - Accent3 16 3 4 2" xfId="44245" xr:uid="{DCDB982A-F2DB-4657-816B-4922A4E3D031}"/>
    <cellStyle name="40% - Accent3 16 3 5" xfId="28366" xr:uid="{B035E3F1-B1A6-4ABA-891B-4D293A732C68}"/>
    <cellStyle name="40% - Accent3 16 4" xfId="6262" xr:uid="{00000000-0005-0000-0000-00007C3A0000}"/>
    <cellStyle name="40% - Accent3 16 4 2" xfId="14237" xr:uid="{00000000-0005-0000-0000-00007D3A0000}"/>
    <cellStyle name="40% - Accent3 16 4 2 2" xfId="38080" xr:uid="{402802C7-D1D0-442A-9CDC-05D1936008D3}"/>
    <cellStyle name="40% - Accent3 16 4 3" xfId="22184" xr:uid="{00000000-0005-0000-0000-00007E3A0000}"/>
    <cellStyle name="40% - Accent3 16 4 3 2" xfId="46017" xr:uid="{1970E9D0-902C-4BDB-A54F-7B0FD4E4E42F}"/>
    <cellStyle name="40% - Accent3 16 4 4" xfId="30139" xr:uid="{D813B370-7E2B-4F7F-944F-369648BDB02A}"/>
    <cellStyle name="40% - Accent3 16 5" xfId="9805" xr:uid="{00000000-0005-0000-0000-00007F3A0000}"/>
    <cellStyle name="40% - Accent3 16 5 2" xfId="17763" xr:uid="{00000000-0005-0000-0000-0000803A0000}"/>
    <cellStyle name="40% - Accent3 16 5 2 2" xfId="41604" xr:uid="{B7490AAF-851C-4196-9E41-C6082AFAFA27}"/>
    <cellStyle name="40% - Accent3 16 5 3" xfId="25707" xr:uid="{00000000-0005-0000-0000-0000813A0000}"/>
    <cellStyle name="40% - Accent3 16 5 3 2" xfId="49540" xr:uid="{52D35C39-FB9A-4058-AB53-B547A3173399}"/>
    <cellStyle name="40% - Accent3 16 5 4" xfId="33663" xr:uid="{4F385817-30EA-4764-81B1-05965244F0AD}"/>
    <cellStyle name="40% - Accent3 16 6" xfId="10701" xr:uid="{00000000-0005-0000-0000-0000823A0000}"/>
    <cellStyle name="40% - Accent3 16 6 2" xfId="34551" xr:uid="{CBADDE26-0D7F-43FD-B5DF-712CC0E17895}"/>
    <cellStyle name="40% - Accent3 16 7" xfId="18656" xr:uid="{00000000-0005-0000-0000-0000833A0000}"/>
    <cellStyle name="40% - Accent3 16 7 2" xfId="42489" xr:uid="{46193FFC-290F-4849-9341-C07AD8236B91}"/>
    <cellStyle name="40% - Accent3 16 8" xfId="26609" xr:uid="{260C1336-D9C4-4DC7-BF8E-884CA3689D4A}"/>
    <cellStyle name="40% - Accent3 16_Exh G" xfId="2971" xr:uid="{00000000-0005-0000-0000-0000843A0000}"/>
    <cellStyle name="40% - Accent3 17" xfId="49800" xr:uid="{B5A0FDEE-3C92-4941-950E-9F4541255B67}"/>
    <cellStyle name="40% - Accent3 2" xfId="452" xr:uid="{00000000-0005-0000-0000-0000853A0000}"/>
    <cellStyle name="40% - Accent3 2 10" xfId="18355" xr:uid="{00000000-0005-0000-0000-0000863A0000}"/>
    <cellStyle name="40% - Accent3 2 10 2" xfId="42188" xr:uid="{7A2B3FE4-B290-4600-B073-C503C513786D}"/>
    <cellStyle name="40% - Accent3 2 11" xfId="26308" xr:uid="{A7E8C0D5-F0C0-42AF-8378-4D421BAED0FB}"/>
    <cellStyle name="40% - Accent3 2 12" xfId="49785" xr:uid="{4085C49D-FE00-49C5-8B1B-9EE9C3396E0A}"/>
    <cellStyle name="40% - Accent3 2 13" xfId="49813" xr:uid="{7C300A7D-4D9D-4390-B3D5-8A3F5265E0B3}"/>
    <cellStyle name="40% - Accent3 2 2" xfId="453" xr:uid="{00000000-0005-0000-0000-0000873A0000}"/>
    <cellStyle name="40% - Accent3 2 2 10" xfId="26309" xr:uid="{7D48DA43-DD1C-4FC8-A570-9BA14E71EF48}"/>
    <cellStyle name="40% - Accent3 2 2 2" xfId="454" xr:uid="{00000000-0005-0000-0000-0000883A0000}"/>
    <cellStyle name="40% - Accent3 2 2 2 2" xfId="1482" xr:uid="{00000000-0005-0000-0000-0000893A0000}"/>
    <cellStyle name="40% - Accent3 2 2 2 2 2" xfId="5012" xr:uid="{00000000-0005-0000-0000-00008A3A0000}"/>
    <cellStyle name="40% - Accent3 2 2 2 2 2 2" xfId="8603" xr:uid="{00000000-0005-0000-0000-00008B3A0000}"/>
    <cellStyle name="40% - Accent3 2 2 2 2 2 2 2" xfId="16574" xr:uid="{00000000-0005-0000-0000-00008C3A0000}"/>
    <cellStyle name="40% - Accent3 2 2 2 2 2 2 2 2" xfId="40417" xr:uid="{ADCE7281-6F28-46E3-8152-27AB6C0C7409}"/>
    <cellStyle name="40% - Accent3 2 2 2 2 2 2 3" xfId="24520" xr:uid="{00000000-0005-0000-0000-00008D3A0000}"/>
    <cellStyle name="40% - Accent3 2 2 2 2 2 2 3 2" xfId="48353" xr:uid="{859B4CA4-5C8F-4FF6-AB23-7B6C8CA8DBCE}"/>
    <cellStyle name="40% - Accent3 2 2 2 2 2 2 4" xfId="32476" xr:uid="{B71BE78A-787D-4CD5-928C-688974FD787F}"/>
    <cellStyle name="40% - Accent3 2 2 2 2 2 3" xfId="13036" xr:uid="{00000000-0005-0000-0000-00008E3A0000}"/>
    <cellStyle name="40% - Accent3 2 2 2 2 2 3 2" xfId="36886" xr:uid="{AACD2DBF-BC87-4111-96EE-2A1759297FF3}"/>
    <cellStyle name="40% - Accent3 2 2 2 2 2 4" xfId="20991" xr:uid="{00000000-0005-0000-0000-00008F3A0000}"/>
    <cellStyle name="40% - Accent3 2 2 2 2 2 4 2" xfId="44824" xr:uid="{67335228-AF7F-416F-A8CD-1B1C8984E046}"/>
    <cellStyle name="40% - Accent3 2 2 2 2 2 5" xfId="28945" xr:uid="{5552ED23-20BA-4255-8CA8-FE9796663671}"/>
    <cellStyle name="40% - Accent3 2 2 2 2 3" xfId="6844" xr:uid="{00000000-0005-0000-0000-0000903A0000}"/>
    <cellStyle name="40% - Accent3 2 2 2 2 3 2" xfId="14816" xr:uid="{00000000-0005-0000-0000-0000913A0000}"/>
    <cellStyle name="40% - Accent3 2 2 2 2 3 2 2" xfId="38659" xr:uid="{6CC10204-B634-4AFB-8F00-A4B1132BAA93}"/>
    <cellStyle name="40% - Accent3 2 2 2 2 3 3" xfId="22763" xr:uid="{00000000-0005-0000-0000-0000923A0000}"/>
    <cellStyle name="40% - Accent3 2 2 2 2 3 3 2" xfId="46596" xr:uid="{466C78E7-8669-40FE-B533-555250AF4848}"/>
    <cellStyle name="40% - Accent3 2 2 2 2 3 4" xfId="30718" xr:uid="{D0C000A1-1E0F-4A74-921E-F7C8E9CF5E29}"/>
    <cellStyle name="40% - Accent3 2 2 2 2 4" xfId="11280" xr:uid="{00000000-0005-0000-0000-0000933A0000}"/>
    <cellStyle name="40% - Accent3 2 2 2 2 4 2" xfId="35130" xr:uid="{4B1024AC-8AC6-4E94-A5D8-36EDC57A2958}"/>
    <cellStyle name="40% - Accent3 2 2 2 2 5" xfId="19235" xr:uid="{00000000-0005-0000-0000-0000943A0000}"/>
    <cellStyle name="40% - Accent3 2 2 2 2 5 2" xfId="43068" xr:uid="{649AB02B-F385-441C-81C2-27190274CAC3}"/>
    <cellStyle name="40% - Accent3 2 2 2 2 6" xfId="27188" xr:uid="{F3C6840D-4281-4870-BEF5-D4AF9D815C21}"/>
    <cellStyle name="40% - Accent3 2 2 2 2_Exh G" xfId="2976" xr:uid="{00000000-0005-0000-0000-0000953A0000}"/>
    <cellStyle name="40% - Accent3 2 2 2 3" xfId="4133" xr:uid="{00000000-0005-0000-0000-0000963A0000}"/>
    <cellStyle name="40% - Accent3 2 2 2 3 2" xfId="7725" xr:uid="{00000000-0005-0000-0000-0000973A0000}"/>
    <cellStyle name="40% - Accent3 2 2 2 3 2 2" xfId="15696" xr:uid="{00000000-0005-0000-0000-0000983A0000}"/>
    <cellStyle name="40% - Accent3 2 2 2 3 2 2 2" xfId="39539" xr:uid="{C263BD32-78A6-4F1F-9DDC-90847D8F54C6}"/>
    <cellStyle name="40% - Accent3 2 2 2 3 2 3" xfId="23642" xr:uid="{00000000-0005-0000-0000-0000993A0000}"/>
    <cellStyle name="40% - Accent3 2 2 2 3 2 3 2" xfId="47475" xr:uid="{CB5294B1-D976-4726-9AA2-8BCCE5F4DD93}"/>
    <cellStyle name="40% - Accent3 2 2 2 3 2 4" xfId="31598" xr:uid="{3FDFD176-D9E2-4392-9C20-D89BE6FB9381}"/>
    <cellStyle name="40% - Accent3 2 2 2 3 3" xfId="12158" xr:uid="{00000000-0005-0000-0000-00009A3A0000}"/>
    <cellStyle name="40% - Accent3 2 2 2 3 3 2" xfId="36008" xr:uid="{C0B14F54-4382-4F7F-9122-ADBAEB481CFB}"/>
    <cellStyle name="40% - Accent3 2 2 2 3 4" xfId="20113" xr:uid="{00000000-0005-0000-0000-00009B3A0000}"/>
    <cellStyle name="40% - Accent3 2 2 2 3 4 2" xfId="43946" xr:uid="{6C45C45B-3850-4BE3-B49B-28CFD6CB860D}"/>
    <cellStyle name="40% - Accent3 2 2 2 3 5" xfId="28067" xr:uid="{6E1AD0D5-15D5-43BE-A25F-89BAA6669C10}"/>
    <cellStyle name="40% - Accent3 2 2 2 4" xfId="5953" xr:uid="{00000000-0005-0000-0000-00009C3A0000}"/>
    <cellStyle name="40% - Accent3 2 2 2 4 2" xfId="13937" xr:uid="{00000000-0005-0000-0000-00009D3A0000}"/>
    <cellStyle name="40% - Accent3 2 2 2 4 2 2" xfId="37781" xr:uid="{8D73D9B6-EE58-499D-8FC6-6BA6A971F1F2}"/>
    <cellStyle name="40% - Accent3 2 2 2 4 3" xfId="21885" xr:uid="{00000000-0005-0000-0000-00009E3A0000}"/>
    <cellStyle name="40% - Accent3 2 2 2 4 3 2" xfId="45718" xr:uid="{B5F4DE68-21AB-47EC-A5B1-84844899A91B}"/>
    <cellStyle name="40% - Accent3 2 2 2 4 4" xfId="29840" xr:uid="{BEDE1A66-5FFB-43EA-A0D8-1D135CAA0242}"/>
    <cellStyle name="40% - Accent3 2 2 2 5" xfId="9506" xr:uid="{00000000-0005-0000-0000-00009F3A0000}"/>
    <cellStyle name="40% - Accent3 2 2 2 5 2" xfId="17464" xr:uid="{00000000-0005-0000-0000-0000A03A0000}"/>
    <cellStyle name="40% - Accent3 2 2 2 5 2 2" xfId="41305" xr:uid="{816C1C03-B1C8-4248-B416-A563AE37FCCB}"/>
    <cellStyle name="40% - Accent3 2 2 2 5 3" xfId="25408" xr:uid="{00000000-0005-0000-0000-0000A13A0000}"/>
    <cellStyle name="40% - Accent3 2 2 2 5 3 2" xfId="49241" xr:uid="{61B429D2-3A8F-4723-8B0C-1F642B97567A}"/>
    <cellStyle name="40% - Accent3 2 2 2 5 4" xfId="33364" xr:uid="{A149798B-A0C7-4FE3-BD19-888F0F304E92}"/>
    <cellStyle name="40% - Accent3 2 2 2 6" xfId="10402" xr:uid="{00000000-0005-0000-0000-0000A23A0000}"/>
    <cellStyle name="40% - Accent3 2 2 2 6 2" xfId="34252" xr:uid="{5A067A69-98AC-4FEF-9315-6188375B3A9C}"/>
    <cellStyle name="40% - Accent3 2 2 2 7" xfId="18357" xr:uid="{00000000-0005-0000-0000-0000A33A0000}"/>
    <cellStyle name="40% - Accent3 2 2 2 7 2" xfId="42190" xr:uid="{ABBA2932-FF6C-4655-BC77-C3CD5968EB2F}"/>
    <cellStyle name="40% - Accent3 2 2 2 8" xfId="26310" xr:uid="{B779F9D0-A486-45D9-9071-AD33937BA10F}"/>
    <cellStyle name="40% - Accent3 2 2 2_Exh G" xfId="2975" xr:uid="{00000000-0005-0000-0000-0000A43A0000}"/>
    <cellStyle name="40% - Accent3 2 2 3" xfId="960" xr:uid="{00000000-0005-0000-0000-0000A53A0000}"/>
    <cellStyle name="40% - Accent3 2 2 3 2" xfId="1880" xr:uid="{00000000-0005-0000-0000-0000A63A0000}"/>
    <cellStyle name="40% - Accent3 2 2 3 2 2" xfId="5398" xr:uid="{00000000-0005-0000-0000-0000A73A0000}"/>
    <cellStyle name="40% - Accent3 2 2 3 2 2 2" xfId="8989" xr:uid="{00000000-0005-0000-0000-0000A83A0000}"/>
    <cellStyle name="40% - Accent3 2 2 3 2 2 2 2" xfId="16960" xr:uid="{00000000-0005-0000-0000-0000A93A0000}"/>
    <cellStyle name="40% - Accent3 2 2 3 2 2 2 2 2" xfId="40803" xr:uid="{C33510FC-5D48-4FD7-93FE-AD2AA36B697D}"/>
    <cellStyle name="40% - Accent3 2 2 3 2 2 2 3" xfId="24906" xr:uid="{00000000-0005-0000-0000-0000AA3A0000}"/>
    <cellStyle name="40% - Accent3 2 2 3 2 2 2 3 2" xfId="48739" xr:uid="{9AC6BBC4-044E-448C-9B5B-0CCDD2E716D5}"/>
    <cellStyle name="40% - Accent3 2 2 3 2 2 2 4" xfId="32862" xr:uid="{17A2C1BD-A671-437E-9386-2EDA86085986}"/>
    <cellStyle name="40% - Accent3 2 2 3 2 2 3" xfId="13422" xr:uid="{00000000-0005-0000-0000-0000AB3A0000}"/>
    <cellStyle name="40% - Accent3 2 2 3 2 2 3 2" xfId="37272" xr:uid="{3645D12E-561E-4816-B50A-E83B85DAC5F2}"/>
    <cellStyle name="40% - Accent3 2 2 3 2 2 4" xfId="21377" xr:uid="{00000000-0005-0000-0000-0000AC3A0000}"/>
    <cellStyle name="40% - Accent3 2 2 3 2 2 4 2" xfId="45210" xr:uid="{392E8F05-52D8-4ECB-81FE-E0DC2957F684}"/>
    <cellStyle name="40% - Accent3 2 2 3 2 2 5" xfId="29331" xr:uid="{AF2EEAC0-9B35-4F4B-8A9B-58258EEE2F85}"/>
    <cellStyle name="40% - Accent3 2 2 3 2 3" xfId="7230" xr:uid="{00000000-0005-0000-0000-0000AD3A0000}"/>
    <cellStyle name="40% - Accent3 2 2 3 2 3 2" xfId="15202" xr:uid="{00000000-0005-0000-0000-0000AE3A0000}"/>
    <cellStyle name="40% - Accent3 2 2 3 2 3 2 2" xfId="39045" xr:uid="{AB3070BA-7EA1-4D9A-85B8-48FC172B14CD}"/>
    <cellStyle name="40% - Accent3 2 2 3 2 3 3" xfId="23149" xr:uid="{00000000-0005-0000-0000-0000AF3A0000}"/>
    <cellStyle name="40% - Accent3 2 2 3 2 3 3 2" xfId="46982" xr:uid="{BAE6A505-B8DB-4CA8-8CEB-C495C677E298}"/>
    <cellStyle name="40% - Accent3 2 2 3 2 3 4" xfId="31104" xr:uid="{D8DF29FF-BE79-4656-8160-7D8DA79FC4E9}"/>
    <cellStyle name="40% - Accent3 2 2 3 2 4" xfId="11666" xr:uid="{00000000-0005-0000-0000-0000B03A0000}"/>
    <cellStyle name="40% - Accent3 2 2 3 2 4 2" xfId="35516" xr:uid="{22373061-D192-416F-846D-37C4AF9F2337}"/>
    <cellStyle name="40% - Accent3 2 2 3 2 5" xfId="19621" xr:uid="{00000000-0005-0000-0000-0000B13A0000}"/>
    <cellStyle name="40% - Accent3 2 2 3 2 5 2" xfId="43454" xr:uid="{CAA2DEBD-ED19-4D4E-8C40-E4CC65932EB1}"/>
    <cellStyle name="40% - Accent3 2 2 3 2 6" xfId="27574" xr:uid="{FCE4F190-391A-432F-BD72-3D15D92A0375}"/>
    <cellStyle name="40% - Accent3 2 2 3 2_Exh G" xfId="2978" xr:uid="{00000000-0005-0000-0000-0000B23A0000}"/>
    <cellStyle name="40% - Accent3 2 2 3 3" xfId="4519" xr:uid="{00000000-0005-0000-0000-0000B33A0000}"/>
    <cellStyle name="40% - Accent3 2 2 3 3 2" xfId="8111" xr:uid="{00000000-0005-0000-0000-0000B43A0000}"/>
    <cellStyle name="40% - Accent3 2 2 3 3 2 2" xfId="16082" xr:uid="{00000000-0005-0000-0000-0000B53A0000}"/>
    <cellStyle name="40% - Accent3 2 2 3 3 2 2 2" xfId="39925" xr:uid="{C7CFF903-1CE9-4C8C-B757-4D6CF715D5C8}"/>
    <cellStyle name="40% - Accent3 2 2 3 3 2 3" xfId="24028" xr:uid="{00000000-0005-0000-0000-0000B63A0000}"/>
    <cellStyle name="40% - Accent3 2 2 3 3 2 3 2" xfId="47861" xr:uid="{A2220823-7BB6-495A-8277-1A7296654717}"/>
    <cellStyle name="40% - Accent3 2 2 3 3 2 4" xfId="31984" xr:uid="{8EE633D3-C334-457E-AB52-B92C6A94EE61}"/>
    <cellStyle name="40% - Accent3 2 2 3 3 3" xfId="12544" xr:uid="{00000000-0005-0000-0000-0000B73A0000}"/>
    <cellStyle name="40% - Accent3 2 2 3 3 3 2" xfId="36394" xr:uid="{ED5C498B-2466-4B22-AEF1-0EE592328615}"/>
    <cellStyle name="40% - Accent3 2 2 3 3 4" xfId="20499" xr:uid="{00000000-0005-0000-0000-0000B83A0000}"/>
    <cellStyle name="40% - Accent3 2 2 3 3 4 2" xfId="44332" xr:uid="{EB7ABD14-1A09-40B4-8198-0B25949576C6}"/>
    <cellStyle name="40% - Accent3 2 2 3 3 5" xfId="28453" xr:uid="{E3ECE1E7-09F4-498A-873D-1626841BD0C7}"/>
    <cellStyle name="40% - Accent3 2 2 3 4" xfId="6349" xr:uid="{00000000-0005-0000-0000-0000B93A0000}"/>
    <cellStyle name="40% - Accent3 2 2 3 4 2" xfId="14324" xr:uid="{00000000-0005-0000-0000-0000BA3A0000}"/>
    <cellStyle name="40% - Accent3 2 2 3 4 2 2" xfId="38167" xr:uid="{70C5B956-9521-4C9F-9118-ECEAA7BD6755}"/>
    <cellStyle name="40% - Accent3 2 2 3 4 3" xfId="22271" xr:uid="{00000000-0005-0000-0000-0000BB3A0000}"/>
    <cellStyle name="40% - Accent3 2 2 3 4 3 2" xfId="46104" xr:uid="{EAB37710-F226-4626-B820-4A7C18148683}"/>
    <cellStyle name="40% - Accent3 2 2 3 4 4" xfId="30226" xr:uid="{0882152C-E34B-40EC-B252-A6D7D3A2DB87}"/>
    <cellStyle name="40% - Accent3 2 2 3 5" xfId="9892" xr:uid="{00000000-0005-0000-0000-0000BC3A0000}"/>
    <cellStyle name="40% - Accent3 2 2 3 5 2" xfId="17850" xr:uid="{00000000-0005-0000-0000-0000BD3A0000}"/>
    <cellStyle name="40% - Accent3 2 2 3 5 2 2" xfId="41691" xr:uid="{D5F720F7-ED6B-4C91-B4ED-CBFC32B53D90}"/>
    <cellStyle name="40% - Accent3 2 2 3 5 3" xfId="25794" xr:uid="{00000000-0005-0000-0000-0000BE3A0000}"/>
    <cellStyle name="40% - Accent3 2 2 3 5 3 2" xfId="49627" xr:uid="{D261D20F-78B8-4978-950E-67564B837379}"/>
    <cellStyle name="40% - Accent3 2 2 3 5 4" xfId="33750" xr:uid="{8885A18C-2353-4D2D-AB67-01E3EE2D18AB}"/>
    <cellStyle name="40% - Accent3 2 2 3 6" xfId="10788" xr:uid="{00000000-0005-0000-0000-0000BF3A0000}"/>
    <cellStyle name="40% - Accent3 2 2 3 6 2" xfId="34638" xr:uid="{5DDBB17F-B1D6-4124-B6BB-C4C83F4C9E59}"/>
    <cellStyle name="40% - Accent3 2 2 3 7" xfId="18743" xr:uid="{00000000-0005-0000-0000-0000C03A0000}"/>
    <cellStyle name="40% - Accent3 2 2 3 7 2" xfId="42576" xr:uid="{142466A8-B9F5-4948-AB86-149C0513CE8F}"/>
    <cellStyle name="40% - Accent3 2 2 3 8" xfId="26696" xr:uid="{206602D6-6E46-4659-AF2A-777B36E1EE6C}"/>
    <cellStyle name="40% - Accent3 2 2 3_Exh G" xfId="2977" xr:uid="{00000000-0005-0000-0000-0000C13A0000}"/>
    <cellStyle name="40% - Accent3 2 2 4" xfId="1481" xr:uid="{00000000-0005-0000-0000-0000C23A0000}"/>
    <cellStyle name="40% - Accent3 2 2 4 2" xfId="5011" xr:uid="{00000000-0005-0000-0000-0000C33A0000}"/>
    <cellStyle name="40% - Accent3 2 2 4 2 2" xfId="8602" xr:uid="{00000000-0005-0000-0000-0000C43A0000}"/>
    <cellStyle name="40% - Accent3 2 2 4 2 2 2" xfId="16573" xr:uid="{00000000-0005-0000-0000-0000C53A0000}"/>
    <cellStyle name="40% - Accent3 2 2 4 2 2 2 2" xfId="40416" xr:uid="{6BEABD72-4234-4120-A3AD-EFFE10CCF6D8}"/>
    <cellStyle name="40% - Accent3 2 2 4 2 2 3" xfId="24519" xr:uid="{00000000-0005-0000-0000-0000C63A0000}"/>
    <cellStyle name="40% - Accent3 2 2 4 2 2 3 2" xfId="48352" xr:uid="{2B57C6A1-D164-4BA5-9634-7C3DCE075B91}"/>
    <cellStyle name="40% - Accent3 2 2 4 2 2 4" xfId="32475" xr:uid="{A7BBACC3-D0C5-47F6-8143-C4EEC25FBAD8}"/>
    <cellStyle name="40% - Accent3 2 2 4 2 3" xfId="13035" xr:uid="{00000000-0005-0000-0000-0000C73A0000}"/>
    <cellStyle name="40% - Accent3 2 2 4 2 3 2" xfId="36885" xr:uid="{66ADBAD3-4587-44E7-9590-85D0746C37FD}"/>
    <cellStyle name="40% - Accent3 2 2 4 2 4" xfId="20990" xr:uid="{00000000-0005-0000-0000-0000C83A0000}"/>
    <cellStyle name="40% - Accent3 2 2 4 2 4 2" xfId="44823" xr:uid="{EEDEA5CA-5886-400D-BCB3-4857517C83AE}"/>
    <cellStyle name="40% - Accent3 2 2 4 2 5" xfId="28944" xr:uid="{72A4D209-B309-4E01-B74D-8A7978A3F8E5}"/>
    <cellStyle name="40% - Accent3 2 2 4 3" xfId="6843" xr:uid="{00000000-0005-0000-0000-0000C93A0000}"/>
    <cellStyle name="40% - Accent3 2 2 4 3 2" xfId="14815" xr:uid="{00000000-0005-0000-0000-0000CA3A0000}"/>
    <cellStyle name="40% - Accent3 2 2 4 3 2 2" xfId="38658" xr:uid="{858A59F3-500C-4FE6-A0A9-CD16202AF61C}"/>
    <cellStyle name="40% - Accent3 2 2 4 3 3" xfId="22762" xr:uid="{00000000-0005-0000-0000-0000CB3A0000}"/>
    <cellStyle name="40% - Accent3 2 2 4 3 3 2" xfId="46595" xr:uid="{1DB4BD3F-A63D-42DB-8A07-FF1284AF4235}"/>
    <cellStyle name="40% - Accent3 2 2 4 3 4" xfId="30717" xr:uid="{C32CEFC2-DEB1-4611-B722-9C5136FE2052}"/>
    <cellStyle name="40% - Accent3 2 2 4 4" xfId="11279" xr:uid="{00000000-0005-0000-0000-0000CC3A0000}"/>
    <cellStyle name="40% - Accent3 2 2 4 4 2" xfId="35129" xr:uid="{079AE1AC-6991-47AD-9B5C-86698C2BF61A}"/>
    <cellStyle name="40% - Accent3 2 2 4 5" xfId="19234" xr:uid="{00000000-0005-0000-0000-0000CD3A0000}"/>
    <cellStyle name="40% - Accent3 2 2 4 5 2" xfId="43067" xr:uid="{34A286D4-E313-4592-A162-307204CF739D}"/>
    <cellStyle name="40% - Accent3 2 2 4 6" xfId="27187" xr:uid="{08057D1B-E4A7-4E96-A8C1-43D3943D58A5}"/>
    <cellStyle name="40% - Accent3 2 2 4_Exh G" xfId="2979" xr:uid="{00000000-0005-0000-0000-0000CE3A0000}"/>
    <cellStyle name="40% - Accent3 2 2 5" xfId="4132" xr:uid="{00000000-0005-0000-0000-0000CF3A0000}"/>
    <cellStyle name="40% - Accent3 2 2 5 2" xfId="7724" xr:uid="{00000000-0005-0000-0000-0000D03A0000}"/>
    <cellStyle name="40% - Accent3 2 2 5 2 2" xfId="15695" xr:uid="{00000000-0005-0000-0000-0000D13A0000}"/>
    <cellStyle name="40% - Accent3 2 2 5 2 2 2" xfId="39538" xr:uid="{38D54554-84A9-43CE-9EDC-F142F2B9FEF1}"/>
    <cellStyle name="40% - Accent3 2 2 5 2 3" xfId="23641" xr:uid="{00000000-0005-0000-0000-0000D23A0000}"/>
    <cellStyle name="40% - Accent3 2 2 5 2 3 2" xfId="47474" xr:uid="{3B27707F-5478-4F09-9F52-7D556DC312F6}"/>
    <cellStyle name="40% - Accent3 2 2 5 2 4" xfId="31597" xr:uid="{74A376AF-5B03-47DB-8901-08B73FCB6BAC}"/>
    <cellStyle name="40% - Accent3 2 2 5 3" xfId="12157" xr:uid="{00000000-0005-0000-0000-0000D33A0000}"/>
    <cellStyle name="40% - Accent3 2 2 5 3 2" xfId="36007" xr:uid="{6A16E0AF-7D2B-4414-BCE0-F494699305EC}"/>
    <cellStyle name="40% - Accent3 2 2 5 4" xfId="20112" xr:uid="{00000000-0005-0000-0000-0000D43A0000}"/>
    <cellStyle name="40% - Accent3 2 2 5 4 2" xfId="43945" xr:uid="{E3AEB532-A264-4ABA-B55C-1452DC8882CC}"/>
    <cellStyle name="40% - Accent3 2 2 5 5" xfId="28066" xr:uid="{5AECE65E-F272-4CA6-B05A-C8A850D67388}"/>
    <cellStyle name="40% - Accent3 2 2 6" xfId="5952" xr:uid="{00000000-0005-0000-0000-0000D53A0000}"/>
    <cellStyle name="40% - Accent3 2 2 6 2" xfId="13936" xr:uid="{00000000-0005-0000-0000-0000D63A0000}"/>
    <cellStyle name="40% - Accent3 2 2 6 2 2" xfId="37780" xr:uid="{D06C02E9-D11C-4C2B-A0F0-3C9F11C8E9FB}"/>
    <cellStyle name="40% - Accent3 2 2 6 3" xfId="21884" xr:uid="{00000000-0005-0000-0000-0000D73A0000}"/>
    <cellStyle name="40% - Accent3 2 2 6 3 2" xfId="45717" xr:uid="{3049EC53-994A-4EAC-A0CE-AB520FBC36B7}"/>
    <cellStyle name="40% - Accent3 2 2 6 4" xfId="29839" xr:uid="{301BA5BE-CA8B-4922-AFFD-B80F0398A8FD}"/>
    <cellStyle name="40% - Accent3 2 2 7" xfId="9505" xr:uid="{00000000-0005-0000-0000-0000D83A0000}"/>
    <cellStyle name="40% - Accent3 2 2 7 2" xfId="17463" xr:uid="{00000000-0005-0000-0000-0000D93A0000}"/>
    <cellStyle name="40% - Accent3 2 2 7 2 2" xfId="41304" xr:uid="{9BFD0686-B206-4204-B95F-B58DFE2285C6}"/>
    <cellStyle name="40% - Accent3 2 2 7 3" xfId="25407" xr:uid="{00000000-0005-0000-0000-0000DA3A0000}"/>
    <cellStyle name="40% - Accent3 2 2 7 3 2" xfId="49240" xr:uid="{4FC7DAA1-9BE9-469D-9345-D9AF6D3C5B8B}"/>
    <cellStyle name="40% - Accent3 2 2 7 4" xfId="33363" xr:uid="{173BFA41-8510-406B-93C7-50F688BC698A}"/>
    <cellStyle name="40% - Accent3 2 2 8" xfId="10401" xr:uid="{00000000-0005-0000-0000-0000DB3A0000}"/>
    <cellStyle name="40% - Accent3 2 2 8 2" xfId="34251" xr:uid="{5EE09E95-8013-4508-AC58-DA8A380F54BB}"/>
    <cellStyle name="40% - Accent3 2 2 9" xfId="18356" xr:uid="{00000000-0005-0000-0000-0000DC3A0000}"/>
    <cellStyle name="40% - Accent3 2 2 9 2" xfId="42189" xr:uid="{D9E93EEC-9050-4A3E-A7F7-B02CE7E3D0C3}"/>
    <cellStyle name="40% - Accent3 2 2_Exh G" xfId="2974" xr:uid="{00000000-0005-0000-0000-0000DD3A0000}"/>
    <cellStyle name="40% - Accent3 2 3" xfId="455" xr:uid="{00000000-0005-0000-0000-0000DE3A0000}"/>
    <cellStyle name="40% - Accent3 2 3 2" xfId="1483" xr:uid="{00000000-0005-0000-0000-0000DF3A0000}"/>
    <cellStyle name="40% - Accent3 2 3 2 2" xfId="5013" xr:uid="{00000000-0005-0000-0000-0000E03A0000}"/>
    <cellStyle name="40% - Accent3 2 3 2 2 2" xfId="8604" xr:uid="{00000000-0005-0000-0000-0000E13A0000}"/>
    <cellStyle name="40% - Accent3 2 3 2 2 2 2" xfId="16575" xr:uid="{00000000-0005-0000-0000-0000E23A0000}"/>
    <cellStyle name="40% - Accent3 2 3 2 2 2 2 2" xfId="40418" xr:uid="{0294EA6B-31E3-450A-8A4E-B249E986AC3B}"/>
    <cellStyle name="40% - Accent3 2 3 2 2 2 3" xfId="24521" xr:uid="{00000000-0005-0000-0000-0000E33A0000}"/>
    <cellStyle name="40% - Accent3 2 3 2 2 2 3 2" xfId="48354" xr:uid="{BFD53A17-C5F4-426D-8572-BEC81430F098}"/>
    <cellStyle name="40% - Accent3 2 3 2 2 2 4" xfId="32477" xr:uid="{F3B168F8-1023-43F3-BE82-D9388502BED6}"/>
    <cellStyle name="40% - Accent3 2 3 2 2 3" xfId="13037" xr:uid="{00000000-0005-0000-0000-0000E43A0000}"/>
    <cellStyle name="40% - Accent3 2 3 2 2 3 2" xfId="36887" xr:uid="{721FB7C1-12C6-40E8-A7BD-4D4437265747}"/>
    <cellStyle name="40% - Accent3 2 3 2 2 4" xfId="20992" xr:uid="{00000000-0005-0000-0000-0000E53A0000}"/>
    <cellStyle name="40% - Accent3 2 3 2 2 4 2" xfId="44825" xr:uid="{B7DFD727-49CE-462B-AC36-E2799E44FAB6}"/>
    <cellStyle name="40% - Accent3 2 3 2 2 5" xfId="28946" xr:uid="{9D12B387-5FF1-4923-A365-032CFBA4DF4A}"/>
    <cellStyle name="40% - Accent3 2 3 2 3" xfId="6845" xr:uid="{00000000-0005-0000-0000-0000E63A0000}"/>
    <cellStyle name="40% - Accent3 2 3 2 3 2" xfId="14817" xr:uid="{00000000-0005-0000-0000-0000E73A0000}"/>
    <cellStyle name="40% - Accent3 2 3 2 3 2 2" xfId="38660" xr:uid="{3A1F212D-BAC7-4902-AF50-40547F588CD1}"/>
    <cellStyle name="40% - Accent3 2 3 2 3 3" xfId="22764" xr:uid="{00000000-0005-0000-0000-0000E83A0000}"/>
    <cellStyle name="40% - Accent3 2 3 2 3 3 2" xfId="46597" xr:uid="{B4CCFD1C-C33B-4104-9198-1527CDF47F9B}"/>
    <cellStyle name="40% - Accent3 2 3 2 3 4" xfId="30719" xr:uid="{36AB1F0A-9C84-41C8-9B5B-ECEA51FC917A}"/>
    <cellStyle name="40% - Accent3 2 3 2 4" xfId="11281" xr:uid="{00000000-0005-0000-0000-0000E93A0000}"/>
    <cellStyle name="40% - Accent3 2 3 2 4 2" xfId="35131" xr:uid="{8AFA6D9B-371A-41D8-A9F2-34555B3D5D17}"/>
    <cellStyle name="40% - Accent3 2 3 2 5" xfId="19236" xr:uid="{00000000-0005-0000-0000-0000EA3A0000}"/>
    <cellStyle name="40% - Accent3 2 3 2 5 2" xfId="43069" xr:uid="{5A69EDB6-6DCE-4C85-A86D-3F67F254C390}"/>
    <cellStyle name="40% - Accent3 2 3 2 6" xfId="27189" xr:uid="{AFFCBD1A-D52C-458C-ABFE-834AE1756B17}"/>
    <cellStyle name="40% - Accent3 2 3 2_Exh G" xfId="2981" xr:uid="{00000000-0005-0000-0000-0000EB3A0000}"/>
    <cellStyle name="40% - Accent3 2 3 3" xfId="4134" xr:uid="{00000000-0005-0000-0000-0000EC3A0000}"/>
    <cellStyle name="40% - Accent3 2 3 3 2" xfId="7726" xr:uid="{00000000-0005-0000-0000-0000ED3A0000}"/>
    <cellStyle name="40% - Accent3 2 3 3 2 2" xfId="15697" xr:uid="{00000000-0005-0000-0000-0000EE3A0000}"/>
    <cellStyle name="40% - Accent3 2 3 3 2 2 2" xfId="39540" xr:uid="{E4F646F9-D6D0-430D-B471-A8E8C7FF2372}"/>
    <cellStyle name="40% - Accent3 2 3 3 2 3" xfId="23643" xr:uid="{00000000-0005-0000-0000-0000EF3A0000}"/>
    <cellStyle name="40% - Accent3 2 3 3 2 3 2" xfId="47476" xr:uid="{18322633-D754-492E-B125-5C84598D496E}"/>
    <cellStyle name="40% - Accent3 2 3 3 2 4" xfId="31599" xr:uid="{49D14A43-65BC-4411-91B6-4C1B65724134}"/>
    <cellStyle name="40% - Accent3 2 3 3 3" xfId="12159" xr:uid="{00000000-0005-0000-0000-0000F03A0000}"/>
    <cellStyle name="40% - Accent3 2 3 3 3 2" xfId="36009" xr:uid="{A3C217A5-B534-4159-9A6C-6B4D003C4213}"/>
    <cellStyle name="40% - Accent3 2 3 3 4" xfId="20114" xr:uid="{00000000-0005-0000-0000-0000F13A0000}"/>
    <cellStyle name="40% - Accent3 2 3 3 4 2" xfId="43947" xr:uid="{945E9BE4-369B-4B9B-B9E6-0ECE4F482C00}"/>
    <cellStyle name="40% - Accent3 2 3 3 5" xfId="28068" xr:uid="{D2CC25F3-753F-423F-9BF2-3A7C1DF58652}"/>
    <cellStyle name="40% - Accent3 2 3 4" xfId="5954" xr:uid="{00000000-0005-0000-0000-0000F23A0000}"/>
    <cellStyle name="40% - Accent3 2 3 4 2" xfId="13938" xr:uid="{00000000-0005-0000-0000-0000F33A0000}"/>
    <cellStyle name="40% - Accent3 2 3 4 2 2" xfId="37782" xr:uid="{0B6A40C8-2D56-4AF8-B12B-078271406EE2}"/>
    <cellStyle name="40% - Accent3 2 3 4 3" xfId="21886" xr:uid="{00000000-0005-0000-0000-0000F43A0000}"/>
    <cellStyle name="40% - Accent3 2 3 4 3 2" xfId="45719" xr:uid="{08C112D0-0D37-4F94-9D5F-D417DDCB5D75}"/>
    <cellStyle name="40% - Accent3 2 3 4 4" xfId="29841" xr:uid="{53E7F7FF-E53A-4B6C-BCD7-50DEDBF1733B}"/>
    <cellStyle name="40% - Accent3 2 3 5" xfId="9507" xr:uid="{00000000-0005-0000-0000-0000F53A0000}"/>
    <cellStyle name="40% - Accent3 2 3 5 2" xfId="17465" xr:uid="{00000000-0005-0000-0000-0000F63A0000}"/>
    <cellStyle name="40% - Accent3 2 3 5 2 2" xfId="41306" xr:uid="{5CA29F0C-4904-4D1B-8A81-18CDD92FBFF7}"/>
    <cellStyle name="40% - Accent3 2 3 5 3" xfId="25409" xr:uid="{00000000-0005-0000-0000-0000F73A0000}"/>
    <cellStyle name="40% - Accent3 2 3 5 3 2" xfId="49242" xr:uid="{C7F902B5-9795-4900-9FE2-49C917C1798C}"/>
    <cellStyle name="40% - Accent3 2 3 5 4" xfId="33365" xr:uid="{BE193C23-5853-4E05-8712-D407B15DDF00}"/>
    <cellStyle name="40% - Accent3 2 3 6" xfId="10403" xr:uid="{00000000-0005-0000-0000-0000F83A0000}"/>
    <cellStyle name="40% - Accent3 2 3 6 2" xfId="34253" xr:uid="{17B2FB13-96E4-4403-B1A3-C1F05F84B156}"/>
    <cellStyle name="40% - Accent3 2 3 7" xfId="18358" xr:uid="{00000000-0005-0000-0000-0000F93A0000}"/>
    <cellStyle name="40% - Accent3 2 3 7 2" xfId="42191" xr:uid="{9D020610-8E1D-4B8F-A350-73B10A33BF6C}"/>
    <cellStyle name="40% - Accent3 2 3 8" xfId="26311" xr:uid="{8E51D905-D830-4AF0-A09A-B33AE5740BDD}"/>
    <cellStyle name="40% - Accent3 2 3_Exh G" xfId="2980" xr:uid="{00000000-0005-0000-0000-0000FA3A0000}"/>
    <cellStyle name="40% - Accent3 2 4" xfId="959" xr:uid="{00000000-0005-0000-0000-0000FB3A0000}"/>
    <cellStyle name="40% - Accent3 2 4 2" xfId="1879" xr:uid="{00000000-0005-0000-0000-0000FC3A0000}"/>
    <cellStyle name="40% - Accent3 2 4 2 2" xfId="5397" xr:uid="{00000000-0005-0000-0000-0000FD3A0000}"/>
    <cellStyle name="40% - Accent3 2 4 2 2 2" xfId="8988" xr:uid="{00000000-0005-0000-0000-0000FE3A0000}"/>
    <cellStyle name="40% - Accent3 2 4 2 2 2 2" xfId="16959" xr:uid="{00000000-0005-0000-0000-0000FF3A0000}"/>
    <cellStyle name="40% - Accent3 2 4 2 2 2 2 2" xfId="40802" xr:uid="{3F596DF9-9117-484E-991D-CD4A7573423C}"/>
    <cellStyle name="40% - Accent3 2 4 2 2 2 3" xfId="24905" xr:uid="{00000000-0005-0000-0000-0000003B0000}"/>
    <cellStyle name="40% - Accent3 2 4 2 2 2 3 2" xfId="48738" xr:uid="{C8F833CE-3CA8-4509-BD87-7E235147B72F}"/>
    <cellStyle name="40% - Accent3 2 4 2 2 2 4" xfId="32861" xr:uid="{6BAC8680-054C-45B8-941C-F2E8085A6978}"/>
    <cellStyle name="40% - Accent3 2 4 2 2 3" xfId="13421" xr:uid="{00000000-0005-0000-0000-0000013B0000}"/>
    <cellStyle name="40% - Accent3 2 4 2 2 3 2" xfId="37271" xr:uid="{450DDEDA-9AA3-47BB-9650-AC31DEBF5BAE}"/>
    <cellStyle name="40% - Accent3 2 4 2 2 4" xfId="21376" xr:uid="{00000000-0005-0000-0000-0000023B0000}"/>
    <cellStyle name="40% - Accent3 2 4 2 2 4 2" xfId="45209" xr:uid="{A03D2543-B4E3-429A-B50C-B8987B079FA3}"/>
    <cellStyle name="40% - Accent3 2 4 2 2 5" xfId="29330" xr:uid="{E5438105-E04C-4837-B8A3-CA6125FE749A}"/>
    <cellStyle name="40% - Accent3 2 4 2 3" xfId="7229" xr:uid="{00000000-0005-0000-0000-0000033B0000}"/>
    <cellStyle name="40% - Accent3 2 4 2 3 2" xfId="15201" xr:uid="{00000000-0005-0000-0000-0000043B0000}"/>
    <cellStyle name="40% - Accent3 2 4 2 3 2 2" xfId="39044" xr:uid="{BCA5E0B8-2706-41B4-8846-8569F111BDC5}"/>
    <cellStyle name="40% - Accent3 2 4 2 3 3" xfId="23148" xr:uid="{00000000-0005-0000-0000-0000053B0000}"/>
    <cellStyle name="40% - Accent3 2 4 2 3 3 2" xfId="46981" xr:uid="{5B03E917-E20A-46CF-A767-AF34355A2400}"/>
    <cellStyle name="40% - Accent3 2 4 2 3 4" xfId="31103" xr:uid="{B84155AA-A230-45F5-B289-A00D28D82DE5}"/>
    <cellStyle name="40% - Accent3 2 4 2 4" xfId="11665" xr:uid="{00000000-0005-0000-0000-0000063B0000}"/>
    <cellStyle name="40% - Accent3 2 4 2 4 2" xfId="35515" xr:uid="{392C26FF-8008-4B06-B6CC-03F53248AF8B}"/>
    <cellStyle name="40% - Accent3 2 4 2 5" xfId="19620" xr:uid="{00000000-0005-0000-0000-0000073B0000}"/>
    <cellStyle name="40% - Accent3 2 4 2 5 2" xfId="43453" xr:uid="{B4C3FCE1-23E2-4F59-B34A-27FCA4E477A8}"/>
    <cellStyle name="40% - Accent3 2 4 2 6" xfId="27573" xr:uid="{448076D5-964A-4AB6-A56C-29CD880E4B43}"/>
    <cellStyle name="40% - Accent3 2 4 2_Exh G" xfId="2983" xr:uid="{00000000-0005-0000-0000-0000083B0000}"/>
    <cellStyle name="40% - Accent3 2 4 3" xfId="4518" xr:uid="{00000000-0005-0000-0000-0000093B0000}"/>
    <cellStyle name="40% - Accent3 2 4 3 2" xfId="8110" xr:uid="{00000000-0005-0000-0000-00000A3B0000}"/>
    <cellStyle name="40% - Accent3 2 4 3 2 2" xfId="16081" xr:uid="{00000000-0005-0000-0000-00000B3B0000}"/>
    <cellStyle name="40% - Accent3 2 4 3 2 2 2" xfId="39924" xr:uid="{7970BCF9-B73E-46BC-A797-8344FF390488}"/>
    <cellStyle name="40% - Accent3 2 4 3 2 3" xfId="24027" xr:uid="{00000000-0005-0000-0000-00000C3B0000}"/>
    <cellStyle name="40% - Accent3 2 4 3 2 3 2" xfId="47860" xr:uid="{3A06B993-FCC2-433B-892A-08B1DBFFDCF4}"/>
    <cellStyle name="40% - Accent3 2 4 3 2 4" xfId="31983" xr:uid="{71EF2147-B969-48AE-8D9E-296B300121FB}"/>
    <cellStyle name="40% - Accent3 2 4 3 3" xfId="12543" xr:uid="{00000000-0005-0000-0000-00000D3B0000}"/>
    <cellStyle name="40% - Accent3 2 4 3 3 2" xfId="36393" xr:uid="{A8AF6CEC-9CF4-4CE7-9DAF-79E82B1CEE6C}"/>
    <cellStyle name="40% - Accent3 2 4 3 4" xfId="20498" xr:uid="{00000000-0005-0000-0000-00000E3B0000}"/>
    <cellStyle name="40% - Accent3 2 4 3 4 2" xfId="44331" xr:uid="{24504149-B0B6-442A-8633-2C59964BDC47}"/>
    <cellStyle name="40% - Accent3 2 4 3 5" xfId="28452" xr:uid="{9A81BBA9-BC1A-4511-A5CC-CB37DA269750}"/>
    <cellStyle name="40% - Accent3 2 4 4" xfId="6348" xr:uid="{00000000-0005-0000-0000-00000F3B0000}"/>
    <cellStyle name="40% - Accent3 2 4 4 2" xfId="14323" xr:uid="{00000000-0005-0000-0000-0000103B0000}"/>
    <cellStyle name="40% - Accent3 2 4 4 2 2" xfId="38166" xr:uid="{AB636680-BBE1-4A01-B4C3-5D6B0600C7B7}"/>
    <cellStyle name="40% - Accent3 2 4 4 3" xfId="22270" xr:uid="{00000000-0005-0000-0000-0000113B0000}"/>
    <cellStyle name="40% - Accent3 2 4 4 3 2" xfId="46103" xr:uid="{8C4BDD92-7652-4F4B-8BFF-7221BF5B2B77}"/>
    <cellStyle name="40% - Accent3 2 4 4 4" xfId="30225" xr:uid="{CFB1D4CB-741D-4E0F-A144-CC12DE386340}"/>
    <cellStyle name="40% - Accent3 2 4 5" xfId="9891" xr:uid="{00000000-0005-0000-0000-0000123B0000}"/>
    <cellStyle name="40% - Accent3 2 4 5 2" xfId="17849" xr:uid="{00000000-0005-0000-0000-0000133B0000}"/>
    <cellStyle name="40% - Accent3 2 4 5 2 2" xfId="41690" xr:uid="{A51BBF09-92BD-4C6F-9295-101A735F810D}"/>
    <cellStyle name="40% - Accent3 2 4 5 3" xfId="25793" xr:uid="{00000000-0005-0000-0000-0000143B0000}"/>
    <cellStyle name="40% - Accent3 2 4 5 3 2" xfId="49626" xr:uid="{D8A8035C-553B-49EE-99C0-DB2697EFD200}"/>
    <cellStyle name="40% - Accent3 2 4 5 4" xfId="33749" xr:uid="{3C646A9E-FAB2-4AE8-9E7B-14F538B016A8}"/>
    <cellStyle name="40% - Accent3 2 4 6" xfId="10787" xr:uid="{00000000-0005-0000-0000-0000153B0000}"/>
    <cellStyle name="40% - Accent3 2 4 6 2" xfId="34637" xr:uid="{1A6A08F0-D8C7-4980-B663-D1E5DCFB83C6}"/>
    <cellStyle name="40% - Accent3 2 4 7" xfId="18742" xr:uid="{00000000-0005-0000-0000-0000163B0000}"/>
    <cellStyle name="40% - Accent3 2 4 7 2" xfId="42575" xr:uid="{88471D29-611D-419D-9833-1E4515CB78A6}"/>
    <cellStyle name="40% - Accent3 2 4 8" xfId="26695" xr:uid="{36F87092-FBAC-4B45-A510-903CC9B0511D}"/>
    <cellStyle name="40% - Accent3 2 4_Exh G" xfId="2982" xr:uid="{00000000-0005-0000-0000-0000173B0000}"/>
    <cellStyle name="40% - Accent3 2 5" xfId="1480" xr:uid="{00000000-0005-0000-0000-0000183B0000}"/>
    <cellStyle name="40% - Accent3 2 5 2" xfId="5010" xr:uid="{00000000-0005-0000-0000-0000193B0000}"/>
    <cellStyle name="40% - Accent3 2 5 2 2" xfId="8601" xr:uid="{00000000-0005-0000-0000-00001A3B0000}"/>
    <cellStyle name="40% - Accent3 2 5 2 2 2" xfId="16572" xr:uid="{00000000-0005-0000-0000-00001B3B0000}"/>
    <cellStyle name="40% - Accent3 2 5 2 2 2 2" xfId="40415" xr:uid="{CE362DA3-D81F-4194-9624-3089B6E44F16}"/>
    <cellStyle name="40% - Accent3 2 5 2 2 3" xfId="24518" xr:uid="{00000000-0005-0000-0000-00001C3B0000}"/>
    <cellStyle name="40% - Accent3 2 5 2 2 3 2" xfId="48351" xr:uid="{111DC688-0536-4591-A396-08655B873BF5}"/>
    <cellStyle name="40% - Accent3 2 5 2 2 4" xfId="32474" xr:uid="{E6B9578F-911B-431D-BB00-FE426770F777}"/>
    <cellStyle name="40% - Accent3 2 5 2 3" xfId="13034" xr:uid="{00000000-0005-0000-0000-00001D3B0000}"/>
    <cellStyle name="40% - Accent3 2 5 2 3 2" xfId="36884" xr:uid="{A8A70E1D-CF29-4C4B-B9A4-2A0D474828B5}"/>
    <cellStyle name="40% - Accent3 2 5 2 4" xfId="20989" xr:uid="{00000000-0005-0000-0000-00001E3B0000}"/>
    <cellStyle name="40% - Accent3 2 5 2 4 2" xfId="44822" xr:uid="{08040266-AEFD-4A08-90C4-E9EA0A39464A}"/>
    <cellStyle name="40% - Accent3 2 5 2 5" xfId="28943" xr:uid="{F67DE4CE-4D13-4500-8592-9E026FC6EDB2}"/>
    <cellStyle name="40% - Accent3 2 5 3" xfId="6842" xr:uid="{00000000-0005-0000-0000-00001F3B0000}"/>
    <cellStyle name="40% - Accent3 2 5 3 2" xfId="14814" xr:uid="{00000000-0005-0000-0000-0000203B0000}"/>
    <cellStyle name="40% - Accent3 2 5 3 2 2" xfId="38657" xr:uid="{571F654E-E890-459D-B6DC-34C2FBCEB3D0}"/>
    <cellStyle name="40% - Accent3 2 5 3 3" xfId="22761" xr:uid="{00000000-0005-0000-0000-0000213B0000}"/>
    <cellStyle name="40% - Accent3 2 5 3 3 2" xfId="46594" xr:uid="{2FDE20DE-6301-443C-8D54-C13B7C4BD618}"/>
    <cellStyle name="40% - Accent3 2 5 3 4" xfId="30716" xr:uid="{F42DA1AF-2E05-4B06-95A5-84FF7D8B9016}"/>
    <cellStyle name="40% - Accent3 2 5 4" xfId="11278" xr:uid="{00000000-0005-0000-0000-0000223B0000}"/>
    <cellStyle name="40% - Accent3 2 5 4 2" xfId="35128" xr:uid="{548B657B-01D8-4508-9607-27E7C30EECCF}"/>
    <cellStyle name="40% - Accent3 2 5 5" xfId="19233" xr:uid="{00000000-0005-0000-0000-0000233B0000}"/>
    <cellStyle name="40% - Accent3 2 5 5 2" xfId="43066" xr:uid="{191DE97C-60CD-4C3B-A4AF-1F627BEB1E8E}"/>
    <cellStyle name="40% - Accent3 2 5 6" xfId="27186" xr:uid="{F0D550D7-123D-4DC1-8B4E-E09155983FB5}"/>
    <cellStyle name="40% - Accent3 2 5_Exh G" xfId="2984" xr:uid="{00000000-0005-0000-0000-0000243B0000}"/>
    <cellStyle name="40% - Accent3 2 6" xfId="4131" xr:uid="{00000000-0005-0000-0000-0000253B0000}"/>
    <cellStyle name="40% - Accent3 2 6 2" xfId="7723" xr:uid="{00000000-0005-0000-0000-0000263B0000}"/>
    <cellStyle name="40% - Accent3 2 6 2 2" xfId="15694" xr:uid="{00000000-0005-0000-0000-0000273B0000}"/>
    <cellStyle name="40% - Accent3 2 6 2 2 2" xfId="39537" xr:uid="{FB7D4E27-99B4-4496-AA74-065D79996944}"/>
    <cellStyle name="40% - Accent3 2 6 2 3" xfId="23640" xr:uid="{00000000-0005-0000-0000-0000283B0000}"/>
    <cellStyle name="40% - Accent3 2 6 2 3 2" xfId="47473" xr:uid="{8FFA6930-35F8-4EFC-8B40-856A61C4AD52}"/>
    <cellStyle name="40% - Accent3 2 6 2 4" xfId="31596" xr:uid="{2BE48BBD-2E4C-4797-B404-867A841244A0}"/>
    <cellStyle name="40% - Accent3 2 6 3" xfId="12156" xr:uid="{00000000-0005-0000-0000-0000293B0000}"/>
    <cellStyle name="40% - Accent3 2 6 3 2" xfId="36006" xr:uid="{193B230F-9289-41CF-B170-81F872AB74F6}"/>
    <cellStyle name="40% - Accent3 2 6 4" xfId="20111" xr:uid="{00000000-0005-0000-0000-00002A3B0000}"/>
    <cellStyle name="40% - Accent3 2 6 4 2" xfId="43944" xr:uid="{CE74F4B7-BC40-441C-BE79-9015F619E072}"/>
    <cellStyle name="40% - Accent3 2 6 5" xfId="28065" xr:uid="{76DC5860-3E97-44D3-BD40-FF4CFAD8FE09}"/>
    <cellStyle name="40% - Accent3 2 7" xfId="5951" xr:uid="{00000000-0005-0000-0000-00002B3B0000}"/>
    <cellStyle name="40% - Accent3 2 7 2" xfId="13935" xr:uid="{00000000-0005-0000-0000-00002C3B0000}"/>
    <cellStyle name="40% - Accent3 2 7 2 2" xfId="37779" xr:uid="{C6B22499-2982-4124-9912-518D83CF0751}"/>
    <cellStyle name="40% - Accent3 2 7 3" xfId="21883" xr:uid="{00000000-0005-0000-0000-00002D3B0000}"/>
    <cellStyle name="40% - Accent3 2 7 3 2" xfId="45716" xr:uid="{8AB73E0B-81DF-4A5E-9FFB-844E87D697AB}"/>
    <cellStyle name="40% - Accent3 2 7 4" xfId="29838" xr:uid="{018A2D26-A64E-4C75-9232-D14066022254}"/>
    <cellStyle name="40% - Accent3 2 8" xfId="9504" xr:uid="{00000000-0005-0000-0000-00002E3B0000}"/>
    <cellStyle name="40% - Accent3 2 8 2" xfId="17462" xr:uid="{00000000-0005-0000-0000-00002F3B0000}"/>
    <cellStyle name="40% - Accent3 2 8 2 2" xfId="41303" xr:uid="{8FFF155C-0DA3-4EB7-90CD-EE157A95907C}"/>
    <cellStyle name="40% - Accent3 2 8 3" xfId="25406" xr:uid="{00000000-0005-0000-0000-0000303B0000}"/>
    <cellStyle name="40% - Accent3 2 8 3 2" xfId="49239" xr:uid="{01AC0852-4F72-4A1A-93DF-21A2BCC9B57E}"/>
    <cellStyle name="40% - Accent3 2 8 4" xfId="33362" xr:uid="{ADB43071-9C41-44C9-ACF2-4BD8F6500B8E}"/>
    <cellStyle name="40% - Accent3 2 9" xfId="10400" xr:uid="{00000000-0005-0000-0000-0000313B0000}"/>
    <cellStyle name="40% - Accent3 2 9 2" xfId="34250" xr:uid="{B4ECEE46-6D4F-4D1E-9A3A-199C697FF548}"/>
    <cellStyle name="40% - Accent3 2_Exh G" xfId="2973" xr:uid="{00000000-0005-0000-0000-0000323B0000}"/>
    <cellStyle name="40% - Accent3 3" xfId="456" xr:uid="{00000000-0005-0000-0000-0000333B0000}"/>
    <cellStyle name="40% - Accent3 3 10" xfId="18359" xr:uid="{00000000-0005-0000-0000-0000343B0000}"/>
    <cellStyle name="40% - Accent3 3 10 2" xfId="42192" xr:uid="{76782FC0-6D58-400C-A461-77C7EC129723}"/>
    <cellStyle name="40% - Accent3 3 11" xfId="26312" xr:uid="{EB9C26F5-AB3D-48F1-A549-28260D74122A}"/>
    <cellStyle name="40% - Accent3 3 12" xfId="49771" xr:uid="{7446BB79-9E0C-4567-BAFA-59C504C43327}"/>
    <cellStyle name="40% - Accent3 3 13" xfId="49825" xr:uid="{191CA0B3-1FFC-48F8-AFE1-7779E4E20301}"/>
    <cellStyle name="40% - Accent3 3 2" xfId="457" xr:uid="{00000000-0005-0000-0000-0000353B0000}"/>
    <cellStyle name="40% - Accent3 3 2 10" xfId="26313" xr:uid="{06F7914C-B3E8-4A93-A1AB-866D146EA7FD}"/>
    <cellStyle name="40% - Accent3 3 2 2" xfId="458" xr:uid="{00000000-0005-0000-0000-0000363B0000}"/>
    <cellStyle name="40% - Accent3 3 2 2 2" xfId="1486" xr:uid="{00000000-0005-0000-0000-0000373B0000}"/>
    <cellStyle name="40% - Accent3 3 2 2 2 2" xfId="5016" xr:uid="{00000000-0005-0000-0000-0000383B0000}"/>
    <cellStyle name="40% - Accent3 3 2 2 2 2 2" xfId="8607" xr:uid="{00000000-0005-0000-0000-0000393B0000}"/>
    <cellStyle name="40% - Accent3 3 2 2 2 2 2 2" xfId="16578" xr:uid="{00000000-0005-0000-0000-00003A3B0000}"/>
    <cellStyle name="40% - Accent3 3 2 2 2 2 2 2 2" xfId="40421" xr:uid="{D9E7A983-BD3C-4FA1-8B48-5E15B26BC213}"/>
    <cellStyle name="40% - Accent3 3 2 2 2 2 2 3" xfId="24524" xr:uid="{00000000-0005-0000-0000-00003B3B0000}"/>
    <cellStyle name="40% - Accent3 3 2 2 2 2 2 3 2" xfId="48357" xr:uid="{839C345C-0750-4A79-B39F-F7B1C3F11EF5}"/>
    <cellStyle name="40% - Accent3 3 2 2 2 2 2 4" xfId="32480" xr:uid="{073D5A66-EEDF-49F1-9F39-BB355A0B76C1}"/>
    <cellStyle name="40% - Accent3 3 2 2 2 2 3" xfId="13040" xr:uid="{00000000-0005-0000-0000-00003C3B0000}"/>
    <cellStyle name="40% - Accent3 3 2 2 2 2 3 2" xfId="36890" xr:uid="{487C2EF1-172D-4138-8E11-00C612DBE957}"/>
    <cellStyle name="40% - Accent3 3 2 2 2 2 4" xfId="20995" xr:uid="{00000000-0005-0000-0000-00003D3B0000}"/>
    <cellStyle name="40% - Accent3 3 2 2 2 2 4 2" xfId="44828" xr:uid="{1DA06137-6C21-41DB-AF47-3074F6F3AC64}"/>
    <cellStyle name="40% - Accent3 3 2 2 2 2 5" xfId="28949" xr:uid="{004A9B8E-36D2-4993-B8C6-68F2598B73BF}"/>
    <cellStyle name="40% - Accent3 3 2 2 2 3" xfId="6848" xr:uid="{00000000-0005-0000-0000-00003E3B0000}"/>
    <cellStyle name="40% - Accent3 3 2 2 2 3 2" xfId="14820" xr:uid="{00000000-0005-0000-0000-00003F3B0000}"/>
    <cellStyle name="40% - Accent3 3 2 2 2 3 2 2" xfId="38663" xr:uid="{3E978F25-E615-44FF-90C7-06626E55219A}"/>
    <cellStyle name="40% - Accent3 3 2 2 2 3 3" xfId="22767" xr:uid="{00000000-0005-0000-0000-0000403B0000}"/>
    <cellStyle name="40% - Accent3 3 2 2 2 3 3 2" xfId="46600" xr:uid="{7F382D89-21FD-4DA3-83B6-F42A62669F48}"/>
    <cellStyle name="40% - Accent3 3 2 2 2 3 4" xfId="30722" xr:uid="{D631E6D0-33D9-460F-93D3-075CB0E428BA}"/>
    <cellStyle name="40% - Accent3 3 2 2 2 4" xfId="11284" xr:uid="{00000000-0005-0000-0000-0000413B0000}"/>
    <cellStyle name="40% - Accent3 3 2 2 2 4 2" xfId="35134" xr:uid="{AE514DF9-C1D0-44E7-A42D-36D4084793FC}"/>
    <cellStyle name="40% - Accent3 3 2 2 2 5" xfId="19239" xr:uid="{00000000-0005-0000-0000-0000423B0000}"/>
    <cellStyle name="40% - Accent3 3 2 2 2 5 2" xfId="43072" xr:uid="{7C952DF1-2536-479C-9A8A-3DFA15F204ED}"/>
    <cellStyle name="40% - Accent3 3 2 2 2 6" xfId="27192" xr:uid="{626101AF-59D6-42DF-834C-2650427DBE92}"/>
    <cellStyle name="40% - Accent3 3 2 2 2_Exh G" xfId="2988" xr:uid="{00000000-0005-0000-0000-0000433B0000}"/>
    <cellStyle name="40% - Accent3 3 2 2 3" xfId="4137" xr:uid="{00000000-0005-0000-0000-0000443B0000}"/>
    <cellStyle name="40% - Accent3 3 2 2 3 2" xfId="7729" xr:uid="{00000000-0005-0000-0000-0000453B0000}"/>
    <cellStyle name="40% - Accent3 3 2 2 3 2 2" xfId="15700" xr:uid="{00000000-0005-0000-0000-0000463B0000}"/>
    <cellStyle name="40% - Accent3 3 2 2 3 2 2 2" xfId="39543" xr:uid="{84A0D468-160F-4E05-936D-CE551F893D34}"/>
    <cellStyle name="40% - Accent3 3 2 2 3 2 3" xfId="23646" xr:uid="{00000000-0005-0000-0000-0000473B0000}"/>
    <cellStyle name="40% - Accent3 3 2 2 3 2 3 2" xfId="47479" xr:uid="{86ADDA67-CCCD-40AA-B5B8-555C3CFCAB26}"/>
    <cellStyle name="40% - Accent3 3 2 2 3 2 4" xfId="31602" xr:uid="{0C84D277-8FA7-4E16-9FEB-C3F15CC99024}"/>
    <cellStyle name="40% - Accent3 3 2 2 3 3" xfId="12162" xr:uid="{00000000-0005-0000-0000-0000483B0000}"/>
    <cellStyle name="40% - Accent3 3 2 2 3 3 2" xfId="36012" xr:uid="{7628E47E-F40D-457C-9A3A-9124A256EACF}"/>
    <cellStyle name="40% - Accent3 3 2 2 3 4" xfId="20117" xr:uid="{00000000-0005-0000-0000-0000493B0000}"/>
    <cellStyle name="40% - Accent3 3 2 2 3 4 2" xfId="43950" xr:uid="{B4839902-F491-44F2-856E-638DE74EBFB2}"/>
    <cellStyle name="40% - Accent3 3 2 2 3 5" xfId="28071" xr:uid="{B2E8A612-BE09-4090-BC19-5F46DACE5053}"/>
    <cellStyle name="40% - Accent3 3 2 2 4" xfId="5957" xr:uid="{00000000-0005-0000-0000-00004A3B0000}"/>
    <cellStyle name="40% - Accent3 3 2 2 4 2" xfId="13941" xr:uid="{00000000-0005-0000-0000-00004B3B0000}"/>
    <cellStyle name="40% - Accent3 3 2 2 4 2 2" xfId="37785" xr:uid="{6B7E1266-3A75-4916-B130-AEFCCA3882C7}"/>
    <cellStyle name="40% - Accent3 3 2 2 4 3" xfId="21889" xr:uid="{00000000-0005-0000-0000-00004C3B0000}"/>
    <cellStyle name="40% - Accent3 3 2 2 4 3 2" xfId="45722" xr:uid="{5011BA67-89FF-49F0-A3F8-931DC17A7894}"/>
    <cellStyle name="40% - Accent3 3 2 2 4 4" xfId="29844" xr:uid="{B59A09F8-3D27-4064-A6EF-88E25C0103FE}"/>
    <cellStyle name="40% - Accent3 3 2 2 5" xfId="9510" xr:uid="{00000000-0005-0000-0000-00004D3B0000}"/>
    <cellStyle name="40% - Accent3 3 2 2 5 2" xfId="17468" xr:uid="{00000000-0005-0000-0000-00004E3B0000}"/>
    <cellStyle name="40% - Accent3 3 2 2 5 2 2" xfId="41309" xr:uid="{2EAF76A6-46EB-47EF-9DEA-6B68928386F5}"/>
    <cellStyle name="40% - Accent3 3 2 2 5 3" xfId="25412" xr:uid="{00000000-0005-0000-0000-00004F3B0000}"/>
    <cellStyle name="40% - Accent3 3 2 2 5 3 2" xfId="49245" xr:uid="{F487FAE6-1774-4C64-B00D-60A1201FA1C6}"/>
    <cellStyle name="40% - Accent3 3 2 2 5 4" xfId="33368" xr:uid="{839B9AFB-C342-4689-AC96-3DD3187929E7}"/>
    <cellStyle name="40% - Accent3 3 2 2 6" xfId="10406" xr:uid="{00000000-0005-0000-0000-0000503B0000}"/>
    <cellStyle name="40% - Accent3 3 2 2 6 2" xfId="34256" xr:uid="{22F027A1-4A90-488B-8B21-25AD5ABFD1AE}"/>
    <cellStyle name="40% - Accent3 3 2 2 7" xfId="18361" xr:uid="{00000000-0005-0000-0000-0000513B0000}"/>
    <cellStyle name="40% - Accent3 3 2 2 7 2" xfId="42194" xr:uid="{63C9A03B-18A5-4C8B-B0AC-B03A44881A02}"/>
    <cellStyle name="40% - Accent3 3 2 2 8" xfId="26314" xr:uid="{CD41015F-5951-4A35-8B0C-96030AE89261}"/>
    <cellStyle name="40% - Accent3 3 2 2_Exh G" xfId="2987" xr:uid="{00000000-0005-0000-0000-0000523B0000}"/>
    <cellStyle name="40% - Accent3 3 2 3" xfId="962" xr:uid="{00000000-0005-0000-0000-0000533B0000}"/>
    <cellStyle name="40% - Accent3 3 2 3 2" xfId="1882" xr:uid="{00000000-0005-0000-0000-0000543B0000}"/>
    <cellStyle name="40% - Accent3 3 2 3 2 2" xfId="5400" xr:uid="{00000000-0005-0000-0000-0000553B0000}"/>
    <cellStyle name="40% - Accent3 3 2 3 2 2 2" xfId="8991" xr:uid="{00000000-0005-0000-0000-0000563B0000}"/>
    <cellStyle name="40% - Accent3 3 2 3 2 2 2 2" xfId="16962" xr:uid="{00000000-0005-0000-0000-0000573B0000}"/>
    <cellStyle name="40% - Accent3 3 2 3 2 2 2 2 2" xfId="40805" xr:uid="{6F380E3F-E6D8-4284-9611-E3D8FA791256}"/>
    <cellStyle name="40% - Accent3 3 2 3 2 2 2 3" xfId="24908" xr:uid="{00000000-0005-0000-0000-0000583B0000}"/>
    <cellStyle name="40% - Accent3 3 2 3 2 2 2 3 2" xfId="48741" xr:uid="{6B67801E-7D49-426B-B3D2-B854F63BFACB}"/>
    <cellStyle name="40% - Accent3 3 2 3 2 2 2 4" xfId="32864" xr:uid="{F5E4BF59-CD68-4EAA-84CC-1266690DC811}"/>
    <cellStyle name="40% - Accent3 3 2 3 2 2 3" xfId="13424" xr:uid="{00000000-0005-0000-0000-0000593B0000}"/>
    <cellStyle name="40% - Accent3 3 2 3 2 2 3 2" xfId="37274" xr:uid="{63537172-7B3B-419E-B9DD-DFBB5DBFE290}"/>
    <cellStyle name="40% - Accent3 3 2 3 2 2 4" xfId="21379" xr:uid="{00000000-0005-0000-0000-00005A3B0000}"/>
    <cellStyle name="40% - Accent3 3 2 3 2 2 4 2" xfId="45212" xr:uid="{F3A27F72-8B0A-4B96-A44B-9512AA05893A}"/>
    <cellStyle name="40% - Accent3 3 2 3 2 2 5" xfId="29333" xr:uid="{E91D1BB2-9DA8-4101-A361-9EE1B480028B}"/>
    <cellStyle name="40% - Accent3 3 2 3 2 3" xfId="7232" xr:uid="{00000000-0005-0000-0000-00005B3B0000}"/>
    <cellStyle name="40% - Accent3 3 2 3 2 3 2" xfId="15204" xr:uid="{00000000-0005-0000-0000-00005C3B0000}"/>
    <cellStyle name="40% - Accent3 3 2 3 2 3 2 2" xfId="39047" xr:uid="{B31E3339-C23F-4CC7-B26B-2FD18CDE2DD5}"/>
    <cellStyle name="40% - Accent3 3 2 3 2 3 3" xfId="23151" xr:uid="{00000000-0005-0000-0000-00005D3B0000}"/>
    <cellStyle name="40% - Accent3 3 2 3 2 3 3 2" xfId="46984" xr:uid="{6F6E08AF-B743-4655-9DE0-76AE54FB9857}"/>
    <cellStyle name="40% - Accent3 3 2 3 2 3 4" xfId="31106" xr:uid="{DE764B47-A2C7-4863-9547-2B47B6C3A2F3}"/>
    <cellStyle name="40% - Accent3 3 2 3 2 4" xfId="11668" xr:uid="{00000000-0005-0000-0000-00005E3B0000}"/>
    <cellStyle name="40% - Accent3 3 2 3 2 4 2" xfId="35518" xr:uid="{78E539A7-A5BF-4336-A8FA-DEA12BBCBA88}"/>
    <cellStyle name="40% - Accent3 3 2 3 2 5" xfId="19623" xr:uid="{00000000-0005-0000-0000-00005F3B0000}"/>
    <cellStyle name="40% - Accent3 3 2 3 2 5 2" xfId="43456" xr:uid="{F2B62EB8-6CA8-4CB6-B94D-F468505F9659}"/>
    <cellStyle name="40% - Accent3 3 2 3 2 6" xfId="27576" xr:uid="{F320FC5E-D558-40CD-85E2-A45F8517C28D}"/>
    <cellStyle name="40% - Accent3 3 2 3 2_Exh G" xfId="2990" xr:uid="{00000000-0005-0000-0000-0000603B0000}"/>
    <cellStyle name="40% - Accent3 3 2 3 3" xfId="4521" xr:uid="{00000000-0005-0000-0000-0000613B0000}"/>
    <cellStyle name="40% - Accent3 3 2 3 3 2" xfId="8113" xr:uid="{00000000-0005-0000-0000-0000623B0000}"/>
    <cellStyle name="40% - Accent3 3 2 3 3 2 2" xfId="16084" xr:uid="{00000000-0005-0000-0000-0000633B0000}"/>
    <cellStyle name="40% - Accent3 3 2 3 3 2 2 2" xfId="39927" xr:uid="{A0F97006-295B-497B-BEE6-6FCF1AA097CD}"/>
    <cellStyle name="40% - Accent3 3 2 3 3 2 3" xfId="24030" xr:uid="{00000000-0005-0000-0000-0000643B0000}"/>
    <cellStyle name="40% - Accent3 3 2 3 3 2 3 2" xfId="47863" xr:uid="{71F2C21E-209D-458E-9C5A-C9E30AE6384A}"/>
    <cellStyle name="40% - Accent3 3 2 3 3 2 4" xfId="31986" xr:uid="{C62B9EFB-A129-4E42-8642-3D752258CE1A}"/>
    <cellStyle name="40% - Accent3 3 2 3 3 3" xfId="12546" xr:uid="{00000000-0005-0000-0000-0000653B0000}"/>
    <cellStyle name="40% - Accent3 3 2 3 3 3 2" xfId="36396" xr:uid="{5BBD6C02-0A91-4ACA-A428-D09D142082C3}"/>
    <cellStyle name="40% - Accent3 3 2 3 3 4" xfId="20501" xr:uid="{00000000-0005-0000-0000-0000663B0000}"/>
    <cellStyle name="40% - Accent3 3 2 3 3 4 2" xfId="44334" xr:uid="{A4FB1464-46DA-4F10-BB66-C14A7F3B9B46}"/>
    <cellStyle name="40% - Accent3 3 2 3 3 5" xfId="28455" xr:uid="{95BBA315-6EE2-448D-8886-AEE82D05C998}"/>
    <cellStyle name="40% - Accent3 3 2 3 4" xfId="6351" xr:uid="{00000000-0005-0000-0000-0000673B0000}"/>
    <cellStyle name="40% - Accent3 3 2 3 4 2" xfId="14326" xr:uid="{00000000-0005-0000-0000-0000683B0000}"/>
    <cellStyle name="40% - Accent3 3 2 3 4 2 2" xfId="38169" xr:uid="{6AD8B34B-FEBC-47EE-8C09-DA1A34876EE7}"/>
    <cellStyle name="40% - Accent3 3 2 3 4 3" xfId="22273" xr:uid="{00000000-0005-0000-0000-0000693B0000}"/>
    <cellStyle name="40% - Accent3 3 2 3 4 3 2" xfId="46106" xr:uid="{D518E899-EFBC-412A-B3A2-FD32A7374E03}"/>
    <cellStyle name="40% - Accent3 3 2 3 4 4" xfId="30228" xr:uid="{2AB41DE4-06CF-4F35-BA08-B98D46D136E9}"/>
    <cellStyle name="40% - Accent3 3 2 3 5" xfId="9894" xr:uid="{00000000-0005-0000-0000-00006A3B0000}"/>
    <cellStyle name="40% - Accent3 3 2 3 5 2" xfId="17852" xr:uid="{00000000-0005-0000-0000-00006B3B0000}"/>
    <cellStyle name="40% - Accent3 3 2 3 5 2 2" xfId="41693" xr:uid="{CDCAF48D-8961-4FA4-A794-FB52833FB6AA}"/>
    <cellStyle name="40% - Accent3 3 2 3 5 3" xfId="25796" xr:uid="{00000000-0005-0000-0000-00006C3B0000}"/>
    <cellStyle name="40% - Accent3 3 2 3 5 3 2" xfId="49629" xr:uid="{FC8AE2FB-33AB-4B64-A003-5CB230C93D12}"/>
    <cellStyle name="40% - Accent3 3 2 3 5 4" xfId="33752" xr:uid="{76640F3E-DB53-4D01-8071-C9E76D759574}"/>
    <cellStyle name="40% - Accent3 3 2 3 6" xfId="10790" xr:uid="{00000000-0005-0000-0000-00006D3B0000}"/>
    <cellStyle name="40% - Accent3 3 2 3 6 2" xfId="34640" xr:uid="{DF36EB2F-C3E5-4E0C-B264-DDE5120536D2}"/>
    <cellStyle name="40% - Accent3 3 2 3 7" xfId="18745" xr:uid="{00000000-0005-0000-0000-00006E3B0000}"/>
    <cellStyle name="40% - Accent3 3 2 3 7 2" xfId="42578" xr:uid="{F279F749-654C-4431-B07B-CA5A5ACD81EB}"/>
    <cellStyle name="40% - Accent3 3 2 3 8" xfId="26698" xr:uid="{BCB746EB-42B3-4743-9335-F675DFE4727A}"/>
    <cellStyle name="40% - Accent3 3 2 3_Exh G" xfId="2989" xr:uid="{00000000-0005-0000-0000-00006F3B0000}"/>
    <cellStyle name="40% - Accent3 3 2 4" xfId="1485" xr:uid="{00000000-0005-0000-0000-0000703B0000}"/>
    <cellStyle name="40% - Accent3 3 2 4 2" xfId="5015" xr:uid="{00000000-0005-0000-0000-0000713B0000}"/>
    <cellStyle name="40% - Accent3 3 2 4 2 2" xfId="8606" xr:uid="{00000000-0005-0000-0000-0000723B0000}"/>
    <cellStyle name="40% - Accent3 3 2 4 2 2 2" xfId="16577" xr:uid="{00000000-0005-0000-0000-0000733B0000}"/>
    <cellStyle name="40% - Accent3 3 2 4 2 2 2 2" xfId="40420" xr:uid="{0DDE16E6-3346-457E-9B51-8415F50CEA31}"/>
    <cellStyle name="40% - Accent3 3 2 4 2 2 3" xfId="24523" xr:uid="{00000000-0005-0000-0000-0000743B0000}"/>
    <cellStyle name="40% - Accent3 3 2 4 2 2 3 2" xfId="48356" xr:uid="{27055CCD-5787-4F55-885F-39F94AB5F851}"/>
    <cellStyle name="40% - Accent3 3 2 4 2 2 4" xfId="32479" xr:uid="{29D29361-02FA-4ABC-88ED-D00736CE9662}"/>
    <cellStyle name="40% - Accent3 3 2 4 2 3" xfId="13039" xr:uid="{00000000-0005-0000-0000-0000753B0000}"/>
    <cellStyle name="40% - Accent3 3 2 4 2 3 2" xfId="36889" xr:uid="{B86E2F83-DAB0-49C8-805C-2BB112EFE145}"/>
    <cellStyle name="40% - Accent3 3 2 4 2 4" xfId="20994" xr:uid="{00000000-0005-0000-0000-0000763B0000}"/>
    <cellStyle name="40% - Accent3 3 2 4 2 4 2" xfId="44827" xr:uid="{10AB7ED2-046F-4342-BC7B-3A739918AD97}"/>
    <cellStyle name="40% - Accent3 3 2 4 2 5" xfId="28948" xr:uid="{CBF1B3EC-ADA1-4668-A9EF-77282709565B}"/>
    <cellStyle name="40% - Accent3 3 2 4 3" xfId="6847" xr:uid="{00000000-0005-0000-0000-0000773B0000}"/>
    <cellStyle name="40% - Accent3 3 2 4 3 2" xfId="14819" xr:uid="{00000000-0005-0000-0000-0000783B0000}"/>
    <cellStyle name="40% - Accent3 3 2 4 3 2 2" xfId="38662" xr:uid="{A002337F-754F-464C-926A-C3AE494996BB}"/>
    <cellStyle name="40% - Accent3 3 2 4 3 3" xfId="22766" xr:uid="{00000000-0005-0000-0000-0000793B0000}"/>
    <cellStyle name="40% - Accent3 3 2 4 3 3 2" xfId="46599" xr:uid="{6253F0E3-790D-42E4-904D-B091E37674B2}"/>
    <cellStyle name="40% - Accent3 3 2 4 3 4" xfId="30721" xr:uid="{5BFCA7C3-44B1-4DFB-B0F3-0630B8897970}"/>
    <cellStyle name="40% - Accent3 3 2 4 4" xfId="11283" xr:uid="{00000000-0005-0000-0000-00007A3B0000}"/>
    <cellStyle name="40% - Accent3 3 2 4 4 2" xfId="35133" xr:uid="{3B91EBB8-D635-417E-9833-7B7D61D54B7A}"/>
    <cellStyle name="40% - Accent3 3 2 4 5" xfId="19238" xr:uid="{00000000-0005-0000-0000-00007B3B0000}"/>
    <cellStyle name="40% - Accent3 3 2 4 5 2" xfId="43071" xr:uid="{08BD0968-8DD9-4B10-9445-8DC309242A85}"/>
    <cellStyle name="40% - Accent3 3 2 4 6" xfId="27191" xr:uid="{826B32C5-163E-4E4F-BAFD-59C139F0CF73}"/>
    <cellStyle name="40% - Accent3 3 2 4_Exh G" xfId="2991" xr:uid="{00000000-0005-0000-0000-00007C3B0000}"/>
    <cellStyle name="40% - Accent3 3 2 5" xfId="4136" xr:uid="{00000000-0005-0000-0000-00007D3B0000}"/>
    <cellStyle name="40% - Accent3 3 2 5 2" xfId="7728" xr:uid="{00000000-0005-0000-0000-00007E3B0000}"/>
    <cellStyle name="40% - Accent3 3 2 5 2 2" xfId="15699" xr:uid="{00000000-0005-0000-0000-00007F3B0000}"/>
    <cellStyle name="40% - Accent3 3 2 5 2 2 2" xfId="39542" xr:uid="{C6711E10-B90C-4CDC-8E85-8740C6665A74}"/>
    <cellStyle name="40% - Accent3 3 2 5 2 3" xfId="23645" xr:uid="{00000000-0005-0000-0000-0000803B0000}"/>
    <cellStyle name="40% - Accent3 3 2 5 2 3 2" xfId="47478" xr:uid="{A798EFFE-B870-42FC-8AA0-3FB708D35CFA}"/>
    <cellStyle name="40% - Accent3 3 2 5 2 4" xfId="31601" xr:uid="{F3741833-1E1F-4BC5-84C9-0D1224A9590F}"/>
    <cellStyle name="40% - Accent3 3 2 5 3" xfId="12161" xr:uid="{00000000-0005-0000-0000-0000813B0000}"/>
    <cellStyle name="40% - Accent3 3 2 5 3 2" xfId="36011" xr:uid="{A4DA86A3-0616-41D7-B6DC-031AF5CACFEF}"/>
    <cellStyle name="40% - Accent3 3 2 5 4" xfId="20116" xr:uid="{00000000-0005-0000-0000-0000823B0000}"/>
    <cellStyle name="40% - Accent3 3 2 5 4 2" xfId="43949" xr:uid="{068A72F3-F304-45DD-B3DE-D3DDC7EE0198}"/>
    <cellStyle name="40% - Accent3 3 2 5 5" xfId="28070" xr:uid="{88524D3B-5D01-4253-ADC0-111FEE2F89AD}"/>
    <cellStyle name="40% - Accent3 3 2 6" xfId="5956" xr:uid="{00000000-0005-0000-0000-0000833B0000}"/>
    <cellStyle name="40% - Accent3 3 2 6 2" xfId="13940" xr:uid="{00000000-0005-0000-0000-0000843B0000}"/>
    <cellStyle name="40% - Accent3 3 2 6 2 2" xfId="37784" xr:uid="{59D705BF-1E67-4C49-AB27-2A2A215787A0}"/>
    <cellStyle name="40% - Accent3 3 2 6 3" xfId="21888" xr:uid="{00000000-0005-0000-0000-0000853B0000}"/>
    <cellStyle name="40% - Accent3 3 2 6 3 2" xfId="45721" xr:uid="{EADAE8E8-CD8F-4B71-A192-5E71F2CE0458}"/>
    <cellStyle name="40% - Accent3 3 2 6 4" xfId="29843" xr:uid="{68128860-175F-4095-B097-6BBAA7EFCDEE}"/>
    <cellStyle name="40% - Accent3 3 2 7" xfId="9509" xr:uid="{00000000-0005-0000-0000-0000863B0000}"/>
    <cellStyle name="40% - Accent3 3 2 7 2" xfId="17467" xr:uid="{00000000-0005-0000-0000-0000873B0000}"/>
    <cellStyle name="40% - Accent3 3 2 7 2 2" xfId="41308" xr:uid="{BBDAB23D-DF40-4F58-8811-7F471AFABE1A}"/>
    <cellStyle name="40% - Accent3 3 2 7 3" xfId="25411" xr:uid="{00000000-0005-0000-0000-0000883B0000}"/>
    <cellStyle name="40% - Accent3 3 2 7 3 2" xfId="49244" xr:uid="{C2D95293-7060-46A1-9583-CA481986BA04}"/>
    <cellStyle name="40% - Accent3 3 2 7 4" xfId="33367" xr:uid="{7B123CDB-FA9B-4447-94C4-105C939423A6}"/>
    <cellStyle name="40% - Accent3 3 2 8" xfId="10405" xr:uid="{00000000-0005-0000-0000-0000893B0000}"/>
    <cellStyle name="40% - Accent3 3 2 8 2" xfId="34255" xr:uid="{BB6BEF35-ABDE-432B-B294-62B4107EFC97}"/>
    <cellStyle name="40% - Accent3 3 2 9" xfId="18360" xr:uid="{00000000-0005-0000-0000-00008A3B0000}"/>
    <cellStyle name="40% - Accent3 3 2 9 2" xfId="42193" xr:uid="{AE3E50D4-2DE8-4304-AB59-01076EB2C4CF}"/>
    <cellStyle name="40% - Accent3 3 2_Exh G" xfId="2986" xr:uid="{00000000-0005-0000-0000-00008B3B0000}"/>
    <cellStyle name="40% - Accent3 3 3" xfId="459" xr:uid="{00000000-0005-0000-0000-00008C3B0000}"/>
    <cellStyle name="40% - Accent3 3 3 2" xfId="1487" xr:uid="{00000000-0005-0000-0000-00008D3B0000}"/>
    <cellStyle name="40% - Accent3 3 3 2 2" xfId="5017" xr:uid="{00000000-0005-0000-0000-00008E3B0000}"/>
    <cellStyle name="40% - Accent3 3 3 2 2 2" xfId="8608" xr:uid="{00000000-0005-0000-0000-00008F3B0000}"/>
    <cellStyle name="40% - Accent3 3 3 2 2 2 2" xfId="16579" xr:uid="{00000000-0005-0000-0000-0000903B0000}"/>
    <cellStyle name="40% - Accent3 3 3 2 2 2 2 2" xfId="40422" xr:uid="{AA88391D-D730-4242-AAE0-405EE0046EA4}"/>
    <cellStyle name="40% - Accent3 3 3 2 2 2 3" xfId="24525" xr:uid="{00000000-0005-0000-0000-0000913B0000}"/>
    <cellStyle name="40% - Accent3 3 3 2 2 2 3 2" xfId="48358" xr:uid="{FE2D7D60-7F51-4A13-8778-00B979703303}"/>
    <cellStyle name="40% - Accent3 3 3 2 2 2 4" xfId="32481" xr:uid="{0701189F-9DE7-4D2A-B33C-276BF0701466}"/>
    <cellStyle name="40% - Accent3 3 3 2 2 3" xfId="13041" xr:uid="{00000000-0005-0000-0000-0000923B0000}"/>
    <cellStyle name="40% - Accent3 3 3 2 2 3 2" xfId="36891" xr:uid="{D1ABF8BF-4A15-4683-AF92-8B9AB082B25D}"/>
    <cellStyle name="40% - Accent3 3 3 2 2 4" xfId="20996" xr:uid="{00000000-0005-0000-0000-0000933B0000}"/>
    <cellStyle name="40% - Accent3 3 3 2 2 4 2" xfId="44829" xr:uid="{334B0BDA-1722-4831-8912-985B39E63F7F}"/>
    <cellStyle name="40% - Accent3 3 3 2 2 5" xfId="28950" xr:uid="{CABB2B7F-F4A8-46EF-B010-8EF0E2E5F78B}"/>
    <cellStyle name="40% - Accent3 3 3 2 3" xfId="6849" xr:uid="{00000000-0005-0000-0000-0000943B0000}"/>
    <cellStyle name="40% - Accent3 3 3 2 3 2" xfId="14821" xr:uid="{00000000-0005-0000-0000-0000953B0000}"/>
    <cellStyle name="40% - Accent3 3 3 2 3 2 2" xfId="38664" xr:uid="{8F816D79-85AC-4148-B333-4E977D821B89}"/>
    <cellStyle name="40% - Accent3 3 3 2 3 3" xfId="22768" xr:uid="{00000000-0005-0000-0000-0000963B0000}"/>
    <cellStyle name="40% - Accent3 3 3 2 3 3 2" xfId="46601" xr:uid="{74EA3B2F-3160-40D2-A413-A768F85D475E}"/>
    <cellStyle name="40% - Accent3 3 3 2 3 4" xfId="30723" xr:uid="{5E5AF0C4-0406-4D94-9AEF-2B50825F0319}"/>
    <cellStyle name="40% - Accent3 3 3 2 4" xfId="11285" xr:uid="{00000000-0005-0000-0000-0000973B0000}"/>
    <cellStyle name="40% - Accent3 3 3 2 4 2" xfId="35135" xr:uid="{48473CF1-40AE-4EF3-8AA3-8B4D8D2616F2}"/>
    <cellStyle name="40% - Accent3 3 3 2 5" xfId="19240" xr:uid="{00000000-0005-0000-0000-0000983B0000}"/>
    <cellStyle name="40% - Accent3 3 3 2 5 2" xfId="43073" xr:uid="{0F61A014-978E-4447-9707-9F1CA329A420}"/>
    <cellStyle name="40% - Accent3 3 3 2 6" xfId="27193" xr:uid="{FD98292C-1EB6-4C5C-BACD-26D16A3C14FB}"/>
    <cellStyle name="40% - Accent3 3 3 2_Exh G" xfId="2993" xr:uid="{00000000-0005-0000-0000-0000993B0000}"/>
    <cellStyle name="40% - Accent3 3 3 3" xfId="4138" xr:uid="{00000000-0005-0000-0000-00009A3B0000}"/>
    <cellStyle name="40% - Accent3 3 3 3 2" xfId="7730" xr:uid="{00000000-0005-0000-0000-00009B3B0000}"/>
    <cellStyle name="40% - Accent3 3 3 3 2 2" xfId="15701" xr:uid="{00000000-0005-0000-0000-00009C3B0000}"/>
    <cellStyle name="40% - Accent3 3 3 3 2 2 2" xfId="39544" xr:uid="{3BEE2ED9-B625-4302-8BF1-4BC757468619}"/>
    <cellStyle name="40% - Accent3 3 3 3 2 3" xfId="23647" xr:uid="{00000000-0005-0000-0000-00009D3B0000}"/>
    <cellStyle name="40% - Accent3 3 3 3 2 3 2" xfId="47480" xr:uid="{5569FDEB-B5E5-415C-B49E-EDB84DAFD4F6}"/>
    <cellStyle name="40% - Accent3 3 3 3 2 4" xfId="31603" xr:uid="{E8314001-5398-4D05-AC0F-4A243D0BDAD2}"/>
    <cellStyle name="40% - Accent3 3 3 3 3" xfId="12163" xr:uid="{00000000-0005-0000-0000-00009E3B0000}"/>
    <cellStyle name="40% - Accent3 3 3 3 3 2" xfId="36013" xr:uid="{5A40E2A5-E7A4-4BD3-A58D-E14A8DFEF970}"/>
    <cellStyle name="40% - Accent3 3 3 3 4" xfId="20118" xr:uid="{00000000-0005-0000-0000-00009F3B0000}"/>
    <cellStyle name="40% - Accent3 3 3 3 4 2" xfId="43951" xr:uid="{F5589523-F8E2-4482-93D5-1C04B1C4679B}"/>
    <cellStyle name="40% - Accent3 3 3 3 5" xfId="28072" xr:uid="{DEA20FD8-9A1B-4A4E-A9C6-6B9CFAE70F8F}"/>
    <cellStyle name="40% - Accent3 3 3 4" xfId="5958" xr:uid="{00000000-0005-0000-0000-0000A03B0000}"/>
    <cellStyle name="40% - Accent3 3 3 4 2" xfId="13942" xr:uid="{00000000-0005-0000-0000-0000A13B0000}"/>
    <cellStyle name="40% - Accent3 3 3 4 2 2" xfId="37786" xr:uid="{4F0959FD-79EF-40EF-B854-F5B144F38F1D}"/>
    <cellStyle name="40% - Accent3 3 3 4 3" xfId="21890" xr:uid="{00000000-0005-0000-0000-0000A23B0000}"/>
    <cellStyle name="40% - Accent3 3 3 4 3 2" xfId="45723" xr:uid="{21F72C77-3167-4ABE-BB44-C810331A2D5A}"/>
    <cellStyle name="40% - Accent3 3 3 4 4" xfId="29845" xr:uid="{B4A30005-149F-481F-9C4E-CB4E84BFFE66}"/>
    <cellStyle name="40% - Accent3 3 3 5" xfId="9511" xr:uid="{00000000-0005-0000-0000-0000A33B0000}"/>
    <cellStyle name="40% - Accent3 3 3 5 2" xfId="17469" xr:uid="{00000000-0005-0000-0000-0000A43B0000}"/>
    <cellStyle name="40% - Accent3 3 3 5 2 2" xfId="41310" xr:uid="{A4357520-532E-4A41-9287-9D96E39D509C}"/>
    <cellStyle name="40% - Accent3 3 3 5 3" xfId="25413" xr:uid="{00000000-0005-0000-0000-0000A53B0000}"/>
    <cellStyle name="40% - Accent3 3 3 5 3 2" xfId="49246" xr:uid="{D556F0DD-8BE2-4A3C-805B-7D93F73AF0CC}"/>
    <cellStyle name="40% - Accent3 3 3 5 4" xfId="33369" xr:uid="{D238AC66-8903-48F0-9C5B-F890564CFD99}"/>
    <cellStyle name="40% - Accent3 3 3 6" xfId="10407" xr:uid="{00000000-0005-0000-0000-0000A63B0000}"/>
    <cellStyle name="40% - Accent3 3 3 6 2" xfId="34257" xr:uid="{3CCF2A73-F634-460B-9808-688A5F92611D}"/>
    <cellStyle name="40% - Accent3 3 3 7" xfId="18362" xr:uid="{00000000-0005-0000-0000-0000A73B0000}"/>
    <cellStyle name="40% - Accent3 3 3 7 2" xfId="42195" xr:uid="{B11B5BF5-DC36-437A-8866-1DD9786D1C73}"/>
    <cellStyle name="40% - Accent3 3 3 8" xfId="26315" xr:uid="{8F416CBB-4695-4393-B288-9F0F48E6F295}"/>
    <cellStyle name="40% - Accent3 3 3_Exh G" xfId="2992" xr:uid="{00000000-0005-0000-0000-0000A83B0000}"/>
    <cellStyle name="40% - Accent3 3 4" xfId="961" xr:uid="{00000000-0005-0000-0000-0000A93B0000}"/>
    <cellStyle name="40% - Accent3 3 4 2" xfId="1881" xr:uid="{00000000-0005-0000-0000-0000AA3B0000}"/>
    <cellStyle name="40% - Accent3 3 4 2 2" xfId="5399" xr:uid="{00000000-0005-0000-0000-0000AB3B0000}"/>
    <cellStyle name="40% - Accent3 3 4 2 2 2" xfId="8990" xr:uid="{00000000-0005-0000-0000-0000AC3B0000}"/>
    <cellStyle name="40% - Accent3 3 4 2 2 2 2" xfId="16961" xr:uid="{00000000-0005-0000-0000-0000AD3B0000}"/>
    <cellStyle name="40% - Accent3 3 4 2 2 2 2 2" xfId="40804" xr:uid="{C97B1BC9-7C4F-45BA-BD85-C78646AF7E1F}"/>
    <cellStyle name="40% - Accent3 3 4 2 2 2 3" xfId="24907" xr:uid="{00000000-0005-0000-0000-0000AE3B0000}"/>
    <cellStyle name="40% - Accent3 3 4 2 2 2 3 2" xfId="48740" xr:uid="{37183126-DEC1-4905-BD38-B08BA76F5EA9}"/>
    <cellStyle name="40% - Accent3 3 4 2 2 2 4" xfId="32863" xr:uid="{0DA5E6FF-40E2-4048-A602-386E4F91C3C7}"/>
    <cellStyle name="40% - Accent3 3 4 2 2 3" xfId="13423" xr:uid="{00000000-0005-0000-0000-0000AF3B0000}"/>
    <cellStyle name="40% - Accent3 3 4 2 2 3 2" xfId="37273" xr:uid="{320DF4A5-D4A5-48C8-84BA-D630A822A3BF}"/>
    <cellStyle name="40% - Accent3 3 4 2 2 4" xfId="21378" xr:uid="{00000000-0005-0000-0000-0000B03B0000}"/>
    <cellStyle name="40% - Accent3 3 4 2 2 4 2" xfId="45211" xr:uid="{936ABBF7-AAE7-44DC-AAC0-304DB7567AE4}"/>
    <cellStyle name="40% - Accent3 3 4 2 2 5" xfId="29332" xr:uid="{8E1A5E96-FE5C-4416-93CB-0D22BB2FAC81}"/>
    <cellStyle name="40% - Accent3 3 4 2 3" xfId="7231" xr:uid="{00000000-0005-0000-0000-0000B13B0000}"/>
    <cellStyle name="40% - Accent3 3 4 2 3 2" xfId="15203" xr:uid="{00000000-0005-0000-0000-0000B23B0000}"/>
    <cellStyle name="40% - Accent3 3 4 2 3 2 2" xfId="39046" xr:uid="{E9C9CAC5-5787-4C29-B896-F2C0579D147B}"/>
    <cellStyle name="40% - Accent3 3 4 2 3 3" xfId="23150" xr:uid="{00000000-0005-0000-0000-0000B33B0000}"/>
    <cellStyle name="40% - Accent3 3 4 2 3 3 2" xfId="46983" xr:uid="{364A0C4F-EC8F-4AB8-88B9-81E39F73F625}"/>
    <cellStyle name="40% - Accent3 3 4 2 3 4" xfId="31105" xr:uid="{1A270F91-8883-44BB-B015-E69A7282B89B}"/>
    <cellStyle name="40% - Accent3 3 4 2 4" xfId="11667" xr:uid="{00000000-0005-0000-0000-0000B43B0000}"/>
    <cellStyle name="40% - Accent3 3 4 2 4 2" xfId="35517" xr:uid="{BA83CB53-1224-4B65-9624-7253660989C4}"/>
    <cellStyle name="40% - Accent3 3 4 2 5" xfId="19622" xr:uid="{00000000-0005-0000-0000-0000B53B0000}"/>
    <cellStyle name="40% - Accent3 3 4 2 5 2" xfId="43455" xr:uid="{3B10C36B-E8D2-424E-B9D7-A48ECEFA2669}"/>
    <cellStyle name="40% - Accent3 3 4 2 6" xfId="27575" xr:uid="{5729DCFD-8202-40EC-BC60-935AFD76D9CC}"/>
    <cellStyle name="40% - Accent3 3 4 2_Exh G" xfId="2995" xr:uid="{00000000-0005-0000-0000-0000B63B0000}"/>
    <cellStyle name="40% - Accent3 3 4 3" xfId="4520" xr:uid="{00000000-0005-0000-0000-0000B73B0000}"/>
    <cellStyle name="40% - Accent3 3 4 3 2" xfId="8112" xr:uid="{00000000-0005-0000-0000-0000B83B0000}"/>
    <cellStyle name="40% - Accent3 3 4 3 2 2" xfId="16083" xr:uid="{00000000-0005-0000-0000-0000B93B0000}"/>
    <cellStyle name="40% - Accent3 3 4 3 2 2 2" xfId="39926" xr:uid="{5CA0A541-E01C-4A3D-9D0C-439764F75BFF}"/>
    <cellStyle name="40% - Accent3 3 4 3 2 3" xfId="24029" xr:uid="{00000000-0005-0000-0000-0000BA3B0000}"/>
    <cellStyle name="40% - Accent3 3 4 3 2 3 2" xfId="47862" xr:uid="{383143BD-3229-43A8-9B48-C1C3BE57B246}"/>
    <cellStyle name="40% - Accent3 3 4 3 2 4" xfId="31985" xr:uid="{FBBFB8E9-E015-4887-9D70-A2D9FB20FBE3}"/>
    <cellStyle name="40% - Accent3 3 4 3 3" xfId="12545" xr:uid="{00000000-0005-0000-0000-0000BB3B0000}"/>
    <cellStyle name="40% - Accent3 3 4 3 3 2" xfId="36395" xr:uid="{ECDEA087-F81E-4558-B904-AD67936BBD33}"/>
    <cellStyle name="40% - Accent3 3 4 3 4" xfId="20500" xr:uid="{00000000-0005-0000-0000-0000BC3B0000}"/>
    <cellStyle name="40% - Accent3 3 4 3 4 2" xfId="44333" xr:uid="{4E4D5020-D750-4FB0-873D-7FD16127B823}"/>
    <cellStyle name="40% - Accent3 3 4 3 5" xfId="28454" xr:uid="{C4589D11-9327-4291-8861-4D93BBEF1D7B}"/>
    <cellStyle name="40% - Accent3 3 4 4" xfId="6350" xr:uid="{00000000-0005-0000-0000-0000BD3B0000}"/>
    <cellStyle name="40% - Accent3 3 4 4 2" xfId="14325" xr:uid="{00000000-0005-0000-0000-0000BE3B0000}"/>
    <cellStyle name="40% - Accent3 3 4 4 2 2" xfId="38168" xr:uid="{596927FD-A313-4076-B136-D614BFA7B192}"/>
    <cellStyle name="40% - Accent3 3 4 4 3" xfId="22272" xr:uid="{00000000-0005-0000-0000-0000BF3B0000}"/>
    <cellStyle name="40% - Accent3 3 4 4 3 2" xfId="46105" xr:uid="{B54AA4B6-67A2-400D-9390-C8B2A1AFACB5}"/>
    <cellStyle name="40% - Accent3 3 4 4 4" xfId="30227" xr:uid="{56791E52-0637-4D21-9E12-8CEDEBB93A92}"/>
    <cellStyle name="40% - Accent3 3 4 5" xfId="9893" xr:uid="{00000000-0005-0000-0000-0000C03B0000}"/>
    <cellStyle name="40% - Accent3 3 4 5 2" xfId="17851" xr:uid="{00000000-0005-0000-0000-0000C13B0000}"/>
    <cellStyle name="40% - Accent3 3 4 5 2 2" xfId="41692" xr:uid="{A7945FC6-B804-4778-87AF-8457B1480B20}"/>
    <cellStyle name="40% - Accent3 3 4 5 3" xfId="25795" xr:uid="{00000000-0005-0000-0000-0000C23B0000}"/>
    <cellStyle name="40% - Accent3 3 4 5 3 2" xfId="49628" xr:uid="{54C5846E-A482-4700-B43B-5A32B239D247}"/>
    <cellStyle name="40% - Accent3 3 4 5 4" xfId="33751" xr:uid="{CE214B32-CF62-4157-905F-A2AF9DBA15F2}"/>
    <cellStyle name="40% - Accent3 3 4 6" xfId="10789" xr:uid="{00000000-0005-0000-0000-0000C33B0000}"/>
    <cellStyle name="40% - Accent3 3 4 6 2" xfId="34639" xr:uid="{015DE087-06ED-4CCD-847B-63EDAEE1BB90}"/>
    <cellStyle name="40% - Accent3 3 4 7" xfId="18744" xr:uid="{00000000-0005-0000-0000-0000C43B0000}"/>
    <cellStyle name="40% - Accent3 3 4 7 2" xfId="42577" xr:uid="{B9C82A08-10F5-497F-9025-910AB2CE673A}"/>
    <cellStyle name="40% - Accent3 3 4 8" xfId="26697" xr:uid="{600B7CD3-2EEF-4660-8BF4-E77E5ED88F68}"/>
    <cellStyle name="40% - Accent3 3 4_Exh G" xfId="2994" xr:uid="{00000000-0005-0000-0000-0000C53B0000}"/>
    <cellStyle name="40% - Accent3 3 5" xfId="1484" xr:uid="{00000000-0005-0000-0000-0000C63B0000}"/>
    <cellStyle name="40% - Accent3 3 5 2" xfId="5014" xr:uid="{00000000-0005-0000-0000-0000C73B0000}"/>
    <cellStyle name="40% - Accent3 3 5 2 2" xfId="8605" xr:uid="{00000000-0005-0000-0000-0000C83B0000}"/>
    <cellStyle name="40% - Accent3 3 5 2 2 2" xfId="16576" xr:uid="{00000000-0005-0000-0000-0000C93B0000}"/>
    <cellStyle name="40% - Accent3 3 5 2 2 2 2" xfId="40419" xr:uid="{31967456-25F6-4711-9D12-DD657D97F414}"/>
    <cellStyle name="40% - Accent3 3 5 2 2 3" xfId="24522" xr:uid="{00000000-0005-0000-0000-0000CA3B0000}"/>
    <cellStyle name="40% - Accent3 3 5 2 2 3 2" xfId="48355" xr:uid="{93C9A834-BC9B-41A4-9ED8-6C70FECB4125}"/>
    <cellStyle name="40% - Accent3 3 5 2 2 4" xfId="32478" xr:uid="{71378522-8F16-490E-A7BA-D0854746A0F8}"/>
    <cellStyle name="40% - Accent3 3 5 2 3" xfId="13038" xr:uid="{00000000-0005-0000-0000-0000CB3B0000}"/>
    <cellStyle name="40% - Accent3 3 5 2 3 2" xfId="36888" xr:uid="{5A76482F-BAAC-4A69-9DCD-9A7FCDCC5237}"/>
    <cellStyle name="40% - Accent3 3 5 2 4" xfId="20993" xr:uid="{00000000-0005-0000-0000-0000CC3B0000}"/>
    <cellStyle name="40% - Accent3 3 5 2 4 2" xfId="44826" xr:uid="{EA278EC2-8E4E-47C6-88D2-5C81677ED3F6}"/>
    <cellStyle name="40% - Accent3 3 5 2 5" xfId="28947" xr:uid="{C33815E7-05E7-4D6B-BA15-5D1AC28B3A15}"/>
    <cellStyle name="40% - Accent3 3 5 3" xfId="6846" xr:uid="{00000000-0005-0000-0000-0000CD3B0000}"/>
    <cellStyle name="40% - Accent3 3 5 3 2" xfId="14818" xr:uid="{00000000-0005-0000-0000-0000CE3B0000}"/>
    <cellStyle name="40% - Accent3 3 5 3 2 2" xfId="38661" xr:uid="{27AFF68E-519A-44EF-986B-62DA97460323}"/>
    <cellStyle name="40% - Accent3 3 5 3 3" xfId="22765" xr:uid="{00000000-0005-0000-0000-0000CF3B0000}"/>
    <cellStyle name="40% - Accent3 3 5 3 3 2" xfId="46598" xr:uid="{79D9C8AB-4C63-4F34-9096-8DADE750B433}"/>
    <cellStyle name="40% - Accent3 3 5 3 4" xfId="30720" xr:uid="{2A26CC64-FC19-4CD3-9B9B-9BD34E07B9B6}"/>
    <cellStyle name="40% - Accent3 3 5 4" xfId="11282" xr:uid="{00000000-0005-0000-0000-0000D03B0000}"/>
    <cellStyle name="40% - Accent3 3 5 4 2" xfId="35132" xr:uid="{E67CF18F-0B58-49F2-A3A7-D6AD43606C26}"/>
    <cellStyle name="40% - Accent3 3 5 5" xfId="19237" xr:uid="{00000000-0005-0000-0000-0000D13B0000}"/>
    <cellStyle name="40% - Accent3 3 5 5 2" xfId="43070" xr:uid="{3FDF5B71-232B-4B67-A6B2-14F7307768CB}"/>
    <cellStyle name="40% - Accent3 3 5 6" xfId="27190" xr:uid="{054767B9-12FF-4714-A707-E80D10476DA9}"/>
    <cellStyle name="40% - Accent3 3 5_Exh G" xfId="2996" xr:uid="{00000000-0005-0000-0000-0000D23B0000}"/>
    <cellStyle name="40% - Accent3 3 6" xfId="4135" xr:uid="{00000000-0005-0000-0000-0000D33B0000}"/>
    <cellStyle name="40% - Accent3 3 6 2" xfId="7727" xr:uid="{00000000-0005-0000-0000-0000D43B0000}"/>
    <cellStyle name="40% - Accent3 3 6 2 2" xfId="15698" xr:uid="{00000000-0005-0000-0000-0000D53B0000}"/>
    <cellStyle name="40% - Accent3 3 6 2 2 2" xfId="39541" xr:uid="{9D795F71-F8A0-4FB9-901F-51043D0324FA}"/>
    <cellStyle name="40% - Accent3 3 6 2 3" xfId="23644" xr:uid="{00000000-0005-0000-0000-0000D63B0000}"/>
    <cellStyle name="40% - Accent3 3 6 2 3 2" xfId="47477" xr:uid="{14C5437D-470D-4496-ADEB-55DF5B79BDE2}"/>
    <cellStyle name="40% - Accent3 3 6 2 4" xfId="31600" xr:uid="{F4020CBD-AB20-407D-96B3-762C81CA3D75}"/>
    <cellStyle name="40% - Accent3 3 6 3" xfId="12160" xr:uid="{00000000-0005-0000-0000-0000D73B0000}"/>
    <cellStyle name="40% - Accent3 3 6 3 2" xfId="36010" xr:uid="{96DF78E6-39B1-4D9B-BD74-4EE92F658373}"/>
    <cellStyle name="40% - Accent3 3 6 4" xfId="20115" xr:uid="{00000000-0005-0000-0000-0000D83B0000}"/>
    <cellStyle name="40% - Accent3 3 6 4 2" xfId="43948" xr:uid="{7B227922-3A36-4B6A-8735-0FD9543CF4F3}"/>
    <cellStyle name="40% - Accent3 3 6 5" xfId="28069" xr:uid="{D805C4F5-976E-46F8-8048-E0AD78FFF8E3}"/>
    <cellStyle name="40% - Accent3 3 7" xfId="5955" xr:uid="{00000000-0005-0000-0000-0000D93B0000}"/>
    <cellStyle name="40% - Accent3 3 7 2" xfId="13939" xr:uid="{00000000-0005-0000-0000-0000DA3B0000}"/>
    <cellStyle name="40% - Accent3 3 7 2 2" xfId="37783" xr:uid="{5FFA0BBB-E5C1-4DD2-9156-677A3A3AED9F}"/>
    <cellStyle name="40% - Accent3 3 7 3" xfId="21887" xr:uid="{00000000-0005-0000-0000-0000DB3B0000}"/>
    <cellStyle name="40% - Accent3 3 7 3 2" xfId="45720" xr:uid="{5A189860-2430-49CC-A808-C3E2C90F6FB0}"/>
    <cellStyle name="40% - Accent3 3 7 4" xfId="29842" xr:uid="{9937DC3D-1CF7-43C8-B0EE-5C7D2FCA7620}"/>
    <cellStyle name="40% - Accent3 3 8" xfId="9508" xr:uid="{00000000-0005-0000-0000-0000DC3B0000}"/>
    <cellStyle name="40% - Accent3 3 8 2" xfId="17466" xr:uid="{00000000-0005-0000-0000-0000DD3B0000}"/>
    <cellStyle name="40% - Accent3 3 8 2 2" xfId="41307" xr:uid="{61B7526D-0CE1-4EC7-A3F0-E228DD0F0F31}"/>
    <cellStyle name="40% - Accent3 3 8 3" xfId="25410" xr:uid="{00000000-0005-0000-0000-0000DE3B0000}"/>
    <cellStyle name="40% - Accent3 3 8 3 2" xfId="49243" xr:uid="{08CB2811-3B22-4C3A-948C-2BA88B62668A}"/>
    <cellStyle name="40% - Accent3 3 8 4" xfId="33366" xr:uid="{777666A5-5991-4C30-BE17-E73F11756B93}"/>
    <cellStyle name="40% - Accent3 3 9" xfId="10404" xr:uid="{00000000-0005-0000-0000-0000DF3B0000}"/>
    <cellStyle name="40% - Accent3 3 9 2" xfId="34254" xr:uid="{562124D9-B6EE-4B9A-AE68-95E606A83135}"/>
    <cellStyle name="40% - Accent3 3_Exh G" xfId="2985" xr:uid="{00000000-0005-0000-0000-0000E03B0000}"/>
    <cellStyle name="40% - Accent3 4" xfId="460" xr:uid="{00000000-0005-0000-0000-0000E13B0000}"/>
    <cellStyle name="40% - Accent3 4 10" xfId="18363" xr:uid="{00000000-0005-0000-0000-0000E23B0000}"/>
    <cellStyle name="40% - Accent3 4 10 2" xfId="42196" xr:uid="{083EA552-30CB-4081-8E16-C794C52BEEDE}"/>
    <cellStyle name="40% - Accent3 4 11" xfId="26316" xr:uid="{C5A4B964-8213-4E08-9D65-288D40983F98}"/>
    <cellStyle name="40% - Accent3 4 2" xfId="461" xr:uid="{00000000-0005-0000-0000-0000E33B0000}"/>
    <cellStyle name="40% - Accent3 4 2 10" xfId="26317" xr:uid="{BBB1F4A6-4D0D-4B20-8BF6-FFE8602A8A05}"/>
    <cellStyle name="40% - Accent3 4 2 2" xfId="462" xr:uid="{00000000-0005-0000-0000-0000E43B0000}"/>
    <cellStyle name="40% - Accent3 4 2 2 2" xfId="1490" xr:uid="{00000000-0005-0000-0000-0000E53B0000}"/>
    <cellStyle name="40% - Accent3 4 2 2 2 2" xfId="5020" xr:uid="{00000000-0005-0000-0000-0000E63B0000}"/>
    <cellStyle name="40% - Accent3 4 2 2 2 2 2" xfId="8611" xr:uid="{00000000-0005-0000-0000-0000E73B0000}"/>
    <cellStyle name="40% - Accent3 4 2 2 2 2 2 2" xfId="16582" xr:uid="{00000000-0005-0000-0000-0000E83B0000}"/>
    <cellStyle name="40% - Accent3 4 2 2 2 2 2 2 2" xfId="40425" xr:uid="{07145AB8-50D0-4E2C-8C8B-85FBE424318E}"/>
    <cellStyle name="40% - Accent3 4 2 2 2 2 2 3" xfId="24528" xr:uid="{00000000-0005-0000-0000-0000E93B0000}"/>
    <cellStyle name="40% - Accent3 4 2 2 2 2 2 3 2" xfId="48361" xr:uid="{BC8A04CF-5528-4059-8588-0269ADCD412B}"/>
    <cellStyle name="40% - Accent3 4 2 2 2 2 2 4" xfId="32484" xr:uid="{DC75F399-5F6B-46FE-856B-97832C6F2FF2}"/>
    <cellStyle name="40% - Accent3 4 2 2 2 2 3" xfId="13044" xr:uid="{00000000-0005-0000-0000-0000EA3B0000}"/>
    <cellStyle name="40% - Accent3 4 2 2 2 2 3 2" xfId="36894" xr:uid="{1BC1DEFD-820C-4280-81FE-80817082E31B}"/>
    <cellStyle name="40% - Accent3 4 2 2 2 2 4" xfId="20999" xr:uid="{00000000-0005-0000-0000-0000EB3B0000}"/>
    <cellStyle name="40% - Accent3 4 2 2 2 2 4 2" xfId="44832" xr:uid="{72BCCBBF-3901-4A77-9604-D2E81506919D}"/>
    <cellStyle name="40% - Accent3 4 2 2 2 2 5" xfId="28953" xr:uid="{FB980035-0FC0-4120-B758-D9A9954BAA89}"/>
    <cellStyle name="40% - Accent3 4 2 2 2 3" xfId="6852" xr:uid="{00000000-0005-0000-0000-0000EC3B0000}"/>
    <cellStyle name="40% - Accent3 4 2 2 2 3 2" xfId="14824" xr:uid="{00000000-0005-0000-0000-0000ED3B0000}"/>
    <cellStyle name="40% - Accent3 4 2 2 2 3 2 2" xfId="38667" xr:uid="{0280F0D0-2F11-4284-AB56-0403A49DE79A}"/>
    <cellStyle name="40% - Accent3 4 2 2 2 3 3" xfId="22771" xr:uid="{00000000-0005-0000-0000-0000EE3B0000}"/>
    <cellStyle name="40% - Accent3 4 2 2 2 3 3 2" xfId="46604" xr:uid="{275070BC-73AA-414E-9FBA-14D0821BEB2E}"/>
    <cellStyle name="40% - Accent3 4 2 2 2 3 4" xfId="30726" xr:uid="{D53C4FD9-E243-4566-A040-C3E2B46C3D44}"/>
    <cellStyle name="40% - Accent3 4 2 2 2 4" xfId="11288" xr:uid="{00000000-0005-0000-0000-0000EF3B0000}"/>
    <cellStyle name="40% - Accent3 4 2 2 2 4 2" xfId="35138" xr:uid="{F4FD6BEC-9AAD-4383-9D97-F7D8919379CC}"/>
    <cellStyle name="40% - Accent3 4 2 2 2 5" xfId="19243" xr:uid="{00000000-0005-0000-0000-0000F03B0000}"/>
    <cellStyle name="40% - Accent3 4 2 2 2 5 2" xfId="43076" xr:uid="{2CFE3F75-4BAD-40DD-801C-5E9E65BE88D0}"/>
    <cellStyle name="40% - Accent3 4 2 2 2 6" xfId="27196" xr:uid="{9E82563F-310B-479C-89A6-CDF8EB5FD463}"/>
    <cellStyle name="40% - Accent3 4 2 2 2_Exh G" xfId="3000" xr:uid="{00000000-0005-0000-0000-0000F13B0000}"/>
    <cellStyle name="40% - Accent3 4 2 2 3" xfId="4141" xr:uid="{00000000-0005-0000-0000-0000F23B0000}"/>
    <cellStyle name="40% - Accent3 4 2 2 3 2" xfId="7733" xr:uid="{00000000-0005-0000-0000-0000F33B0000}"/>
    <cellStyle name="40% - Accent3 4 2 2 3 2 2" xfId="15704" xr:uid="{00000000-0005-0000-0000-0000F43B0000}"/>
    <cellStyle name="40% - Accent3 4 2 2 3 2 2 2" xfId="39547" xr:uid="{910660F2-7411-4EBB-B2CF-E8C6574ABDB9}"/>
    <cellStyle name="40% - Accent3 4 2 2 3 2 3" xfId="23650" xr:uid="{00000000-0005-0000-0000-0000F53B0000}"/>
    <cellStyle name="40% - Accent3 4 2 2 3 2 3 2" xfId="47483" xr:uid="{12095A46-A782-48DD-A576-E9D50CD09ADA}"/>
    <cellStyle name="40% - Accent3 4 2 2 3 2 4" xfId="31606" xr:uid="{34DC128E-74E3-4E45-B9E2-578798EE45CE}"/>
    <cellStyle name="40% - Accent3 4 2 2 3 3" xfId="12166" xr:uid="{00000000-0005-0000-0000-0000F63B0000}"/>
    <cellStyle name="40% - Accent3 4 2 2 3 3 2" xfId="36016" xr:uid="{2F4303D3-965A-4ED9-8D85-30999B139DE2}"/>
    <cellStyle name="40% - Accent3 4 2 2 3 4" xfId="20121" xr:uid="{00000000-0005-0000-0000-0000F73B0000}"/>
    <cellStyle name="40% - Accent3 4 2 2 3 4 2" xfId="43954" xr:uid="{FF501675-452C-44AC-BFD3-83BC12482D9A}"/>
    <cellStyle name="40% - Accent3 4 2 2 3 5" xfId="28075" xr:uid="{7C78639C-C22B-4C50-B423-EAF7BF8914BC}"/>
    <cellStyle name="40% - Accent3 4 2 2 4" xfId="5961" xr:uid="{00000000-0005-0000-0000-0000F83B0000}"/>
    <cellStyle name="40% - Accent3 4 2 2 4 2" xfId="13945" xr:uid="{00000000-0005-0000-0000-0000F93B0000}"/>
    <cellStyle name="40% - Accent3 4 2 2 4 2 2" xfId="37789" xr:uid="{90A7F065-F2A8-4D60-B4AC-45E88801D25E}"/>
    <cellStyle name="40% - Accent3 4 2 2 4 3" xfId="21893" xr:uid="{00000000-0005-0000-0000-0000FA3B0000}"/>
    <cellStyle name="40% - Accent3 4 2 2 4 3 2" xfId="45726" xr:uid="{4E91EE10-DEA5-4769-8AA5-10BDE200EB35}"/>
    <cellStyle name="40% - Accent3 4 2 2 4 4" xfId="29848" xr:uid="{F6D5D7EB-C190-4778-92D4-71229BFEF1C8}"/>
    <cellStyle name="40% - Accent3 4 2 2 5" xfId="9514" xr:uid="{00000000-0005-0000-0000-0000FB3B0000}"/>
    <cellStyle name="40% - Accent3 4 2 2 5 2" xfId="17472" xr:uid="{00000000-0005-0000-0000-0000FC3B0000}"/>
    <cellStyle name="40% - Accent3 4 2 2 5 2 2" xfId="41313" xr:uid="{CCF3D827-8FE1-41CF-BA63-B6B7A9B60C5A}"/>
    <cellStyle name="40% - Accent3 4 2 2 5 3" xfId="25416" xr:uid="{00000000-0005-0000-0000-0000FD3B0000}"/>
    <cellStyle name="40% - Accent3 4 2 2 5 3 2" xfId="49249" xr:uid="{E974DEF0-3397-4544-9096-453E7B52C656}"/>
    <cellStyle name="40% - Accent3 4 2 2 5 4" xfId="33372" xr:uid="{7FDF6200-4222-41F9-947B-CD86018A4674}"/>
    <cellStyle name="40% - Accent3 4 2 2 6" xfId="10410" xr:uid="{00000000-0005-0000-0000-0000FE3B0000}"/>
    <cellStyle name="40% - Accent3 4 2 2 6 2" xfId="34260" xr:uid="{202AEB9A-E9A5-4349-AB6F-80439CBEC6F1}"/>
    <cellStyle name="40% - Accent3 4 2 2 7" xfId="18365" xr:uid="{00000000-0005-0000-0000-0000FF3B0000}"/>
    <cellStyle name="40% - Accent3 4 2 2 7 2" xfId="42198" xr:uid="{3217A9CF-F82E-4B48-9703-31780921E173}"/>
    <cellStyle name="40% - Accent3 4 2 2 8" xfId="26318" xr:uid="{09287879-65AD-41EC-AB49-CC9413E0DD63}"/>
    <cellStyle name="40% - Accent3 4 2 2_Exh G" xfId="2999" xr:uid="{00000000-0005-0000-0000-0000003C0000}"/>
    <cellStyle name="40% - Accent3 4 2 3" xfId="964" xr:uid="{00000000-0005-0000-0000-0000013C0000}"/>
    <cellStyle name="40% - Accent3 4 2 3 2" xfId="1884" xr:uid="{00000000-0005-0000-0000-0000023C0000}"/>
    <cellStyle name="40% - Accent3 4 2 3 2 2" xfId="5402" xr:uid="{00000000-0005-0000-0000-0000033C0000}"/>
    <cellStyle name="40% - Accent3 4 2 3 2 2 2" xfId="8993" xr:uid="{00000000-0005-0000-0000-0000043C0000}"/>
    <cellStyle name="40% - Accent3 4 2 3 2 2 2 2" xfId="16964" xr:uid="{00000000-0005-0000-0000-0000053C0000}"/>
    <cellStyle name="40% - Accent3 4 2 3 2 2 2 2 2" xfId="40807" xr:uid="{E1147E88-89BF-472E-9325-59099D74D654}"/>
    <cellStyle name="40% - Accent3 4 2 3 2 2 2 3" xfId="24910" xr:uid="{00000000-0005-0000-0000-0000063C0000}"/>
    <cellStyle name="40% - Accent3 4 2 3 2 2 2 3 2" xfId="48743" xr:uid="{C1869313-6DF6-4AB9-95B0-07DF955A234A}"/>
    <cellStyle name="40% - Accent3 4 2 3 2 2 2 4" xfId="32866" xr:uid="{F0EF9015-650D-4E05-8271-78B807DD169A}"/>
    <cellStyle name="40% - Accent3 4 2 3 2 2 3" xfId="13426" xr:uid="{00000000-0005-0000-0000-0000073C0000}"/>
    <cellStyle name="40% - Accent3 4 2 3 2 2 3 2" xfId="37276" xr:uid="{BC5AB502-D01B-416E-9AFA-DCC62BFBE3D7}"/>
    <cellStyle name="40% - Accent3 4 2 3 2 2 4" xfId="21381" xr:uid="{00000000-0005-0000-0000-0000083C0000}"/>
    <cellStyle name="40% - Accent3 4 2 3 2 2 4 2" xfId="45214" xr:uid="{036B9A97-6B2F-49EE-892E-3FD194219837}"/>
    <cellStyle name="40% - Accent3 4 2 3 2 2 5" xfId="29335" xr:uid="{3B4ED4BE-5C89-4FA4-AFD5-7EA1B83F4428}"/>
    <cellStyle name="40% - Accent3 4 2 3 2 3" xfId="7234" xr:uid="{00000000-0005-0000-0000-0000093C0000}"/>
    <cellStyle name="40% - Accent3 4 2 3 2 3 2" xfId="15206" xr:uid="{00000000-0005-0000-0000-00000A3C0000}"/>
    <cellStyle name="40% - Accent3 4 2 3 2 3 2 2" xfId="39049" xr:uid="{3E7618E6-F4DD-445A-8A0A-093D30D57B08}"/>
    <cellStyle name="40% - Accent3 4 2 3 2 3 3" xfId="23153" xr:uid="{00000000-0005-0000-0000-00000B3C0000}"/>
    <cellStyle name="40% - Accent3 4 2 3 2 3 3 2" xfId="46986" xr:uid="{A3E024E8-926C-438E-9F40-977D91138342}"/>
    <cellStyle name="40% - Accent3 4 2 3 2 3 4" xfId="31108" xr:uid="{3D6D8093-9EA3-485C-B47C-19147F0C8751}"/>
    <cellStyle name="40% - Accent3 4 2 3 2 4" xfId="11670" xr:uid="{00000000-0005-0000-0000-00000C3C0000}"/>
    <cellStyle name="40% - Accent3 4 2 3 2 4 2" xfId="35520" xr:uid="{129763D1-75DB-429A-B6DC-BB57960F8D2E}"/>
    <cellStyle name="40% - Accent3 4 2 3 2 5" xfId="19625" xr:uid="{00000000-0005-0000-0000-00000D3C0000}"/>
    <cellStyle name="40% - Accent3 4 2 3 2 5 2" xfId="43458" xr:uid="{71DD4D7D-DEDC-49C7-9D8B-E8EEDA3E8335}"/>
    <cellStyle name="40% - Accent3 4 2 3 2 6" xfId="27578" xr:uid="{0B930F81-068E-4CCB-B92D-D514D45FEF76}"/>
    <cellStyle name="40% - Accent3 4 2 3 2_Exh G" xfId="3002" xr:uid="{00000000-0005-0000-0000-00000E3C0000}"/>
    <cellStyle name="40% - Accent3 4 2 3 3" xfId="4523" xr:uid="{00000000-0005-0000-0000-00000F3C0000}"/>
    <cellStyle name="40% - Accent3 4 2 3 3 2" xfId="8115" xr:uid="{00000000-0005-0000-0000-0000103C0000}"/>
    <cellStyle name="40% - Accent3 4 2 3 3 2 2" xfId="16086" xr:uid="{00000000-0005-0000-0000-0000113C0000}"/>
    <cellStyle name="40% - Accent3 4 2 3 3 2 2 2" xfId="39929" xr:uid="{FFEB20B1-9F0D-4082-9160-E6274992DA42}"/>
    <cellStyle name="40% - Accent3 4 2 3 3 2 3" xfId="24032" xr:uid="{00000000-0005-0000-0000-0000123C0000}"/>
    <cellStyle name="40% - Accent3 4 2 3 3 2 3 2" xfId="47865" xr:uid="{C4E6BDEA-3510-475C-8EC7-425ACF1DDFCF}"/>
    <cellStyle name="40% - Accent3 4 2 3 3 2 4" xfId="31988" xr:uid="{4EED5E82-4B7D-462C-BAAE-2BAE61E9E271}"/>
    <cellStyle name="40% - Accent3 4 2 3 3 3" xfId="12548" xr:uid="{00000000-0005-0000-0000-0000133C0000}"/>
    <cellStyle name="40% - Accent3 4 2 3 3 3 2" xfId="36398" xr:uid="{BCA1BCF2-7AB4-4512-A276-0286479DFDF3}"/>
    <cellStyle name="40% - Accent3 4 2 3 3 4" xfId="20503" xr:uid="{00000000-0005-0000-0000-0000143C0000}"/>
    <cellStyle name="40% - Accent3 4 2 3 3 4 2" xfId="44336" xr:uid="{71CB90B9-402A-43B9-8339-C82FD2B49014}"/>
    <cellStyle name="40% - Accent3 4 2 3 3 5" xfId="28457" xr:uid="{E8787B20-9F10-4FE9-ADC3-9DA70EE7C209}"/>
    <cellStyle name="40% - Accent3 4 2 3 4" xfId="6353" xr:uid="{00000000-0005-0000-0000-0000153C0000}"/>
    <cellStyle name="40% - Accent3 4 2 3 4 2" xfId="14328" xr:uid="{00000000-0005-0000-0000-0000163C0000}"/>
    <cellStyle name="40% - Accent3 4 2 3 4 2 2" xfId="38171" xr:uid="{DC17750B-1777-4741-A6DA-8B13C1A7C029}"/>
    <cellStyle name="40% - Accent3 4 2 3 4 3" xfId="22275" xr:uid="{00000000-0005-0000-0000-0000173C0000}"/>
    <cellStyle name="40% - Accent3 4 2 3 4 3 2" xfId="46108" xr:uid="{2D364280-546E-40BB-8B00-28AFF01DE7A0}"/>
    <cellStyle name="40% - Accent3 4 2 3 4 4" xfId="30230" xr:uid="{8CCD2876-4717-42D8-AFDD-72BEE7E966B4}"/>
    <cellStyle name="40% - Accent3 4 2 3 5" xfId="9896" xr:uid="{00000000-0005-0000-0000-0000183C0000}"/>
    <cellStyle name="40% - Accent3 4 2 3 5 2" xfId="17854" xr:uid="{00000000-0005-0000-0000-0000193C0000}"/>
    <cellStyle name="40% - Accent3 4 2 3 5 2 2" xfId="41695" xr:uid="{BC329F0E-D88F-4F9A-AD05-40B80CC2F9EB}"/>
    <cellStyle name="40% - Accent3 4 2 3 5 3" xfId="25798" xr:uid="{00000000-0005-0000-0000-00001A3C0000}"/>
    <cellStyle name="40% - Accent3 4 2 3 5 3 2" xfId="49631" xr:uid="{98988B97-B5FC-4FC1-9762-15E78B8D5AB8}"/>
    <cellStyle name="40% - Accent3 4 2 3 5 4" xfId="33754" xr:uid="{3093EEA6-621C-4023-B328-6BF86205CEAB}"/>
    <cellStyle name="40% - Accent3 4 2 3 6" xfId="10792" xr:uid="{00000000-0005-0000-0000-00001B3C0000}"/>
    <cellStyle name="40% - Accent3 4 2 3 6 2" xfId="34642" xr:uid="{97586E01-8F15-4C25-B663-533C4E815E9E}"/>
    <cellStyle name="40% - Accent3 4 2 3 7" xfId="18747" xr:uid="{00000000-0005-0000-0000-00001C3C0000}"/>
    <cellStyle name="40% - Accent3 4 2 3 7 2" xfId="42580" xr:uid="{EB31EA63-F847-4AB9-81F0-9B53493FB081}"/>
    <cellStyle name="40% - Accent3 4 2 3 8" xfId="26700" xr:uid="{8B49B5D4-4FBA-421A-86C6-7A144D67792C}"/>
    <cellStyle name="40% - Accent3 4 2 3_Exh G" xfId="3001" xr:uid="{00000000-0005-0000-0000-00001D3C0000}"/>
    <cellStyle name="40% - Accent3 4 2 4" xfId="1489" xr:uid="{00000000-0005-0000-0000-00001E3C0000}"/>
    <cellStyle name="40% - Accent3 4 2 4 2" xfId="5019" xr:uid="{00000000-0005-0000-0000-00001F3C0000}"/>
    <cellStyle name="40% - Accent3 4 2 4 2 2" xfId="8610" xr:uid="{00000000-0005-0000-0000-0000203C0000}"/>
    <cellStyle name="40% - Accent3 4 2 4 2 2 2" xfId="16581" xr:uid="{00000000-0005-0000-0000-0000213C0000}"/>
    <cellStyle name="40% - Accent3 4 2 4 2 2 2 2" xfId="40424" xr:uid="{12DCC574-66BF-422B-BEF8-290A04120922}"/>
    <cellStyle name="40% - Accent3 4 2 4 2 2 3" xfId="24527" xr:uid="{00000000-0005-0000-0000-0000223C0000}"/>
    <cellStyle name="40% - Accent3 4 2 4 2 2 3 2" xfId="48360" xr:uid="{9298AFC0-203B-40E3-83AF-39C2B74E4B77}"/>
    <cellStyle name="40% - Accent3 4 2 4 2 2 4" xfId="32483" xr:uid="{44B79C7D-C68C-45FB-B557-F6EF200BBDA7}"/>
    <cellStyle name="40% - Accent3 4 2 4 2 3" xfId="13043" xr:uid="{00000000-0005-0000-0000-0000233C0000}"/>
    <cellStyle name="40% - Accent3 4 2 4 2 3 2" xfId="36893" xr:uid="{92E86F2B-B2F1-4908-9937-C3187C9DD798}"/>
    <cellStyle name="40% - Accent3 4 2 4 2 4" xfId="20998" xr:uid="{00000000-0005-0000-0000-0000243C0000}"/>
    <cellStyle name="40% - Accent3 4 2 4 2 4 2" xfId="44831" xr:uid="{314B1669-0C86-46A5-A776-34E4B7C493B1}"/>
    <cellStyle name="40% - Accent3 4 2 4 2 5" xfId="28952" xr:uid="{BC45F763-096C-4FB0-8FEA-A2ED1F908332}"/>
    <cellStyle name="40% - Accent3 4 2 4 3" xfId="6851" xr:uid="{00000000-0005-0000-0000-0000253C0000}"/>
    <cellStyle name="40% - Accent3 4 2 4 3 2" xfId="14823" xr:uid="{00000000-0005-0000-0000-0000263C0000}"/>
    <cellStyle name="40% - Accent3 4 2 4 3 2 2" xfId="38666" xr:uid="{5C798A53-0F38-4E64-989B-27F90F4136C2}"/>
    <cellStyle name="40% - Accent3 4 2 4 3 3" xfId="22770" xr:uid="{00000000-0005-0000-0000-0000273C0000}"/>
    <cellStyle name="40% - Accent3 4 2 4 3 3 2" xfId="46603" xr:uid="{6E0DD0FD-01E7-4282-9F8F-7E5C8CF31475}"/>
    <cellStyle name="40% - Accent3 4 2 4 3 4" xfId="30725" xr:uid="{564607FA-8212-4A7A-ACF5-5964973DB079}"/>
    <cellStyle name="40% - Accent3 4 2 4 4" xfId="11287" xr:uid="{00000000-0005-0000-0000-0000283C0000}"/>
    <cellStyle name="40% - Accent3 4 2 4 4 2" xfId="35137" xr:uid="{24D04E11-82EA-4561-972F-7A0B91ED2BA4}"/>
    <cellStyle name="40% - Accent3 4 2 4 5" xfId="19242" xr:uid="{00000000-0005-0000-0000-0000293C0000}"/>
    <cellStyle name="40% - Accent3 4 2 4 5 2" xfId="43075" xr:uid="{5D6A89E2-12C6-4271-9A76-828494171A75}"/>
    <cellStyle name="40% - Accent3 4 2 4 6" xfId="27195" xr:uid="{014C2E80-FBE1-44F4-92E9-CA7B91DA8A64}"/>
    <cellStyle name="40% - Accent3 4 2 4_Exh G" xfId="3003" xr:uid="{00000000-0005-0000-0000-00002A3C0000}"/>
    <cellStyle name="40% - Accent3 4 2 5" xfId="4140" xr:uid="{00000000-0005-0000-0000-00002B3C0000}"/>
    <cellStyle name="40% - Accent3 4 2 5 2" xfId="7732" xr:uid="{00000000-0005-0000-0000-00002C3C0000}"/>
    <cellStyle name="40% - Accent3 4 2 5 2 2" xfId="15703" xr:uid="{00000000-0005-0000-0000-00002D3C0000}"/>
    <cellStyle name="40% - Accent3 4 2 5 2 2 2" xfId="39546" xr:uid="{193D440B-9A0F-4701-9CD4-C5A052D733C4}"/>
    <cellStyle name="40% - Accent3 4 2 5 2 3" xfId="23649" xr:uid="{00000000-0005-0000-0000-00002E3C0000}"/>
    <cellStyle name="40% - Accent3 4 2 5 2 3 2" xfId="47482" xr:uid="{41BDFAFA-FC8B-4318-ABF1-EFDAD74FA7B3}"/>
    <cellStyle name="40% - Accent3 4 2 5 2 4" xfId="31605" xr:uid="{1D4156FC-359E-4AAF-A53C-7486848D2CDD}"/>
    <cellStyle name="40% - Accent3 4 2 5 3" xfId="12165" xr:uid="{00000000-0005-0000-0000-00002F3C0000}"/>
    <cellStyle name="40% - Accent3 4 2 5 3 2" xfId="36015" xr:uid="{EF2DE0F3-3ADE-4B1D-90B1-FC6EA84A60F4}"/>
    <cellStyle name="40% - Accent3 4 2 5 4" xfId="20120" xr:uid="{00000000-0005-0000-0000-0000303C0000}"/>
    <cellStyle name="40% - Accent3 4 2 5 4 2" xfId="43953" xr:uid="{1E8F7F11-A415-46A4-9DA4-F23FFB91009F}"/>
    <cellStyle name="40% - Accent3 4 2 5 5" xfId="28074" xr:uid="{952D0B3B-1073-4D36-8506-883DEC9FA9D5}"/>
    <cellStyle name="40% - Accent3 4 2 6" xfId="5960" xr:uid="{00000000-0005-0000-0000-0000313C0000}"/>
    <cellStyle name="40% - Accent3 4 2 6 2" xfId="13944" xr:uid="{00000000-0005-0000-0000-0000323C0000}"/>
    <cellStyle name="40% - Accent3 4 2 6 2 2" xfId="37788" xr:uid="{5E40EFE8-0688-4E20-9956-3CB939ED4E38}"/>
    <cellStyle name="40% - Accent3 4 2 6 3" xfId="21892" xr:uid="{00000000-0005-0000-0000-0000333C0000}"/>
    <cellStyle name="40% - Accent3 4 2 6 3 2" xfId="45725" xr:uid="{0F77C67B-B520-4086-8314-A15BE7AA8860}"/>
    <cellStyle name="40% - Accent3 4 2 6 4" xfId="29847" xr:uid="{0477ADDB-738D-430C-8408-56F3F69EFDE5}"/>
    <cellStyle name="40% - Accent3 4 2 7" xfId="9513" xr:uid="{00000000-0005-0000-0000-0000343C0000}"/>
    <cellStyle name="40% - Accent3 4 2 7 2" xfId="17471" xr:uid="{00000000-0005-0000-0000-0000353C0000}"/>
    <cellStyle name="40% - Accent3 4 2 7 2 2" xfId="41312" xr:uid="{21B48F5A-449D-46F7-A372-0165B829C10D}"/>
    <cellStyle name="40% - Accent3 4 2 7 3" xfId="25415" xr:uid="{00000000-0005-0000-0000-0000363C0000}"/>
    <cellStyle name="40% - Accent3 4 2 7 3 2" xfId="49248" xr:uid="{E70708E2-4495-45F0-8331-B2FFCEA1893C}"/>
    <cellStyle name="40% - Accent3 4 2 7 4" xfId="33371" xr:uid="{C5AE0180-0B16-45B4-A01A-5A6E8F4C4C1A}"/>
    <cellStyle name="40% - Accent3 4 2 8" xfId="10409" xr:uid="{00000000-0005-0000-0000-0000373C0000}"/>
    <cellStyle name="40% - Accent3 4 2 8 2" xfId="34259" xr:uid="{48A91A74-9827-49E9-B6C3-53B05613E75B}"/>
    <cellStyle name="40% - Accent3 4 2 9" xfId="18364" xr:uid="{00000000-0005-0000-0000-0000383C0000}"/>
    <cellStyle name="40% - Accent3 4 2 9 2" xfId="42197" xr:uid="{1F624EBD-6EA6-4DAB-9897-2BC79A9EB4A8}"/>
    <cellStyle name="40% - Accent3 4 2_Exh G" xfId="2998" xr:uid="{00000000-0005-0000-0000-0000393C0000}"/>
    <cellStyle name="40% - Accent3 4 3" xfId="463" xr:uid="{00000000-0005-0000-0000-00003A3C0000}"/>
    <cellStyle name="40% - Accent3 4 3 2" xfId="1491" xr:uid="{00000000-0005-0000-0000-00003B3C0000}"/>
    <cellStyle name="40% - Accent3 4 3 2 2" xfId="5021" xr:uid="{00000000-0005-0000-0000-00003C3C0000}"/>
    <cellStyle name="40% - Accent3 4 3 2 2 2" xfId="8612" xr:uid="{00000000-0005-0000-0000-00003D3C0000}"/>
    <cellStyle name="40% - Accent3 4 3 2 2 2 2" xfId="16583" xr:uid="{00000000-0005-0000-0000-00003E3C0000}"/>
    <cellStyle name="40% - Accent3 4 3 2 2 2 2 2" xfId="40426" xr:uid="{589BFE74-4C91-460B-AB72-6BE17A3D3459}"/>
    <cellStyle name="40% - Accent3 4 3 2 2 2 3" xfId="24529" xr:uid="{00000000-0005-0000-0000-00003F3C0000}"/>
    <cellStyle name="40% - Accent3 4 3 2 2 2 3 2" xfId="48362" xr:uid="{50DB55D1-F560-47CF-B0B0-609E3743C5BC}"/>
    <cellStyle name="40% - Accent3 4 3 2 2 2 4" xfId="32485" xr:uid="{8D71DD1A-A752-43FA-B7A4-C30A62290EFA}"/>
    <cellStyle name="40% - Accent3 4 3 2 2 3" xfId="13045" xr:uid="{00000000-0005-0000-0000-0000403C0000}"/>
    <cellStyle name="40% - Accent3 4 3 2 2 3 2" xfId="36895" xr:uid="{CC2623B5-4425-4015-85A9-78C9F561B909}"/>
    <cellStyle name="40% - Accent3 4 3 2 2 4" xfId="21000" xr:uid="{00000000-0005-0000-0000-0000413C0000}"/>
    <cellStyle name="40% - Accent3 4 3 2 2 4 2" xfId="44833" xr:uid="{A68FB554-16C6-438E-83F7-430A293F2E82}"/>
    <cellStyle name="40% - Accent3 4 3 2 2 5" xfId="28954" xr:uid="{16751509-1508-49D3-8614-A27345E2AFFF}"/>
    <cellStyle name="40% - Accent3 4 3 2 3" xfId="6853" xr:uid="{00000000-0005-0000-0000-0000423C0000}"/>
    <cellStyle name="40% - Accent3 4 3 2 3 2" xfId="14825" xr:uid="{00000000-0005-0000-0000-0000433C0000}"/>
    <cellStyle name="40% - Accent3 4 3 2 3 2 2" xfId="38668" xr:uid="{C0A460BF-3AC1-42A0-A09A-01D18A6A3BA5}"/>
    <cellStyle name="40% - Accent3 4 3 2 3 3" xfId="22772" xr:uid="{00000000-0005-0000-0000-0000443C0000}"/>
    <cellStyle name="40% - Accent3 4 3 2 3 3 2" xfId="46605" xr:uid="{B8D37BE7-F506-4E2A-A67E-3807169A850F}"/>
    <cellStyle name="40% - Accent3 4 3 2 3 4" xfId="30727" xr:uid="{05D6A72C-9AF2-4729-B59B-01B15A4EF4B8}"/>
    <cellStyle name="40% - Accent3 4 3 2 4" xfId="11289" xr:uid="{00000000-0005-0000-0000-0000453C0000}"/>
    <cellStyle name="40% - Accent3 4 3 2 4 2" xfId="35139" xr:uid="{9122C714-9DD0-417E-9A61-BF8505128C8B}"/>
    <cellStyle name="40% - Accent3 4 3 2 5" xfId="19244" xr:uid="{00000000-0005-0000-0000-0000463C0000}"/>
    <cellStyle name="40% - Accent3 4 3 2 5 2" xfId="43077" xr:uid="{D75048B6-ABBE-4801-AD98-185203AC063C}"/>
    <cellStyle name="40% - Accent3 4 3 2 6" xfId="27197" xr:uid="{01C13532-88CE-4400-880C-8C2FB5F36DAF}"/>
    <cellStyle name="40% - Accent3 4 3 2_Exh G" xfId="3005" xr:uid="{00000000-0005-0000-0000-0000473C0000}"/>
    <cellStyle name="40% - Accent3 4 3 3" xfId="4142" xr:uid="{00000000-0005-0000-0000-0000483C0000}"/>
    <cellStyle name="40% - Accent3 4 3 3 2" xfId="7734" xr:uid="{00000000-0005-0000-0000-0000493C0000}"/>
    <cellStyle name="40% - Accent3 4 3 3 2 2" xfId="15705" xr:uid="{00000000-0005-0000-0000-00004A3C0000}"/>
    <cellStyle name="40% - Accent3 4 3 3 2 2 2" xfId="39548" xr:uid="{5552502C-4431-43B4-A535-8AA78D504FDB}"/>
    <cellStyle name="40% - Accent3 4 3 3 2 3" xfId="23651" xr:uid="{00000000-0005-0000-0000-00004B3C0000}"/>
    <cellStyle name="40% - Accent3 4 3 3 2 3 2" xfId="47484" xr:uid="{76762339-517B-4FB1-B26A-663F085D503F}"/>
    <cellStyle name="40% - Accent3 4 3 3 2 4" xfId="31607" xr:uid="{5C259FF4-FC2C-41FE-A429-E4FD341CC0C2}"/>
    <cellStyle name="40% - Accent3 4 3 3 3" xfId="12167" xr:uid="{00000000-0005-0000-0000-00004C3C0000}"/>
    <cellStyle name="40% - Accent3 4 3 3 3 2" xfId="36017" xr:uid="{9897B066-02BA-429F-B64A-C24C86C37A0F}"/>
    <cellStyle name="40% - Accent3 4 3 3 4" xfId="20122" xr:uid="{00000000-0005-0000-0000-00004D3C0000}"/>
    <cellStyle name="40% - Accent3 4 3 3 4 2" xfId="43955" xr:uid="{5AD43100-8C35-4BFA-8356-03BC3C468594}"/>
    <cellStyle name="40% - Accent3 4 3 3 5" xfId="28076" xr:uid="{6AC7AD36-90AF-4547-9CCA-78D27FD6615B}"/>
    <cellStyle name="40% - Accent3 4 3 4" xfId="5962" xr:uid="{00000000-0005-0000-0000-00004E3C0000}"/>
    <cellStyle name="40% - Accent3 4 3 4 2" xfId="13946" xr:uid="{00000000-0005-0000-0000-00004F3C0000}"/>
    <cellStyle name="40% - Accent3 4 3 4 2 2" xfId="37790" xr:uid="{81F90F61-C0E3-4C83-901B-9B539A0AA444}"/>
    <cellStyle name="40% - Accent3 4 3 4 3" xfId="21894" xr:uid="{00000000-0005-0000-0000-0000503C0000}"/>
    <cellStyle name="40% - Accent3 4 3 4 3 2" xfId="45727" xr:uid="{1DFDE7C9-6FB5-4435-B82E-882B40AE59EA}"/>
    <cellStyle name="40% - Accent3 4 3 4 4" xfId="29849" xr:uid="{102C31AF-9C3D-42D2-B557-8FE4B41CA84E}"/>
    <cellStyle name="40% - Accent3 4 3 5" xfId="9515" xr:uid="{00000000-0005-0000-0000-0000513C0000}"/>
    <cellStyle name="40% - Accent3 4 3 5 2" xfId="17473" xr:uid="{00000000-0005-0000-0000-0000523C0000}"/>
    <cellStyle name="40% - Accent3 4 3 5 2 2" xfId="41314" xr:uid="{400724F2-EA92-4811-B260-91FB389CD415}"/>
    <cellStyle name="40% - Accent3 4 3 5 3" xfId="25417" xr:uid="{00000000-0005-0000-0000-0000533C0000}"/>
    <cellStyle name="40% - Accent3 4 3 5 3 2" xfId="49250" xr:uid="{82141517-C136-4976-835A-F7925FB2567C}"/>
    <cellStyle name="40% - Accent3 4 3 5 4" xfId="33373" xr:uid="{9B4CC504-F648-47B3-8A40-03686BD221DC}"/>
    <cellStyle name="40% - Accent3 4 3 6" xfId="10411" xr:uid="{00000000-0005-0000-0000-0000543C0000}"/>
    <cellStyle name="40% - Accent3 4 3 6 2" xfId="34261" xr:uid="{9675AB7C-FB84-4636-9892-5840E7966A72}"/>
    <cellStyle name="40% - Accent3 4 3 7" xfId="18366" xr:uid="{00000000-0005-0000-0000-0000553C0000}"/>
    <cellStyle name="40% - Accent3 4 3 7 2" xfId="42199" xr:uid="{397A2CD4-D381-476F-A7FA-89CD28034A70}"/>
    <cellStyle name="40% - Accent3 4 3 8" xfId="26319" xr:uid="{5ABE673C-3255-467F-9E69-78D1AE4905B4}"/>
    <cellStyle name="40% - Accent3 4 3_Exh G" xfId="3004" xr:uid="{00000000-0005-0000-0000-0000563C0000}"/>
    <cellStyle name="40% - Accent3 4 4" xfId="963" xr:uid="{00000000-0005-0000-0000-0000573C0000}"/>
    <cellStyle name="40% - Accent3 4 4 2" xfId="1883" xr:uid="{00000000-0005-0000-0000-0000583C0000}"/>
    <cellStyle name="40% - Accent3 4 4 2 2" xfId="5401" xr:uid="{00000000-0005-0000-0000-0000593C0000}"/>
    <cellStyle name="40% - Accent3 4 4 2 2 2" xfId="8992" xr:uid="{00000000-0005-0000-0000-00005A3C0000}"/>
    <cellStyle name="40% - Accent3 4 4 2 2 2 2" xfId="16963" xr:uid="{00000000-0005-0000-0000-00005B3C0000}"/>
    <cellStyle name="40% - Accent3 4 4 2 2 2 2 2" xfId="40806" xr:uid="{08941125-DB05-483A-99CA-5C5B85AB621F}"/>
    <cellStyle name="40% - Accent3 4 4 2 2 2 3" xfId="24909" xr:uid="{00000000-0005-0000-0000-00005C3C0000}"/>
    <cellStyle name="40% - Accent3 4 4 2 2 2 3 2" xfId="48742" xr:uid="{BFF9E59D-1408-4421-A43B-14BEF8539E70}"/>
    <cellStyle name="40% - Accent3 4 4 2 2 2 4" xfId="32865" xr:uid="{69783CED-883E-468A-9D64-3C959C3E7973}"/>
    <cellStyle name="40% - Accent3 4 4 2 2 3" xfId="13425" xr:uid="{00000000-0005-0000-0000-00005D3C0000}"/>
    <cellStyle name="40% - Accent3 4 4 2 2 3 2" xfId="37275" xr:uid="{4469915C-3DC7-47B2-B64A-28B8FC699430}"/>
    <cellStyle name="40% - Accent3 4 4 2 2 4" xfId="21380" xr:uid="{00000000-0005-0000-0000-00005E3C0000}"/>
    <cellStyle name="40% - Accent3 4 4 2 2 4 2" xfId="45213" xr:uid="{1F17C5E4-5111-4A82-BAEB-02D9F9FF1B75}"/>
    <cellStyle name="40% - Accent3 4 4 2 2 5" xfId="29334" xr:uid="{DBAB1348-28FA-4095-8A06-AFC6A2C17E88}"/>
    <cellStyle name="40% - Accent3 4 4 2 3" xfId="7233" xr:uid="{00000000-0005-0000-0000-00005F3C0000}"/>
    <cellStyle name="40% - Accent3 4 4 2 3 2" xfId="15205" xr:uid="{00000000-0005-0000-0000-0000603C0000}"/>
    <cellStyle name="40% - Accent3 4 4 2 3 2 2" xfId="39048" xr:uid="{4B634388-1658-432A-BFEA-CE6C041397EA}"/>
    <cellStyle name="40% - Accent3 4 4 2 3 3" xfId="23152" xr:uid="{00000000-0005-0000-0000-0000613C0000}"/>
    <cellStyle name="40% - Accent3 4 4 2 3 3 2" xfId="46985" xr:uid="{7A5EE7BE-3A29-4EC4-99EF-CA8F0EA3F2B4}"/>
    <cellStyle name="40% - Accent3 4 4 2 3 4" xfId="31107" xr:uid="{9011D163-7F62-496E-AE82-4AB512769F3D}"/>
    <cellStyle name="40% - Accent3 4 4 2 4" xfId="11669" xr:uid="{00000000-0005-0000-0000-0000623C0000}"/>
    <cellStyle name="40% - Accent3 4 4 2 4 2" xfId="35519" xr:uid="{66B109F8-73A3-4434-8235-AC36B02EB529}"/>
    <cellStyle name="40% - Accent3 4 4 2 5" xfId="19624" xr:uid="{00000000-0005-0000-0000-0000633C0000}"/>
    <cellStyle name="40% - Accent3 4 4 2 5 2" xfId="43457" xr:uid="{2D7B9FFE-97D6-41CB-B423-F2922C8FCAC3}"/>
    <cellStyle name="40% - Accent3 4 4 2 6" xfId="27577" xr:uid="{9F71A8AB-8A22-443F-8035-6EF1933FE2E6}"/>
    <cellStyle name="40% - Accent3 4 4 2_Exh G" xfId="3007" xr:uid="{00000000-0005-0000-0000-0000643C0000}"/>
    <cellStyle name="40% - Accent3 4 4 3" xfId="4522" xr:uid="{00000000-0005-0000-0000-0000653C0000}"/>
    <cellStyle name="40% - Accent3 4 4 3 2" xfId="8114" xr:uid="{00000000-0005-0000-0000-0000663C0000}"/>
    <cellStyle name="40% - Accent3 4 4 3 2 2" xfId="16085" xr:uid="{00000000-0005-0000-0000-0000673C0000}"/>
    <cellStyle name="40% - Accent3 4 4 3 2 2 2" xfId="39928" xr:uid="{0C058D46-36EF-4923-ADE5-FC1E72B29CA8}"/>
    <cellStyle name="40% - Accent3 4 4 3 2 3" xfId="24031" xr:uid="{00000000-0005-0000-0000-0000683C0000}"/>
    <cellStyle name="40% - Accent3 4 4 3 2 3 2" xfId="47864" xr:uid="{5257F917-D855-481D-87CA-642DC5723230}"/>
    <cellStyle name="40% - Accent3 4 4 3 2 4" xfId="31987" xr:uid="{C6C4346A-EA9C-45FE-B6FB-20AC9A0C9D29}"/>
    <cellStyle name="40% - Accent3 4 4 3 3" xfId="12547" xr:uid="{00000000-0005-0000-0000-0000693C0000}"/>
    <cellStyle name="40% - Accent3 4 4 3 3 2" xfId="36397" xr:uid="{616829EF-CFC8-45EC-A35B-1382225679B8}"/>
    <cellStyle name="40% - Accent3 4 4 3 4" xfId="20502" xr:uid="{00000000-0005-0000-0000-00006A3C0000}"/>
    <cellStyle name="40% - Accent3 4 4 3 4 2" xfId="44335" xr:uid="{2A587A8E-9300-424F-9E6C-8EBA3A991CE2}"/>
    <cellStyle name="40% - Accent3 4 4 3 5" xfId="28456" xr:uid="{E9306D57-884E-43D3-98AA-7AE3431CD737}"/>
    <cellStyle name="40% - Accent3 4 4 4" xfId="6352" xr:uid="{00000000-0005-0000-0000-00006B3C0000}"/>
    <cellStyle name="40% - Accent3 4 4 4 2" xfId="14327" xr:uid="{00000000-0005-0000-0000-00006C3C0000}"/>
    <cellStyle name="40% - Accent3 4 4 4 2 2" xfId="38170" xr:uid="{309A810B-773D-4084-811E-91B4E3D79F6B}"/>
    <cellStyle name="40% - Accent3 4 4 4 3" xfId="22274" xr:uid="{00000000-0005-0000-0000-00006D3C0000}"/>
    <cellStyle name="40% - Accent3 4 4 4 3 2" xfId="46107" xr:uid="{8669AE2E-F813-4CF3-A29E-A391644AD37C}"/>
    <cellStyle name="40% - Accent3 4 4 4 4" xfId="30229" xr:uid="{AE8A258E-5873-47CB-B262-534B2A57EA99}"/>
    <cellStyle name="40% - Accent3 4 4 5" xfId="9895" xr:uid="{00000000-0005-0000-0000-00006E3C0000}"/>
    <cellStyle name="40% - Accent3 4 4 5 2" xfId="17853" xr:uid="{00000000-0005-0000-0000-00006F3C0000}"/>
    <cellStyle name="40% - Accent3 4 4 5 2 2" xfId="41694" xr:uid="{3B8FB020-B771-45EE-9857-6631309742D5}"/>
    <cellStyle name="40% - Accent3 4 4 5 3" xfId="25797" xr:uid="{00000000-0005-0000-0000-0000703C0000}"/>
    <cellStyle name="40% - Accent3 4 4 5 3 2" xfId="49630" xr:uid="{98C0796D-AC47-42B3-B6E6-308CE1434CBF}"/>
    <cellStyle name="40% - Accent3 4 4 5 4" xfId="33753" xr:uid="{FCEF2567-A3A4-4F0E-B819-3B8E54A49AEA}"/>
    <cellStyle name="40% - Accent3 4 4 6" xfId="10791" xr:uid="{00000000-0005-0000-0000-0000713C0000}"/>
    <cellStyle name="40% - Accent3 4 4 6 2" xfId="34641" xr:uid="{3EFBFA84-80B2-4741-8113-6ADBEDE376DB}"/>
    <cellStyle name="40% - Accent3 4 4 7" xfId="18746" xr:uid="{00000000-0005-0000-0000-0000723C0000}"/>
    <cellStyle name="40% - Accent3 4 4 7 2" xfId="42579" xr:uid="{8AE5E102-8D8F-4EA5-B152-E117BB186A17}"/>
    <cellStyle name="40% - Accent3 4 4 8" xfId="26699" xr:uid="{A962A149-0F1C-4B8B-A5A4-1FAFC4E57269}"/>
    <cellStyle name="40% - Accent3 4 4_Exh G" xfId="3006" xr:uid="{00000000-0005-0000-0000-0000733C0000}"/>
    <cellStyle name="40% - Accent3 4 5" xfId="1488" xr:uid="{00000000-0005-0000-0000-0000743C0000}"/>
    <cellStyle name="40% - Accent3 4 5 2" xfId="5018" xr:uid="{00000000-0005-0000-0000-0000753C0000}"/>
    <cellStyle name="40% - Accent3 4 5 2 2" xfId="8609" xr:uid="{00000000-0005-0000-0000-0000763C0000}"/>
    <cellStyle name="40% - Accent3 4 5 2 2 2" xfId="16580" xr:uid="{00000000-0005-0000-0000-0000773C0000}"/>
    <cellStyle name="40% - Accent3 4 5 2 2 2 2" xfId="40423" xr:uid="{37F5A004-1D9C-45F0-AEB4-6C7D0F6ACAC8}"/>
    <cellStyle name="40% - Accent3 4 5 2 2 3" xfId="24526" xr:uid="{00000000-0005-0000-0000-0000783C0000}"/>
    <cellStyle name="40% - Accent3 4 5 2 2 3 2" xfId="48359" xr:uid="{D752BAAC-8D76-4E3E-A10B-A00EC44E94BB}"/>
    <cellStyle name="40% - Accent3 4 5 2 2 4" xfId="32482" xr:uid="{C936ECD4-E39F-491E-B661-35DA5E796CB2}"/>
    <cellStyle name="40% - Accent3 4 5 2 3" xfId="13042" xr:uid="{00000000-0005-0000-0000-0000793C0000}"/>
    <cellStyle name="40% - Accent3 4 5 2 3 2" xfId="36892" xr:uid="{8DB614B4-7178-4636-BF7A-9FAC4EFC40F5}"/>
    <cellStyle name="40% - Accent3 4 5 2 4" xfId="20997" xr:uid="{00000000-0005-0000-0000-00007A3C0000}"/>
    <cellStyle name="40% - Accent3 4 5 2 4 2" xfId="44830" xr:uid="{B0AE84F1-3F21-4CFD-9BAD-34A8C9AE6081}"/>
    <cellStyle name="40% - Accent3 4 5 2 5" xfId="28951" xr:uid="{35E3D54C-5F9C-46F6-A1ED-7BE639405159}"/>
    <cellStyle name="40% - Accent3 4 5 3" xfId="6850" xr:uid="{00000000-0005-0000-0000-00007B3C0000}"/>
    <cellStyle name="40% - Accent3 4 5 3 2" xfId="14822" xr:uid="{00000000-0005-0000-0000-00007C3C0000}"/>
    <cellStyle name="40% - Accent3 4 5 3 2 2" xfId="38665" xr:uid="{07264E21-EB28-474B-B5E4-AD9A6DAF2CEE}"/>
    <cellStyle name="40% - Accent3 4 5 3 3" xfId="22769" xr:uid="{00000000-0005-0000-0000-00007D3C0000}"/>
    <cellStyle name="40% - Accent3 4 5 3 3 2" xfId="46602" xr:uid="{423906AF-71C4-4000-8AEB-29244AAD67DC}"/>
    <cellStyle name="40% - Accent3 4 5 3 4" xfId="30724" xr:uid="{E50291E9-62DF-4457-93F6-BDAA0A32F887}"/>
    <cellStyle name="40% - Accent3 4 5 4" xfId="11286" xr:uid="{00000000-0005-0000-0000-00007E3C0000}"/>
    <cellStyle name="40% - Accent3 4 5 4 2" xfId="35136" xr:uid="{CF480145-76C5-4C62-A9CA-26C1E8A46A3B}"/>
    <cellStyle name="40% - Accent3 4 5 5" xfId="19241" xr:uid="{00000000-0005-0000-0000-00007F3C0000}"/>
    <cellStyle name="40% - Accent3 4 5 5 2" xfId="43074" xr:uid="{17BA39F1-7F38-4A79-BEB9-71554DCDFE03}"/>
    <cellStyle name="40% - Accent3 4 5 6" xfId="27194" xr:uid="{7BD0C30D-8959-49BA-83E9-52C10B92259E}"/>
    <cellStyle name="40% - Accent3 4 5_Exh G" xfId="3008" xr:uid="{00000000-0005-0000-0000-0000803C0000}"/>
    <cellStyle name="40% - Accent3 4 6" xfId="4139" xr:uid="{00000000-0005-0000-0000-0000813C0000}"/>
    <cellStyle name="40% - Accent3 4 6 2" xfId="7731" xr:uid="{00000000-0005-0000-0000-0000823C0000}"/>
    <cellStyle name="40% - Accent3 4 6 2 2" xfId="15702" xr:uid="{00000000-0005-0000-0000-0000833C0000}"/>
    <cellStyle name="40% - Accent3 4 6 2 2 2" xfId="39545" xr:uid="{69ACF2F0-3467-46C3-A243-E3DA01D76999}"/>
    <cellStyle name="40% - Accent3 4 6 2 3" xfId="23648" xr:uid="{00000000-0005-0000-0000-0000843C0000}"/>
    <cellStyle name="40% - Accent3 4 6 2 3 2" xfId="47481" xr:uid="{B10E03F4-40D1-4B5C-8450-468033FC1B27}"/>
    <cellStyle name="40% - Accent3 4 6 2 4" xfId="31604" xr:uid="{C546CAA8-9A46-47FF-9977-FC0B42D6074D}"/>
    <cellStyle name="40% - Accent3 4 6 3" xfId="12164" xr:uid="{00000000-0005-0000-0000-0000853C0000}"/>
    <cellStyle name="40% - Accent3 4 6 3 2" xfId="36014" xr:uid="{53F57563-9FC3-44CB-B2CD-1C46124A56E3}"/>
    <cellStyle name="40% - Accent3 4 6 4" xfId="20119" xr:uid="{00000000-0005-0000-0000-0000863C0000}"/>
    <cellStyle name="40% - Accent3 4 6 4 2" xfId="43952" xr:uid="{E1A293BF-74D5-42B0-B308-F7E27AF7FED0}"/>
    <cellStyle name="40% - Accent3 4 6 5" xfId="28073" xr:uid="{1380F5EC-3548-4BBB-A005-9C23713ED906}"/>
    <cellStyle name="40% - Accent3 4 7" xfId="5959" xr:uid="{00000000-0005-0000-0000-0000873C0000}"/>
    <cellStyle name="40% - Accent3 4 7 2" xfId="13943" xr:uid="{00000000-0005-0000-0000-0000883C0000}"/>
    <cellStyle name="40% - Accent3 4 7 2 2" xfId="37787" xr:uid="{E1F78F78-E362-4D94-AACE-91525FFDEA85}"/>
    <cellStyle name="40% - Accent3 4 7 3" xfId="21891" xr:uid="{00000000-0005-0000-0000-0000893C0000}"/>
    <cellStyle name="40% - Accent3 4 7 3 2" xfId="45724" xr:uid="{8CA032D2-5520-4F4A-8932-8069D319743F}"/>
    <cellStyle name="40% - Accent3 4 7 4" xfId="29846" xr:uid="{2232F3D0-B3E4-4920-B1AB-4CD8C371D489}"/>
    <cellStyle name="40% - Accent3 4 8" xfId="9512" xr:uid="{00000000-0005-0000-0000-00008A3C0000}"/>
    <cellStyle name="40% - Accent3 4 8 2" xfId="17470" xr:uid="{00000000-0005-0000-0000-00008B3C0000}"/>
    <cellStyle name="40% - Accent3 4 8 2 2" xfId="41311" xr:uid="{FA87A40F-D6FF-427E-AD94-B24A1DC3C28B}"/>
    <cellStyle name="40% - Accent3 4 8 3" xfId="25414" xr:uid="{00000000-0005-0000-0000-00008C3C0000}"/>
    <cellStyle name="40% - Accent3 4 8 3 2" xfId="49247" xr:uid="{13269223-BC40-40A0-81EF-E80659976431}"/>
    <cellStyle name="40% - Accent3 4 8 4" xfId="33370" xr:uid="{A5553F85-5BBC-4B12-966E-9F20A3AE1C56}"/>
    <cellStyle name="40% - Accent3 4 9" xfId="10408" xr:uid="{00000000-0005-0000-0000-00008D3C0000}"/>
    <cellStyle name="40% - Accent3 4 9 2" xfId="34258" xr:uid="{C669A8A7-5D1A-4873-98C4-65927B939C1E}"/>
    <cellStyle name="40% - Accent3 4_Exh G" xfId="2997" xr:uid="{00000000-0005-0000-0000-00008E3C0000}"/>
    <cellStyle name="40% - Accent3 5" xfId="464" xr:uid="{00000000-0005-0000-0000-00008F3C0000}"/>
    <cellStyle name="40% - Accent3 5 10" xfId="18367" xr:uid="{00000000-0005-0000-0000-0000903C0000}"/>
    <cellStyle name="40% - Accent3 5 10 2" xfId="42200" xr:uid="{BE9FA55A-7D8E-41A3-9617-54ED6B19C263}"/>
    <cellStyle name="40% - Accent3 5 11" xfId="26320" xr:uid="{89554308-A293-43EC-BC99-1B97B538217E}"/>
    <cellStyle name="40% - Accent3 5 2" xfId="465" xr:uid="{00000000-0005-0000-0000-0000913C0000}"/>
    <cellStyle name="40% - Accent3 5 2 2" xfId="466" xr:uid="{00000000-0005-0000-0000-0000923C0000}"/>
    <cellStyle name="40% - Accent3 5 2 2 2" xfId="1494" xr:uid="{00000000-0005-0000-0000-0000933C0000}"/>
    <cellStyle name="40% - Accent3 5 2 2 2 2" xfId="5024" xr:uid="{00000000-0005-0000-0000-0000943C0000}"/>
    <cellStyle name="40% - Accent3 5 2 2 2 2 2" xfId="8615" xr:uid="{00000000-0005-0000-0000-0000953C0000}"/>
    <cellStyle name="40% - Accent3 5 2 2 2 2 2 2" xfId="16586" xr:uid="{00000000-0005-0000-0000-0000963C0000}"/>
    <cellStyle name="40% - Accent3 5 2 2 2 2 2 2 2" xfId="40429" xr:uid="{EB6F447F-E59A-4818-B13D-193970D61FC2}"/>
    <cellStyle name="40% - Accent3 5 2 2 2 2 2 3" xfId="24532" xr:uid="{00000000-0005-0000-0000-0000973C0000}"/>
    <cellStyle name="40% - Accent3 5 2 2 2 2 2 3 2" xfId="48365" xr:uid="{3A680A06-B58E-49E1-8B0E-FF8892205CD5}"/>
    <cellStyle name="40% - Accent3 5 2 2 2 2 2 4" xfId="32488" xr:uid="{CAC8B292-CF70-4C9F-AAC3-F4C4CDDD1652}"/>
    <cellStyle name="40% - Accent3 5 2 2 2 2 3" xfId="13048" xr:uid="{00000000-0005-0000-0000-0000983C0000}"/>
    <cellStyle name="40% - Accent3 5 2 2 2 2 3 2" xfId="36898" xr:uid="{CA032536-EFA3-49DD-85E9-BF41D372F765}"/>
    <cellStyle name="40% - Accent3 5 2 2 2 2 4" xfId="21003" xr:uid="{00000000-0005-0000-0000-0000993C0000}"/>
    <cellStyle name="40% - Accent3 5 2 2 2 2 4 2" xfId="44836" xr:uid="{CD5679E0-6760-4128-A489-5F5222DCA5A8}"/>
    <cellStyle name="40% - Accent3 5 2 2 2 2 5" xfId="28957" xr:uid="{D11CF042-D702-470F-8541-5E6266ACBA85}"/>
    <cellStyle name="40% - Accent3 5 2 2 2 3" xfId="6856" xr:uid="{00000000-0005-0000-0000-00009A3C0000}"/>
    <cellStyle name="40% - Accent3 5 2 2 2 3 2" xfId="14828" xr:uid="{00000000-0005-0000-0000-00009B3C0000}"/>
    <cellStyle name="40% - Accent3 5 2 2 2 3 2 2" xfId="38671" xr:uid="{10FF0B1D-ECB0-49D2-AF83-E6D2CCF1FA96}"/>
    <cellStyle name="40% - Accent3 5 2 2 2 3 3" xfId="22775" xr:uid="{00000000-0005-0000-0000-00009C3C0000}"/>
    <cellStyle name="40% - Accent3 5 2 2 2 3 3 2" xfId="46608" xr:uid="{E5F2F9A0-6E6A-473F-87F7-6167A353481F}"/>
    <cellStyle name="40% - Accent3 5 2 2 2 3 4" xfId="30730" xr:uid="{9511846F-25B1-446F-A213-259BB8A5FAAF}"/>
    <cellStyle name="40% - Accent3 5 2 2 2 4" xfId="11292" xr:uid="{00000000-0005-0000-0000-00009D3C0000}"/>
    <cellStyle name="40% - Accent3 5 2 2 2 4 2" xfId="35142" xr:uid="{BAC1FF6B-77AE-4552-BD7F-C800D5C462CE}"/>
    <cellStyle name="40% - Accent3 5 2 2 2 5" xfId="19247" xr:uid="{00000000-0005-0000-0000-00009E3C0000}"/>
    <cellStyle name="40% - Accent3 5 2 2 2 5 2" xfId="43080" xr:uid="{BD498064-1615-4462-AEBE-021556277CB5}"/>
    <cellStyle name="40% - Accent3 5 2 2 2 6" xfId="27200" xr:uid="{EA4F0DEA-B240-4BBE-801A-51E29F1D1424}"/>
    <cellStyle name="40% - Accent3 5 2 2 2_Exh G" xfId="3012" xr:uid="{00000000-0005-0000-0000-00009F3C0000}"/>
    <cellStyle name="40% - Accent3 5 2 2 3" xfId="4145" xr:uid="{00000000-0005-0000-0000-0000A03C0000}"/>
    <cellStyle name="40% - Accent3 5 2 2 3 2" xfId="7737" xr:uid="{00000000-0005-0000-0000-0000A13C0000}"/>
    <cellStyle name="40% - Accent3 5 2 2 3 2 2" xfId="15708" xr:uid="{00000000-0005-0000-0000-0000A23C0000}"/>
    <cellStyle name="40% - Accent3 5 2 2 3 2 2 2" xfId="39551" xr:uid="{8115D03B-C8CC-4832-B412-E78C8D07CDCE}"/>
    <cellStyle name="40% - Accent3 5 2 2 3 2 3" xfId="23654" xr:uid="{00000000-0005-0000-0000-0000A33C0000}"/>
    <cellStyle name="40% - Accent3 5 2 2 3 2 3 2" xfId="47487" xr:uid="{FC0DC9E0-CAC5-42E0-AD95-9D1B5C92D637}"/>
    <cellStyle name="40% - Accent3 5 2 2 3 2 4" xfId="31610" xr:uid="{EF8391C2-F32B-4F74-8390-97BA70D2981D}"/>
    <cellStyle name="40% - Accent3 5 2 2 3 3" xfId="12170" xr:uid="{00000000-0005-0000-0000-0000A43C0000}"/>
    <cellStyle name="40% - Accent3 5 2 2 3 3 2" xfId="36020" xr:uid="{73F47D8B-342D-4CC9-B9D0-72A07BD6BAB7}"/>
    <cellStyle name="40% - Accent3 5 2 2 3 4" xfId="20125" xr:uid="{00000000-0005-0000-0000-0000A53C0000}"/>
    <cellStyle name="40% - Accent3 5 2 2 3 4 2" xfId="43958" xr:uid="{8D867DD1-16A8-485C-AD65-37EEB90F4B94}"/>
    <cellStyle name="40% - Accent3 5 2 2 3 5" xfId="28079" xr:uid="{05EB2D67-639F-4912-9502-BB07B0F55C0F}"/>
    <cellStyle name="40% - Accent3 5 2 2 4" xfId="5965" xr:uid="{00000000-0005-0000-0000-0000A63C0000}"/>
    <cellStyle name="40% - Accent3 5 2 2 4 2" xfId="13949" xr:uid="{00000000-0005-0000-0000-0000A73C0000}"/>
    <cellStyle name="40% - Accent3 5 2 2 4 2 2" xfId="37793" xr:uid="{9FB86A6C-A011-4D5F-A263-EDA094EB4E58}"/>
    <cellStyle name="40% - Accent3 5 2 2 4 3" xfId="21897" xr:uid="{00000000-0005-0000-0000-0000A83C0000}"/>
    <cellStyle name="40% - Accent3 5 2 2 4 3 2" xfId="45730" xr:uid="{41214B0B-B5B4-4691-AC96-C2C0EA569926}"/>
    <cellStyle name="40% - Accent3 5 2 2 4 4" xfId="29852" xr:uid="{6BE15118-6946-4FF6-B833-B527C08F497D}"/>
    <cellStyle name="40% - Accent3 5 2 2 5" xfId="9518" xr:uid="{00000000-0005-0000-0000-0000A93C0000}"/>
    <cellStyle name="40% - Accent3 5 2 2 5 2" xfId="17476" xr:uid="{00000000-0005-0000-0000-0000AA3C0000}"/>
    <cellStyle name="40% - Accent3 5 2 2 5 2 2" xfId="41317" xr:uid="{4660A95B-82B4-405B-A86B-8EAA1A93DA30}"/>
    <cellStyle name="40% - Accent3 5 2 2 5 3" xfId="25420" xr:uid="{00000000-0005-0000-0000-0000AB3C0000}"/>
    <cellStyle name="40% - Accent3 5 2 2 5 3 2" xfId="49253" xr:uid="{8E95AC5E-FED7-4331-B8AE-E37C1060846E}"/>
    <cellStyle name="40% - Accent3 5 2 2 5 4" xfId="33376" xr:uid="{4992F6F2-525E-4121-92A2-55B243FCB7F0}"/>
    <cellStyle name="40% - Accent3 5 2 2 6" xfId="10414" xr:uid="{00000000-0005-0000-0000-0000AC3C0000}"/>
    <cellStyle name="40% - Accent3 5 2 2 6 2" xfId="34264" xr:uid="{666A8662-621A-4E6E-A28F-CED9B768F644}"/>
    <cellStyle name="40% - Accent3 5 2 2 7" xfId="18369" xr:uid="{00000000-0005-0000-0000-0000AD3C0000}"/>
    <cellStyle name="40% - Accent3 5 2 2 7 2" xfId="42202" xr:uid="{08355951-92F3-46B3-A482-E528A0292182}"/>
    <cellStyle name="40% - Accent3 5 2 2 8" xfId="26322" xr:uid="{FD72AE70-642D-4428-A743-B6347E32A7E8}"/>
    <cellStyle name="40% - Accent3 5 2 2_Exh G" xfId="3011" xr:uid="{00000000-0005-0000-0000-0000AE3C0000}"/>
    <cellStyle name="40% - Accent3 5 2 3" xfId="1493" xr:uid="{00000000-0005-0000-0000-0000AF3C0000}"/>
    <cellStyle name="40% - Accent3 5 2 3 2" xfId="5023" xr:uid="{00000000-0005-0000-0000-0000B03C0000}"/>
    <cellStyle name="40% - Accent3 5 2 3 2 2" xfId="8614" xr:uid="{00000000-0005-0000-0000-0000B13C0000}"/>
    <cellStyle name="40% - Accent3 5 2 3 2 2 2" xfId="16585" xr:uid="{00000000-0005-0000-0000-0000B23C0000}"/>
    <cellStyle name="40% - Accent3 5 2 3 2 2 2 2" xfId="40428" xr:uid="{937E2855-56D5-4BBE-BCC6-1C63910F5874}"/>
    <cellStyle name="40% - Accent3 5 2 3 2 2 3" xfId="24531" xr:uid="{00000000-0005-0000-0000-0000B33C0000}"/>
    <cellStyle name="40% - Accent3 5 2 3 2 2 3 2" xfId="48364" xr:uid="{1BAD4C77-B34C-4251-B998-B1D160EFCC99}"/>
    <cellStyle name="40% - Accent3 5 2 3 2 2 4" xfId="32487" xr:uid="{93ACE7D5-D847-4444-BBC1-C61F1F136CED}"/>
    <cellStyle name="40% - Accent3 5 2 3 2 3" xfId="13047" xr:uid="{00000000-0005-0000-0000-0000B43C0000}"/>
    <cellStyle name="40% - Accent3 5 2 3 2 3 2" xfId="36897" xr:uid="{EE4A5C5E-9E24-405A-9292-4E39F2E369BA}"/>
    <cellStyle name="40% - Accent3 5 2 3 2 4" xfId="21002" xr:uid="{00000000-0005-0000-0000-0000B53C0000}"/>
    <cellStyle name="40% - Accent3 5 2 3 2 4 2" xfId="44835" xr:uid="{B7E95E78-68B1-44B1-8EE1-77FA9D82D3E6}"/>
    <cellStyle name="40% - Accent3 5 2 3 2 5" xfId="28956" xr:uid="{367AEF2C-29DD-4A1D-BAEF-73025E7AB603}"/>
    <cellStyle name="40% - Accent3 5 2 3 3" xfId="6855" xr:uid="{00000000-0005-0000-0000-0000B63C0000}"/>
    <cellStyle name="40% - Accent3 5 2 3 3 2" xfId="14827" xr:uid="{00000000-0005-0000-0000-0000B73C0000}"/>
    <cellStyle name="40% - Accent3 5 2 3 3 2 2" xfId="38670" xr:uid="{6CEB8098-9651-4B4E-B5D5-74044F0C35AC}"/>
    <cellStyle name="40% - Accent3 5 2 3 3 3" xfId="22774" xr:uid="{00000000-0005-0000-0000-0000B83C0000}"/>
    <cellStyle name="40% - Accent3 5 2 3 3 3 2" xfId="46607" xr:uid="{9FEEE491-9CD3-4A95-93F2-40375344128B}"/>
    <cellStyle name="40% - Accent3 5 2 3 3 4" xfId="30729" xr:uid="{CC6C84BD-8DA5-4731-8DD9-C75EDCF85A7C}"/>
    <cellStyle name="40% - Accent3 5 2 3 4" xfId="11291" xr:uid="{00000000-0005-0000-0000-0000B93C0000}"/>
    <cellStyle name="40% - Accent3 5 2 3 4 2" xfId="35141" xr:uid="{7B002F1E-F1A8-4764-9B7B-CE62CCC29A49}"/>
    <cellStyle name="40% - Accent3 5 2 3 5" xfId="19246" xr:uid="{00000000-0005-0000-0000-0000BA3C0000}"/>
    <cellStyle name="40% - Accent3 5 2 3 5 2" xfId="43079" xr:uid="{6DB639DF-BBA1-44ED-86C3-D713FC95BD11}"/>
    <cellStyle name="40% - Accent3 5 2 3 6" xfId="27199" xr:uid="{E81B63E1-4DA5-471D-A5B3-3014C055DB1B}"/>
    <cellStyle name="40% - Accent3 5 2 3_Exh G" xfId="3013" xr:uid="{00000000-0005-0000-0000-0000BB3C0000}"/>
    <cellStyle name="40% - Accent3 5 2 4" xfId="4144" xr:uid="{00000000-0005-0000-0000-0000BC3C0000}"/>
    <cellStyle name="40% - Accent3 5 2 4 2" xfId="7736" xr:uid="{00000000-0005-0000-0000-0000BD3C0000}"/>
    <cellStyle name="40% - Accent3 5 2 4 2 2" xfId="15707" xr:uid="{00000000-0005-0000-0000-0000BE3C0000}"/>
    <cellStyle name="40% - Accent3 5 2 4 2 2 2" xfId="39550" xr:uid="{39C2D59D-EF1C-4AF7-9F8E-A5A7C0737C16}"/>
    <cellStyle name="40% - Accent3 5 2 4 2 3" xfId="23653" xr:uid="{00000000-0005-0000-0000-0000BF3C0000}"/>
    <cellStyle name="40% - Accent3 5 2 4 2 3 2" xfId="47486" xr:uid="{F81DF967-DFA5-4E7D-B319-D6DC20807E16}"/>
    <cellStyle name="40% - Accent3 5 2 4 2 4" xfId="31609" xr:uid="{CC60256E-5966-4364-BFB5-3A1E161C9994}"/>
    <cellStyle name="40% - Accent3 5 2 4 3" xfId="12169" xr:uid="{00000000-0005-0000-0000-0000C03C0000}"/>
    <cellStyle name="40% - Accent3 5 2 4 3 2" xfId="36019" xr:uid="{4493AA4F-9A34-453F-999E-ABB920A44ED8}"/>
    <cellStyle name="40% - Accent3 5 2 4 4" xfId="20124" xr:uid="{00000000-0005-0000-0000-0000C13C0000}"/>
    <cellStyle name="40% - Accent3 5 2 4 4 2" xfId="43957" xr:uid="{A62CC37C-3549-4C6E-8BB1-750B5AB2349B}"/>
    <cellStyle name="40% - Accent3 5 2 4 5" xfId="28078" xr:uid="{59B0BA11-3CD0-47CF-B240-A94633E71E59}"/>
    <cellStyle name="40% - Accent3 5 2 5" xfId="5964" xr:uid="{00000000-0005-0000-0000-0000C23C0000}"/>
    <cellStyle name="40% - Accent3 5 2 5 2" xfId="13948" xr:uid="{00000000-0005-0000-0000-0000C33C0000}"/>
    <cellStyle name="40% - Accent3 5 2 5 2 2" xfId="37792" xr:uid="{9142FFE7-B578-4649-A62C-872FFFE3607E}"/>
    <cellStyle name="40% - Accent3 5 2 5 3" xfId="21896" xr:uid="{00000000-0005-0000-0000-0000C43C0000}"/>
    <cellStyle name="40% - Accent3 5 2 5 3 2" xfId="45729" xr:uid="{DFF3431E-7A82-448D-8389-C4227740026E}"/>
    <cellStyle name="40% - Accent3 5 2 5 4" xfId="29851" xr:uid="{59E7C39E-244B-408D-8410-E4DEE24CA496}"/>
    <cellStyle name="40% - Accent3 5 2 6" xfId="9517" xr:uid="{00000000-0005-0000-0000-0000C53C0000}"/>
    <cellStyle name="40% - Accent3 5 2 6 2" xfId="17475" xr:uid="{00000000-0005-0000-0000-0000C63C0000}"/>
    <cellStyle name="40% - Accent3 5 2 6 2 2" xfId="41316" xr:uid="{7D3A1883-6D4A-4132-8C81-4D6A56D9E9AA}"/>
    <cellStyle name="40% - Accent3 5 2 6 3" xfId="25419" xr:uid="{00000000-0005-0000-0000-0000C73C0000}"/>
    <cellStyle name="40% - Accent3 5 2 6 3 2" xfId="49252" xr:uid="{284FEB90-3DDF-4669-9DA1-FC06103ED65A}"/>
    <cellStyle name="40% - Accent3 5 2 6 4" xfId="33375" xr:uid="{2DA76A0E-8096-421A-B1AD-91020D8BB92E}"/>
    <cellStyle name="40% - Accent3 5 2 7" xfId="10413" xr:uid="{00000000-0005-0000-0000-0000C83C0000}"/>
    <cellStyle name="40% - Accent3 5 2 7 2" xfId="34263" xr:uid="{AB598004-4013-4B80-A185-7810D04BAA08}"/>
    <cellStyle name="40% - Accent3 5 2 8" xfId="18368" xr:uid="{00000000-0005-0000-0000-0000C93C0000}"/>
    <cellStyle name="40% - Accent3 5 2 8 2" xfId="42201" xr:uid="{9AC0DB09-08D6-4FF8-AD36-2DC583ADE3F3}"/>
    <cellStyle name="40% - Accent3 5 2 9" xfId="26321" xr:uid="{36DFDCAA-AEF9-48B6-AB5B-249C9CEAAD36}"/>
    <cellStyle name="40% - Accent3 5 2_Exh G" xfId="3010" xr:uid="{00000000-0005-0000-0000-0000CA3C0000}"/>
    <cellStyle name="40% - Accent3 5 3" xfId="467" xr:uid="{00000000-0005-0000-0000-0000CB3C0000}"/>
    <cellStyle name="40% - Accent3 5 3 2" xfId="1495" xr:uid="{00000000-0005-0000-0000-0000CC3C0000}"/>
    <cellStyle name="40% - Accent3 5 3 2 2" xfId="5025" xr:uid="{00000000-0005-0000-0000-0000CD3C0000}"/>
    <cellStyle name="40% - Accent3 5 3 2 2 2" xfId="8616" xr:uid="{00000000-0005-0000-0000-0000CE3C0000}"/>
    <cellStyle name="40% - Accent3 5 3 2 2 2 2" xfId="16587" xr:uid="{00000000-0005-0000-0000-0000CF3C0000}"/>
    <cellStyle name="40% - Accent3 5 3 2 2 2 2 2" xfId="40430" xr:uid="{CF406113-B161-4617-ADB8-88D9E8068FC2}"/>
    <cellStyle name="40% - Accent3 5 3 2 2 2 3" xfId="24533" xr:uid="{00000000-0005-0000-0000-0000D03C0000}"/>
    <cellStyle name="40% - Accent3 5 3 2 2 2 3 2" xfId="48366" xr:uid="{7F14BE9B-9615-4578-8057-ED952470627E}"/>
    <cellStyle name="40% - Accent3 5 3 2 2 2 4" xfId="32489" xr:uid="{011A7B3E-8929-48B2-AFCF-151193CD5474}"/>
    <cellStyle name="40% - Accent3 5 3 2 2 3" xfId="13049" xr:uid="{00000000-0005-0000-0000-0000D13C0000}"/>
    <cellStyle name="40% - Accent3 5 3 2 2 3 2" xfId="36899" xr:uid="{56DB2EF0-7700-4542-860F-E48CB337B6BD}"/>
    <cellStyle name="40% - Accent3 5 3 2 2 4" xfId="21004" xr:uid="{00000000-0005-0000-0000-0000D23C0000}"/>
    <cellStyle name="40% - Accent3 5 3 2 2 4 2" xfId="44837" xr:uid="{F3E747F2-B72A-4A94-9C48-03F8C6A1535C}"/>
    <cellStyle name="40% - Accent3 5 3 2 2 5" xfId="28958" xr:uid="{ECD56A88-7F33-4A32-8A5F-8FD008FBA0F4}"/>
    <cellStyle name="40% - Accent3 5 3 2 3" xfId="6857" xr:uid="{00000000-0005-0000-0000-0000D33C0000}"/>
    <cellStyle name="40% - Accent3 5 3 2 3 2" xfId="14829" xr:uid="{00000000-0005-0000-0000-0000D43C0000}"/>
    <cellStyle name="40% - Accent3 5 3 2 3 2 2" xfId="38672" xr:uid="{0335C941-CD8B-4ADC-9994-DA36143CB1F1}"/>
    <cellStyle name="40% - Accent3 5 3 2 3 3" xfId="22776" xr:uid="{00000000-0005-0000-0000-0000D53C0000}"/>
    <cellStyle name="40% - Accent3 5 3 2 3 3 2" xfId="46609" xr:uid="{467E82E6-1135-4726-B565-F5E8B179A05C}"/>
    <cellStyle name="40% - Accent3 5 3 2 3 4" xfId="30731" xr:uid="{F91FCE04-8E3A-4BB6-9443-A522CF75D58E}"/>
    <cellStyle name="40% - Accent3 5 3 2 4" xfId="11293" xr:uid="{00000000-0005-0000-0000-0000D63C0000}"/>
    <cellStyle name="40% - Accent3 5 3 2 4 2" xfId="35143" xr:uid="{544218EE-42E4-4C7F-85F4-768F78C567FD}"/>
    <cellStyle name="40% - Accent3 5 3 2 5" xfId="19248" xr:uid="{00000000-0005-0000-0000-0000D73C0000}"/>
    <cellStyle name="40% - Accent3 5 3 2 5 2" xfId="43081" xr:uid="{49348345-D912-4985-8482-8CAA47530089}"/>
    <cellStyle name="40% - Accent3 5 3 2 6" xfId="27201" xr:uid="{2B015D54-EB53-4568-AC4A-9814519DE9B0}"/>
    <cellStyle name="40% - Accent3 5 3 2_Exh G" xfId="3015" xr:uid="{00000000-0005-0000-0000-0000D83C0000}"/>
    <cellStyle name="40% - Accent3 5 3 3" xfId="4146" xr:uid="{00000000-0005-0000-0000-0000D93C0000}"/>
    <cellStyle name="40% - Accent3 5 3 3 2" xfId="7738" xr:uid="{00000000-0005-0000-0000-0000DA3C0000}"/>
    <cellStyle name="40% - Accent3 5 3 3 2 2" xfId="15709" xr:uid="{00000000-0005-0000-0000-0000DB3C0000}"/>
    <cellStyle name="40% - Accent3 5 3 3 2 2 2" xfId="39552" xr:uid="{78F68F46-90CE-4272-8862-F987A0751DC6}"/>
    <cellStyle name="40% - Accent3 5 3 3 2 3" xfId="23655" xr:uid="{00000000-0005-0000-0000-0000DC3C0000}"/>
    <cellStyle name="40% - Accent3 5 3 3 2 3 2" xfId="47488" xr:uid="{8EA10B4E-350A-4C1E-8CB2-E54DAC2F97F2}"/>
    <cellStyle name="40% - Accent3 5 3 3 2 4" xfId="31611" xr:uid="{973184E0-A689-4FFE-A77E-D17E8FB03E53}"/>
    <cellStyle name="40% - Accent3 5 3 3 3" xfId="12171" xr:uid="{00000000-0005-0000-0000-0000DD3C0000}"/>
    <cellStyle name="40% - Accent3 5 3 3 3 2" xfId="36021" xr:uid="{65638C12-0F64-41A6-A50A-3B3F30CC544A}"/>
    <cellStyle name="40% - Accent3 5 3 3 4" xfId="20126" xr:uid="{00000000-0005-0000-0000-0000DE3C0000}"/>
    <cellStyle name="40% - Accent3 5 3 3 4 2" xfId="43959" xr:uid="{A8CFE94A-7024-41AF-AEF7-7BF5967B718B}"/>
    <cellStyle name="40% - Accent3 5 3 3 5" xfId="28080" xr:uid="{80C78B21-D334-4686-80EB-31D5363302F0}"/>
    <cellStyle name="40% - Accent3 5 3 4" xfId="5966" xr:uid="{00000000-0005-0000-0000-0000DF3C0000}"/>
    <cellStyle name="40% - Accent3 5 3 4 2" xfId="13950" xr:uid="{00000000-0005-0000-0000-0000E03C0000}"/>
    <cellStyle name="40% - Accent3 5 3 4 2 2" xfId="37794" xr:uid="{BACEDF0D-0E86-4504-9E1C-BFAD37465E35}"/>
    <cellStyle name="40% - Accent3 5 3 4 3" xfId="21898" xr:uid="{00000000-0005-0000-0000-0000E13C0000}"/>
    <cellStyle name="40% - Accent3 5 3 4 3 2" xfId="45731" xr:uid="{33AC0374-1741-4513-AC8F-516D356B5689}"/>
    <cellStyle name="40% - Accent3 5 3 4 4" xfId="29853" xr:uid="{514D2ECE-206D-4C84-9A35-05C93AAA4BF3}"/>
    <cellStyle name="40% - Accent3 5 3 5" xfId="9519" xr:uid="{00000000-0005-0000-0000-0000E23C0000}"/>
    <cellStyle name="40% - Accent3 5 3 5 2" xfId="17477" xr:uid="{00000000-0005-0000-0000-0000E33C0000}"/>
    <cellStyle name="40% - Accent3 5 3 5 2 2" xfId="41318" xr:uid="{BC517358-7A8B-421F-B25A-BD562E765CBC}"/>
    <cellStyle name="40% - Accent3 5 3 5 3" xfId="25421" xr:uid="{00000000-0005-0000-0000-0000E43C0000}"/>
    <cellStyle name="40% - Accent3 5 3 5 3 2" xfId="49254" xr:uid="{ADE0159C-5B29-4CD4-AF5E-D9DCBB46A0A0}"/>
    <cellStyle name="40% - Accent3 5 3 5 4" xfId="33377" xr:uid="{4AA8F6A0-90BF-41BF-8F7C-5A7E7EA11D31}"/>
    <cellStyle name="40% - Accent3 5 3 6" xfId="10415" xr:uid="{00000000-0005-0000-0000-0000E53C0000}"/>
    <cellStyle name="40% - Accent3 5 3 6 2" xfId="34265" xr:uid="{4956579B-CE9B-4446-B3A3-8E59C63FD479}"/>
    <cellStyle name="40% - Accent3 5 3 7" xfId="18370" xr:uid="{00000000-0005-0000-0000-0000E63C0000}"/>
    <cellStyle name="40% - Accent3 5 3 7 2" xfId="42203" xr:uid="{FE8D7184-EF8F-4696-8743-1EC6C2C2CECB}"/>
    <cellStyle name="40% - Accent3 5 3 8" xfId="26323" xr:uid="{B9A97F0E-155F-40EC-8428-65599DBE8156}"/>
    <cellStyle name="40% - Accent3 5 3_Exh G" xfId="3014" xr:uid="{00000000-0005-0000-0000-0000E73C0000}"/>
    <cellStyle name="40% - Accent3 5 4" xfId="965" xr:uid="{00000000-0005-0000-0000-0000E83C0000}"/>
    <cellStyle name="40% - Accent3 5 5" xfId="1492" xr:uid="{00000000-0005-0000-0000-0000E93C0000}"/>
    <cellStyle name="40% - Accent3 5 5 2" xfId="5022" xr:uid="{00000000-0005-0000-0000-0000EA3C0000}"/>
    <cellStyle name="40% - Accent3 5 5 2 2" xfId="8613" xr:uid="{00000000-0005-0000-0000-0000EB3C0000}"/>
    <cellStyle name="40% - Accent3 5 5 2 2 2" xfId="16584" xr:uid="{00000000-0005-0000-0000-0000EC3C0000}"/>
    <cellStyle name="40% - Accent3 5 5 2 2 2 2" xfId="40427" xr:uid="{07CE8FD3-9557-4426-818A-ED7BB6BADC11}"/>
    <cellStyle name="40% - Accent3 5 5 2 2 3" xfId="24530" xr:uid="{00000000-0005-0000-0000-0000ED3C0000}"/>
    <cellStyle name="40% - Accent3 5 5 2 2 3 2" xfId="48363" xr:uid="{4A4F497F-BB0B-4013-B235-383C48739DA8}"/>
    <cellStyle name="40% - Accent3 5 5 2 2 4" xfId="32486" xr:uid="{29084226-2955-44ED-BD0B-6E0AD71297FA}"/>
    <cellStyle name="40% - Accent3 5 5 2 3" xfId="13046" xr:uid="{00000000-0005-0000-0000-0000EE3C0000}"/>
    <cellStyle name="40% - Accent3 5 5 2 3 2" xfId="36896" xr:uid="{B8CD4170-3C59-4378-AABB-3895550B2DB9}"/>
    <cellStyle name="40% - Accent3 5 5 2 4" xfId="21001" xr:uid="{00000000-0005-0000-0000-0000EF3C0000}"/>
    <cellStyle name="40% - Accent3 5 5 2 4 2" xfId="44834" xr:uid="{5F5C6DE9-E2D8-466E-BC50-C284E6966CD0}"/>
    <cellStyle name="40% - Accent3 5 5 2 5" xfId="28955" xr:uid="{F80F348E-C1F5-4162-AE5F-DA9BB0AB6292}"/>
    <cellStyle name="40% - Accent3 5 5 3" xfId="6854" xr:uid="{00000000-0005-0000-0000-0000F03C0000}"/>
    <cellStyle name="40% - Accent3 5 5 3 2" xfId="14826" xr:uid="{00000000-0005-0000-0000-0000F13C0000}"/>
    <cellStyle name="40% - Accent3 5 5 3 2 2" xfId="38669" xr:uid="{E01C5E26-E661-4C82-BCBD-5B6CF6885510}"/>
    <cellStyle name="40% - Accent3 5 5 3 3" xfId="22773" xr:uid="{00000000-0005-0000-0000-0000F23C0000}"/>
    <cellStyle name="40% - Accent3 5 5 3 3 2" xfId="46606" xr:uid="{D6DA661A-ED6B-44C4-9575-F893DBF1CF93}"/>
    <cellStyle name="40% - Accent3 5 5 3 4" xfId="30728" xr:uid="{232B04EC-3FDF-4B42-88CB-2E5BA85E6B25}"/>
    <cellStyle name="40% - Accent3 5 5 4" xfId="11290" xr:uid="{00000000-0005-0000-0000-0000F33C0000}"/>
    <cellStyle name="40% - Accent3 5 5 4 2" xfId="35140" xr:uid="{C2EF1E76-8D58-434C-859A-838F37D9547F}"/>
    <cellStyle name="40% - Accent3 5 5 5" xfId="19245" xr:uid="{00000000-0005-0000-0000-0000F43C0000}"/>
    <cellStyle name="40% - Accent3 5 5 5 2" xfId="43078" xr:uid="{AB9E2696-3D7D-41E7-9757-72E89731F592}"/>
    <cellStyle name="40% - Accent3 5 5 6" xfId="27198" xr:uid="{662C1E2C-100D-4590-8300-06BCB28E3E2F}"/>
    <cellStyle name="40% - Accent3 5 5_Exh G" xfId="3016" xr:uid="{00000000-0005-0000-0000-0000F53C0000}"/>
    <cellStyle name="40% - Accent3 5 6" xfId="4143" xr:uid="{00000000-0005-0000-0000-0000F63C0000}"/>
    <cellStyle name="40% - Accent3 5 6 2" xfId="7735" xr:uid="{00000000-0005-0000-0000-0000F73C0000}"/>
    <cellStyle name="40% - Accent3 5 6 2 2" xfId="15706" xr:uid="{00000000-0005-0000-0000-0000F83C0000}"/>
    <cellStyle name="40% - Accent3 5 6 2 2 2" xfId="39549" xr:uid="{38553734-0394-4806-AD9D-E936C51F6739}"/>
    <cellStyle name="40% - Accent3 5 6 2 3" xfId="23652" xr:uid="{00000000-0005-0000-0000-0000F93C0000}"/>
    <cellStyle name="40% - Accent3 5 6 2 3 2" xfId="47485" xr:uid="{ED396163-B5E5-4560-95DF-37E4915975CF}"/>
    <cellStyle name="40% - Accent3 5 6 2 4" xfId="31608" xr:uid="{B16C2136-2A61-4AE3-8779-F2067444205A}"/>
    <cellStyle name="40% - Accent3 5 6 3" xfId="12168" xr:uid="{00000000-0005-0000-0000-0000FA3C0000}"/>
    <cellStyle name="40% - Accent3 5 6 3 2" xfId="36018" xr:uid="{292A8B01-7E93-48CC-8D67-B11D082077C7}"/>
    <cellStyle name="40% - Accent3 5 6 4" xfId="20123" xr:uid="{00000000-0005-0000-0000-0000FB3C0000}"/>
    <cellStyle name="40% - Accent3 5 6 4 2" xfId="43956" xr:uid="{17A8A62A-E607-49A2-84E8-FF4483835D65}"/>
    <cellStyle name="40% - Accent3 5 6 5" xfId="28077" xr:uid="{FF61AA36-7D46-46BE-955B-2CDDB71E020A}"/>
    <cellStyle name="40% - Accent3 5 7" xfId="5963" xr:uid="{00000000-0005-0000-0000-0000FC3C0000}"/>
    <cellStyle name="40% - Accent3 5 7 2" xfId="13947" xr:uid="{00000000-0005-0000-0000-0000FD3C0000}"/>
    <cellStyle name="40% - Accent3 5 7 2 2" xfId="37791" xr:uid="{04F44D6B-53CB-437E-80C7-B667B765409F}"/>
    <cellStyle name="40% - Accent3 5 7 3" xfId="21895" xr:uid="{00000000-0005-0000-0000-0000FE3C0000}"/>
    <cellStyle name="40% - Accent3 5 7 3 2" xfId="45728" xr:uid="{9A0C430C-9C17-4116-8FEC-C006BB86A163}"/>
    <cellStyle name="40% - Accent3 5 7 4" xfId="29850" xr:uid="{05A99103-46F4-4450-AE35-67299281EAAE}"/>
    <cellStyle name="40% - Accent3 5 8" xfId="9516" xr:uid="{00000000-0005-0000-0000-0000FF3C0000}"/>
    <cellStyle name="40% - Accent3 5 8 2" xfId="17474" xr:uid="{00000000-0005-0000-0000-0000003D0000}"/>
    <cellStyle name="40% - Accent3 5 8 2 2" xfId="41315" xr:uid="{4A07ECC9-7BBF-40C8-8292-2268054EFC79}"/>
    <cellStyle name="40% - Accent3 5 8 3" xfId="25418" xr:uid="{00000000-0005-0000-0000-0000013D0000}"/>
    <cellStyle name="40% - Accent3 5 8 3 2" xfId="49251" xr:uid="{9A8FCC1C-A8D7-46FE-8B84-A05B05C1C839}"/>
    <cellStyle name="40% - Accent3 5 8 4" xfId="33374" xr:uid="{5AD4AB67-E00E-490D-8EF8-989A552AD9CB}"/>
    <cellStyle name="40% - Accent3 5 9" xfId="10412" xr:uid="{00000000-0005-0000-0000-0000023D0000}"/>
    <cellStyle name="40% - Accent3 5 9 2" xfId="34262" xr:uid="{65033F5B-CD03-4848-8FC4-F0F5C12CBC0C}"/>
    <cellStyle name="40% - Accent3 5_Exh G" xfId="3009" xr:uid="{00000000-0005-0000-0000-0000033D0000}"/>
    <cellStyle name="40% - Accent3 6" xfId="468" xr:uid="{00000000-0005-0000-0000-0000043D0000}"/>
    <cellStyle name="40% - Accent3 6 10" xfId="18371" xr:uid="{00000000-0005-0000-0000-0000053D0000}"/>
    <cellStyle name="40% - Accent3 6 10 2" xfId="42204" xr:uid="{2C2ECC1B-F4CD-4571-B04B-E53945526B20}"/>
    <cellStyle name="40% - Accent3 6 11" xfId="26324" xr:uid="{A5E39A5D-2169-4A86-B787-D0BD23ADD179}"/>
    <cellStyle name="40% - Accent3 6 2" xfId="469" xr:uid="{00000000-0005-0000-0000-0000063D0000}"/>
    <cellStyle name="40% - Accent3 6 2 2" xfId="470" xr:uid="{00000000-0005-0000-0000-0000073D0000}"/>
    <cellStyle name="40% - Accent3 6 2 2 2" xfId="1498" xr:uid="{00000000-0005-0000-0000-0000083D0000}"/>
    <cellStyle name="40% - Accent3 6 2 2 2 2" xfId="5028" xr:uid="{00000000-0005-0000-0000-0000093D0000}"/>
    <cellStyle name="40% - Accent3 6 2 2 2 2 2" xfId="8619" xr:uid="{00000000-0005-0000-0000-00000A3D0000}"/>
    <cellStyle name="40% - Accent3 6 2 2 2 2 2 2" xfId="16590" xr:uid="{00000000-0005-0000-0000-00000B3D0000}"/>
    <cellStyle name="40% - Accent3 6 2 2 2 2 2 2 2" xfId="40433" xr:uid="{C22EE272-F954-4B4F-94E8-75F689057C76}"/>
    <cellStyle name="40% - Accent3 6 2 2 2 2 2 3" xfId="24536" xr:uid="{00000000-0005-0000-0000-00000C3D0000}"/>
    <cellStyle name="40% - Accent3 6 2 2 2 2 2 3 2" xfId="48369" xr:uid="{2FDD233A-2F1D-4B23-9B59-06B2679AA552}"/>
    <cellStyle name="40% - Accent3 6 2 2 2 2 2 4" xfId="32492" xr:uid="{55253A9C-00F5-4143-8E15-85581DE1ABFA}"/>
    <cellStyle name="40% - Accent3 6 2 2 2 2 3" xfId="13052" xr:uid="{00000000-0005-0000-0000-00000D3D0000}"/>
    <cellStyle name="40% - Accent3 6 2 2 2 2 3 2" xfId="36902" xr:uid="{E28AE9A3-F044-47A9-AEEB-2477AEA7DA4B}"/>
    <cellStyle name="40% - Accent3 6 2 2 2 2 4" xfId="21007" xr:uid="{00000000-0005-0000-0000-00000E3D0000}"/>
    <cellStyle name="40% - Accent3 6 2 2 2 2 4 2" xfId="44840" xr:uid="{499C8746-2D2C-4DF4-B404-CFC62405D7DF}"/>
    <cellStyle name="40% - Accent3 6 2 2 2 2 5" xfId="28961" xr:uid="{B944932B-50D9-4F89-8A38-C97D7DFC9449}"/>
    <cellStyle name="40% - Accent3 6 2 2 2 3" xfId="6860" xr:uid="{00000000-0005-0000-0000-00000F3D0000}"/>
    <cellStyle name="40% - Accent3 6 2 2 2 3 2" xfId="14832" xr:uid="{00000000-0005-0000-0000-0000103D0000}"/>
    <cellStyle name="40% - Accent3 6 2 2 2 3 2 2" xfId="38675" xr:uid="{63A119D5-7346-45DE-9FDF-03AD84755832}"/>
    <cellStyle name="40% - Accent3 6 2 2 2 3 3" xfId="22779" xr:uid="{00000000-0005-0000-0000-0000113D0000}"/>
    <cellStyle name="40% - Accent3 6 2 2 2 3 3 2" xfId="46612" xr:uid="{2F232F7E-BD13-43CA-8911-E7085EAD2F40}"/>
    <cellStyle name="40% - Accent3 6 2 2 2 3 4" xfId="30734" xr:uid="{2D95219C-C14A-422C-912B-D336AE61CC2F}"/>
    <cellStyle name="40% - Accent3 6 2 2 2 4" xfId="11296" xr:uid="{00000000-0005-0000-0000-0000123D0000}"/>
    <cellStyle name="40% - Accent3 6 2 2 2 4 2" xfId="35146" xr:uid="{99FA36BA-7C00-487F-9B46-A492ED3F3237}"/>
    <cellStyle name="40% - Accent3 6 2 2 2 5" xfId="19251" xr:uid="{00000000-0005-0000-0000-0000133D0000}"/>
    <cellStyle name="40% - Accent3 6 2 2 2 5 2" xfId="43084" xr:uid="{054A49B5-46E5-4C4E-BB4B-449502C53840}"/>
    <cellStyle name="40% - Accent3 6 2 2 2 6" xfId="27204" xr:uid="{A7411BD5-7645-4C66-8C61-C12C26150FEA}"/>
    <cellStyle name="40% - Accent3 6 2 2 2_Exh G" xfId="3020" xr:uid="{00000000-0005-0000-0000-0000143D0000}"/>
    <cellStyle name="40% - Accent3 6 2 2 3" xfId="4149" xr:uid="{00000000-0005-0000-0000-0000153D0000}"/>
    <cellStyle name="40% - Accent3 6 2 2 3 2" xfId="7741" xr:uid="{00000000-0005-0000-0000-0000163D0000}"/>
    <cellStyle name="40% - Accent3 6 2 2 3 2 2" xfId="15712" xr:uid="{00000000-0005-0000-0000-0000173D0000}"/>
    <cellStyle name="40% - Accent3 6 2 2 3 2 2 2" xfId="39555" xr:uid="{B6161E30-E8FB-4CD6-B7E2-1582BE86DBDA}"/>
    <cellStyle name="40% - Accent3 6 2 2 3 2 3" xfId="23658" xr:uid="{00000000-0005-0000-0000-0000183D0000}"/>
    <cellStyle name="40% - Accent3 6 2 2 3 2 3 2" xfId="47491" xr:uid="{926AC158-0D57-46C2-A452-AF8BEA532BD2}"/>
    <cellStyle name="40% - Accent3 6 2 2 3 2 4" xfId="31614" xr:uid="{E9F71281-E58F-4179-80BA-ADE742B1E90B}"/>
    <cellStyle name="40% - Accent3 6 2 2 3 3" xfId="12174" xr:uid="{00000000-0005-0000-0000-0000193D0000}"/>
    <cellStyle name="40% - Accent3 6 2 2 3 3 2" xfId="36024" xr:uid="{F0577C94-6C92-4742-8729-4DCBBC798D46}"/>
    <cellStyle name="40% - Accent3 6 2 2 3 4" xfId="20129" xr:uid="{00000000-0005-0000-0000-00001A3D0000}"/>
    <cellStyle name="40% - Accent3 6 2 2 3 4 2" xfId="43962" xr:uid="{ECB12E09-A716-4570-9C2A-1AC95B97030C}"/>
    <cellStyle name="40% - Accent3 6 2 2 3 5" xfId="28083" xr:uid="{645260B4-0DE3-4ED2-9C8C-547426EE7C9D}"/>
    <cellStyle name="40% - Accent3 6 2 2 4" xfId="5969" xr:uid="{00000000-0005-0000-0000-00001B3D0000}"/>
    <cellStyle name="40% - Accent3 6 2 2 4 2" xfId="13953" xr:uid="{00000000-0005-0000-0000-00001C3D0000}"/>
    <cellStyle name="40% - Accent3 6 2 2 4 2 2" xfId="37797" xr:uid="{FDAA13E7-2275-4B82-8CE5-B6FA7DC684BD}"/>
    <cellStyle name="40% - Accent3 6 2 2 4 3" xfId="21901" xr:uid="{00000000-0005-0000-0000-00001D3D0000}"/>
    <cellStyle name="40% - Accent3 6 2 2 4 3 2" xfId="45734" xr:uid="{700A224A-430B-4541-A06B-A239AB555961}"/>
    <cellStyle name="40% - Accent3 6 2 2 4 4" xfId="29856" xr:uid="{E4426295-40BA-405B-9528-E69DCE81C18D}"/>
    <cellStyle name="40% - Accent3 6 2 2 5" xfId="9522" xr:uid="{00000000-0005-0000-0000-00001E3D0000}"/>
    <cellStyle name="40% - Accent3 6 2 2 5 2" xfId="17480" xr:uid="{00000000-0005-0000-0000-00001F3D0000}"/>
    <cellStyle name="40% - Accent3 6 2 2 5 2 2" xfId="41321" xr:uid="{BD679AA6-392E-41D5-B9D5-21D809BC6510}"/>
    <cellStyle name="40% - Accent3 6 2 2 5 3" xfId="25424" xr:uid="{00000000-0005-0000-0000-0000203D0000}"/>
    <cellStyle name="40% - Accent3 6 2 2 5 3 2" xfId="49257" xr:uid="{E88717F8-1457-4B17-8C80-53F4EE069780}"/>
    <cellStyle name="40% - Accent3 6 2 2 5 4" xfId="33380" xr:uid="{4D7C2D9C-F759-44FF-8250-4D272F21C10B}"/>
    <cellStyle name="40% - Accent3 6 2 2 6" xfId="10418" xr:uid="{00000000-0005-0000-0000-0000213D0000}"/>
    <cellStyle name="40% - Accent3 6 2 2 6 2" xfId="34268" xr:uid="{8EA324BB-F4C8-4598-B761-C656309868C1}"/>
    <cellStyle name="40% - Accent3 6 2 2 7" xfId="18373" xr:uid="{00000000-0005-0000-0000-0000223D0000}"/>
    <cellStyle name="40% - Accent3 6 2 2 7 2" xfId="42206" xr:uid="{99BEA2C7-12BE-4E8B-BFB7-65A377B008B7}"/>
    <cellStyle name="40% - Accent3 6 2 2 8" xfId="26326" xr:uid="{65BC651F-2E1C-42A0-B0D0-4E46128F0548}"/>
    <cellStyle name="40% - Accent3 6 2 2_Exh G" xfId="3019" xr:uid="{00000000-0005-0000-0000-0000233D0000}"/>
    <cellStyle name="40% - Accent3 6 2 3" xfId="1497" xr:uid="{00000000-0005-0000-0000-0000243D0000}"/>
    <cellStyle name="40% - Accent3 6 2 3 2" xfId="5027" xr:uid="{00000000-0005-0000-0000-0000253D0000}"/>
    <cellStyle name="40% - Accent3 6 2 3 2 2" xfId="8618" xr:uid="{00000000-0005-0000-0000-0000263D0000}"/>
    <cellStyle name="40% - Accent3 6 2 3 2 2 2" xfId="16589" xr:uid="{00000000-0005-0000-0000-0000273D0000}"/>
    <cellStyle name="40% - Accent3 6 2 3 2 2 2 2" xfId="40432" xr:uid="{E25705A7-599F-4EE2-8D54-302AA725ED9A}"/>
    <cellStyle name="40% - Accent3 6 2 3 2 2 3" xfId="24535" xr:uid="{00000000-0005-0000-0000-0000283D0000}"/>
    <cellStyle name="40% - Accent3 6 2 3 2 2 3 2" xfId="48368" xr:uid="{FDD5EE51-A55D-4396-8FBE-64EAC710B65B}"/>
    <cellStyle name="40% - Accent3 6 2 3 2 2 4" xfId="32491" xr:uid="{6809D469-88F5-4BF3-B384-C63B88DFD11C}"/>
    <cellStyle name="40% - Accent3 6 2 3 2 3" xfId="13051" xr:uid="{00000000-0005-0000-0000-0000293D0000}"/>
    <cellStyle name="40% - Accent3 6 2 3 2 3 2" xfId="36901" xr:uid="{52E4C576-2379-46CC-8E88-CB933CE042DF}"/>
    <cellStyle name="40% - Accent3 6 2 3 2 4" xfId="21006" xr:uid="{00000000-0005-0000-0000-00002A3D0000}"/>
    <cellStyle name="40% - Accent3 6 2 3 2 4 2" xfId="44839" xr:uid="{DAAD5005-E204-403D-9198-2A0F2E18B38C}"/>
    <cellStyle name="40% - Accent3 6 2 3 2 5" xfId="28960" xr:uid="{D298080A-8F6A-4AEE-B295-E940A8EA22E9}"/>
    <cellStyle name="40% - Accent3 6 2 3 3" xfId="6859" xr:uid="{00000000-0005-0000-0000-00002B3D0000}"/>
    <cellStyle name="40% - Accent3 6 2 3 3 2" xfId="14831" xr:uid="{00000000-0005-0000-0000-00002C3D0000}"/>
    <cellStyle name="40% - Accent3 6 2 3 3 2 2" xfId="38674" xr:uid="{10EBDF70-3A5C-4C09-B14F-911C5326DD4C}"/>
    <cellStyle name="40% - Accent3 6 2 3 3 3" xfId="22778" xr:uid="{00000000-0005-0000-0000-00002D3D0000}"/>
    <cellStyle name="40% - Accent3 6 2 3 3 3 2" xfId="46611" xr:uid="{38ABADF0-91F2-4854-B47C-2297DBFCBDCA}"/>
    <cellStyle name="40% - Accent3 6 2 3 3 4" xfId="30733" xr:uid="{28DA7FEE-DA4D-4A40-A48E-AA115F0F329F}"/>
    <cellStyle name="40% - Accent3 6 2 3 4" xfId="11295" xr:uid="{00000000-0005-0000-0000-00002E3D0000}"/>
    <cellStyle name="40% - Accent3 6 2 3 4 2" xfId="35145" xr:uid="{2C51651D-2340-4199-9342-ABEE914C7225}"/>
    <cellStyle name="40% - Accent3 6 2 3 5" xfId="19250" xr:uid="{00000000-0005-0000-0000-00002F3D0000}"/>
    <cellStyle name="40% - Accent3 6 2 3 5 2" xfId="43083" xr:uid="{46434758-DD77-490A-ADC6-D47C6EA4EE28}"/>
    <cellStyle name="40% - Accent3 6 2 3 6" xfId="27203" xr:uid="{155181D2-D803-46F3-9CD0-A48CA8C29E6B}"/>
    <cellStyle name="40% - Accent3 6 2 3_Exh G" xfId="3021" xr:uid="{00000000-0005-0000-0000-0000303D0000}"/>
    <cellStyle name="40% - Accent3 6 2 4" xfId="4148" xr:uid="{00000000-0005-0000-0000-0000313D0000}"/>
    <cellStyle name="40% - Accent3 6 2 4 2" xfId="7740" xr:uid="{00000000-0005-0000-0000-0000323D0000}"/>
    <cellStyle name="40% - Accent3 6 2 4 2 2" xfId="15711" xr:uid="{00000000-0005-0000-0000-0000333D0000}"/>
    <cellStyle name="40% - Accent3 6 2 4 2 2 2" xfId="39554" xr:uid="{7DEA4153-A6BB-4421-AE14-244EE7748D2F}"/>
    <cellStyle name="40% - Accent3 6 2 4 2 3" xfId="23657" xr:uid="{00000000-0005-0000-0000-0000343D0000}"/>
    <cellStyle name="40% - Accent3 6 2 4 2 3 2" xfId="47490" xr:uid="{D1594209-5CBE-4DD1-B166-BE2A4A7E1C89}"/>
    <cellStyle name="40% - Accent3 6 2 4 2 4" xfId="31613" xr:uid="{7AF55663-B7B3-43C9-9E21-DE205BC02083}"/>
    <cellStyle name="40% - Accent3 6 2 4 3" xfId="12173" xr:uid="{00000000-0005-0000-0000-0000353D0000}"/>
    <cellStyle name="40% - Accent3 6 2 4 3 2" xfId="36023" xr:uid="{5F4A8ACB-3EF8-417E-B5E8-9F2A9CA41BB1}"/>
    <cellStyle name="40% - Accent3 6 2 4 4" xfId="20128" xr:uid="{00000000-0005-0000-0000-0000363D0000}"/>
    <cellStyle name="40% - Accent3 6 2 4 4 2" xfId="43961" xr:uid="{67E04B7E-4FA1-4059-A60E-CD2E61CDA7F7}"/>
    <cellStyle name="40% - Accent3 6 2 4 5" xfId="28082" xr:uid="{C23AD7A3-70B5-4DC9-83E5-B4139E14A11C}"/>
    <cellStyle name="40% - Accent3 6 2 5" xfId="5968" xr:uid="{00000000-0005-0000-0000-0000373D0000}"/>
    <cellStyle name="40% - Accent3 6 2 5 2" xfId="13952" xr:uid="{00000000-0005-0000-0000-0000383D0000}"/>
    <cellStyle name="40% - Accent3 6 2 5 2 2" xfId="37796" xr:uid="{48561BFB-8D80-4A11-984C-CC1821D56E78}"/>
    <cellStyle name="40% - Accent3 6 2 5 3" xfId="21900" xr:uid="{00000000-0005-0000-0000-0000393D0000}"/>
    <cellStyle name="40% - Accent3 6 2 5 3 2" xfId="45733" xr:uid="{00471CAA-8416-4CBE-B54B-BF9710A942F5}"/>
    <cellStyle name="40% - Accent3 6 2 5 4" xfId="29855" xr:uid="{15376615-33AB-4917-8B26-1643704B5A87}"/>
    <cellStyle name="40% - Accent3 6 2 6" xfId="9521" xr:uid="{00000000-0005-0000-0000-00003A3D0000}"/>
    <cellStyle name="40% - Accent3 6 2 6 2" xfId="17479" xr:uid="{00000000-0005-0000-0000-00003B3D0000}"/>
    <cellStyle name="40% - Accent3 6 2 6 2 2" xfId="41320" xr:uid="{A60DEB05-FBF2-4148-ABF0-ED2268DF805E}"/>
    <cellStyle name="40% - Accent3 6 2 6 3" xfId="25423" xr:uid="{00000000-0005-0000-0000-00003C3D0000}"/>
    <cellStyle name="40% - Accent3 6 2 6 3 2" xfId="49256" xr:uid="{0C72DABF-7EF8-464B-9D92-E92AF7E0F262}"/>
    <cellStyle name="40% - Accent3 6 2 6 4" xfId="33379" xr:uid="{948F1C6B-1AA7-4192-BA6E-A6E57CA6DEF4}"/>
    <cellStyle name="40% - Accent3 6 2 7" xfId="10417" xr:uid="{00000000-0005-0000-0000-00003D3D0000}"/>
    <cellStyle name="40% - Accent3 6 2 7 2" xfId="34267" xr:uid="{BE0BF767-1C15-417D-AAB1-D1CE879241CE}"/>
    <cellStyle name="40% - Accent3 6 2 8" xfId="18372" xr:uid="{00000000-0005-0000-0000-00003E3D0000}"/>
    <cellStyle name="40% - Accent3 6 2 8 2" xfId="42205" xr:uid="{B96933A3-C84C-4143-A3B7-0A050A91C62C}"/>
    <cellStyle name="40% - Accent3 6 2 9" xfId="26325" xr:uid="{A3E86D69-5B78-4A32-8AF3-27EC54E13826}"/>
    <cellStyle name="40% - Accent3 6 2_Exh G" xfId="3018" xr:uid="{00000000-0005-0000-0000-00003F3D0000}"/>
    <cellStyle name="40% - Accent3 6 3" xfId="471" xr:uid="{00000000-0005-0000-0000-0000403D0000}"/>
    <cellStyle name="40% - Accent3 6 3 2" xfId="1499" xr:uid="{00000000-0005-0000-0000-0000413D0000}"/>
    <cellStyle name="40% - Accent3 6 3 2 2" xfId="5029" xr:uid="{00000000-0005-0000-0000-0000423D0000}"/>
    <cellStyle name="40% - Accent3 6 3 2 2 2" xfId="8620" xr:uid="{00000000-0005-0000-0000-0000433D0000}"/>
    <cellStyle name="40% - Accent3 6 3 2 2 2 2" xfId="16591" xr:uid="{00000000-0005-0000-0000-0000443D0000}"/>
    <cellStyle name="40% - Accent3 6 3 2 2 2 2 2" xfId="40434" xr:uid="{4DBF41F9-7A65-4593-91D8-F3EB83D62AC0}"/>
    <cellStyle name="40% - Accent3 6 3 2 2 2 3" xfId="24537" xr:uid="{00000000-0005-0000-0000-0000453D0000}"/>
    <cellStyle name="40% - Accent3 6 3 2 2 2 3 2" xfId="48370" xr:uid="{B0D3A823-F4E9-4C8D-8071-E2D96D061E17}"/>
    <cellStyle name="40% - Accent3 6 3 2 2 2 4" xfId="32493" xr:uid="{1ED6A8AD-1444-4679-82C3-56CA7CDF3924}"/>
    <cellStyle name="40% - Accent3 6 3 2 2 3" xfId="13053" xr:uid="{00000000-0005-0000-0000-0000463D0000}"/>
    <cellStyle name="40% - Accent3 6 3 2 2 3 2" xfId="36903" xr:uid="{31FCDAA3-BD19-4A11-A2B2-8F330A0987DA}"/>
    <cellStyle name="40% - Accent3 6 3 2 2 4" xfId="21008" xr:uid="{00000000-0005-0000-0000-0000473D0000}"/>
    <cellStyle name="40% - Accent3 6 3 2 2 4 2" xfId="44841" xr:uid="{1AAEBA4E-A2FA-4390-ABA8-E746136A020D}"/>
    <cellStyle name="40% - Accent3 6 3 2 2 5" xfId="28962" xr:uid="{1667FB2F-EB4D-4A68-A92A-625C56FFFC0D}"/>
    <cellStyle name="40% - Accent3 6 3 2 3" xfId="6861" xr:uid="{00000000-0005-0000-0000-0000483D0000}"/>
    <cellStyle name="40% - Accent3 6 3 2 3 2" xfId="14833" xr:uid="{00000000-0005-0000-0000-0000493D0000}"/>
    <cellStyle name="40% - Accent3 6 3 2 3 2 2" xfId="38676" xr:uid="{0535F4DB-F7EC-4419-A687-3074E23E4873}"/>
    <cellStyle name="40% - Accent3 6 3 2 3 3" xfId="22780" xr:uid="{00000000-0005-0000-0000-00004A3D0000}"/>
    <cellStyle name="40% - Accent3 6 3 2 3 3 2" xfId="46613" xr:uid="{0CDE0599-BB79-4821-BC75-7133E4ED9DE3}"/>
    <cellStyle name="40% - Accent3 6 3 2 3 4" xfId="30735" xr:uid="{E8BF512B-AEDE-49C8-BCFD-DA1F5BA0A62E}"/>
    <cellStyle name="40% - Accent3 6 3 2 4" xfId="11297" xr:uid="{00000000-0005-0000-0000-00004B3D0000}"/>
    <cellStyle name="40% - Accent3 6 3 2 4 2" xfId="35147" xr:uid="{11A155F1-B1EB-4756-9FBF-E80A58BEF514}"/>
    <cellStyle name="40% - Accent3 6 3 2 5" xfId="19252" xr:uid="{00000000-0005-0000-0000-00004C3D0000}"/>
    <cellStyle name="40% - Accent3 6 3 2 5 2" xfId="43085" xr:uid="{85D1CE5A-3DF3-4C8C-91EC-E92BD5FBBD99}"/>
    <cellStyle name="40% - Accent3 6 3 2 6" xfId="27205" xr:uid="{15BC886C-7BD9-4CE6-841B-9533C67ACCC0}"/>
    <cellStyle name="40% - Accent3 6 3 2_Exh G" xfId="3023" xr:uid="{00000000-0005-0000-0000-00004D3D0000}"/>
    <cellStyle name="40% - Accent3 6 3 3" xfId="4150" xr:uid="{00000000-0005-0000-0000-00004E3D0000}"/>
    <cellStyle name="40% - Accent3 6 3 3 2" xfId="7742" xr:uid="{00000000-0005-0000-0000-00004F3D0000}"/>
    <cellStyle name="40% - Accent3 6 3 3 2 2" xfId="15713" xr:uid="{00000000-0005-0000-0000-0000503D0000}"/>
    <cellStyle name="40% - Accent3 6 3 3 2 2 2" xfId="39556" xr:uid="{B280C621-188C-4F55-A55D-486EB47E3E7D}"/>
    <cellStyle name="40% - Accent3 6 3 3 2 3" xfId="23659" xr:uid="{00000000-0005-0000-0000-0000513D0000}"/>
    <cellStyle name="40% - Accent3 6 3 3 2 3 2" xfId="47492" xr:uid="{FD7F69C8-753E-4296-B81D-43EE6C64391D}"/>
    <cellStyle name="40% - Accent3 6 3 3 2 4" xfId="31615" xr:uid="{086F0C24-F3EB-4D5F-A8F3-F8A30CADE232}"/>
    <cellStyle name="40% - Accent3 6 3 3 3" xfId="12175" xr:uid="{00000000-0005-0000-0000-0000523D0000}"/>
    <cellStyle name="40% - Accent3 6 3 3 3 2" xfId="36025" xr:uid="{9F29CD13-1A79-4DAD-8BD7-E9B84C0F0B45}"/>
    <cellStyle name="40% - Accent3 6 3 3 4" xfId="20130" xr:uid="{00000000-0005-0000-0000-0000533D0000}"/>
    <cellStyle name="40% - Accent3 6 3 3 4 2" xfId="43963" xr:uid="{A818F5C5-79B9-4836-99EF-44211CF237A5}"/>
    <cellStyle name="40% - Accent3 6 3 3 5" xfId="28084" xr:uid="{D92FF9A0-8D13-4F3B-9EDE-D0A2B10A697C}"/>
    <cellStyle name="40% - Accent3 6 3 4" xfId="5970" xr:uid="{00000000-0005-0000-0000-0000543D0000}"/>
    <cellStyle name="40% - Accent3 6 3 4 2" xfId="13954" xr:uid="{00000000-0005-0000-0000-0000553D0000}"/>
    <cellStyle name="40% - Accent3 6 3 4 2 2" xfId="37798" xr:uid="{344E0D4D-800F-49CE-BD43-7B7E06647AB4}"/>
    <cellStyle name="40% - Accent3 6 3 4 3" xfId="21902" xr:uid="{00000000-0005-0000-0000-0000563D0000}"/>
    <cellStyle name="40% - Accent3 6 3 4 3 2" xfId="45735" xr:uid="{9CA2863E-4E40-494A-BEEC-FF750C906C71}"/>
    <cellStyle name="40% - Accent3 6 3 4 4" xfId="29857" xr:uid="{254022BA-D61E-4478-AFD9-E610B411738B}"/>
    <cellStyle name="40% - Accent3 6 3 5" xfId="9523" xr:uid="{00000000-0005-0000-0000-0000573D0000}"/>
    <cellStyle name="40% - Accent3 6 3 5 2" xfId="17481" xr:uid="{00000000-0005-0000-0000-0000583D0000}"/>
    <cellStyle name="40% - Accent3 6 3 5 2 2" xfId="41322" xr:uid="{05415A29-C88D-4B07-A778-203C4071AE33}"/>
    <cellStyle name="40% - Accent3 6 3 5 3" xfId="25425" xr:uid="{00000000-0005-0000-0000-0000593D0000}"/>
    <cellStyle name="40% - Accent3 6 3 5 3 2" xfId="49258" xr:uid="{82DB924F-3303-40CA-8D81-6652917808B8}"/>
    <cellStyle name="40% - Accent3 6 3 5 4" xfId="33381" xr:uid="{74B44E46-74B8-4F6C-A7E9-515D3216C1E7}"/>
    <cellStyle name="40% - Accent3 6 3 6" xfId="10419" xr:uid="{00000000-0005-0000-0000-00005A3D0000}"/>
    <cellStyle name="40% - Accent3 6 3 6 2" xfId="34269" xr:uid="{C35E3728-A54A-4E77-A39D-23BD80DE1417}"/>
    <cellStyle name="40% - Accent3 6 3 7" xfId="18374" xr:uid="{00000000-0005-0000-0000-00005B3D0000}"/>
    <cellStyle name="40% - Accent3 6 3 7 2" xfId="42207" xr:uid="{E4564DF0-3059-4328-A7BC-9A791420D2D4}"/>
    <cellStyle name="40% - Accent3 6 3 8" xfId="26327" xr:uid="{691EC888-C0CB-4EDE-937C-EBCFF9ABCD05}"/>
    <cellStyle name="40% - Accent3 6 3_Exh G" xfId="3022" xr:uid="{00000000-0005-0000-0000-00005C3D0000}"/>
    <cellStyle name="40% - Accent3 6 4" xfId="966" xr:uid="{00000000-0005-0000-0000-00005D3D0000}"/>
    <cellStyle name="40% - Accent3 6 4 2" xfId="1885" xr:uid="{00000000-0005-0000-0000-00005E3D0000}"/>
    <cellStyle name="40% - Accent3 6 4 2 2" xfId="5403" xr:uid="{00000000-0005-0000-0000-00005F3D0000}"/>
    <cellStyle name="40% - Accent3 6 4 2 2 2" xfId="8994" xr:uid="{00000000-0005-0000-0000-0000603D0000}"/>
    <cellStyle name="40% - Accent3 6 4 2 2 2 2" xfId="16965" xr:uid="{00000000-0005-0000-0000-0000613D0000}"/>
    <cellStyle name="40% - Accent3 6 4 2 2 2 2 2" xfId="40808" xr:uid="{F0F7F94A-A64E-41B0-AE9A-1237936257A2}"/>
    <cellStyle name="40% - Accent3 6 4 2 2 2 3" xfId="24911" xr:uid="{00000000-0005-0000-0000-0000623D0000}"/>
    <cellStyle name="40% - Accent3 6 4 2 2 2 3 2" xfId="48744" xr:uid="{22CD4EE1-B29C-4219-BC80-8FB54163BC7F}"/>
    <cellStyle name="40% - Accent3 6 4 2 2 2 4" xfId="32867" xr:uid="{2035DD3F-38EE-4728-A3F6-730CC92900C6}"/>
    <cellStyle name="40% - Accent3 6 4 2 2 3" xfId="13427" xr:uid="{00000000-0005-0000-0000-0000633D0000}"/>
    <cellStyle name="40% - Accent3 6 4 2 2 3 2" xfId="37277" xr:uid="{323D4B35-C1CA-4F3A-B826-ED9A4EF3EB3B}"/>
    <cellStyle name="40% - Accent3 6 4 2 2 4" xfId="21382" xr:uid="{00000000-0005-0000-0000-0000643D0000}"/>
    <cellStyle name="40% - Accent3 6 4 2 2 4 2" xfId="45215" xr:uid="{7339787D-EDC5-47C9-A279-B9325F81AAB2}"/>
    <cellStyle name="40% - Accent3 6 4 2 2 5" xfId="29336" xr:uid="{829AC789-0D1B-4624-8F3B-367548D2E497}"/>
    <cellStyle name="40% - Accent3 6 4 2 3" xfId="7235" xr:uid="{00000000-0005-0000-0000-0000653D0000}"/>
    <cellStyle name="40% - Accent3 6 4 2 3 2" xfId="15207" xr:uid="{00000000-0005-0000-0000-0000663D0000}"/>
    <cellStyle name="40% - Accent3 6 4 2 3 2 2" xfId="39050" xr:uid="{249A9963-0B06-4FD2-A58D-915060804FEB}"/>
    <cellStyle name="40% - Accent3 6 4 2 3 3" xfId="23154" xr:uid="{00000000-0005-0000-0000-0000673D0000}"/>
    <cellStyle name="40% - Accent3 6 4 2 3 3 2" xfId="46987" xr:uid="{21A32CC9-D405-4C02-9958-33A8E7439315}"/>
    <cellStyle name="40% - Accent3 6 4 2 3 4" xfId="31109" xr:uid="{D19CDD9D-E9C0-45A2-B0F8-36BD3338702F}"/>
    <cellStyle name="40% - Accent3 6 4 2 4" xfId="11671" xr:uid="{00000000-0005-0000-0000-0000683D0000}"/>
    <cellStyle name="40% - Accent3 6 4 2 4 2" xfId="35521" xr:uid="{045A42BD-C4F1-4E06-92E9-1ACE92FBD37F}"/>
    <cellStyle name="40% - Accent3 6 4 2 5" xfId="19626" xr:uid="{00000000-0005-0000-0000-0000693D0000}"/>
    <cellStyle name="40% - Accent3 6 4 2 5 2" xfId="43459" xr:uid="{3DC8135B-D761-4DA3-A675-8A4206A3F66E}"/>
    <cellStyle name="40% - Accent3 6 4 2 6" xfId="27579" xr:uid="{DFDB6F2F-2A9A-4342-A9A4-DE91439614C1}"/>
    <cellStyle name="40% - Accent3 6 4 2_Exh G" xfId="3025" xr:uid="{00000000-0005-0000-0000-00006A3D0000}"/>
    <cellStyle name="40% - Accent3 6 4 3" xfId="4524" xr:uid="{00000000-0005-0000-0000-00006B3D0000}"/>
    <cellStyle name="40% - Accent3 6 4 3 2" xfId="8116" xr:uid="{00000000-0005-0000-0000-00006C3D0000}"/>
    <cellStyle name="40% - Accent3 6 4 3 2 2" xfId="16087" xr:uid="{00000000-0005-0000-0000-00006D3D0000}"/>
    <cellStyle name="40% - Accent3 6 4 3 2 2 2" xfId="39930" xr:uid="{27F1AB3D-8367-4538-BB9F-1C69BA263DB4}"/>
    <cellStyle name="40% - Accent3 6 4 3 2 3" xfId="24033" xr:uid="{00000000-0005-0000-0000-00006E3D0000}"/>
    <cellStyle name="40% - Accent3 6 4 3 2 3 2" xfId="47866" xr:uid="{654BA144-183E-4B2E-ABE6-53EBC7D0D0DD}"/>
    <cellStyle name="40% - Accent3 6 4 3 2 4" xfId="31989" xr:uid="{0D010307-A8F1-4419-BC16-CE424632A7A0}"/>
    <cellStyle name="40% - Accent3 6 4 3 3" xfId="12549" xr:uid="{00000000-0005-0000-0000-00006F3D0000}"/>
    <cellStyle name="40% - Accent3 6 4 3 3 2" xfId="36399" xr:uid="{47A7C48D-1899-414C-8482-57EB2672A806}"/>
    <cellStyle name="40% - Accent3 6 4 3 4" xfId="20504" xr:uid="{00000000-0005-0000-0000-0000703D0000}"/>
    <cellStyle name="40% - Accent3 6 4 3 4 2" xfId="44337" xr:uid="{E0E7DEE2-42D6-4A14-BAE6-83891B1790E6}"/>
    <cellStyle name="40% - Accent3 6 4 3 5" xfId="28458" xr:uid="{42626888-4430-4847-93FC-16EA392D7AFB}"/>
    <cellStyle name="40% - Accent3 6 4 4" xfId="6354" xr:uid="{00000000-0005-0000-0000-0000713D0000}"/>
    <cellStyle name="40% - Accent3 6 4 4 2" xfId="14329" xr:uid="{00000000-0005-0000-0000-0000723D0000}"/>
    <cellStyle name="40% - Accent3 6 4 4 2 2" xfId="38172" xr:uid="{64F7D51B-0786-4E35-A73A-45A1967835A0}"/>
    <cellStyle name="40% - Accent3 6 4 4 3" xfId="22276" xr:uid="{00000000-0005-0000-0000-0000733D0000}"/>
    <cellStyle name="40% - Accent3 6 4 4 3 2" xfId="46109" xr:uid="{3FB1DCF4-6CF8-4D86-B454-BAA71231EA90}"/>
    <cellStyle name="40% - Accent3 6 4 4 4" xfId="30231" xr:uid="{25C06128-1FAA-4AFC-A2F8-4CEFAD96BD85}"/>
    <cellStyle name="40% - Accent3 6 4 5" xfId="9897" xr:uid="{00000000-0005-0000-0000-0000743D0000}"/>
    <cellStyle name="40% - Accent3 6 4 5 2" xfId="17855" xr:uid="{00000000-0005-0000-0000-0000753D0000}"/>
    <cellStyle name="40% - Accent3 6 4 5 2 2" xfId="41696" xr:uid="{BC61DE62-0468-4404-B170-5069D1321B8B}"/>
    <cellStyle name="40% - Accent3 6 4 5 3" xfId="25799" xr:uid="{00000000-0005-0000-0000-0000763D0000}"/>
    <cellStyle name="40% - Accent3 6 4 5 3 2" xfId="49632" xr:uid="{696EE77F-6889-40B4-8A6A-664B66B3A14D}"/>
    <cellStyle name="40% - Accent3 6 4 5 4" xfId="33755" xr:uid="{67AC06F7-C2EA-4D8B-A004-6EB8CB86828E}"/>
    <cellStyle name="40% - Accent3 6 4 6" xfId="10793" xr:uid="{00000000-0005-0000-0000-0000773D0000}"/>
    <cellStyle name="40% - Accent3 6 4 6 2" xfId="34643" xr:uid="{AD46D1B2-6734-445B-8271-81769ED4C8DF}"/>
    <cellStyle name="40% - Accent3 6 4 7" xfId="18748" xr:uid="{00000000-0005-0000-0000-0000783D0000}"/>
    <cellStyle name="40% - Accent3 6 4 7 2" xfId="42581" xr:uid="{F3DD2C32-335D-46F8-8C72-223657E1587D}"/>
    <cellStyle name="40% - Accent3 6 4 8" xfId="26701" xr:uid="{9467DB7D-1FAC-4399-A432-3C43EB0E0FBD}"/>
    <cellStyle name="40% - Accent3 6 4_Exh G" xfId="3024" xr:uid="{00000000-0005-0000-0000-0000793D0000}"/>
    <cellStyle name="40% - Accent3 6 5" xfId="1496" xr:uid="{00000000-0005-0000-0000-00007A3D0000}"/>
    <cellStyle name="40% - Accent3 6 5 2" xfId="5026" xr:uid="{00000000-0005-0000-0000-00007B3D0000}"/>
    <cellStyle name="40% - Accent3 6 5 2 2" xfId="8617" xr:uid="{00000000-0005-0000-0000-00007C3D0000}"/>
    <cellStyle name="40% - Accent3 6 5 2 2 2" xfId="16588" xr:uid="{00000000-0005-0000-0000-00007D3D0000}"/>
    <cellStyle name="40% - Accent3 6 5 2 2 2 2" xfId="40431" xr:uid="{42028488-E390-4C83-8E8F-4B2AE310708C}"/>
    <cellStyle name="40% - Accent3 6 5 2 2 3" xfId="24534" xr:uid="{00000000-0005-0000-0000-00007E3D0000}"/>
    <cellStyle name="40% - Accent3 6 5 2 2 3 2" xfId="48367" xr:uid="{93ADFCE2-982F-4865-A97A-215783952F62}"/>
    <cellStyle name="40% - Accent3 6 5 2 2 4" xfId="32490" xr:uid="{4B8857C3-7014-410E-BFE8-1907B539381F}"/>
    <cellStyle name="40% - Accent3 6 5 2 3" xfId="13050" xr:uid="{00000000-0005-0000-0000-00007F3D0000}"/>
    <cellStyle name="40% - Accent3 6 5 2 3 2" xfId="36900" xr:uid="{587F4C5C-1901-47B7-81F0-DFBF2D98ED6F}"/>
    <cellStyle name="40% - Accent3 6 5 2 4" xfId="21005" xr:uid="{00000000-0005-0000-0000-0000803D0000}"/>
    <cellStyle name="40% - Accent3 6 5 2 4 2" xfId="44838" xr:uid="{6C84190D-33AC-40AC-9FFB-27956A0C60D3}"/>
    <cellStyle name="40% - Accent3 6 5 2 5" xfId="28959" xr:uid="{04FEED16-84CA-4800-8CAF-13F3B814952D}"/>
    <cellStyle name="40% - Accent3 6 5 3" xfId="6858" xr:uid="{00000000-0005-0000-0000-0000813D0000}"/>
    <cellStyle name="40% - Accent3 6 5 3 2" xfId="14830" xr:uid="{00000000-0005-0000-0000-0000823D0000}"/>
    <cellStyle name="40% - Accent3 6 5 3 2 2" xfId="38673" xr:uid="{A45CF1DA-0947-4494-9816-958426EFA734}"/>
    <cellStyle name="40% - Accent3 6 5 3 3" xfId="22777" xr:uid="{00000000-0005-0000-0000-0000833D0000}"/>
    <cellStyle name="40% - Accent3 6 5 3 3 2" xfId="46610" xr:uid="{7FE2E08A-8B6D-4FB9-9B9B-995A748D3E23}"/>
    <cellStyle name="40% - Accent3 6 5 3 4" xfId="30732" xr:uid="{198DD657-7CFD-410B-84F6-443504E9365C}"/>
    <cellStyle name="40% - Accent3 6 5 4" xfId="11294" xr:uid="{00000000-0005-0000-0000-0000843D0000}"/>
    <cellStyle name="40% - Accent3 6 5 4 2" xfId="35144" xr:uid="{B4193659-3B99-4EBA-865E-F59DB2FBFF32}"/>
    <cellStyle name="40% - Accent3 6 5 5" xfId="19249" xr:uid="{00000000-0005-0000-0000-0000853D0000}"/>
    <cellStyle name="40% - Accent3 6 5 5 2" xfId="43082" xr:uid="{12B8D28C-8D69-4425-8D44-429C3683030C}"/>
    <cellStyle name="40% - Accent3 6 5 6" xfId="27202" xr:uid="{F10BF448-5892-4AE8-9DF4-F80BD8615877}"/>
    <cellStyle name="40% - Accent3 6 5_Exh G" xfId="3026" xr:uid="{00000000-0005-0000-0000-0000863D0000}"/>
    <cellStyle name="40% - Accent3 6 6" xfId="4147" xr:uid="{00000000-0005-0000-0000-0000873D0000}"/>
    <cellStyle name="40% - Accent3 6 6 2" xfId="7739" xr:uid="{00000000-0005-0000-0000-0000883D0000}"/>
    <cellStyle name="40% - Accent3 6 6 2 2" xfId="15710" xr:uid="{00000000-0005-0000-0000-0000893D0000}"/>
    <cellStyle name="40% - Accent3 6 6 2 2 2" xfId="39553" xr:uid="{7A0C5602-E731-4446-9797-F51E038483DF}"/>
    <cellStyle name="40% - Accent3 6 6 2 3" xfId="23656" xr:uid="{00000000-0005-0000-0000-00008A3D0000}"/>
    <cellStyle name="40% - Accent3 6 6 2 3 2" xfId="47489" xr:uid="{7C35295C-159B-4508-859C-D5FE6A21E379}"/>
    <cellStyle name="40% - Accent3 6 6 2 4" xfId="31612" xr:uid="{C102B895-DF8D-4EFF-B037-D9FF4090AEC6}"/>
    <cellStyle name="40% - Accent3 6 6 3" xfId="12172" xr:uid="{00000000-0005-0000-0000-00008B3D0000}"/>
    <cellStyle name="40% - Accent3 6 6 3 2" xfId="36022" xr:uid="{65C7EE4F-06D7-466B-9947-4BCEA4C67534}"/>
    <cellStyle name="40% - Accent3 6 6 4" xfId="20127" xr:uid="{00000000-0005-0000-0000-00008C3D0000}"/>
    <cellStyle name="40% - Accent3 6 6 4 2" xfId="43960" xr:uid="{25166C21-B834-4517-B87C-A4D7BCF0F5DD}"/>
    <cellStyle name="40% - Accent3 6 6 5" xfId="28081" xr:uid="{70794B69-24A2-4DC0-926D-532982AD5303}"/>
    <cellStyle name="40% - Accent3 6 7" xfId="5967" xr:uid="{00000000-0005-0000-0000-00008D3D0000}"/>
    <cellStyle name="40% - Accent3 6 7 2" xfId="13951" xr:uid="{00000000-0005-0000-0000-00008E3D0000}"/>
    <cellStyle name="40% - Accent3 6 7 2 2" xfId="37795" xr:uid="{8358E9CC-60BE-4C6E-8937-5C165CA676CA}"/>
    <cellStyle name="40% - Accent3 6 7 3" xfId="21899" xr:uid="{00000000-0005-0000-0000-00008F3D0000}"/>
    <cellStyle name="40% - Accent3 6 7 3 2" xfId="45732" xr:uid="{40D7D55F-0AC2-4C68-BD82-02A50A8E0722}"/>
    <cellStyle name="40% - Accent3 6 7 4" xfId="29854" xr:uid="{C6968D4A-EF55-4A1B-9B8C-4CF5BF364C38}"/>
    <cellStyle name="40% - Accent3 6 8" xfId="9520" xr:uid="{00000000-0005-0000-0000-0000903D0000}"/>
    <cellStyle name="40% - Accent3 6 8 2" xfId="17478" xr:uid="{00000000-0005-0000-0000-0000913D0000}"/>
    <cellStyle name="40% - Accent3 6 8 2 2" xfId="41319" xr:uid="{C4D8E2FC-8E5A-4DA2-AC00-1F7833A3A099}"/>
    <cellStyle name="40% - Accent3 6 8 3" xfId="25422" xr:uid="{00000000-0005-0000-0000-0000923D0000}"/>
    <cellStyle name="40% - Accent3 6 8 3 2" xfId="49255" xr:uid="{7A74C7DD-C6AF-4ED6-B545-AD8FC29783BF}"/>
    <cellStyle name="40% - Accent3 6 8 4" xfId="33378" xr:uid="{9D6D6657-5F5C-4E71-9C58-E7CA5C5373A0}"/>
    <cellStyle name="40% - Accent3 6 9" xfId="10416" xr:uid="{00000000-0005-0000-0000-0000933D0000}"/>
    <cellStyle name="40% - Accent3 6 9 2" xfId="34266" xr:uid="{9E7CC1D7-8015-4CF5-AEE5-993244AAD871}"/>
    <cellStyle name="40% - Accent3 6_Exh G" xfId="3017" xr:uid="{00000000-0005-0000-0000-0000943D0000}"/>
    <cellStyle name="40% - Accent3 7" xfId="472" xr:uid="{00000000-0005-0000-0000-0000953D0000}"/>
    <cellStyle name="40% - Accent3 7 10" xfId="18375" xr:uid="{00000000-0005-0000-0000-0000963D0000}"/>
    <cellStyle name="40% - Accent3 7 10 2" xfId="42208" xr:uid="{674B1147-4E5E-4F56-BD15-FAB8584D9F04}"/>
    <cellStyle name="40% - Accent3 7 11" xfId="26328" xr:uid="{03799E87-9755-4674-B457-4412808ACC52}"/>
    <cellStyle name="40% - Accent3 7 2" xfId="473" xr:uid="{00000000-0005-0000-0000-0000973D0000}"/>
    <cellStyle name="40% - Accent3 7 2 2" xfId="474" xr:uid="{00000000-0005-0000-0000-0000983D0000}"/>
    <cellStyle name="40% - Accent3 7 2 2 2" xfId="1502" xr:uid="{00000000-0005-0000-0000-0000993D0000}"/>
    <cellStyle name="40% - Accent3 7 2 2 2 2" xfId="5032" xr:uid="{00000000-0005-0000-0000-00009A3D0000}"/>
    <cellStyle name="40% - Accent3 7 2 2 2 2 2" xfId="8623" xr:uid="{00000000-0005-0000-0000-00009B3D0000}"/>
    <cellStyle name="40% - Accent3 7 2 2 2 2 2 2" xfId="16594" xr:uid="{00000000-0005-0000-0000-00009C3D0000}"/>
    <cellStyle name="40% - Accent3 7 2 2 2 2 2 2 2" xfId="40437" xr:uid="{E69FCAD8-281B-4523-9D2C-DBCF78D05FE5}"/>
    <cellStyle name="40% - Accent3 7 2 2 2 2 2 3" xfId="24540" xr:uid="{00000000-0005-0000-0000-00009D3D0000}"/>
    <cellStyle name="40% - Accent3 7 2 2 2 2 2 3 2" xfId="48373" xr:uid="{12ECB9C4-261B-4E89-AECE-21EDB0B7C290}"/>
    <cellStyle name="40% - Accent3 7 2 2 2 2 2 4" xfId="32496" xr:uid="{DB6300B1-0F9D-4F20-B7C9-0ADB7569F935}"/>
    <cellStyle name="40% - Accent3 7 2 2 2 2 3" xfId="13056" xr:uid="{00000000-0005-0000-0000-00009E3D0000}"/>
    <cellStyle name="40% - Accent3 7 2 2 2 2 3 2" xfId="36906" xr:uid="{6704D1F4-D7F8-4BBE-82E4-0805D1FEE0AF}"/>
    <cellStyle name="40% - Accent3 7 2 2 2 2 4" xfId="21011" xr:uid="{00000000-0005-0000-0000-00009F3D0000}"/>
    <cellStyle name="40% - Accent3 7 2 2 2 2 4 2" xfId="44844" xr:uid="{08A7B630-F5D7-425C-955D-EA7DAD486F15}"/>
    <cellStyle name="40% - Accent3 7 2 2 2 2 5" xfId="28965" xr:uid="{88E19AB1-DF5E-4215-B849-C4E980EE1852}"/>
    <cellStyle name="40% - Accent3 7 2 2 2 3" xfId="6864" xr:uid="{00000000-0005-0000-0000-0000A03D0000}"/>
    <cellStyle name="40% - Accent3 7 2 2 2 3 2" xfId="14836" xr:uid="{00000000-0005-0000-0000-0000A13D0000}"/>
    <cellStyle name="40% - Accent3 7 2 2 2 3 2 2" xfId="38679" xr:uid="{395DD813-680F-435D-8609-0887E8B4EAC5}"/>
    <cellStyle name="40% - Accent3 7 2 2 2 3 3" xfId="22783" xr:uid="{00000000-0005-0000-0000-0000A23D0000}"/>
    <cellStyle name="40% - Accent3 7 2 2 2 3 3 2" xfId="46616" xr:uid="{C55D2FEA-33F0-4682-9335-E61DEC4B7937}"/>
    <cellStyle name="40% - Accent3 7 2 2 2 3 4" xfId="30738" xr:uid="{0F2176D2-5B64-4AC3-8DA2-4BAB38F47C05}"/>
    <cellStyle name="40% - Accent3 7 2 2 2 4" xfId="11300" xr:uid="{00000000-0005-0000-0000-0000A33D0000}"/>
    <cellStyle name="40% - Accent3 7 2 2 2 4 2" xfId="35150" xr:uid="{DB86FB56-A818-4760-83F9-F33C0FFB7412}"/>
    <cellStyle name="40% - Accent3 7 2 2 2 5" xfId="19255" xr:uid="{00000000-0005-0000-0000-0000A43D0000}"/>
    <cellStyle name="40% - Accent3 7 2 2 2 5 2" xfId="43088" xr:uid="{925A86CD-3106-44DF-A32E-7C12C2999B72}"/>
    <cellStyle name="40% - Accent3 7 2 2 2 6" xfId="27208" xr:uid="{8C5D9B71-DC3B-4FBA-810A-36659E31E3F0}"/>
    <cellStyle name="40% - Accent3 7 2 2 2_Exh G" xfId="3030" xr:uid="{00000000-0005-0000-0000-0000A53D0000}"/>
    <cellStyle name="40% - Accent3 7 2 2 3" xfId="4153" xr:uid="{00000000-0005-0000-0000-0000A63D0000}"/>
    <cellStyle name="40% - Accent3 7 2 2 3 2" xfId="7745" xr:uid="{00000000-0005-0000-0000-0000A73D0000}"/>
    <cellStyle name="40% - Accent3 7 2 2 3 2 2" xfId="15716" xr:uid="{00000000-0005-0000-0000-0000A83D0000}"/>
    <cellStyle name="40% - Accent3 7 2 2 3 2 2 2" xfId="39559" xr:uid="{78F56B78-7F9F-4312-B237-86E4B43ECC38}"/>
    <cellStyle name="40% - Accent3 7 2 2 3 2 3" xfId="23662" xr:uid="{00000000-0005-0000-0000-0000A93D0000}"/>
    <cellStyle name="40% - Accent3 7 2 2 3 2 3 2" xfId="47495" xr:uid="{395E84C3-AFAB-41DB-A436-8403B72F4062}"/>
    <cellStyle name="40% - Accent3 7 2 2 3 2 4" xfId="31618" xr:uid="{85D86DE1-75D3-4729-B70E-5CEAB5B01F2C}"/>
    <cellStyle name="40% - Accent3 7 2 2 3 3" xfId="12178" xr:uid="{00000000-0005-0000-0000-0000AA3D0000}"/>
    <cellStyle name="40% - Accent3 7 2 2 3 3 2" xfId="36028" xr:uid="{5CD0055A-7034-47B9-8B3E-4F492F631F9D}"/>
    <cellStyle name="40% - Accent3 7 2 2 3 4" xfId="20133" xr:uid="{00000000-0005-0000-0000-0000AB3D0000}"/>
    <cellStyle name="40% - Accent3 7 2 2 3 4 2" xfId="43966" xr:uid="{E8E221AB-02B6-4C12-AFEB-5265AA62C920}"/>
    <cellStyle name="40% - Accent3 7 2 2 3 5" xfId="28087" xr:uid="{E276FBB3-ECD0-41B7-BBAA-A76A497B3B72}"/>
    <cellStyle name="40% - Accent3 7 2 2 4" xfId="5973" xr:uid="{00000000-0005-0000-0000-0000AC3D0000}"/>
    <cellStyle name="40% - Accent3 7 2 2 4 2" xfId="13957" xr:uid="{00000000-0005-0000-0000-0000AD3D0000}"/>
    <cellStyle name="40% - Accent3 7 2 2 4 2 2" xfId="37801" xr:uid="{E494E576-02B4-4AD4-A3D6-1AE9A57DF4A4}"/>
    <cellStyle name="40% - Accent3 7 2 2 4 3" xfId="21905" xr:uid="{00000000-0005-0000-0000-0000AE3D0000}"/>
    <cellStyle name="40% - Accent3 7 2 2 4 3 2" xfId="45738" xr:uid="{58049403-8A4B-4FD2-BABB-0C137C458C72}"/>
    <cellStyle name="40% - Accent3 7 2 2 4 4" xfId="29860" xr:uid="{BAF7943F-BE26-4DEE-9B6D-BC006FBA7AEE}"/>
    <cellStyle name="40% - Accent3 7 2 2 5" xfId="9526" xr:uid="{00000000-0005-0000-0000-0000AF3D0000}"/>
    <cellStyle name="40% - Accent3 7 2 2 5 2" xfId="17484" xr:uid="{00000000-0005-0000-0000-0000B03D0000}"/>
    <cellStyle name="40% - Accent3 7 2 2 5 2 2" xfId="41325" xr:uid="{B54FBAE6-327E-4F33-BECA-D36EA8C817D6}"/>
    <cellStyle name="40% - Accent3 7 2 2 5 3" xfId="25428" xr:uid="{00000000-0005-0000-0000-0000B13D0000}"/>
    <cellStyle name="40% - Accent3 7 2 2 5 3 2" xfId="49261" xr:uid="{266FA86B-E52C-4DE3-9799-404C2347A8F7}"/>
    <cellStyle name="40% - Accent3 7 2 2 5 4" xfId="33384" xr:uid="{100F84EE-9BD0-4BEC-8C80-1F1E03875250}"/>
    <cellStyle name="40% - Accent3 7 2 2 6" xfId="10422" xr:uid="{00000000-0005-0000-0000-0000B23D0000}"/>
    <cellStyle name="40% - Accent3 7 2 2 6 2" xfId="34272" xr:uid="{A799EE88-AA84-46F2-B1F1-119FCEFD3AAE}"/>
    <cellStyle name="40% - Accent3 7 2 2 7" xfId="18377" xr:uid="{00000000-0005-0000-0000-0000B33D0000}"/>
    <cellStyle name="40% - Accent3 7 2 2 7 2" xfId="42210" xr:uid="{D1C3B190-52CB-4834-8065-D089DE56D585}"/>
    <cellStyle name="40% - Accent3 7 2 2 8" xfId="26330" xr:uid="{5B1A8010-7AE2-41C4-8B2C-3AA986E860A3}"/>
    <cellStyle name="40% - Accent3 7 2 2_Exh G" xfId="3029" xr:uid="{00000000-0005-0000-0000-0000B43D0000}"/>
    <cellStyle name="40% - Accent3 7 2 3" xfId="1501" xr:uid="{00000000-0005-0000-0000-0000B53D0000}"/>
    <cellStyle name="40% - Accent3 7 2 3 2" xfId="5031" xr:uid="{00000000-0005-0000-0000-0000B63D0000}"/>
    <cellStyle name="40% - Accent3 7 2 3 2 2" xfId="8622" xr:uid="{00000000-0005-0000-0000-0000B73D0000}"/>
    <cellStyle name="40% - Accent3 7 2 3 2 2 2" xfId="16593" xr:uid="{00000000-0005-0000-0000-0000B83D0000}"/>
    <cellStyle name="40% - Accent3 7 2 3 2 2 2 2" xfId="40436" xr:uid="{11591CFD-018C-4781-A831-7545DD81B3C5}"/>
    <cellStyle name="40% - Accent3 7 2 3 2 2 3" xfId="24539" xr:uid="{00000000-0005-0000-0000-0000B93D0000}"/>
    <cellStyle name="40% - Accent3 7 2 3 2 2 3 2" xfId="48372" xr:uid="{B3EE5C3D-DA21-4C00-92F9-3022AF1CC054}"/>
    <cellStyle name="40% - Accent3 7 2 3 2 2 4" xfId="32495" xr:uid="{45F8DFF4-5933-4F8A-B679-FA805176D12E}"/>
    <cellStyle name="40% - Accent3 7 2 3 2 3" xfId="13055" xr:uid="{00000000-0005-0000-0000-0000BA3D0000}"/>
    <cellStyle name="40% - Accent3 7 2 3 2 3 2" xfId="36905" xr:uid="{7D6CA6FF-4FA6-4922-BF24-C86D12E0A8CF}"/>
    <cellStyle name="40% - Accent3 7 2 3 2 4" xfId="21010" xr:uid="{00000000-0005-0000-0000-0000BB3D0000}"/>
    <cellStyle name="40% - Accent3 7 2 3 2 4 2" xfId="44843" xr:uid="{D94E34D2-8B6E-47A2-B8E4-4999CF71B0CC}"/>
    <cellStyle name="40% - Accent3 7 2 3 2 5" xfId="28964" xr:uid="{38E0BDB2-76AE-40C7-B403-DBBE0848F590}"/>
    <cellStyle name="40% - Accent3 7 2 3 3" xfId="6863" xr:uid="{00000000-0005-0000-0000-0000BC3D0000}"/>
    <cellStyle name="40% - Accent3 7 2 3 3 2" xfId="14835" xr:uid="{00000000-0005-0000-0000-0000BD3D0000}"/>
    <cellStyle name="40% - Accent3 7 2 3 3 2 2" xfId="38678" xr:uid="{D63B4359-DA56-459A-84E2-109781A8CECD}"/>
    <cellStyle name="40% - Accent3 7 2 3 3 3" xfId="22782" xr:uid="{00000000-0005-0000-0000-0000BE3D0000}"/>
    <cellStyle name="40% - Accent3 7 2 3 3 3 2" xfId="46615" xr:uid="{17C7ECB9-C755-400F-B898-C19903D2B334}"/>
    <cellStyle name="40% - Accent3 7 2 3 3 4" xfId="30737" xr:uid="{24BF913E-8AA0-494D-9E2A-87399F828AC8}"/>
    <cellStyle name="40% - Accent3 7 2 3 4" xfId="11299" xr:uid="{00000000-0005-0000-0000-0000BF3D0000}"/>
    <cellStyle name="40% - Accent3 7 2 3 4 2" xfId="35149" xr:uid="{22B6FC52-8287-4836-B5A4-B5F9A3364878}"/>
    <cellStyle name="40% - Accent3 7 2 3 5" xfId="19254" xr:uid="{00000000-0005-0000-0000-0000C03D0000}"/>
    <cellStyle name="40% - Accent3 7 2 3 5 2" xfId="43087" xr:uid="{D0C07590-1084-4E14-9EDA-55B1403F63C7}"/>
    <cellStyle name="40% - Accent3 7 2 3 6" xfId="27207" xr:uid="{B92ACFB6-1C5E-42F9-9405-A7658CCD18A8}"/>
    <cellStyle name="40% - Accent3 7 2 3_Exh G" xfId="3031" xr:uid="{00000000-0005-0000-0000-0000C13D0000}"/>
    <cellStyle name="40% - Accent3 7 2 4" xfId="4152" xr:uid="{00000000-0005-0000-0000-0000C23D0000}"/>
    <cellStyle name="40% - Accent3 7 2 4 2" xfId="7744" xr:uid="{00000000-0005-0000-0000-0000C33D0000}"/>
    <cellStyle name="40% - Accent3 7 2 4 2 2" xfId="15715" xr:uid="{00000000-0005-0000-0000-0000C43D0000}"/>
    <cellStyle name="40% - Accent3 7 2 4 2 2 2" xfId="39558" xr:uid="{38C7CE01-FF25-40E3-BA60-2B60BB37057B}"/>
    <cellStyle name="40% - Accent3 7 2 4 2 3" xfId="23661" xr:uid="{00000000-0005-0000-0000-0000C53D0000}"/>
    <cellStyle name="40% - Accent3 7 2 4 2 3 2" xfId="47494" xr:uid="{779E10C4-7F73-4FA7-A70D-041B6A06424E}"/>
    <cellStyle name="40% - Accent3 7 2 4 2 4" xfId="31617" xr:uid="{D391F4F8-52A2-4056-96DD-FD11D6295175}"/>
    <cellStyle name="40% - Accent3 7 2 4 3" xfId="12177" xr:uid="{00000000-0005-0000-0000-0000C63D0000}"/>
    <cellStyle name="40% - Accent3 7 2 4 3 2" xfId="36027" xr:uid="{1F6D780A-3629-4A18-9DFB-6A9C9A245D56}"/>
    <cellStyle name="40% - Accent3 7 2 4 4" xfId="20132" xr:uid="{00000000-0005-0000-0000-0000C73D0000}"/>
    <cellStyle name="40% - Accent3 7 2 4 4 2" xfId="43965" xr:uid="{EB20622D-59B6-433E-A2EB-60C32137C774}"/>
    <cellStyle name="40% - Accent3 7 2 4 5" xfId="28086" xr:uid="{642BE44E-8639-4AA6-A93C-AF9C3E19203A}"/>
    <cellStyle name="40% - Accent3 7 2 5" xfId="5972" xr:uid="{00000000-0005-0000-0000-0000C83D0000}"/>
    <cellStyle name="40% - Accent3 7 2 5 2" xfId="13956" xr:uid="{00000000-0005-0000-0000-0000C93D0000}"/>
    <cellStyle name="40% - Accent3 7 2 5 2 2" xfId="37800" xr:uid="{A53A9A49-3D13-45D9-966B-D2B4A0904AD2}"/>
    <cellStyle name="40% - Accent3 7 2 5 3" xfId="21904" xr:uid="{00000000-0005-0000-0000-0000CA3D0000}"/>
    <cellStyle name="40% - Accent3 7 2 5 3 2" xfId="45737" xr:uid="{DAEC5B69-6219-494F-B918-43F129E4BB9E}"/>
    <cellStyle name="40% - Accent3 7 2 5 4" xfId="29859" xr:uid="{3B19D33E-086C-45E2-A6D8-1553B506E7FF}"/>
    <cellStyle name="40% - Accent3 7 2 6" xfId="9525" xr:uid="{00000000-0005-0000-0000-0000CB3D0000}"/>
    <cellStyle name="40% - Accent3 7 2 6 2" xfId="17483" xr:uid="{00000000-0005-0000-0000-0000CC3D0000}"/>
    <cellStyle name="40% - Accent3 7 2 6 2 2" xfId="41324" xr:uid="{F36284DA-EEC8-4DEC-AE55-80FC517746D1}"/>
    <cellStyle name="40% - Accent3 7 2 6 3" xfId="25427" xr:uid="{00000000-0005-0000-0000-0000CD3D0000}"/>
    <cellStyle name="40% - Accent3 7 2 6 3 2" xfId="49260" xr:uid="{0A0C004B-1D7A-4383-835F-CF64437F6A36}"/>
    <cellStyle name="40% - Accent3 7 2 6 4" xfId="33383" xr:uid="{67F7180A-BD33-4E18-9D93-6E0656D495A4}"/>
    <cellStyle name="40% - Accent3 7 2 7" xfId="10421" xr:uid="{00000000-0005-0000-0000-0000CE3D0000}"/>
    <cellStyle name="40% - Accent3 7 2 7 2" xfId="34271" xr:uid="{0F2231FA-3B1B-48BD-AF04-CB2BD8435F9B}"/>
    <cellStyle name="40% - Accent3 7 2 8" xfId="18376" xr:uid="{00000000-0005-0000-0000-0000CF3D0000}"/>
    <cellStyle name="40% - Accent3 7 2 8 2" xfId="42209" xr:uid="{A798AAE5-CC41-4A62-89E0-B2126E5B9D68}"/>
    <cellStyle name="40% - Accent3 7 2 9" xfId="26329" xr:uid="{CDDC4634-04C7-4DA6-A53C-770B24F0ECE1}"/>
    <cellStyle name="40% - Accent3 7 2_Exh G" xfId="3028" xr:uid="{00000000-0005-0000-0000-0000D03D0000}"/>
    <cellStyle name="40% - Accent3 7 3" xfId="475" xr:uid="{00000000-0005-0000-0000-0000D13D0000}"/>
    <cellStyle name="40% - Accent3 7 3 2" xfId="1503" xr:uid="{00000000-0005-0000-0000-0000D23D0000}"/>
    <cellStyle name="40% - Accent3 7 3 2 2" xfId="5033" xr:uid="{00000000-0005-0000-0000-0000D33D0000}"/>
    <cellStyle name="40% - Accent3 7 3 2 2 2" xfId="8624" xr:uid="{00000000-0005-0000-0000-0000D43D0000}"/>
    <cellStyle name="40% - Accent3 7 3 2 2 2 2" xfId="16595" xr:uid="{00000000-0005-0000-0000-0000D53D0000}"/>
    <cellStyle name="40% - Accent3 7 3 2 2 2 2 2" xfId="40438" xr:uid="{421A8F3B-4DB6-4A7B-BDE7-0BD60FCD6218}"/>
    <cellStyle name="40% - Accent3 7 3 2 2 2 3" xfId="24541" xr:uid="{00000000-0005-0000-0000-0000D63D0000}"/>
    <cellStyle name="40% - Accent3 7 3 2 2 2 3 2" xfId="48374" xr:uid="{11C1FFC2-5419-407A-88FA-2643F3BB90A6}"/>
    <cellStyle name="40% - Accent3 7 3 2 2 2 4" xfId="32497" xr:uid="{A6A622B6-2AA4-4085-A0A4-A9C884F3815E}"/>
    <cellStyle name="40% - Accent3 7 3 2 2 3" xfId="13057" xr:uid="{00000000-0005-0000-0000-0000D73D0000}"/>
    <cellStyle name="40% - Accent3 7 3 2 2 3 2" xfId="36907" xr:uid="{33496967-42B0-4FDB-9192-3F2CECA5586F}"/>
    <cellStyle name="40% - Accent3 7 3 2 2 4" xfId="21012" xr:uid="{00000000-0005-0000-0000-0000D83D0000}"/>
    <cellStyle name="40% - Accent3 7 3 2 2 4 2" xfId="44845" xr:uid="{B48210A8-E48C-4BFD-BD48-7AA8BF65A954}"/>
    <cellStyle name="40% - Accent3 7 3 2 2 5" xfId="28966" xr:uid="{0492644E-915C-46AB-87E2-699E49700091}"/>
    <cellStyle name="40% - Accent3 7 3 2 3" xfId="6865" xr:uid="{00000000-0005-0000-0000-0000D93D0000}"/>
    <cellStyle name="40% - Accent3 7 3 2 3 2" xfId="14837" xr:uid="{00000000-0005-0000-0000-0000DA3D0000}"/>
    <cellStyle name="40% - Accent3 7 3 2 3 2 2" xfId="38680" xr:uid="{6D48156E-B8AF-44ED-AE34-D94BDE3F9A40}"/>
    <cellStyle name="40% - Accent3 7 3 2 3 3" xfId="22784" xr:uid="{00000000-0005-0000-0000-0000DB3D0000}"/>
    <cellStyle name="40% - Accent3 7 3 2 3 3 2" xfId="46617" xr:uid="{A105D84D-8B55-41E4-A0F1-23F4BB894D21}"/>
    <cellStyle name="40% - Accent3 7 3 2 3 4" xfId="30739" xr:uid="{78420D95-743D-4652-9735-7C51AFF0EE49}"/>
    <cellStyle name="40% - Accent3 7 3 2 4" xfId="11301" xr:uid="{00000000-0005-0000-0000-0000DC3D0000}"/>
    <cellStyle name="40% - Accent3 7 3 2 4 2" xfId="35151" xr:uid="{DD8C6FD2-D4E0-46E2-9069-95C924661061}"/>
    <cellStyle name="40% - Accent3 7 3 2 5" xfId="19256" xr:uid="{00000000-0005-0000-0000-0000DD3D0000}"/>
    <cellStyle name="40% - Accent3 7 3 2 5 2" xfId="43089" xr:uid="{2E533F95-3F0D-4ED4-88E7-B4DF657566A7}"/>
    <cellStyle name="40% - Accent3 7 3 2 6" xfId="27209" xr:uid="{C1A729CE-23B4-4A43-9461-404893E3641E}"/>
    <cellStyle name="40% - Accent3 7 3 2_Exh G" xfId="3033" xr:uid="{00000000-0005-0000-0000-0000DE3D0000}"/>
    <cellStyle name="40% - Accent3 7 3 3" xfId="4154" xr:uid="{00000000-0005-0000-0000-0000DF3D0000}"/>
    <cellStyle name="40% - Accent3 7 3 3 2" xfId="7746" xr:uid="{00000000-0005-0000-0000-0000E03D0000}"/>
    <cellStyle name="40% - Accent3 7 3 3 2 2" xfId="15717" xr:uid="{00000000-0005-0000-0000-0000E13D0000}"/>
    <cellStyle name="40% - Accent3 7 3 3 2 2 2" xfId="39560" xr:uid="{BB830F56-55A6-47A9-9054-7EB876FA9567}"/>
    <cellStyle name="40% - Accent3 7 3 3 2 3" xfId="23663" xr:uid="{00000000-0005-0000-0000-0000E23D0000}"/>
    <cellStyle name="40% - Accent3 7 3 3 2 3 2" xfId="47496" xr:uid="{21D8D9CA-5769-4B3F-AF31-EB488594674E}"/>
    <cellStyle name="40% - Accent3 7 3 3 2 4" xfId="31619" xr:uid="{43D217DD-6BD4-4D02-8B0C-D07B5A4EF387}"/>
    <cellStyle name="40% - Accent3 7 3 3 3" xfId="12179" xr:uid="{00000000-0005-0000-0000-0000E33D0000}"/>
    <cellStyle name="40% - Accent3 7 3 3 3 2" xfId="36029" xr:uid="{5066A4C6-E864-4CF7-8E0D-656AB0107018}"/>
    <cellStyle name="40% - Accent3 7 3 3 4" xfId="20134" xr:uid="{00000000-0005-0000-0000-0000E43D0000}"/>
    <cellStyle name="40% - Accent3 7 3 3 4 2" xfId="43967" xr:uid="{59D5DE01-7F95-4750-A7BF-C60926A4F26E}"/>
    <cellStyle name="40% - Accent3 7 3 3 5" xfId="28088" xr:uid="{4B7485DF-CB1D-4175-894F-F4626034E4D1}"/>
    <cellStyle name="40% - Accent3 7 3 4" xfId="5974" xr:uid="{00000000-0005-0000-0000-0000E53D0000}"/>
    <cellStyle name="40% - Accent3 7 3 4 2" xfId="13958" xr:uid="{00000000-0005-0000-0000-0000E63D0000}"/>
    <cellStyle name="40% - Accent3 7 3 4 2 2" xfId="37802" xr:uid="{792B63AC-2DD2-414E-97B7-A7CA5F337E4A}"/>
    <cellStyle name="40% - Accent3 7 3 4 3" xfId="21906" xr:uid="{00000000-0005-0000-0000-0000E73D0000}"/>
    <cellStyle name="40% - Accent3 7 3 4 3 2" xfId="45739" xr:uid="{7B83C7C2-B641-4E14-B9B3-6422900673A7}"/>
    <cellStyle name="40% - Accent3 7 3 4 4" xfId="29861" xr:uid="{4D427C09-BED1-42C4-9B1B-2E3F639027B6}"/>
    <cellStyle name="40% - Accent3 7 3 5" xfId="9527" xr:uid="{00000000-0005-0000-0000-0000E83D0000}"/>
    <cellStyle name="40% - Accent3 7 3 5 2" xfId="17485" xr:uid="{00000000-0005-0000-0000-0000E93D0000}"/>
    <cellStyle name="40% - Accent3 7 3 5 2 2" xfId="41326" xr:uid="{36B5504A-5319-43D2-98B5-4C34A5AECC3F}"/>
    <cellStyle name="40% - Accent3 7 3 5 3" xfId="25429" xr:uid="{00000000-0005-0000-0000-0000EA3D0000}"/>
    <cellStyle name="40% - Accent3 7 3 5 3 2" xfId="49262" xr:uid="{CC5D8B0B-590A-4AC6-A938-62B67D0D3A1D}"/>
    <cellStyle name="40% - Accent3 7 3 5 4" xfId="33385" xr:uid="{85FC3996-D773-4055-A54A-D3EC056773F3}"/>
    <cellStyle name="40% - Accent3 7 3 6" xfId="10423" xr:uid="{00000000-0005-0000-0000-0000EB3D0000}"/>
    <cellStyle name="40% - Accent3 7 3 6 2" xfId="34273" xr:uid="{3D23349C-3A62-4A20-8600-2F2FF8D8944C}"/>
    <cellStyle name="40% - Accent3 7 3 7" xfId="18378" xr:uid="{00000000-0005-0000-0000-0000EC3D0000}"/>
    <cellStyle name="40% - Accent3 7 3 7 2" xfId="42211" xr:uid="{7F556AEB-1C26-4291-AA4D-30D74C3C35A1}"/>
    <cellStyle name="40% - Accent3 7 3 8" xfId="26331" xr:uid="{F94855F2-CB79-4905-AEF2-E03FFA44A2BF}"/>
    <cellStyle name="40% - Accent3 7 3_Exh G" xfId="3032" xr:uid="{00000000-0005-0000-0000-0000ED3D0000}"/>
    <cellStyle name="40% - Accent3 7 4" xfId="967" xr:uid="{00000000-0005-0000-0000-0000EE3D0000}"/>
    <cellStyle name="40% - Accent3 7 4 2" xfId="1886" xr:uid="{00000000-0005-0000-0000-0000EF3D0000}"/>
    <cellStyle name="40% - Accent3 7 4 2 2" xfId="5404" xr:uid="{00000000-0005-0000-0000-0000F03D0000}"/>
    <cellStyle name="40% - Accent3 7 4 2 2 2" xfId="8995" xr:uid="{00000000-0005-0000-0000-0000F13D0000}"/>
    <cellStyle name="40% - Accent3 7 4 2 2 2 2" xfId="16966" xr:uid="{00000000-0005-0000-0000-0000F23D0000}"/>
    <cellStyle name="40% - Accent3 7 4 2 2 2 2 2" xfId="40809" xr:uid="{39F36E59-DB83-4B87-892E-51518E57AA39}"/>
    <cellStyle name="40% - Accent3 7 4 2 2 2 3" xfId="24912" xr:uid="{00000000-0005-0000-0000-0000F33D0000}"/>
    <cellStyle name="40% - Accent3 7 4 2 2 2 3 2" xfId="48745" xr:uid="{688D9F06-E5A8-45A6-80C8-DED45FF30D20}"/>
    <cellStyle name="40% - Accent3 7 4 2 2 2 4" xfId="32868" xr:uid="{6DFD33C5-CFED-4A2D-936C-4617A4197551}"/>
    <cellStyle name="40% - Accent3 7 4 2 2 3" xfId="13428" xr:uid="{00000000-0005-0000-0000-0000F43D0000}"/>
    <cellStyle name="40% - Accent3 7 4 2 2 3 2" xfId="37278" xr:uid="{9771CCD2-B26A-4575-BA51-0672A9DC3559}"/>
    <cellStyle name="40% - Accent3 7 4 2 2 4" xfId="21383" xr:uid="{00000000-0005-0000-0000-0000F53D0000}"/>
    <cellStyle name="40% - Accent3 7 4 2 2 4 2" xfId="45216" xr:uid="{97593685-D990-4620-BAAA-F21C953E0C22}"/>
    <cellStyle name="40% - Accent3 7 4 2 2 5" xfId="29337" xr:uid="{03C0BD6B-59DD-4132-BE85-964A209D879A}"/>
    <cellStyle name="40% - Accent3 7 4 2 3" xfId="7236" xr:uid="{00000000-0005-0000-0000-0000F63D0000}"/>
    <cellStyle name="40% - Accent3 7 4 2 3 2" xfId="15208" xr:uid="{00000000-0005-0000-0000-0000F73D0000}"/>
    <cellStyle name="40% - Accent3 7 4 2 3 2 2" xfId="39051" xr:uid="{7BF2BCA5-FCDA-423C-961E-BDCFD7D8D135}"/>
    <cellStyle name="40% - Accent3 7 4 2 3 3" xfId="23155" xr:uid="{00000000-0005-0000-0000-0000F83D0000}"/>
    <cellStyle name="40% - Accent3 7 4 2 3 3 2" xfId="46988" xr:uid="{C761753D-F2C5-42EA-80BF-3F1A534C1BF2}"/>
    <cellStyle name="40% - Accent3 7 4 2 3 4" xfId="31110" xr:uid="{598F2FBE-43A4-46D6-8776-F570253613A9}"/>
    <cellStyle name="40% - Accent3 7 4 2 4" xfId="11672" xr:uid="{00000000-0005-0000-0000-0000F93D0000}"/>
    <cellStyle name="40% - Accent3 7 4 2 4 2" xfId="35522" xr:uid="{33572A97-C480-4C54-A803-5AA16AC05BF9}"/>
    <cellStyle name="40% - Accent3 7 4 2 5" xfId="19627" xr:uid="{00000000-0005-0000-0000-0000FA3D0000}"/>
    <cellStyle name="40% - Accent3 7 4 2 5 2" xfId="43460" xr:uid="{FCBC7CFA-5AF8-4D15-A02D-5A3BAD1FC82D}"/>
    <cellStyle name="40% - Accent3 7 4 2 6" xfId="27580" xr:uid="{F8CAB066-1DE3-445F-8301-D08A5BBEB113}"/>
    <cellStyle name="40% - Accent3 7 4 2_Exh G" xfId="3035" xr:uid="{00000000-0005-0000-0000-0000FB3D0000}"/>
    <cellStyle name="40% - Accent3 7 4 3" xfId="4525" xr:uid="{00000000-0005-0000-0000-0000FC3D0000}"/>
    <cellStyle name="40% - Accent3 7 4 3 2" xfId="8117" xr:uid="{00000000-0005-0000-0000-0000FD3D0000}"/>
    <cellStyle name="40% - Accent3 7 4 3 2 2" xfId="16088" xr:uid="{00000000-0005-0000-0000-0000FE3D0000}"/>
    <cellStyle name="40% - Accent3 7 4 3 2 2 2" xfId="39931" xr:uid="{734A9941-29FD-4B8C-A748-6E0D059594CB}"/>
    <cellStyle name="40% - Accent3 7 4 3 2 3" xfId="24034" xr:uid="{00000000-0005-0000-0000-0000FF3D0000}"/>
    <cellStyle name="40% - Accent3 7 4 3 2 3 2" xfId="47867" xr:uid="{E41C626B-9EF9-416B-BB94-37601761AE38}"/>
    <cellStyle name="40% - Accent3 7 4 3 2 4" xfId="31990" xr:uid="{00C4F042-B81D-4D1D-83A9-DD9F7DF441BA}"/>
    <cellStyle name="40% - Accent3 7 4 3 3" xfId="12550" xr:uid="{00000000-0005-0000-0000-0000003E0000}"/>
    <cellStyle name="40% - Accent3 7 4 3 3 2" xfId="36400" xr:uid="{CE2B7CB4-500E-4CC7-AE5B-DC2D08C1A2A0}"/>
    <cellStyle name="40% - Accent3 7 4 3 4" xfId="20505" xr:uid="{00000000-0005-0000-0000-0000013E0000}"/>
    <cellStyle name="40% - Accent3 7 4 3 4 2" xfId="44338" xr:uid="{37C8680C-3150-4694-9E43-C1CDC6B905DC}"/>
    <cellStyle name="40% - Accent3 7 4 3 5" xfId="28459" xr:uid="{1E64C37D-D488-4826-B9EC-3717039E60F4}"/>
    <cellStyle name="40% - Accent3 7 4 4" xfId="6355" xr:uid="{00000000-0005-0000-0000-0000023E0000}"/>
    <cellStyle name="40% - Accent3 7 4 4 2" xfId="14330" xr:uid="{00000000-0005-0000-0000-0000033E0000}"/>
    <cellStyle name="40% - Accent3 7 4 4 2 2" xfId="38173" xr:uid="{60491793-1BBF-4DE0-91B7-B7A830AFDAE4}"/>
    <cellStyle name="40% - Accent3 7 4 4 3" xfId="22277" xr:uid="{00000000-0005-0000-0000-0000043E0000}"/>
    <cellStyle name="40% - Accent3 7 4 4 3 2" xfId="46110" xr:uid="{32F484DA-FF9A-4410-9465-2F26620D47F6}"/>
    <cellStyle name="40% - Accent3 7 4 4 4" xfId="30232" xr:uid="{FA18C2CD-191A-4EFB-BC51-890476714AFF}"/>
    <cellStyle name="40% - Accent3 7 4 5" xfId="9898" xr:uid="{00000000-0005-0000-0000-0000053E0000}"/>
    <cellStyle name="40% - Accent3 7 4 5 2" xfId="17856" xr:uid="{00000000-0005-0000-0000-0000063E0000}"/>
    <cellStyle name="40% - Accent3 7 4 5 2 2" xfId="41697" xr:uid="{BB53554F-3B64-40FF-8D7C-7DA116A5D511}"/>
    <cellStyle name="40% - Accent3 7 4 5 3" xfId="25800" xr:uid="{00000000-0005-0000-0000-0000073E0000}"/>
    <cellStyle name="40% - Accent3 7 4 5 3 2" xfId="49633" xr:uid="{A380A9AE-084D-4681-8942-8CAB108291A2}"/>
    <cellStyle name="40% - Accent3 7 4 5 4" xfId="33756" xr:uid="{DE51E185-D2BB-406B-8629-C75E1E2DC309}"/>
    <cellStyle name="40% - Accent3 7 4 6" xfId="10794" xr:uid="{00000000-0005-0000-0000-0000083E0000}"/>
    <cellStyle name="40% - Accent3 7 4 6 2" xfId="34644" xr:uid="{D3199CC9-2C72-4AD0-9DB3-C58B4ADAE116}"/>
    <cellStyle name="40% - Accent3 7 4 7" xfId="18749" xr:uid="{00000000-0005-0000-0000-0000093E0000}"/>
    <cellStyle name="40% - Accent3 7 4 7 2" xfId="42582" xr:uid="{FF4DC7F0-D67C-4015-8154-DE992883AFB4}"/>
    <cellStyle name="40% - Accent3 7 4 8" xfId="26702" xr:uid="{AF19C031-0127-4722-85F0-3743BB0ABA16}"/>
    <cellStyle name="40% - Accent3 7 4_Exh G" xfId="3034" xr:uid="{00000000-0005-0000-0000-00000A3E0000}"/>
    <cellStyle name="40% - Accent3 7 5" xfId="1500" xr:uid="{00000000-0005-0000-0000-00000B3E0000}"/>
    <cellStyle name="40% - Accent3 7 5 2" xfId="5030" xr:uid="{00000000-0005-0000-0000-00000C3E0000}"/>
    <cellStyle name="40% - Accent3 7 5 2 2" xfId="8621" xr:uid="{00000000-0005-0000-0000-00000D3E0000}"/>
    <cellStyle name="40% - Accent3 7 5 2 2 2" xfId="16592" xr:uid="{00000000-0005-0000-0000-00000E3E0000}"/>
    <cellStyle name="40% - Accent3 7 5 2 2 2 2" xfId="40435" xr:uid="{C05048C6-DC88-463C-8432-CD22BEED50A3}"/>
    <cellStyle name="40% - Accent3 7 5 2 2 3" xfId="24538" xr:uid="{00000000-0005-0000-0000-00000F3E0000}"/>
    <cellStyle name="40% - Accent3 7 5 2 2 3 2" xfId="48371" xr:uid="{E054A8D9-EA57-45B7-BDAA-72D464E9DD99}"/>
    <cellStyle name="40% - Accent3 7 5 2 2 4" xfId="32494" xr:uid="{53DC18C7-BF55-45DC-B4DF-9B0A3FC32ED6}"/>
    <cellStyle name="40% - Accent3 7 5 2 3" xfId="13054" xr:uid="{00000000-0005-0000-0000-0000103E0000}"/>
    <cellStyle name="40% - Accent3 7 5 2 3 2" xfId="36904" xr:uid="{ED1D86A2-4F10-4363-9F80-0A11AC43B593}"/>
    <cellStyle name="40% - Accent3 7 5 2 4" xfId="21009" xr:uid="{00000000-0005-0000-0000-0000113E0000}"/>
    <cellStyle name="40% - Accent3 7 5 2 4 2" xfId="44842" xr:uid="{FC0339B1-34F5-46BF-8251-A58905450774}"/>
    <cellStyle name="40% - Accent3 7 5 2 5" xfId="28963" xr:uid="{39AB7F94-7999-45D8-961F-FD16A495FB88}"/>
    <cellStyle name="40% - Accent3 7 5 3" xfId="6862" xr:uid="{00000000-0005-0000-0000-0000123E0000}"/>
    <cellStyle name="40% - Accent3 7 5 3 2" xfId="14834" xr:uid="{00000000-0005-0000-0000-0000133E0000}"/>
    <cellStyle name="40% - Accent3 7 5 3 2 2" xfId="38677" xr:uid="{7BEC67DB-04A5-4E07-BC01-2763433418A9}"/>
    <cellStyle name="40% - Accent3 7 5 3 3" xfId="22781" xr:uid="{00000000-0005-0000-0000-0000143E0000}"/>
    <cellStyle name="40% - Accent3 7 5 3 3 2" xfId="46614" xr:uid="{E27A8AA5-39D9-4DE6-B870-BD9CBF0443EF}"/>
    <cellStyle name="40% - Accent3 7 5 3 4" xfId="30736" xr:uid="{4F0E8A29-CD21-4DCA-ACCF-A7CE7D0C1036}"/>
    <cellStyle name="40% - Accent3 7 5 4" xfId="11298" xr:uid="{00000000-0005-0000-0000-0000153E0000}"/>
    <cellStyle name="40% - Accent3 7 5 4 2" xfId="35148" xr:uid="{B4D47B8B-B693-41C1-AAE5-A9B7F9C2E0E5}"/>
    <cellStyle name="40% - Accent3 7 5 5" xfId="19253" xr:uid="{00000000-0005-0000-0000-0000163E0000}"/>
    <cellStyle name="40% - Accent3 7 5 5 2" xfId="43086" xr:uid="{4A517BAE-06BE-4850-A037-7E50A819FC90}"/>
    <cellStyle name="40% - Accent3 7 5 6" xfId="27206" xr:uid="{62273F4E-3B3A-4EBE-B256-5969171E886C}"/>
    <cellStyle name="40% - Accent3 7 5_Exh G" xfId="3036" xr:uid="{00000000-0005-0000-0000-0000173E0000}"/>
    <cellStyle name="40% - Accent3 7 6" xfId="4151" xr:uid="{00000000-0005-0000-0000-0000183E0000}"/>
    <cellStyle name="40% - Accent3 7 6 2" xfId="7743" xr:uid="{00000000-0005-0000-0000-0000193E0000}"/>
    <cellStyle name="40% - Accent3 7 6 2 2" xfId="15714" xr:uid="{00000000-0005-0000-0000-00001A3E0000}"/>
    <cellStyle name="40% - Accent3 7 6 2 2 2" xfId="39557" xr:uid="{18EB16DC-8139-4CB1-8B83-E8CF6F96080D}"/>
    <cellStyle name="40% - Accent3 7 6 2 3" xfId="23660" xr:uid="{00000000-0005-0000-0000-00001B3E0000}"/>
    <cellStyle name="40% - Accent3 7 6 2 3 2" xfId="47493" xr:uid="{B6918FE3-F500-4177-A800-3110B92585F7}"/>
    <cellStyle name="40% - Accent3 7 6 2 4" xfId="31616" xr:uid="{D06E8ACA-9B21-4D28-89BC-2D24F14383A6}"/>
    <cellStyle name="40% - Accent3 7 6 3" xfId="12176" xr:uid="{00000000-0005-0000-0000-00001C3E0000}"/>
    <cellStyle name="40% - Accent3 7 6 3 2" xfId="36026" xr:uid="{59FED3F0-33CC-474B-8552-3A50B0BBBB06}"/>
    <cellStyle name="40% - Accent3 7 6 4" xfId="20131" xr:uid="{00000000-0005-0000-0000-00001D3E0000}"/>
    <cellStyle name="40% - Accent3 7 6 4 2" xfId="43964" xr:uid="{D108D840-2112-4C51-8E20-CCBBC27E231D}"/>
    <cellStyle name="40% - Accent3 7 6 5" xfId="28085" xr:uid="{A92F7A41-75BF-4894-80CA-733999C07E61}"/>
    <cellStyle name="40% - Accent3 7 7" xfId="5971" xr:uid="{00000000-0005-0000-0000-00001E3E0000}"/>
    <cellStyle name="40% - Accent3 7 7 2" xfId="13955" xr:uid="{00000000-0005-0000-0000-00001F3E0000}"/>
    <cellStyle name="40% - Accent3 7 7 2 2" xfId="37799" xr:uid="{D1EB8A15-1A02-49B4-B17B-ACE160FB502E}"/>
    <cellStyle name="40% - Accent3 7 7 3" xfId="21903" xr:uid="{00000000-0005-0000-0000-0000203E0000}"/>
    <cellStyle name="40% - Accent3 7 7 3 2" xfId="45736" xr:uid="{2A58D28F-1519-4B4C-A507-9B19BD534DF5}"/>
    <cellStyle name="40% - Accent3 7 7 4" xfId="29858" xr:uid="{E3B12850-902A-4A3A-904C-331172B033DA}"/>
    <cellStyle name="40% - Accent3 7 8" xfId="9524" xr:uid="{00000000-0005-0000-0000-0000213E0000}"/>
    <cellStyle name="40% - Accent3 7 8 2" xfId="17482" xr:uid="{00000000-0005-0000-0000-0000223E0000}"/>
    <cellStyle name="40% - Accent3 7 8 2 2" xfId="41323" xr:uid="{72BA3012-4B34-427A-8B3A-0AC09549934B}"/>
    <cellStyle name="40% - Accent3 7 8 3" xfId="25426" xr:uid="{00000000-0005-0000-0000-0000233E0000}"/>
    <cellStyle name="40% - Accent3 7 8 3 2" xfId="49259" xr:uid="{8132B088-F7F9-499D-95B3-C4CAAF0A75E1}"/>
    <cellStyle name="40% - Accent3 7 8 4" xfId="33382" xr:uid="{753A20B3-DC4F-467A-8B44-C3D8E73471A2}"/>
    <cellStyle name="40% - Accent3 7 9" xfId="10420" xr:uid="{00000000-0005-0000-0000-0000243E0000}"/>
    <cellStyle name="40% - Accent3 7 9 2" xfId="34270" xr:uid="{FEA37011-AB6E-49DF-A42C-A96E832EEDDF}"/>
    <cellStyle name="40% - Accent3 7_Exh G" xfId="3027" xr:uid="{00000000-0005-0000-0000-0000253E0000}"/>
    <cellStyle name="40% - Accent3 8" xfId="476" xr:uid="{00000000-0005-0000-0000-0000263E0000}"/>
    <cellStyle name="40% - Accent3 8 10" xfId="18379" xr:uid="{00000000-0005-0000-0000-0000273E0000}"/>
    <cellStyle name="40% - Accent3 8 10 2" xfId="42212" xr:uid="{5B64E2FB-F7AC-42C1-BC35-003CB3430EA7}"/>
    <cellStyle name="40% - Accent3 8 11" xfId="26332" xr:uid="{D6B1E9D4-DB04-4A2E-9A92-EEA1FD02322C}"/>
    <cellStyle name="40% - Accent3 8 2" xfId="477" xr:uid="{00000000-0005-0000-0000-0000283E0000}"/>
    <cellStyle name="40% - Accent3 8 2 2" xfId="478" xr:uid="{00000000-0005-0000-0000-0000293E0000}"/>
    <cellStyle name="40% - Accent3 8 2 2 2" xfId="1506" xr:uid="{00000000-0005-0000-0000-00002A3E0000}"/>
    <cellStyle name="40% - Accent3 8 2 2 2 2" xfId="5036" xr:uid="{00000000-0005-0000-0000-00002B3E0000}"/>
    <cellStyle name="40% - Accent3 8 2 2 2 2 2" xfId="8627" xr:uid="{00000000-0005-0000-0000-00002C3E0000}"/>
    <cellStyle name="40% - Accent3 8 2 2 2 2 2 2" xfId="16598" xr:uid="{00000000-0005-0000-0000-00002D3E0000}"/>
    <cellStyle name="40% - Accent3 8 2 2 2 2 2 2 2" xfId="40441" xr:uid="{7470117D-71B9-4073-8068-6A0C93BF89CB}"/>
    <cellStyle name="40% - Accent3 8 2 2 2 2 2 3" xfId="24544" xr:uid="{00000000-0005-0000-0000-00002E3E0000}"/>
    <cellStyle name="40% - Accent3 8 2 2 2 2 2 3 2" xfId="48377" xr:uid="{02DE8E49-D250-44A0-9C46-9E879DE30330}"/>
    <cellStyle name="40% - Accent3 8 2 2 2 2 2 4" xfId="32500" xr:uid="{A25716F4-6020-4D27-BF3C-D0A6AC87826F}"/>
    <cellStyle name="40% - Accent3 8 2 2 2 2 3" xfId="13060" xr:uid="{00000000-0005-0000-0000-00002F3E0000}"/>
    <cellStyle name="40% - Accent3 8 2 2 2 2 3 2" xfId="36910" xr:uid="{1C4E42E6-949E-413B-88D6-B4CAE3288346}"/>
    <cellStyle name="40% - Accent3 8 2 2 2 2 4" xfId="21015" xr:uid="{00000000-0005-0000-0000-0000303E0000}"/>
    <cellStyle name="40% - Accent3 8 2 2 2 2 4 2" xfId="44848" xr:uid="{0BD61480-0BD0-4C4A-8E80-8F66E7EFA4E1}"/>
    <cellStyle name="40% - Accent3 8 2 2 2 2 5" xfId="28969" xr:uid="{33261F92-0566-4D7A-A16B-63F1D2471A6B}"/>
    <cellStyle name="40% - Accent3 8 2 2 2 3" xfId="6868" xr:uid="{00000000-0005-0000-0000-0000313E0000}"/>
    <cellStyle name="40% - Accent3 8 2 2 2 3 2" xfId="14840" xr:uid="{00000000-0005-0000-0000-0000323E0000}"/>
    <cellStyle name="40% - Accent3 8 2 2 2 3 2 2" xfId="38683" xr:uid="{C091F114-C4FC-4152-99F9-6A548D577F56}"/>
    <cellStyle name="40% - Accent3 8 2 2 2 3 3" xfId="22787" xr:uid="{00000000-0005-0000-0000-0000333E0000}"/>
    <cellStyle name="40% - Accent3 8 2 2 2 3 3 2" xfId="46620" xr:uid="{5941385C-6FD7-471B-AE6A-E97D1877D336}"/>
    <cellStyle name="40% - Accent3 8 2 2 2 3 4" xfId="30742" xr:uid="{FBB3D76E-D3E0-4EC4-BBA5-4CF7BBF2DB9E}"/>
    <cellStyle name="40% - Accent3 8 2 2 2 4" xfId="11304" xr:uid="{00000000-0005-0000-0000-0000343E0000}"/>
    <cellStyle name="40% - Accent3 8 2 2 2 4 2" xfId="35154" xr:uid="{D474D150-1566-487F-AFEA-41A032E5A4C3}"/>
    <cellStyle name="40% - Accent3 8 2 2 2 5" xfId="19259" xr:uid="{00000000-0005-0000-0000-0000353E0000}"/>
    <cellStyle name="40% - Accent3 8 2 2 2 5 2" xfId="43092" xr:uid="{5DFC3874-F1DF-4D6A-8E04-618E737D552C}"/>
    <cellStyle name="40% - Accent3 8 2 2 2 6" xfId="27212" xr:uid="{3D43B038-DDE5-4067-8CE3-444769689960}"/>
    <cellStyle name="40% - Accent3 8 2 2 2_Exh G" xfId="3040" xr:uid="{00000000-0005-0000-0000-0000363E0000}"/>
    <cellStyle name="40% - Accent3 8 2 2 3" xfId="4157" xr:uid="{00000000-0005-0000-0000-0000373E0000}"/>
    <cellStyle name="40% - Accent3 8 2 2 3 2" xfId="7749" xr:uid="{00000000-0005-0000-0000-0000383E0000}"/>
    <cellStyle name="40% - Accent3 8 2 2 3 2 2" xfId="15720" xr:uid="{00000000-0005-0000-0000-0000393E0000}"/>
    <cellStyle name="40% - Accent3 8 2 2 3 2 2 2" xfId="39563" xr:uid="{B46CB84E-35CD-4E41-AA26-9D25F107FA64}"/>
    <cellStyle name="40% - Accent3 8 2 2 3 2 3" xfId="23666" xr:uid="{00000000-0005-0000-0000-00003A3E0000}"/>
    <cellStyle name="40% - Accent3 8 2 2 3 2 3 2" xfId="47499" xr:uid="{EC52277A-CF3A-4DCA-89B1-F56AC790477E}"/>
    <cellStyle name="40% - Accent3 8 2 2 3 2 4" xfId="31622" xr:uid="{B0FFE802-2458-4EA9-AE4C-E95FA1AF8C4B}"/>
    <cellStyle name="40% - Accent3 8 2 2 3 3" xfId="12182" xr:uid="{00000000-0005-0000-0000-00003B3E0000}"/>
    <cellStyle name="40% - Accent3 8 2 2 3 3 2" xfId="36032" xr:uid="{F1A425AE-1034-49CA-9E19-47AD707DE137}"/>
    <cellStyle name="40% - Accent3 8 2 2 3 4" xfId="20137" xr:uid="{00000000-0005-0000-0000-00003C3E0000}"/>
    <cellStyle name="40% - Accent3 8 2 2 3 4 2" xfId="43970" xr:uid="{88788602-C465-431E-B9A4-F9137212DA33}"/>
    <cellStyle name="40% - Accent3 8 2 2 3 5" xfId="28091" xr:uid="{870F7EF6-9B6A-4FA8-B05A-228B945E1CBB}"/>
    <cellStyle name="40% - Accent3 8 2 2 4" xfId="5977" xr:uid="{00000000-0005-0000-0000-00003D3E0000}"/>
    <cellStyle name="40% - Accent3 8 2 2 4 2" xfId="13961" xr:uid="{00000000-0005-0000-0000-00003E3E0000}"/>
    <cellStyle name="40% - Accent3 8 2 2 4 2 2" xfId="37805" xr:uid="{CA622E95-CD5D-4202-ADD5-0DF677790CD0}"/>
    <cellStyle name="40% - Accent3 8 2 2 4 3" xfId="21909" xr:uid="{00000000-0005-0000-0000-00003F3E0000}"/>
    <cellStyle name="40% - Accent3 8 2 2 4 3 2" xfId="45742" xr:uid="{DFD2FAA7-31A7-4179-B5D2-099A797F825F}"/>
    <cellStyle name="40% - Accent3 8 2 2 4 4" xfId="29864" xr:uid="{DD5BE5F4-2C65-467A-93E9-8CF1A89F7D5A}"/>
    <cellStyle name="40% - Accent3 8 2 2 5" xfId="9530" xr:uid="{00000000-0005-0000-0000-0000403E0000}"/>
    <cellStyle name="40% - Accent3 8 2 2 5 2" xfId="17488" xr:uid="{00000000-0005-0000-0000-0000413E0000}"/>
    <cellStyle name="40% - Accent3 8 2 2 5 2 2" xfId="41329" xr:uid="{338DF3EC-9E04-4FE1-8798-3FD1C8150E48}"/>
    <cellStyle name="40% - Accent3 8 2 2 5 3" xfId="25432" xr:uid="{00000000-0005-0000-0000-0000423E0000}"/>
    <cellStyle name="40% - Accent3 8 2 2 5 3 2" xfId="49265" xr:uid="{05085536-64E8-4E80-8327-A840694628BD}"/>
    <cellStyle name="40% - Accent3 8 2 2 5 4" xfId="33388" xr:uid="{0C8BFD81-0F98-4166-B8B4-4B2ABE8D5140}"/>
    <cellStyle name="40% - Accent3 8 2 2 6" xfId="10426" xr:uid="{00000000-0005-0000-0000-0000433E0000}"/>
    <cellStyle name="40% - Accent3 8 2 2 6 2" xfId="34276" xr:uid="{B3238DEC-EF77-4405-A814-4DF0109E97DE}"/>
    <cellStyle name="40% - Accent3 8 2 2 7" xfId="18381" xr:uid="{00000000-0005-0000-0000-0000443E0000}"/>
    <cellStyle name="40% - Accent3 8 2 2 7 2" xfId="42214" xr:uid="{FFF6D934-70B6-40C4-817D-AB880100C7C9}"/>
    <cellStyle name="40% - Accent3 8 2 2 8" xfId="26334" xr:uid="{4D5614E5-1AE2-412D-8211-BB1A9EE06C04}"/>
    <cellStyle name="40% - Accent3 8 2 2_Exh G" xfId="3039" xr:uid="{00000000-0005-0000-0000-0000453E0000}"/>
    <cellStyle name="40% - Accent3 8 2 3" xfId="1505" xr:uid="{00000000-0005-0000-0000-0000463E0000}"/>
    <cellStyle name="40% - Accent3 8 2 3 2" xfId="5035" xr:uid="{00000000-0005-0000-0000-0000473E0000}"/>
    <cellStyle name="40% - Accent3 8 2 3 2 2" xfId="8626" xr:uid="{00000000-0005-0000-0000-0000483E0000}"/>
    <cellStyle name="40% - Accent3 8 2 3 2 2 2" xfId="16597" xr:uid="{00000000-0005-0000-0000-0000493E0000}"/>
    <cellStyle name="40% - Accent3 8 2 3 2 2 2 2" xfId="40440" xr:uid="{5D28C8B4-E388-4AED-8A60-8E98373E1510}"/>
    <cellStyle name="40% - Accent3 8 2 3 2 2 3" xfId="24543" xr:uid="{00000000-0005-0000-0000-00004A3E0000}"/>
    <cellStyle name="40% - Accent3 8 2 3 2 2 3 2" xfId="48376" xr:uid="{DAB8C555-F5DA-47BB-AD2E-9547F2403B83}"/>
    <cellStyle name="40% - Accent3 8 2 3 2 2 4" xfId="32499" xr:uid="{04AFF4B8-850D-4259-A33D-7B2328741BE1}"/>
    <cellStyle name="40% - Accent3 8 2 3 2 3" xfId="13059" xr:uid="{00000000-0005-0000-0000-00004B3E0000}"/>
    <cellStyle name="40% - Accent3 8 2 3 2 3 2" xfId="36909" xr:uid="{10229259-6CE8-4BBE-AD65-ADE11F36ABA3}"/>
    <cellStyle name="40% - Accent3 8 2 3 2 4" xfId="21014" xr:uid="{00000000-0005-0000-0000-00004C3E0000}"/>
    <cellStyle name="40% - Accent3 8 2 3 2 4 2" xfId="44847" xr:uid="{B7CF5A53-800B-48FD-BF08-8DEDAA56195C}"/>
    <cellStyle name="40% - Accent3 8 2 3 2 5" xfId="28968" xr:uid="{D199DCEE-271A-491B-9D3C-3AB2EBB1D667}"/>
    <cellStyle name="40% - Accent3 8 2 3 3" xfId="6867" xr:uid="{00000000-0005-0000-0000-00004D3E0000}"/>
    <cellStyle name="40% - Accent3 8 2 3 3 2" xfId="14839" xr:uid="{00000000-0005-0000-0000-00004E3E0000}"/>
    <cellStyle name="40% - Accent3 8 2 3 3 2 2" xfId="38682" xr:uid="{FAF66A19-3DC7-4608-B547-DDE13BC91C94}"/>
    <cellStyle name="40% - Accent3 8 2 3 3 3" xfId="22786" xr:uid="{00000000-0005-0000-0000-00004F3E0000}"/>
    <cellStyle name="40% - Accent3 8 2 3 3 3 2" xfId="46619" xr:uid="{CDE4ECEE-51E9-4EFA-8B46-93717B2B8091}"/>
    <cellStyle name="40% - Accent3 8 2 3 3 4" xfId="30741" xr:uid="{260D822B-3590-4D2B-AB05-9B7B44DC463E}"/>
    <cellStyle name="40% - Accent3 8 2 3 4" xfId="11303" xr:uid="{00000000-0005-0000-0000-0000503E0000}"/>
    <cellStyle name="40% - Accent3 8 2 3 4 2" xfId="35153" xr:uid="{1B526941-5649-4091-B5C9-B82F036B8538}"/>
    <cellStyle name="40% - Accent3 8 2 3 5" xfId="19258" xr:uid="{00000000-0005-0000-0000-0000513E0000}"/>
    <cellStyle name="40% - Accent3 8 2 3 5 2" xfId="43091" xr:uid="{1E1DE65C-0F87-490A-A927-A3E97CA248A8}"/>
    <cellStyle name="40% - Accent3 8 2 3 6" xfId="27211" xr:uid="{4F10911E-547C-41B6-89E9-6DD1B453A645}"/>
    <cellStyle name="40% - Accent3 8 2 3_Exh G" xfId="3041" xr:uid="{00000000-0005-0000-0000-0000523E0000}"/>
    <cellStyle name="40% - Accent3 8 2 4" xfId="4156" xr:uid="{00000000-0005-0000-0000-0000533E0000}"/>
    <cellStyle name="40% - Accent3 8 2 4 2" xfId="7748" xr:uid="{00000000-0005-0000-0000-0000543E0000}"/>
    <cellStyle name="40% - Accent3 8 2 4 2 2" xfId="15719" xr:uid="{00000000-0005-0000-0000-0000553E0000}"/>
    <cellStyle name="40% - Accent3 8 2 4 2 2 2" xfId="39562" xr:uid="{19919E7C-205F-4C18-81A7-AB030FDED8B4}"/>
    <cellStyle name="40% - Accent3 8 2 4 2 3" xfId="23665" xr:uid="{00000000-0005-0000-0000-0000563E0000}"/>
    <cellStyle name="40% - Accent3 8 2 4 2 3 2" xfId="47498" xr:uid="{FD64AD58-F81D-45FF-BA7A-2815B037CBE9}"/>
    <cellStyle name="40% - Accent3 8 2 4 2 4" xfId="31621" xr:uid="{610F2985-39FA-4F7B-8EDD-F998D629E5E7}"/>
    <cellStyle name="40% - Accent3 8 2 4 3" xfId="12181" xr:uid="{00000000-0005-0000-0000-0000573E0000}"/>
    <cellStyle name="40% - Accent3 8 2 4 3 2" xfId="36031" xr:uid="{1B89E6B8-6569-4A10-BB85-195F68FD01E2}"/>
    <cellStyle name="40% - Accent3 8 2 4 4" xfId="20136" xr:uid="{00000000-0005-0000-0000-0000583E0000}"/>
    <cellStyle name="40% - Accent3 8 2 4 4 2" xfId="43969" xr:uid="{8EC5942D-37E5-412C-90BD-82C78B8F3310}"/>
    <cellStyle name="40% - Accent3 8 2 4 5" xfId="28090" xr:uid="{839CF5EC-9565-4AD7-90CB-418493125764}"/>
    <cellStyle name="40% - Accent3 8 2 5" xfId="5976" xr:uid="{00000000-0005-0000-0000-0000593E0000}"/>
    <cellStyle name="40% - Accent3 8 2 5 2" xfId="13960" xr:uid="{00000000-0005-0000-0000-00005A3E0000}"/>
    <cellStyle name="40% - Accent3 8 2 5 2 2" xfId="37804" xr:uid="{44BE86CF-DA36-4814-8A6E-CC936385F455}"/>
    <cellStyle name="40% - Accent3 8 2 5 3" xfId="21908" xr:uid="{00000000-0005-0000-0000-00005B3E0000}"/>
    <cellStyle name="40% - Accent3 8 2 5 3 2" xfId="45741" xr:uid="{9D9E3B59-14B2-4821-9BEA-31D481365406}"/>
    <cellStyle name="40% - Accent3 8 2 5 4" xfId="29863" xr:uid="{4ACAF81F-497A-4F11-B5C8-B92FD2EEA745}"/>
    <cellStyle name="40% - Accent3 8 2 6" xfId="9529" xr:uid="{00000000-0005-0000-0000-00005C3E0000}"/>
    <cellStyle name="40% - Accent3 8 2 6 2" xfId="17487" xr:uid="{00000000-0005-0000-0000-00005D3E0000}"/>
    <cellStyle name="40% - Accent3 8 2 6 2 2" xfId="41328" xr:uid="{EDE01863-377B-4C95-AA38-5826CD2671B7}"/>
    <cellStyle name="40% - Accent3 8 2 6 3" xfId="25431" xr:uid="{00000000-0005-0000-0000-00005E3E0000}"/>
    <cellStyle name="40% - Accent3 8 2 6 3 2" xfId="49264" xr:uid="{8EA3A214-B7E7-432F-B156-1945F1252BAE}"/>
    <cellStyle name="40% - Accent3 8 2 6 4" xfId="33387" xr:uid="{A98E1212-0D29-4B88-A641-53B6686490A4}"/>
    <cellStyle name="40% - Accent3 8 2 7" xfId="10425" xr:uid="{00000000-0005-0000-0000-00005F3E0000}"/>
    <cellStyle name="40% - Accent3 8 2 7 2" xfId="34275" xr:uid="{FA55CFA8-E8AA-4500-8456-630417517CA9}"/>
    <cellStyle name="40% - Accent3 8 2 8" xfId="18380" xr:uid="{00000000-0005-0000-0000-0000603E0000}"/>
    <cellStyle name="40% - Accent3 8 2 8 2" xfId="42213" xr:uid="{CA43D517-8EC8-4820-9F95-F802838A4A91}"/>
    <cellStyle name="40% - Accent3 8 2 9" xfId="26333" xr:uid="{6A9420A6-0EAE-4BCB-9CA5-22BCD82EAD4A}"/>
    <cellStyle name="40% - Accent3 8 2_Exh G" xfId="3038" xr:uid="{00000000-0005-0000-0000-0000613E0000}"/>
    <cellStyle name="40% - Accent3 8 3" xfId="479" xr:uid="{00000000-0005-0000-0000-0000623E0000}"/>
    <cellStyle name="40% - Accent3 8 3 2" xfId="1507" xr:uid="{00000000-0005-0000-0000-0000633E0000}"/>
    <cellStyle name="40% - Accent3 8 3 2 2" xfId="5037" xr:uid="{00000000-0005-0000-0000-0000643E0000}"/>
    <cellStyle name="40% - Accent3 8 3 2 2 2" xfId="8628" xr:uid="{00000000-0005-0000-0000-0000653E0000}"/>
    <cellStyle name="40% - Accent3 8 3 2 2 2 2" xfId="16599" xr:uid="{00000000-0005-0000-0000-0000663E0000}"/>
    <cellStyle name="40% - Accent3 8 3 2 2 2 2 2" xfId="40442" xr:uid="{648A8F35-8BF7-4A22-B84B-0CD00F12A585}"/>
    <cellStyle name="40% - Accent3 8 3 2 2 2 3" xfId="24545" xr:uid="{00000000-0005-0000-0000-0000673E0000}"/>
    <cellStyle name="40% - Accent3 8 3 2 2 2 3 2" xfId="48378" xr:uid="{6CA23722-5351-4F48-A38B-DBCBE69F13C2}"/>
    <cellStyle name="40% - Accent3 8 3 2 2 2 4" xfId="32501" xr:uid="{BF2A9DE3-2E1E-40D6-92BB-9F4ACD8DE104}"/>
    <cellStyle name="40% - Accent3 8 3 2 2 3" xfId="13061" xr:uid="{00000000-0005-0000-0000-0000683E0000}"/>
    <cellStyle name="40% - Accent3 8 3 2 2 3 2" xfId="36911" xr:uid="{BD01818C-30FA-4102-95CA-A5338C46C56E}"/>
    <cellStyle name="40% - Accent3 8 3 2 2 4" xfId="21016" xr:uid="{00000000-0005-0000-0000-0000693E0000}"/>
    <cellStyle name="40% - Accent3 8 3 2 2 4 2" xfId="44849" xr:uid="{61A9A670-1111-4777-B3E2-348E1D8C81FF}"/>
    <cellStyle name="40% - Accent3 8 3 2 2 5" xfId="28970" xr:uid="{E68952FE-1AAA-4F85-B739-6B245C16FB28}"/>
    <cellStyle name="40% - Accent3 8 3 2 3" xfId="6869" xr:uid="{00000000-0005-0000-0000-00006A3E0000}"/>
    <cellStyle name="40% - Accent3 8 3 2 3 2" xfId="14841" xr:uid="{00000000-0005-0000-0000-00006B3E0000}"/>
    <cellStyle name="40% - Accent3 8 3 2 3 2 2" xfId="38684" xr:uid="{9A57CC02-DCCD-4645-BB97-4504C2D697F6}"/>
    <cellStyle name="40% - Accent3 8 3 2 3 3" xfId="22788" xr:uid="{00000000-0005-0000-0000-00006C3E0000}"/>
    <cellStyle name="40% - Accent3 8 3 2 3 3 2" xfId="46621" xr:uid="{A4DF6129-4021-4611-BB91-EDE6BA95D4CF}"/>
    <cellStyle name="40% - Accent3 8 3 2 3 4" xfId="30743" xr:uid="{284CE7BD-E093-4D3F-A502-2139AFD507EF}"/>
    <cellStyle name="40% - Accent3 8 3 2 4" xfId="11305" xr:uid="{00000000-0005-0000-0000-00006D3E0000}"/>
    <cellStyle name="40% - Accent3 8 3 2 4 2" xfId="35155" xr:uid="{C88F5323-7BAE-4EB4-8AC3-0B1AC5A4FDED}"/>
    <cellStyle name="40% - Accent3 8 3 2 5" xfId="19260" xr:uid="{00000000-0005-0000-0000-00006E3E0000}"/>
    <cellStyle name="40% - Accent3 8 3 2 5 2" xfId="43093" xr:uid="{B180E1E6-6B90-4C71-8C6B-64033DE7969B}"/>
    <cellStyle name="40% - Accent3 8 3 2 6" xfId="27213" xr:uid="{5ABBA20D-25C6-4D5B-8F68-BCEB193B3D1B}"/>
    <cellStyle name="40% - Accent3 8 3 2_Exh G" xfId="3043" xr:uid="{00000000-0005-0000-0000-00006F3E0000}"/>
    <cellStyle name="40% - Accent3 8 3 3" xfId="4158" xr:uid="{00000000-0005-0000-0000-0000703E0000}"/>
    <cellStyle name="40% - Accent3 8 3 3 2" xfId="7750" xr:uid="{00000000-0005-0000-0000-0000713E0000}"/>
    <cellStyle name="40% - Accent3 8 3 3 2 2" xfId="15721" xr:uid="{00000000-0005-0000-0000-0000723E0000}"/>
    <cellStyle name="40% - Accent3 8 3 3 2 2 2" xfId="39564" xr:uid="{7DCAFE4B-2C82-4248-9F5B-90BB3C4EE4B8}"/>
    <cellStyle name="40% - Accent3 8 3 3 2 3" xfId="23667" xr:uid="{00000000-0005-0000-0000-0000733E0000}"/>
    <cellStyle name="40% - Accent3 8 3 3 2 3 2" xfId="47500" xr:uid="{F61E2A67-7233-4CBC-80B9-715AC8692C06}"/>
    <cellStyle name="40% - Accent3 8 3 3 2 4" xfId="31623" xr:uid="{D4011CC0-5B1D-4E34-9A99-DC0DD3B4E9A3}"/>
    <cellStyle name="40% - Accent3 8 3 3 3" xfId="12183" xr:uid="{00000000-0005-0000-0000-0000743E0000}"/>
    <cellStyle name="40% - Accent3 8 3 3 3 2" xfId="36033" xr:uid="{CC2295A7-0CA1-4C45-B260-042186DECC10}"/>
    <cellStyle name="40% - Accent3 8 3 3 4" xfId="20138" xr:uid="{00000000-0005-0000-0000-0000753E0000}"/>
    <cellStyle name="40% - Accent3 8 3 3 4 2" xfId="43971" xr:uid="{C20FADD5-4762-4323-AC8B-FE59A4BD7023}"/>
    <cellStyle name="40% - Accent3 8 3 3 5" xfId="28092" xr:uid="{825ECAAC-7561-473F-99DE-86390A5C6AF6}"/>
    <cellStyle name="40% - Accent3 8 3 4" xfId="5978" xr:uid="{00000000-0005-0000-0000-0000763E0000}"/>
    <cellStyle name="40% - Accent3 8 3 4 2" xfId="13962" xr:uid="{00000000-0005-0000-0000-0000773E0000}"/>
    <cellStyle name="40% - Accent3 8 3 4 2 2" xfId="37806" xr:uid="{EA8B1BC0-CC60-4D67-8D1C-FC57C7F88695}"/>
    <cellStyle name="40% - Accent3 8 3 4 3" xfId="21910" xr:uid="{00000000-0005-0000-0000-0000783E0000}"/>
    <cellStyle name="40% - Accent3 8 3 4 3 2" xfId="45743" xr:uid="{FCF67114-6616-4E8C-B2DC-7FE2EBA7317A}"/>
    <cellStyle name="40% - Accent3 8 3 4 4" xfId="29865" xr:uid="{3A1A0C6C-05BC-4FCE-8CBA-D921498E2041}"/>
    <cellStyle name="40% - Accent3 8 3 5" xfId="9531" xr:uid="{00000000-0005-0000-0000-0000793E0000}"/>
    <cellStyle name="40% - Accent3 8 3 5 2" xfId="17489" xr:uid="{00000000-0005-0000-0000-00007A3E0000}"/>
    <cellStyle name="40% - Accent3 8 3 5 2 2" xfId="41330" xr:uid="{FAD66C5A-DDBB-43CE-820B-BFDF9E08E4C5}"/>
    <cellStyle name="40% - Accent3 8 3 5 3" xfId="25433" xr:uid="{00000000-0005-0000-0000-00007B3E0000}"/>
    <cellStyle name="40% - Accent3 8 3 5 3 2" xfId="49266" xr:uid="{22ECE826-3424-4459-8E12-E06508E31985}"/>
    <cellStyle name="40% - Accent3 8 3 5 4" xfId="33389" xr:uid="{B79167A0-B863-45F5-B964-F6A704392F13}"/>
    <cellStyle name="40% - Accent3 8 3 6" xfId="10427" xr:uid="{00000000-0005-0000-0000-00007C3E0000}"/>
    <cellStyle name="40% - Accent3 8 3 6 2" xfId="34277" xr:uid="{4EB3F0BB-B4B7-489E-9236-07263F144C43}"/>
    <cellStyle name="40% - Accent3 8 3 7" xfId="18382" xr:uid="{00000000-0005-0000-0000-00007D3E0000}"/>
    <cellStyle name="40% - Accent3 8 3 7 2" xfId="42215" xr:uid="{7DAF81AA-9C20-4FAC-9F3C-05FBAA07DCB7}"/>
    <cellStyle name="40% - Accent3 8 3 8" xfId="26335" xr:uid="{FA681796-3315-4A06-A609-51F78F51C9A9}"/>
    <cellStyle name="40% - Accent3 8 3_Exh G" xfId="3042" xr:uid="{00000000-0005-0000-0000-00007E3E0000}"/>
    <cellStyle name="40% - Accent3 8 4" xfId="968" xr:uid="{00000000-0005-0000-0000-00007F3E0000}"/>
    <cellStyle name="40% - Accent3 8 4 2" xfId="1887" xr:uid="{00000000-0005-0000-0000-0000803E0000}"/>
    <cellStyle name="40% - Accent3 8 4 2 2" xfId="5405" xr:uid="{00000000-0005-0000-0000-0000813E0000}"/>
    <cellStyle name="40% - Accent3 8 4 2 2 2" xfId="8996" xr:uid="{00000000-0005-0000-0000-0000823E0000}"/>
    <cellStyle name="40% - Accent3 8 4 2 2 2 2" xfId="16967" xr:uid="{00000000-0005-0000-0000-0000833E0000}"/>
    <cellStyle name="40% - Accent3 8 4 2 2 2 2 2" xfId="40810" xr:uid="{9B82FEE7-CD37-4EDB-9C33-DED134F7F9AD}"/>
    <cellStyle name="40% - Accent3 8 4 2 2 2 3" xfId="24913" xr:uid="{00000000-0005-0000-0000-0000843E0000}"/>
    <cellStyle name="40% - Accent3 8 4 2 2 2 3 2" xfId="48746" xr:uid="{DCC9842F-0CE5-44F6-8B36-2670FE23DA6D}"/>
    <cellStyle name="40% - Accent3 8 4 2 2 2 4" xfId="32869" xr:uid="{98E3E78B-2185-41A9-ADE5-7F3B3087E844}"/>
    <cellStyle name="40% - Accent3 8 4 2 2 3" xfId="13429" xr:uid="{00000000-0005-0000-0000-0000853E0000}"/>
    <cellStyle name="40% - Accent3 8 4 2 2 3 2" xfId="37279" xr:uid="{36D57C9C-B4FE-4542-9F77-79462CED70D3}"/>
    <cellStyle name="40% - Accent3 8 4 2 2 4" xfId="21384" xr:uid="{00000000-0005-0000-0000-0000863E0000}"/>
    <cellStyle name="40% - Accent3 8 4 2 2 4 2" xfId="45217" xr:uid="{9E4C8C07-2070-4CE9-880A-5D69E662B29B}"/>
    <cellStyle name="40% - Accent3 8 4 2 2 5" xfId="29338" xr:uid="{B85D1026-8C10-4A67-A945-07A152CBCCB1}"/>
    <cellStyle name="40% - Accent3 8 4 2 3" xfId="7237" xr:uid="{00000000-0005-0000-0000-0000873E0000}"/>
    <cellStyle name="40% - Accent3 8 4 2 3 2" xfId="15209" xr:uid="{00000000-0005-0000-0000-0000883E0000}"/>
    <cellStyle name="40% - Accent3 8 4 2 3 2 2" xfId="39052" xr:uid="{AF20C22C-0845-474C-AD10-88EF416548F9}"/>
    <cellStyle name="40% - Accent3 8 4 2 3 3" xfId="23156" xr:uid="{00000000-0005-0000-0000-0000893E0000}"/>
    <cellStyle name="40% - Accent3 8 4 2 3 3 2" xfId="46989" xr:uid="{127346EF-B97E-4195-9A11-71ADC27A83A9}"/>
    <cellStyle name="40% - Accent3 8 4 2 3 4" xfId="31111" xr:uid="{82A499F9-9539-4CD6-A38E-1204ABAC4119}"/>
    <cellStyle name="40% - Accent3 8 4 2 4" xfId="11673" xr:uid="{00000000-0005-0000-0000-00008A3E0000}"/>
    <cellStyle name="40% - Accent3 8 4 2 4 2" xfId="35523" xr:uid="{1AA55B8D-597D-4A38-A842-CE3D3B6A4089}"/>
    <cellStyle name="40% - Accent3 8 4 2 5" xfId="19628" xr:uid="{00000000-0005-0000-0000-00008B3E0000}"/>
    <cellStyle name="40% - Accent3 8 4 2 5 2" xfId="43461" xr:uid="{A65A60E6-387A-4C44-AC5E-346CF37C3235}"/>
    <cellStyle name="40% - Accent3 8 4 2 6" xfId="27581" xr:uid="{D3969D8E-C4EF-408A-A880-84393F1214D1}"/>
    <cellStyle name="40% - Accent3 8 4 2_Exh G" xfId="3045" xr:uid="{00000000-0005-0000-0000-00008C3E0000}"/>
    <cellStyle name="40% - Accent3 8 4 3" xfId="4526" xr:uid="{00000000-0005-0000-0000-00008D3E0000}"/>
    <cellStyle name="40% - Accent3 8 4 3 2" xfId="8118" xr:uid="{00000000-0005-0000-0000-00008E3E0000}"/>
    <cellStyle name="40% - Accent3 8 4 3 2 2" xfId="16089" xr:uid="{00000000-0005-0000-0000-00008F3E0000}"/>
    <cellStyle name="40% - Accent3 8 4 3 2 2 2" xfId="39932" xr:uid="{3C0039A4-C761-4375-99CE-20897690FB76}"/>
    <cellStyle name="40% - Accent3 8 4 3 2 3" xfId="24035" xr:uid="{00000000-0005-0000-0000-0000903E0000}"/>
    <cellStyle name="40% - Accent3 8 4 3 2 3 2" xfId="47868" xr:uid="{AE0E05D3-E9ED-4524-A769-F0CF7C1956DA}"/>
    <cellStyle name="40% - Accent3 8 4 3 2 4" xfId="31991" xr:uid="{5DD4AFB2-06C0-4DDE-8521-995AEFD89A9F}"/>
    <cellStyle name="40% - Accent3 8 4 3 3" xfId="12551" xr:uid="{00000000-0005-0000-0000-0000913E0000}"/>
    <cellStyle name="40% - Accent3 8 4 3 3 2" xfId="36401" xr:uid="{0B0DDD3C-FB12-4EAF-86A7-6D6D7492CEF4}"/>
    <cellStyle name="40% - Accent3 8 4 3 4" xfId="20506" xr:uid="{00000000-0005-0000-0000-0000923E0000}"/>
    <cellStyle name="40% - Accent3 8 4 3 4 2" xfId="44339" xr:uid="{C976DE12-AA71-4849-A8C6-71EC4DF3AD21}"/>
    <cellStyle name="40% - Accent3 8 4 3 5" xfId="28460" xr:uid="{800B92CE-97C0-493A-A455-7D0E9CD3A7F4}"/>
    <cellStyle name="40% - Accent3 8 4 4" xfId="6356" xr:uid="{00000000-0005-0000-0000-0000933E0000}"/>
    <cellStyle name="40% - Accent3 8 4 4 2" xfId="14331" xr:uid="{00000000-0005-0000-0000-0000943E0000}"/>
    <cellStyle name="40% - Accent3 8 4 4 2 2" xfId="38174" xr:uid="{7610F26C-6751-4063-8DCC-6D816C7B1E8A}"/>
    <cellStyle name="40% - Accent3 8 4 4 3" xfId="22278" xr:uid="{00000000-0005-0000-0000-0000953E0000}"/>
    <cellStyle name="40% - Accent3 8 4 4 3 2" xfId="46111" xr:uid="{E2B374AF-CEF0-4EE4-B6AE-8943C4B0AC70}"/>
    <cellStyle name="40% - Accent3 8 4 4 4" xfId="30233" xr:uid="{BC2B4F7D-4E2B-4796-8F6D-98B27EC6B25A}"/>
    <cellStyle name="40% - Accent3 8 4 5" xfId="9899" xr:uid="{00000000-0005-0000-0000-0000963E0000}"/>
    <cellStyle name="40% - Accent3 8 4 5 2" xfId="17857" xr:uid="{00000000-0005-0000-0000-0000973E0000}"/>
    <cellStyle name="40% - Accent3 8 4 5 2 2" xfId="41698" xr:uid="{C8DEBA9A-388E-415F-B914-3FE7B603D152}"/>
    <cellStyle name="40% - Accent3 8 4 5 3" xfId="25801" xr:uid="{00000000-0005-0000-0000-0000983E0000}"/>
    <cellStyle name="40% - Accent3 8 4 5 3 2" xfId="49634" xr:uid="{4B3A247B-CF2D-4548-AC55-A949698E5217}"/>
    <cellStyle name="40% - Accent3 8 4 5 4" xfId="33757" xr:uid="{E2557B11-4D2F-48DF-A8FD-E91425130D09}"/>
    <cellStyle name="40% - Accent3 8 4 6" xfId="10795" xr:uid="{00000000-0005-0000-0000-0000993E0000}"/>
    <cellStyle name="40% - Accent3 8 4 6 2" xfId="34645" xr:uid="{F1CC4EA3-B162-4882-BAC3-F7C9F5320571}"/>
    <cellStyle name="40% - Accent3 8 4 7" xfId="18750" xr:uid="{00000000-0005-0000-0000-00009A3E0000}"/>
    <cellStyle name="40% - Accent3 8 4 7 2" xfId="42583" xr:uid="{88D0F0D5-F9C5-4CD3-858A-C9C32E10CEDD}"/>
    <cellStyle name="40% - Accent3 8 4 8" xfId="26703" xr:uid="{DECEFDDD-DB2B-47D9-81AD-ABC5F6B997BC}"/>
    <cellStyle name="40% - Accent3 8 4_Exh G" xfId="3044" xr:uid="{00000000-0005-0000-0000-00009B3E0000}"/>
    <cellStyle name="40% - Accent3 8 5" xfId="1504" xr:uid="{00000000-0005-0000-0000-00009C3E0000}"/>
    <cellStyle name="40% - Accent3 8 5 2" xfId="5034" xr:uid="{00000000-0005-0000-0000-00009D3E0000}"/>
    <cellStyle name="40% - Accent3 8 5 2 2" xfId="8625" xr:uid="{00000000-0005-0000-0000-00009E3E0000}"/>
    <cellStyle name="40% - Accent3 8 5 2 2 2" xfId="16596" xr:uid="{00000000-0005-0000-0000-00009F3E0000}"/>
    <cellStyle name="40% - Accent3 8 5 2 2 2 2" xfId="40439" xr:uid="{B78BD6B2-9F67-49CE-A17D-04C9127EEF43}"/>
    <cellStyle name="40% - Accent3 8 5 2 2 3" xfId="24542" xr:uid="{00000000-0005-0000-0000-0000A03E0000}"/>
    <cellStyle name="40% - Accent3 8 5 2 2 3 2" xfId="48375" xr:uid="{1A0A3F68-897E-4355-8E7E-0A76855E9718}"/>
    <cellStyle name="40% - Accent3 8 5 2 2 4" xfId="32498" xr:uid="{20981C12-AD31-473D-A369-7DC575626EA5}"/>
    <cellStyle name="40% - Accent3 8 5 2 3" xfId="13058" xr:uid="{00000000-0005-0000-0000-0000A13E0000}"/>
    <cellStyle name="40% - Accent3 8 5 2 3 2" xfId="36908" xr:uid="{F31EEC94-BFDA-4820-83F7-49383DDBAD69}"/>
    <cellStyle name="40% - Accent3 8 5 2 4" xfId="21013" xr:uid="{00000000-0005-0000-0000-0000A23E0000}"/>
    <cellStyle name="40% - Accent3 8 5 2 4 2" xfId="44846" xr:uid="{FDC3BCDD-402D-4676-914A-4AAF638578BF}"/>
    <cellStyle name="40% - Accent3 8 5 2 5" xfId="28967" xr:uid="{FC90A51C-72B9-4E45-A910-7A5F65D5B7CB}"/>
    <cellStyle name="40% - Accent3 8 5 3" xfId="6866" xr:uid="{00000000-0005-0000-0000-0000A33E0000}"/>
    <cellStyle name="40% - Accent3 8 5 3 2" xfId="14838" xr:uid="{00000000-0005-0000-0000-0000A43E0000}"/>
    <cellStyle name="40% - Accent3 8 5 3 2 2" xfId="38681" xr:uid="{B29E5F78-38F6-4D9D-8C74-10096A064ABA}"/>
    <cellStyle name="40% - Accent3 8 5 3 3" xfId="22785" xr:uid="{00000000-0005-0000-0000-0000A53E0000}"/>
    <cellStyle name="40% - Accent3 8 5 3 3 2" xfId="46618" xr:uid="{77855213-51A5-4845-9444-7F778168337B}"/>
    <cellStyle name="40% - Accent3 8 5 3 4" xfId="30740" xr:uid="{EBE22B33-3C18-4F50-83DE-B5D578D92351}"/>
    <cellStyle name="40% - Accent3 8 5 4" xfId="11302" xr:uid="{00000000-0005-0000-0000-0000A63E0000}"/>
    <cellStyle name="40% - Accent3 8 5 4 2" xfId="35152" xr:uid="{B1485A70-E141-4FD6-BBAC-267AA7D89149}"/>
    <cellStyle name="40% - Accent3 8 5 5" xfId="19257" xr:uid="{00000000-0005-0000-0000-0000A73E0000}"/>
    <cellStyle name="40% - Accent3 8 5 5 2" xfId="43090" xr:uid="{474B57EE-72C3-43F5-B903-FDE123DC008D}"/>
    <cellStyle name="40% - Accent3 8 5 6" xfId="27210" xr:uid="{6C14D7DA-6A29-4B28-9F2E-6BE6EE78D523}"/>
    <cellStyle name="40% - Accent3 8 5_Exh G" xfId="3046" xr:uid="{00000000-0005-0000-0000-0000A83E0000}"/>
    <cellStyle name="40% - Accent3 8 6" xfId="4155" xr:uid="{00000000-0005-0000-0000-0000A93E0000}"/>
    <cellStyle name="40% - Accent3 8 6 2" xfId="7747" xr:uid="{00000000-0005-0000-0000-0000AA3E0000}"/>
    <cellStyle name="40% - Accent3 8 6 2 2" xfId="15718" xr:uid="{00000000-0005-0000-0000-0000AB3E0000}"/>
    <cellStyle name="40% - Accent3 8 6 2 2 2" xfId="39561" xr:uid="{524B59F5-3F9A-44E1-910E-4F505ACC997A}"/>
    <cellStyle name="40% - Accent3 8 6 2 3" xfId="23664" xr:uid="{00000000-0005-0000-0000-0000AC3E0000}"/>
    <cellStyle name="40% - Accent3 8 6 2 3 2" xfId="47497" xr:uid="{82C503CB-6C5D-4A38-B9CE-0B53791BDEC8}"/>
    <cellStyle name="40% - Accent3 8 6 2 4" xfId="31620" xr:uid="{381D0185-353F-4EA0-9A76-591029AD507C}"/>
    <cellStyle name="40% - Accent3 8 6 3" xfId="12180" xr:uid="{00000000-0005-0000-0000-0000AD3E0000}"/>
    <cellStyle name="40% - Accent3 8 6 3 2" xfId="36030" xr:uid="{533194A1-2C95-4432-8B84-EF81C6F62D8A}"/>
    <cellStyle name="40% - Accent3 8 6 4" xfId="20135" xr:uid="{00000000-0005-0000-0000-0000AE3E0000}"/>
    <cellStyle name="40% - Accent3 8 6 4 2" xfId="43968" xr:uid="{99320A04-DFA1-4144-A68D-CEC10E56F067}"/>
    <cellStyle name="40% - Accent3 8 6 5" xfId="28089" xr:uid="{B985458C-D0C4-47A2-B2D5-6B44A33BA7ED}"/>
    <cellStyle name="40% - Accent3 8 7" xfId="5975" xr:uid="{00000000-0005-0000-0000-0000AF3E0000}"/>
    <cellStyle name="40% - Accent3 8 7 2" xfId="13959" xr:uid="{00000000-0005-0000-0000-0000B03E0000}"/>
    <cellStyle name="40% - Accent3 8 7 2 2" xfId="37803" xr:uid="{D21C4155-C4CA-4179-9CC4-50BBB0AD9196}"/>
    <cellStyle name="40% - Accent3 8 7 3" xfId="21907" xr:uid="{00000000-0005-0000-0000-0000B13E0000}"/>
    <cellStyle name="40% - Accent3 8 7 3 2" xfId="45740" xr:uid="{B92C0A13-5E62-4BEC-9D6A-F93FBAE176C7}"/>
    <cellStyle name="40% - Accent3 8 7 4" xfId="29862" xr:uid="{8254892E-C7A4-4649-B020-A4C926FA5674}"/>
    <cellStyle name="40% - Accent3 8 8" xfId="9528" xr:uid="{00000000-0005-0000-0000-0000B23E0000}"/>
    <cellStyle name="40% - Accent3 8 8 2" xfId="17486" xr:uid="{00000000-0005-0000-0000-0000B33E0000}"/>
    <cellStyle name="40% - Accent3 8 8 2 2" xfId="41327" xr:uid="{EFE1850A-ACE9-4F1C-946C-64BCC386C6FD}"/>
    <cellStyle name="40% - Accent3 8 8 3" xfId="25430" xr:uid="{00000000-0005-0000-0000-0000B43E0000}"/>
    <cellStyle name="40% - Accent3 8 8 3 2" xfId="49263" xr:uid="{3833D40C-8712-4629-B29D-2F551CDE16FC}"/>
    <cellStyle name="40% - Accent3 8 8 4" xfId="33386" xr:uid="{BD2F6DAB-3169-4575-88F9-E103F7F5D6ED}"/>
    <cellStyle name="40% - Accent3 8 9" xfId="10424" xr:uid="{00000000-0005-0000-0000-0000B53E0000}"/>
    <cellStyle name="40% - Accent3 8 9 2" xfId="34274" xr:uid="{718C6195-DD83-4D92-8202-FCE8EC39ED37}"/>
    <cellStyle name="40% - Accent3 8_Exh G" xfId="3037" xr:uid="{00000000-0005-0000-0000-0000B63E0000}"/>
    <cellStyle name="40% - Accent3 9" xfId="480" xr:uid="{00000000-0005-0000-0000-0000B73E0000}"/>
    <cellStyle name="40% - Accent3 9 10" xfId="18383" xr:uid="{00000000-0005-0000-0000-0000B83E0000}"/>
    <cellStyle name="40% - Accent3 9 10 2" xfId="42216" xr:uid="{4B9DBB61-E253-47FC-B57B-0492D42E3C81}"/>
    <cellStyle name="40% - Accent3 9 11" xfId="26336" xr:uid="{1EF0F16A-3E46-47C0-B43A-2ED7FB8ABF9A}"/>
    <cellStyle name="40% - Accent3 9 2" xfId="481" xr:uid="{00000000-0005-0000-0000-0000B93E0000}"/>
    <cellStyle name="40% - Accent3 9 2 2" xfId="482" xr:uid="{00000000-0005-0000-0000-0000BA3E0000}"/>
    <cellStyle name="40% - Accent3 9 2 2 2" xfId="1510" xr:uid="{00000000-0005-0000-0000-0000BB3E0000}"/>
    <cellStyle name="40% - Accent3 9 2 2 2 2" xfId="5040" xr:uid="{00000000-0005-0000-0000-0000BC3E0000}"/>
    <cellStyle name="40% - Accent3 9 2 2 2 2 2" xfId="8631" xr:uid="{00000000-0005-0000-0000-0000BD3E0000}"/>
    <cellStyle name="40% - Accent3 9 2 2 2 2 2 2" xfId="16602" xr:uid="{00000000-0005-0000-0000-0000BE3E0000}"/>
    <cellStyle name="40% - Accent3 9 2 2 2 2 2 2 2" xfId="40445" xr:uid="{97C7C9B5-380F-4FF2-82A4-591AC4F396B8}"/>
    <cellStyle name="40% - Accent3 9 2 2 2 2 2 3" xfId="24548" xr:uid="{00000000-0005-0000-0000-0000BF3E0000}"/>
    <cellStyle name="40% - Accent3 9 2 2 2 2 2 3 2" xfId="48381" xr:uid="{01171843-29E3-41F5-A5D1-CA9AC822DACD}"/>
    <cellStyle name="40% - Accent3 9 2 2 2 2 2 4" xfId="32504" xr:uid="{B3179F49-50DD-4049-BA0B-5B665EF5A5B0}"/>
    <cellStyle name="40% - Accent3 9 2 2 2 2 3" xfId="13064" xr:uid="{00000000-0005-0000-0000-0000C03E0000}"/>
    <cellStyle name="40% - Accent3 9 2 2 2 2 3 2" xfId="36914" xr:uid="{67FFE14B-A718-4883-A7FD-FB029C9A9D09}"/>
    <cellStyle name="40% - Accent3 9 2 2 2 2 4" xfId="21019" xr:uid="{00000000-0005-0000-0000-0000C13E0000}"/>
    <cellStyle name="40% - Accent3 9 2 2 2 2 4 2" xfId="44852" xr:uid="{8780D6F3-2BE5-40FB-8032-DBBAF9228124}"/>
    <cellStyle name="40% - Accent3 9 2 2 2 2 5" xfId="28973" xr:uid="{2BC0E880-1A79-4A32-879B-63617DF56806}"/>
    <cellStyle name="40% - Accent3 9 2 2 2 3" xfId="6872" xr:uid="{00000000-0005-0000-0000-0000C23E0000}"/>
    <cellStyle name="40% - Accent3 9 2 2 2 3 2" xfId="14844" xr:uid="{00000000-0005-0000-0000-0000C33E0000}"/>
    <cellStyle name="40% - Accent3 9 2 2 2 3 2 2" xfId="38687" xr:uid="{2DB453AE-B034-4FCB-8E1E-7DC948B410F0}"/>
    <cellStyle name="40% - Accent3 9 2 2 2 3 3" xfId="22791" xr:uid="{00000000-0005-0000-0000-0000C43E0000}"/>
    <cellStyle name="40% - Accent3 9 2 2 2 3 3 2" xfId="46624" xr:uid="{6BFEF70C-5739-437C-96D0-9B80464699C6}"/>
    <cellStyle name="40% - Accent3 9 2 2 2 3 4" xfId="30746" xr:uid="{C8B13795-83ED-4C3C-84BF-615C7C2BE5FF}"/>
    <cellStyle name="40% - Accent3 9 2 2 2 4" xfId="11308" xr:uid="{00000000-0005-0000-0000-0000C53E0000}"/>
    <cellStyle name="40% - Accent3 9 2 2 2 4 2" xfId="35158" xr:uid="{1C199B3D-ACDD-49B5-BE1C-E2A34F21C1C1}"/>
    <cellStyle name="40% - Accent3 9 2 2 2 5" xfId="19263" xr:uid="{00000000-0005-0000-0000-0000C63E0000}"/>
    <cellStyle name="40% - Accent3 9 2 2 2 5 2" xfId="43096" xr:uid="{2DC9790E-E10F-40BF-9E6F-3D235A166DA7}"/>
    <cellStyle name="40% - Accent3 9 2 2 2 6" xfId="27216" xr:uid="{1D5FDABC-9AFC-410C-B3EF-D583E3D642B3}"/>
    <cellStyle name="40% - Accent3 9 2 2 2_Exh G" xfId="3050" xr:uid="{00000000-0005-0000-0000-0000C73E0000}"/>
    <cellStyle name="40% - Accent3 9 2 2 3" xfId="4161" xr:uid="{00000000-0005-0000-0000-0000C83E0000}"/>
    <cellStyle name="40% - Accent3 9 2 2 3 2" xfId="7753" xr:uid="{00000000-0005-0000-0000-0000C93E0000}"/>
    <cellStyle name="40% - Accent3 9 2 2 3 2 2" xfId="15724" xr:uid="{00000000-0005-0000-0000-0000CA3E0000}"/>
    <cellStyle name="40% - Accent3 9 2 2 3 2 2 2" xfId="39567" xr:uid="{498F0221-770A-4A84-9513-26D519F46198}"/>
    <cellStyle name="40% - Accent3 9 2 2 3 2 3" xfId="23670" xr:uid="{00000000-0005-0000-0000-0000CB3E0000}"/>
    <cellStyle name="40% - Accent3 9 2 2 3 2 3 2" xfId="47503" xr:uid="{485E5C8B-C19B-40BF-AEE3-5A4692B268EB}"/>
    <cellStyle name="40% - Accent3 9 2 2 3 2 4" xfId="31626" xr:uid="{4FE8D46F-8150-41B4-9D5E-72DE34506816}"/>
    <cellStyle name="40% - Accent3 9 2 2 3 3" xfId="12186" xr:uid="{00000000-0005-0000-0000-0000CC3E0000}"/>
    <cellStyle name="40% - Accent3 9 2 2 3 3 2" xfId="36036" xr:uid="{F27DD972-0D41-402B-8CCB-0BFB1D62FDA0}"/>
    <cellStyle name="40% - Accent3 9 2 2 3 4" xfId="20141" xr:uid="{00000000-0005-0000-0000-0000CD3E0000}"/>
    <cellStyle name="40% - Accent3 9 2 2 3 4 2" xfId="43974" xr:uid="{7E6599CB-69B2-460A-863E-BE05C935E34A}"/>
    <cellStyle name="40% - Accent3 9 2 2 3 5" xfId="28095" xr:uid="{CA32D27A-0DB7-43B7-A52C-DBC126327C43}"/>
    <cellStyle name="40% - Accent3 9 2 2 4" xfId="5981" xr:uid="{00000000-0005-0000-0000-0000CE3E0000}"/>
    <cellStyle name="40% - Accent3 9 2 2 4 2" xfId="13965" xr:uid="{00000000-0005-0000-0000-0000CF3E0000}"/>
    <cellStyle name="40% - Accent3 9 2 2 4 2 2" xfId="37809" xr:uid="{961D5EDA-0D33-4B6D-96AA-BD024022C934}"/>
    <cellStyle name="40% - Accent3 9 2 2 4 3" xfId="21913" xr:uid="{00000000-0005-0000-0000-0000D03E0000}"/>
    <cellStyle name="40% - Accent3 9 2 2 4 3 2" xfId="45746" xr:uid="{561845A5-75AE-47D2-A604-8EAB53DF4EA1}"/>
    <cellStyle name="40% - Accent3 9 2 2 4 4" xfId="29868" xr:uid="{93E64832-CB80-4AB3-A90F-16FA5880B031}"/>
    <cellStyle name="40% - Accent3 9 2 2 5" xfId="9534" xr:uid="{00000000-0005-0000-0000-0000D13E0000}"/>
    <cellStyle name="40% - Accent3 9 2 2 5 2" xfId="17492" xr:uid="{00000000-0005-0000-0000-0000D23E0000}"/>
    <cellStyle name="40% - Accent3 9 2 2 5 2 2" xfId="41333" xr:uid="{AE3A7942-CC17-409B-98FB-FD7AC9A7D873}"/>
    <cellStyle name="40% - Accent3 9 2 2 5 3" xfId="25436" xr:uid="{00000000-0005-0000-0000-0000D33E0000}"/>
    <cellStyle name="40% - Accent3 9 2 2 5 3 2" xfId="49269" xr:uid="{D4B5B9EA-626F-41D0-B177-2FB18FDC4AFB}"/>
    <cellStyle name="40% - Accent3 9 2 2 5 4" xfId="33392" xr:uid="{B9301CCA-DC1E-4938-B4D7-871A2A33CFD3}"/>
    <cellStyle name="40% - Accent3 9 2 2 6" xfId="10430" xr:uid="{00000000-0005-0000-0000-0000D43E0000}"/>
    <cellStyle name="40% - Accent3 9 2 2 6 2" xfId="34280" xr:uid="{30EEC70E-3127-4823-B668-ADE9280FB760}"/>
    <cellStyle name="40% - Accent3 9 2 2 7" xfId="18385" xr:uid="{00000000-0005-0000-0000-0000D53E0000}"/>
    <cellStyle name="40% - Accent3 9 2 2 7 2" xfId="42218" xr:uid="{D48E21D8-EA00-44F7-9BA0-2A7A09938358}"/>
    <cellStyle name="40% - Accent3 9 2 2 8" xfId="26338" xr:uid="{B787E379-5615-4912-9671-83C61EB8C7F3}"/>
    <cellStyle name="40% - Accent3 9 2 2_Exh G" xfId="3049" xr:uid="{00000000-0005-0000-0000-0000D63E0000}"/>
    <cellStyle name="40% - Accent3 9 2 3" xfId="1509" xr:uid="{00000000-0005-0000-0000-0000D73E0000}"/>
    <cellStyle name="40% - Accent3 9 2 3 2" xfId="5039" xr:uid="{00000000-0005-0000-0000-0000D83E0000}"/>
    <cellStyle name="40% - Accent3 9 2 3 2 2" xfId="8630" xr:uid="{00000000-0005-0000-0000-0000D93E0000}"/>
    <cellStyle name="40% - Accent3 9 2 3 2 2 2" xfId="16601" xr:uid="{00000000-0005-0000-0000-0000DA3E0000}"/>
    <cellStyle name="40% - Accent3 9 2 3 2 2 2 2" xfId="40444" xr:uid="{BEA55AAD-C880-493F-9ADB-622C71E76FE5}"/>
    <cellStyle name="40% - Accent3 9 2 3 2 2 3" xfId="24547" xr:uid="{00000000-0005-0000-0000-0000DB3E0000}"/>
    <cellStyle name="40% - Accent3 9 2 3 2 2 3 2" xfId="48380" xr:uid="{784A69F5-D618-46A4-94FC-0FF1628FABA7}"/>
    <cellStyle name="40% - Accent3 9 2 3 2 2 4" xfId="32503" xr:uid="{4A518127-06F4-4FEF-87E2-1D695F09D0CD}"/>
    <cellStyle name="40% - Accent3 9 2 3 2 3" xfId="13063" xr:uid="{00000000-0005-0000-0000-0000DC3E0000}"/>
    <cellStyle name="40% - Accent3 9 2 3 2 3 2" xfId="36913" xr:uid="{D4C4937F-93C7-4B4A-AA70-3081012CFB20}"/>
    <cellStyle name="40% - Accent3 9 2 3 2 4" xfId="21018" xr:uid="{00000000-0005-0000-0000-0000DD3E0000}"/>
    <cellStyle name="40% - Accent3 9 2 3 2 4 2" xfId="44851" xr:uid="{E6C8811D-A75B-4560-9903-8FFDEFA1DBA1}"/>
    <cellStyle name="40% - Accent3 9 2 3 2 5" xfId="28972" xr:uid="{958EBFA7-19A6-4613-B378-8DF241852F62}"/>
    <cellStyle name="40% - Accent3 9 2 3 3" xfId="6871" xr:uid="{00000000-0005-0000-0000-0000DE3E0000}"/>
    <cellStyle name="40% - Accent3 9 2 3 3 2" xfId="14843" xr:uid="{00000000-0005-0000-0000-0000DF3E0000}"/>
    <cellStyle name="40% - Accent3 9 2 3 3 2 2" xfId="38686" xr:uid="{2FD594F7-82F7-43B3-B42F-82A7DBB0F929}"/>
    <cellStyle name="40% - Accent3 9 2 3 3 3" xfId="22790" xr:uid="{00000000-0005-0000-0000-0000E03E0000}"/>
    <cellStyle name="40% - Accent3 9 2 3 3 3 2" xfId="46623" xr:uid="{8E47E541-F338-48F6-A28B-21795575008C}"/>
    <cellStyle name="40% - Accent3 9 2 3 3 4" xfId="30745" xr:uid="{AF4B4D17-7253-49CB-A216-D0E5FBC25717}"/>
    <cellStyle name="40% - Accent3 9 2 3 4" xfId="11307" xr:uid="{00000000-0005-0000-0000-0000E13E0000}"/>
    <cellStyle name="40% - Accent3 9 2 3 4 2" xfId="35157" xr:uid="{A18E448B-7D08-45A1-A3F9-1C4788C378A7}"/>
    <cellStyle name="40% - Accent3 9 2 3 5" xfId="19262" xr:uid="{00000000-0005-0000-0000-0000E23E0000}"/>
    <cellStyle name="40% - Accent3 9 2 3 5 2" xfId="43095" xr:uid="{5892818E-1476-41F8-B143-443115548E42}"/>
    <cellStyle name="40% - Accent3 9 2 3 6" xfId="27215" xr:uid="{CD7E06CC-9AD0-4132-B059-891D84CCA614}"/>
    <cellStyle name="40% - Accent3 9 2 3_Exh G" xfId="3051" xr:uid="{00000000-0005-0000-0000-0000E33E0000}"/>
    <cellStyle name="40% - Accent3 9 2 4" xfId="4160" xr:uid="{00000000-0005-0000-0000-0000E43E0000}"/>
    <cellStyle name="40% - Accent3 9 2 4 2" xfId="7752" xr:uid="{00000000-0005-0000-0000-0000E53E0000}"/>
    <cellStyle name="40% - Accent3 9 2 4 2 2" xfId="15723" xr:uid="{00000000-0005-0000-0000-0000E63E0000}"/>
    <cellStyle name="40% - Accent3 9 2 4 2 2 2" xfId="39566" xr:uid="{B92F0061-6F47-43D7-8F09-A3FA3036771A}"/>
    <cellStyle name="40% - Accent3 9 2 4 2 3" xfId="23669" xr:uid="{00000000-0005-0000-0000-0000E73E0000}"/>
    <cellStyle name="40% - Accent3 9 2 4 2 3 2" xfId="47502" xr:uid="{30C91BA4-DAF2-4B40-B32D-C7F19A7E22F3}"/>
    <cellStyle name="40% - Accent3 9 2 4 2 4" xfId="31625" xr:uid="{827A1D2A-3847-4026-8D87-902EBF6BB461}"/>
    <cellStyle name="40% - Accent3 9 2 4 3" xfId="12185" xr:uid="{00000000-0005-0000-0000-0000E83E0000}"/>
    <cellStyle name="40% - Accent3 9 2 4 3 2" xfId="36035" xr:uid="{5EEEBCF8-BF3E-48E2-9148-A0F1FDAB5809}"/>
    <cellStyle name="40% - Accent3 9 2 4 4" xfId="20140" xr:uid="{00000000-0005-0000-0000-0000E93E0000}"/>
    <cellStyle name="40% - Accent3 9 2 4 4 2" xfId="43973" xr:uid="{342843CB-061B-4597-B533-811C70F6401D}"/>
    <cellStyle name="40% - Accent3 9 2 4 5" xfId="28094" xr:uid="{BA87942D-A668-4BAC-8C2E-9F48F296EA7C}"/>
    <cellStyle name="40% - Accent3 9 2 5" xfId="5980" xr:uid="{00000000-0005-0000-0000-0000EA3E0000}"/>
    <cellStyle name="40% - Accent3 9 2 5 2" xfId="13964" xr:uid="{00000000-0005-0000-0000-0000EB3E0000}"/>
    <cellStyle name="40% - Accent3 9 2 5 2 2" xfId="37808" xr:uid="{8B7E3229-935F-4F1D-A147-035F349DC941}"/>
    <cellStyle name="40% - Accent3 9 2 5 3" xfId="21912" xr:uid="{00000000-0005-0000-0000-0000EC3E0000}"/>
    <cellStyle name="40% - Accent3 9 2 5 3 2" xfId="45745" xr:uid="{5136513A-3C54-4EA7-A285-B9CFFCE22515}"/>
    <cellStyle name="40% - Accent3 9 2 5 4" xfId="29867" xr:uid="{89A36179-89DB-4775-981C-3CCBA0626731}"/>
    <cellStyle name="40% - Accent3 9 2 6" xfId="9533" xr:uid="{00000000-0005-0000-0000-0000ED3E0000}"/>
    <cellStyle name="40% - Accent3 9 2 6 2" xfId="17491" xr:uid="{00000000-0005-0000-0000-0000EE3E0000}"/>
    <cellStyle name="40% - Accent3 9 2 6 2 2" xfId="41332" xr:uid="{FDB8D916-0EE0-4C7E-B467-13AF63E22FDB}"/>
    <cellStyle name="40% - Accent3 9 2 6 3" xfId="25435" xr:uid="{00000000-0005-0000-0000-0000EF3E0000}"/>
    <cellStyle name="40% - Accent3 9 2 6 3 2" xfId="49268" xr:uid="{7FD67ECD-1818-4130-AA87-A3E131CE5941}"/>
    <cellStyle name="40% - Accent3 9 2 6 4" xfId="33391" xr:uid="{EDFB0AD6-7D19-4A39-B9D9-2DE9D49FC695}"/>
    <cellStyle name="40% - Accent3 9 2 7" xfId="10429" xr:uid="{00000000-0005-0000-0000-0000F03E0000}"/>
    <cellStyle name="40% - Accent3 9 2 7 2" xfId="34279" xr:uid="{37FC4934-1D88-4A5A-943E-2A1460B6DAB4}"/>
    <cellStyle name="40% - Accent3 9 2 8" xfId="18384" xr:uid="{00000000-0005-0000-0000-0000F13E0000}"/>
    <cellStyle name="40% - Accent3 9 2 8 2" xfId="42217" xr:uid="{FEF082CA-11A5-412F-8A2B-C152466075E1}"/>
    <cellStyle name="40% - Accent3 9 2 9" xfId="26337" xr:uid="{6381BBD7-ECCD-4D15-B8BF-C2DF7B2F2158}"/>
    <cellStyle name="40% - Accent3 9 2_Exh G" xfId="3048" xr:uid="{00000000-0005-0000-0000-0000F23E0000}"/>
    <cellStyle name="40% - Accent3 9 3" xfId="483" xr:uid="{00000000-0005-0000-0000-0000F33E0000}"/>
    <cellStyle name="40% - Accent3 9 3 2" xfId="1511" xr:uid="{00000000-0005-0000-0000-0000F43E0000}"/>
    <cellStyle name="40% - Accent3 9 3 2 2" xfId="5041" xr:uid="{00000000-0005-0000-0000-0000F53E0000}"/>
    <cellStyle name="40% - Accent3 9 3 2 2 2" xfId="8632" xr:uid="{00000000-0005-0000-0000-0000F63E0000}"/>
    <cellStyle name="40% - Accent3 9 3 2 2 2 2" xfId="16603" xr:uid="{00000000-0005-0000-0000-0000F73E0000}"/>
    <cellStyle name="40% - Accent3 9 3 2 2 2 2 2" xfId="40446" xr:uid="{E4B80362-445E-4A8D-BA81-FA4BE06EC516}"/>
    <cellStyle name="40% - Accent3 9 3 2 2 2 3" xfId="24549" xr:uid="{00000000-0005-0000-0000-0000F83E0000}"/>
    <cellStyle name="40% - Accent3 9 3 2 2 2 3 2" xfId="48382" xr:uid="{C532914D-5588-4761-AAE1-B79849946A49}"/>
    <cellStyle name="40% - Accent3 9 3 2 2 2 4" xfId="32505" xr:uid="{F2B5833E-508F-438B-8D7A-AD7C08BB9A71}"/>
    <cellStyle name="40% - Accent3 9 3 2 2 3" xfId="13065" xr:uid="{00000000-0005-0000-0000-0000F93E0000}"/>
    <cellStyle name="40% - Accent3 9 3 2 2 3 2" xfId="36915" xr:uid="{00BFF935-D124-45B3-AA33-A4002DD7F802}"/>
    <cellStyle name="40% - Accent3 9 3 2 2 4" xfId="21020" xr:uid="{00000000-0005-0000-0000-0000FA3E0000}"/>
    <cellStyle name="40% - Accent3 9 3 2 2 4 2" xfId="44853" xr:uid="{B300E81D-39CD-435C-BFB7-94CE80D0FF29}"/>
    <cellStyle name="40% - Accent3 9 3 2 2 5" xfId="28974" xr:uid="{8D509D69-8C6B-4876-B5FB-3A3C129E30CC}"/>
    <cellStyle name="40% - Accent3 9 3 2 3" xfId="6873" xr:uid="{00000000-0005-0000-0000-0000FB3E0000}"/>
    <cellStyle name="40% - Accent3 9 3 2 3 2" xfId="14845" xr:uid="{00000000-0005-0000-0000-0000FC3E0000}"/>
    <cellStyle name="40% - Accent3 9 3 2 3 2 2" xfId="38688" xr:uid="{B14D2FAA-BC1F-4E7E-BF7C-F787577A98A1}"/>
    <cellStyle name="40% - Accent3 9 3 2 3 3" xfId="22792" xr:uid="{00000000-0005-0000-0000-0000FD3E0000}"/>
    <cellStyle name="40% - Accent3 9 3 2 3 3 2" xfId="46625" xr:uid="{F4F06542-2D2B-42B1-9F55-B38F78BD4AAF}"/>
    <cellStyle name="40% - Accent3 9 3 2 3 4" xfId="30747" xr:uid="{8982A829-A245-415E-AFAC-F00816D28299}"/>
    <cellStyle name="40% - Accent3 9 3 2 4" xfId="11309" xr:uid="{00000000-0005-0000-0000-0000FE3E0000}"/>
    <cellStyle name="40% - Accent3 9 3 2 4 2" xfId="35159" xr:uid="{BF9DEFB7-764A-4965-9C4A-D706BA9D7C37}"/>
    <cellStyle name="40% - Accent3 9 3 2 5" xfId="19264" xr:uid="{00000000-0005-0000-0000-0000FF3E0000}"/>
    <cellStyle name="40% - Accent3 9 3 2 5 2" xfId="43097" xr:uid="{9539FFCD-5051-44C8-898A-D3AA87879CE1}"/>
    <cellStyle name="40% - Accent3 9 3 2 6" xfId="27217" xr:uid="{393F9C05-2344-44F7-B2DF-FF5F57B07391}"/>
    <cellStyle name="40% - Accent3 9 3 2_Exh G" xfId="3053" xr:uid="{00000000-0005-0000-0000-0000003F0000}"/>
    <cellStyle name="40% - Accent3 9 3 3" xfId="4162" xr:uid="{00000000-0005-0000-0000-0000013F0000}"/>
    <cellStyle name="40% - Accent3 9 3 3 2" xfId="7754" xr:uid="{00000000-0005-0000-0000-0000023F0000}"/>
    <cellStyle name="40% - Accent3 9 3 3 2 2" xfId="15725" xr:uid="{00000000-0005-0000-0000-0000033F0000}"/>
    <cellStyle name="40% - Accent3 9 3 3 2 2 2" xfId="39568" xr:uid="{7069184A-F279-48C5-A5B0-63DE970F6529}"/>
    <cellStyle name="40% - Accent3 9 3 3 2 3" xfId="23671" xr:uid="{00000000-0005-0000-0000-0000043F0000}"/>
    <cellStyle name="40% - Accent3 9 3 3 2 3 2" xfId="47504" xr:uid="{1002E2F5-B24C-4653-91A5-46A2CA31525E}"/>
    <cellStyle name="40% - Accent3 9 3 3 2 4" xfId="31627" xr:uid="{45F9DEEC-A3BA-4289-B710-9798F95820FD}"/>
    <cellStyle name="40% - Accent3 9 3 3 3" xfId="12187" xr:uid="{00000000-0005-0000-0000-0000053F0000}"/>
    <cellStyle name="40% - Accent3 9 3 3 3 2" xfId="36037" xr:uid="{AD5C9C65-6537-4376-AA17-0E29CFF33760}"/>
    <cellStyle name="40% - Accent3 9 3 3 4" xfId="20142" xr:uid="{00000000-0005-0000-0000-0000063F0000}"/>
    <cellStyle name="40% - Accent3 9 3 3 4 2" xfId="43975" xr:uid="{5C82AD71-4B3E-4734-9740-345D2C346B61}"/>
    <cellStyle name="40% - Accent3 9 3 3 5" xfId="28096" xr:uid="{5E6B1D1C-F7FF-44C7-AC22-5CAF8FE62E02}"/>
    <cellStyle name="40% - Accent3 9 3 4" xfId="5982" xr:uid="{00000000-0005-0000-0000-0000073F0000}"/>
    <cellStyle name="40% - Accent3 9 3 4 2" xfId="13966" xr:uid="{00000000-0005-0000-0000-0000083F0000}"/>
    <cellStyle name="40% - Accent3 9 3 4 2 2" xfId="37810" xr:uid="{C97C435C-DD8D-42D7-826D-6ABAD8816599}"/>
    <cellStyle name="40% - Accent3 9 3 4 3" xfId="21914" xr:uid="{00000000-0005-0000-0000-0000093F0000}"/>
    <cellStyle name="40% - Accent3 9 3 4 3 2" xfId="45747" xr:uid="{4F48507E-6E35-4241-B76B-2DF13E733A4F}"/>
    <cellStyle name="40% - Accent3 9 3 4 4" xfId="29869" xr:uid="{8DCAB1AD-669C-4F72-8B82-7A79D622498F}"/>
    <cellStyle name="40% - Accent3 9 3 5" xfId="9535" xr:uid="{00000000-0005-0000-0000-00000A3F0000}"/>
    <cellStyle name="40% - Accent3 9 3 5 2" xfId="17493" xr:uid="{00000000-0005-0000-0000-00000B3F0000}"/>
    <cellStyle name="40% - Accent3 9 3 5 2 2" xfId="41334" xr:uid="{753686F9-F741-4CF4-B4C2-7507A6BC7E01}"/>
    <cellStyle name="40% - Accent3 9 3 5 3" xfId="25437" xr:uid="{00000000-0005-0000-0000-00000C3F0000}"/>
    <cellStyle name="40% - Accent3 9 3 5 3 2" xfId="49270" xr:uid="{05B2A289-D9F5-44EA-9A2E-4E7246F4EF7F}"/>
    <cellStyle name="40% - Accent3 9 3 5 4" xfId="33393" xr:uid="{08D15B93-3F00-4029-8630-D1F0E175324E}"/>
    <cellStyle name="40% - Accent3 9 3 6" xfId="10431" xr:uid="{00000000-0005-0000-0000-00000D3F0000}"/>
    <cellStyle name="40% - Accent3 9 3 6 2" xfId="34281" xr:uid="{BADF1AC5-A422-43E0-8D36-A180485B28B6}"/>
    <cellStyle name="40% - Accent3 9 3 7" xfId="18386" xr:uid="{00000000-0005-0000-0000-00000E3F0000}"/>
    <cellStyle name="40% - Accent3 9 3 7 2" xfId="42219" xr:uid="{9D17CA5D-C1B1-4D54-AB14-0AAEA336F9E9}"/>
    <cellStyle name="40% - Accent3 9 3 8" xfId="26339" xr:uid="{B4B9AF0B-3BCE-4033-994B-642658EBC7AA}"/>
    <cellStyle name="40% - Accent3 9 3_Exh G" xfId="3052" xr:uid="{00000000-0005-0000-0000-00000F3F0000}"/>
    <cellStyle name="40% - Accent3 9 4" xfId="969" xr:uid="{00000000-0005-0000-0000-0000103F0000}"/>
    <cellStyle name="40% - Accent3 9 4 2" xfId="1888" xr:uid="{00000000-0005-0000-0000-0000113F0000}"/>
    <cellStyle name="40% - Accent3 9 4 2 2" xfId="5406" xr:uid="{00000000-0005-0000-0000-0000123F0000}"/>
    <cellStyle name="40% - Accent3 9 4 2 2 2" xfId="8997" xr:uid="{00000000-0005-0000-0000-0000133F0000}"/>
    <cellStyle name="40% - Accent3 9 4 2 2 2 2" xfId="16968" xr:uid="{00000000-0005-0000-0000-0000143F0000}"/>
    <cellStyle name="40% - Accent3 9 4 2 2 2 2 2" xfId="40811" xr:uid="{C4D38B31-5527-456B-989C-76F41B43E504}"/>
    <cellStyle name="40% - Accent3 9 4 2 2 2 3" xfId="24914" xr:uid="{00000000-0005-0000-0000-0000153F0000}"/>
    <cellStyle name="40% - Accent3 9 4 2 2 2 3 2" xfId="48747" xr:uid="{4DCF9C7B-474D-4C31-B478-9882E1E6FF79}"/>
    <cellStyle name="40% - Accent3 9 4 2 2 2 4" xfId="32870" xr:uid="{FE7D5D3B-EAB5-4384-9FBB-FBEE1FB02674}"/>
    <cellStyle name="40% - Accent3 9 4 2 2 3" xfId="13430" xr:uid="{00000000-0005-0000-0000-0000163F0000}"/>
    <cellStyle name="40% - Accent3 9 4 2 2 3 2" xfId="37280" xr:uid="{CA05AB22-0A4E-4BAA-BF51-4018252B66D0}"/>
    <cellStyle name="40% - Accent3 9 4 2 2 4" xfId="21385" xr:uid="{00000000-0005-0000-0000-0000173F0000}"/>
    <cellStyle name="40% - Accent3 9 4 2 2 4 2" xfId="45218" xr:uid="{CF3AB557-E31A-43AD-AE56-23D1A350796E}"/>
    <cellStyle name="40% - Accent3 9 4 2 2 5" xfId="29339" xr:uid="{8A98B573-24A1-41B3-979C-3F25ACD02F7F}"/>
    <cellStyle name="40% - Accent3 9 4 2 3" xfId="7238" xr:uid="{00000000-0005-0000-0000-0000183F0000}"/>
    <cellStyle name="40% - Accent3 9 4 2 3 2" xfId="15210" xr:uid="{00000000-0005-0000-0000-0000193F0000}"/>
    <cellStyle name="40% - Accent3 9 4 2 3 2 2" xfId="39053" xr:uid="{CE3CAC67-637C-4B9C-8BFE-CC4A54A54355}"/>
    <cellStyle name="40% - Accent3 9 4 2 3 3" xfId="23157" xr:uid="{00000000-0005-0000-0000-00001A3F0000}"/>
    <cellStyle name="40% - Accent3 9 4 2 3 3 2" xfId="46990" xr:uid="{5091A7E1-80CD-467A-A82A-68432B63F630}"/>
    <cellStyle name="40% - Accent3 9 4 2 3 4" xfId="31112" xr:uid="{95C68670-93AE-42DB-AA3F-772646321185}"/>
    <cellStyle name="40% - Accent3 9 4 2 4" xfId="11674" xr:uid="{00000000-0005-0000-0000-00001B3F0000}"/>
    <cellStyle name="40% - Accent3 9 4 2 4 2" xfId="35524" xr:uid="{471B0260-BD5E-42E2-80E1-EDAB75808204}"/>
    <cellStyle name="40% - Accent3 9 4 2 5" xfId="19629" xr:uid="{00000000-0005-0000-0000-00001C3F0000}"/>
    <cellStyle name="40% - Accent3 9 4 2 5 2" xfId="43462" xr:uid="{3C863C01-7F17-45DF-A1F2-4C6CB937D8BC}"/>
    <cellStyle name="40% - Accent3 9 4 2 6" xfId="27582" xr:uid="{2AB8C3F8-B00A-4A3B-B14A-561808146C19}"/>
    <cellStyle name="40% - Accent3 9 4 2_Exh G" xfId="3055" xr:uid="{00000000-0005-0000-0000-00001D3F0000}"/>
    <cellStyle name="40% - Accent3 9 4 3" xfId="4527" xr:uid="{00000000-0005-0000-0000-00001E3F0000}"/>
    <cellStyle name="40% - Accent3 9 4 3 2" xfId="8119" xr:uid="{00000000-0005-0000-0000-00001F3F0000}"/>
    <cellStyle name="40% - Accent3 9 4 3 2 2" xfId="16090" xr:uid="{00000000-0005-0000-0000-0000203F0000}"/>
    <cellStyle name="40% - Accent3 9 4 3 2 2 2" xfId="39933" xr:uid="{9D17A194-D388-4143-9F8A-F4EFF016222B}"/>
    <cellStyle name="40% - Accent3 9 4 3 2 3" xfId="24036" xr:uid="{00000000-0005-0000-0000-0000213F0000}"/>
    <cellStyle name="40% - Accent3 9 4 3 2 3 2" xfId="47869" xr:uid="{779BA14E-1158-4B43-8EE0-4D2085FF5B23}"/>
    <cellStyle name="40% - Accent3 9 4 3 2 4" xfId="31992" xr:uid="{0F884423-30CE-48DF-8E71-8AC56751A71D}"/>
    <cellStyle name="40% - Accent3 9 4 3 3" xfId="12552" xr:uid="{00000000-0005-0000-0000-0000223F0000}"/>
    <cellStyle name="40% - Accent3 9 4 3 3 2" xfId="36402" xr:uid="{ADAB6C08-5C0D-415A-9A92-EECB5D9DC2B6}"/>
    <cellStyle name="40% - Accent3 9 4 3 4" xfId="20507" xr:uid="{00000000-0005-0000-0000-0000233F0000}"/>
    <cellStyle name="40% - Accent3 9 4 3 4 2" xfId="44340" xr:uid="{8289E08E-524F-4E6E-90A5-30EEC79D6DF0}"/>
    <cellStyle name="40% - Accent3 9 4 3 5" xfId="28461" xr:uid="{DFE0D642-39D3-44CC-8660-83BFDCFBB48D}"/>
    <cellStyle name="40% - Accent3 9 4 4" xfId="6357" xr:uid="{00000000-0005-0000-0000-0000243F0000}"/>
    <cellStyle name="40% - Accent3 9 4 4 2" xfId="14332" xr:uid="{00000000-0005-0000-0000-0000253F0000}"/>
    <cellStyle name="40% - Accent3 9 4 4 2 2" xfId="38175" xr:uid="{1C925458-B65A-48F9-8869-91A39ACA10FA}"/>
    <cellStyle name="40% - Accent3 9 4 4 3" xfId="22279" xr:uid="{00000000-0005-0000-0000-0000263F0000}"/>
    <cellStyle name="40% - Accent3 9 4 4 3 2" xfId="46112" xr:uid="{88A447FD-5C21-4C00-8036-AF83778B42E7}"/>
    <cellStyle name="40% - Accent3 9 4 4 4" xfId="30234" xr:uid="{F5C673CF-B245-461C-BF5F-768E78421684}"/>
    <cellStyle name="40% - Accent3 9 4 5" xfId="9900" xr:uid="{00000000-0005-0000-0000-0000273F0000}"/>
    <cellStyle name="40% - Accent3 9 4 5 2" xfId="17858" xr:uid="{00000000-0005-0000-0000-0000283F0000}"/>
    <cellStyle name="40% - Accent3 9 4 5 2 2" xfId="41699" xr:uid="{6078E7F6-73C7-46E5-AE6E-924FA813B1F6}"/>
    <cellStyle name="40% - Accent3 9 4 5 3" xfId="25802" xr:uid="{00000000-0005-0000-0000-0000293F0000}"/>
    <cellStyle name="40% - Accent3 9 4 5 3 2" xfId="49635" xr:uid="{24DBC9F6-F778-4F84-9FEF-2656C997DEA5}"/>
    <cellStyle name="40% - Accent3 9 4 5 4" xfId="33758" xr:uid="{BB0D034F-C196-44D8-A458-35A590315AC6}"/>
    <cellStyle name="40% - Accent3 9 4 6" xfId="10796" xr:uid="{00000000-0005-0000-0000-00002A3F0000}"/>
    <cellStyle name="40% - Accent3 9 4 6 2" xfId="34646" xr:uid="{69D0D322-6E55-443C-8572-029CEEF5C79C}"/>
    <cellStyle name="40% - Accent3 9 4 7" xfId="18751" xr:uid="{00000000-0005-0000-0000-00002B3F0000}"/>
    <cellStyle name="40% - Accent3 9 4 7 2" xfId="42584" xr:uid="{E9908CE3-0C81-4279-87EB-25192B41D157}"/>
    <cellStyle name="40% - Accent3 9 4 8" xfId="26704" xr:uid="{57DFC820-28B2-413D-A581-5C0D34379CED}"/>
    <cellStyle name="40% - Accent3 9 4_Exh G" xfId="3054" xr:uid="{00000000-0005-0000-0000-00002C3F0000}"/>
    <cellStyle name="40% - Accent3 9 5" xfId="1508" xr:uid="{00000000-0005-0000-0000-00002D3F0000}"/>
    <cellStyle name="40% - Accent3 9 5 2" xfId="5038" xr:uid="{00000000-0005-0000-0000-00002E3F0000}"/>
    <cellStyle name="40% - Accent3 9 5 2 2" xfId="8629" xr:uid="{00000000-0005-0000-0000-00002F3F0000}"/>
    <cellStyle name="40% - Accent3 9 5 2 2 2" xfId="16600" xr:uid="{00000000-0005-0000-0000-0000303F0000}"/>
    <cellStyle name="40% - Accent3 9 5 2 2 2 2" xfId="40443" xr:uid="{9D8EFAFF-D0FD-4D2C-A5A7-A0CF4AFC64E2}"/>
    <cellStyle name="40% - Accent3 9 5 2 2 3" xfId="24546" xr:uid="{00000000-0005-0000-0000-0000313F0000}"/>
    <cellStyle name="40% - Accent3 9 5 2 2 3 2" xfId="48379" xr:uid="{387CD210-F44A-4E04-931D-332E42C63C7C}"/>
    <cellStyle name="40% - Accent3 9 5 2 2 4" xfId="32502" xr:uid="{2D5FA433-ABAF-4F12-8D89-8DE580B4A791}"/>
    <cellStyle name="40% - Accent3 9 5 2 3" xfId="13062" xr:uid="{00000000-0005-0000-0000-0000323F0000}"/>
    <cellStyle name="40% - Accent3 9 5 2 3 2" xfId="36912" xr:uid="{426F6562-C1C5-4A4C-B637-7BF68946A363}"/>
    <cellStyle name="40% - Accent3 9 5 2 4" xfId="21017" xr:uid="{00000000-0005-0000-0000-0000333F0000}"/>
    <cellStyle name="40% - Accent3 9 5 2 4 2" xfId="44850" xr:uid="{0C2E9806-921A-48FA-827B-DAD72E181486}"/>
    <cellStyle name="40% - Accent3 9 5 2 5" xfId="28971" xr:uid="{D0C2EC84-0C5C-4C1A-8DF9-DE3FC6D40D2C}"/>
    <cellStyle name="40% - Accent3 9 5 3" xfId="6870" xr:uid="{00000000-0005-0000-0000-0000343F0000}"/>
    <cellStyle name="40% - Accent3 9 5 3 2" xfId="14842" xr:uid="{00000000-0005-0000-0000-0000353F0000}"/>
    <cellStyle name="40% - Accent3 9 5 3 2 2" xfId="38685" xr:uid="{3BDB3C9A-607A-48C9-89D4-C14977EA6223}"/>
    <cellStyle name="40% - Accent3 9 5 3 3" xfId="22789" xr:uid="{00000000-0005-0000-0000-0000363F0000}"/>
    <cellStyle name="40% - Accent3 9 5 3 3 2" xfId="46622" xr:uid="{C9CD27E2-0761-44D7-8191-0A14ACD8F381}"/>
    <cellStyle name="40% - Accent3 9 5 3 4" xfId="30744" xr:uid="{0AE82B79-AA81-4313-882A-386D869B0E9C}"/>
    <cellStyle name="40% - Accent3 9 5 4" xfId="11306" xr:uid="{00000000-0005-0000-0000-0000373F0000}"/>
    <cellStyle name="40% - Accent3 9 5 4 2" xfId="35156" xr:uid="{85A2CD5D-C207-4AD2-A148-9DF88503B4EB}"/>
    <cellStyle name="40% - Accent3 9 5 5" xfId="19261" xr:uid="{00000000-0005-0000-0000-0000383F0000}"/>
    <cellStyle name="40% - Accent3 9 5 5 2" xfId="43094" xr:uid="{D5CF0042-B43E-4D90-9F36-B3C8C7072CF4}"/>
    <cellStyle name="40% - Accent3 9 5 6" xfId="27214" xr:uid="{1D5E3A3D-C246-4883-9850-80FDAAA4FF58}"/>
    <cellStyle name="40% - Accent3 9 5_Exh G" xfId="3056" xr:uid="{00000000-0005-0000-0000-0000393F0000}"/>
    <cellStyle name="40% - Accent3 9 6" xfId="4159" xr:uid="{00000000-0005-0000-0000-00003A3F0000}"/>
    <cellStyle name="40% - Accent3 9 6 2" xfId="7751" xr:uid="{00000000-0005-0000-0000-00003B3F0000}"/>
    <cellStyle name="40% - Accent3 9 6 2 2" xfId="15722" xr:uid="{00000000-0005-0000-0000-00003C3F0000}"/>
    <cellStyle name="40% - Accent3 9 6 2 2 2" xfId="39565" xr:uid="{3D166FC4-9608-4AB4-A377-C7ED5322DA4E}"/>
    <cellStyle name="40% - Accent3 9 6 2 3" xfId="23668" xr:uid="{00000000-0005-0000-0000-00003D3F0000}"/>
    <cellStyle name="40% - Accent3 9 6 2 3 2" xfId="47501" xr:uid="{B4EB9154-AA2B-4DF3-A698-C006F0FAA09D}"/>
    <cellStyle name="40% - Accent3 9 6 2 4" xfId="31624" xr:uid="{443B5AC0-D68C-4699-9B79-F78AB8F3573A}"/>
    <cellStyle name="40% - Accent3 9 6 3" xfId="12184" xr:uid="{00000000-0005-0000-0000-00003E3F0000}"/>
    <cellStyle name="40% - Accent3 9 6 3 2" xfId="36034" xr:uid="{2B314AF5-51AA-4086-8994-8FFA7AE3CDCE}"/>
    <cellStyle name="40% - Accent3 9 6 4" xfId="20139" xr:uid="{00000000-0005-0000-0000-00003F3F0000}"/>
    <cellStyle name="40% - Accent3 9 6 4 2" xfId="43972" xr:uid="{38083A4D-70B2-415A-97A1-77A019FD5D94}"/>
    <cellStyle name="40% - Accent3 9 6 5" xfId="28093" xr:uid="{EE333707-F57C-4B80-8357-9F9C573CB049}"/>
    <cellStyle name="40% - Accent3 9 7" xfId="5979" xr:uid="{00000000-0005-0000-0000-0000403F0000}"/>
    <cellStyle name="40% - Accent3 9 7 2" xfId="13963" xr:uid="{00000000-0005-0000-0000-0000413F0000}"/>
    <cellStyle name="40% - Accent3 9 7 2 2" xfId="37807" xr:uid="{632EBD0E-D6F0-4AD6-9FA1-ADCAE4ADC8FB}"/>
    <cellStyle name="40% - Accent3 9 7 3" xfId="21911" xr:uid="{00000000-0005-0000-0000-0000423F0000}"/>
    <cellStyle name="40% - Accent3 9 7 3 2" xfId="45744" xr:uid="{BA371634-4E86-48E6-910D-6D2182CB0612}"/>
    <cellStyle name="40% - Accent3 9 7 4" xfId="29866" xr:uid="{336BD4A9-936C-4F9A-BAB7-35B8AD6DD784}"/>
    <cellStyle name="40% - Accent3 9 8" xfId="9532" xr:uid="{00000000-0005-0000-0000-0000433F0000}"/>
    <cellStyle name="40% - Accent3 9 8 2" xfId="17490" xr:uid="{00000000-0005-0000-0000-0000443F0000}"/>
    <cellStyle name="40% - Accent3 9 8 2 2" xfId="41331" xr:uid="{29563217-1F70-4077-88A6-3C159FE3228A}"/>
    <cellStyle name="40% - Accent3 9 8 3" xfId="25434" xr:uid="{00000000-0005-0000-0000-0000453F0000}"/>
    <cellStyle name="40% - Accent3 9 8 3 2" xfId="49267" xr:uid="{668313BE-84C2-4B87-9AC4-90A3024FC06C}"/>
    <cellStyle name="40% - Accent3 9 8 4" xfId="33390" xr:uid="{4C24B845-1B47-49CD-8C4C-29A3A91BA155}"/>
    <cellStyle name="40% - Accent3 9 9" xfId="10428" xr:uid="{00000000-0005-0000-0000-0000463F0000}"/>
    <cellStyle name="40% - Accent3 9 9 2" xfId="34278" xr:uid="{AE06541B-FD0D-42CF-B63B-E68E66545072}"/>
    <cellStyle name="40% - Accent3 9_Exh G" xfId="3047" xr:uid="{00000000-0005-0000-0000-0000473F0000}"/>
    <cellStyle name="40% - Accent4" xfId="49704" builtinId="43" customBuiltin="1"/>
    <cellStyle name="40% - Accent4 10" xfId="484" xr:uid="{00000000-0005-0000-0000-0000483F0000}"/>
    <cellStyle name="40% - Accent4 10 10" xfId="18387" xr:uid="{00000000-0005-0000-0000-0000493F0000}"/>
    <cellStyle name="40% - Accent4 10 10 2" xfId="42220" xr:uid="{091AF3E9-2751-4C75-969F-CBE4AA973A4D}"/>
    <cellStyle name="40% - Accent4 10 11" xfId="26340" xr:uid="{45ADF27B-9A15-49D4-8DA4-462F830628BC}"/>
    <cellStyle name="40% - Accent4 10 2" xfId="485" xr:uid="{00000000-0005-0000-0000-00004A3F0000}"/>
    <cellStyle name="40% - Accent4 10 2 2" xfId="486" xr:uid="{00000000-0005-0000-0000-00004B3F0000}"/>
    <cellStyle name="40% - Accent4 10 2 2 2" xfId="1514" xr:uid="{00000000-0005-0000-0000-00004C3F0000}"/>
    <cellStyle name="40% - Accent4 10 2 2 2 2" xfId="5044" xr:uid="{00000000-0005-0000-0000-00004D3F0000}"/>
    <cellStyle name="40% - Accent4 10 2 2 2 2 2" xfId="8635" xr:uid="{00000000-0005-0000-0000-00004E3F0000}"/>
    <cellStyle name="40% - Accent4 10 2 2 2 2 2 2" xfId="16606" xr:uid="{00000000-0005-0000-0000-00004F3F0000}"/>
    <cellStyle name="40% - Accent4 10 2 2 2 2 2 2 2" xfId="40449" xr:uid="{8C682465-A437-437F-99BA-79C0B31F0B4B}"/>
    <cellStyle name="40% - Accent4 10 2 2 2 2 2 3" xfId="24552" xr:uid="{00000000-0005-0000-0000-0000503F0000}"/>
    <cellStyle name="40% - Accent4 10 2 2 2 2 2 3 2" xfId="48385" xr:uid="{64832D25-C9A6-47A3-AFDC-947458C89595}"/>
    <cellStyle name="40% - Accent4 10 2 2 2 2 2 4" xfId="32508" xr:uid="{E0550A67-074F-4739-87F1-332AFCC0484D}"/>
    <cellStyle name="40% - Accent4 10 2 2 2 2 3" xfId="13068" xr:uid="{00000000-0005-0000-0000-0000513F0000}"/>
    <cellStyle name="40% - Accent4 10 2 2 2 2 3 2" xfId="36918" xr:uid="{4258AB54-0AC2-4D35-8A2B-B720CDCCFFD0}"/>
    <cellStyle name="40% - Accent4 10 2 2 2 2 4" xfId="21023" xr:uid="{00000000-0005-0000-0000-0000523F0000}"/>
    <cellStyle name="40% - Accent4 10 2 2 2 2 4 2" xfId="44856" xr:uid="{C9981C32-8646-4495-932E-AECDB74546DF}"/>
    <cellStyle name="40% - Accent4 10 2 2 2 2 5" xfId="28977" xr:uid="{61FF112A-4FD5-4222-A7BE-6483AF68133B}"/>
    <cellStyle name="40% - Accent4 10 2 2 2 3" xfId="6876" xr:uid="{00000000-0005-0000-0000-0000533F0000}"/>
    <cellStyle name="40% - Accent4 10 2 2 2 3 2" xfId="14848" xr:uid="{00000000-0005-0000-0000-0000543F0000}"/>
    <cellStyle name="40% - Accent4 10 2 2 2 3 2 2" xfId="38691" xr:uid="{00C077E2-2709-47F3-939F-18593EF8E693}"/>
    <cellStyle name="40% - Accent4 10 2 2 2 3 3" xfId="22795" xr:uid="{00000000-0005-0000-0000-0000553F0000}"/>
    <cellStyle name="40% - Accent4 10 2 2 2 3 3 2" xfId="46628" xr:uid="{EFBF9856-5562-4FFC-BA05-D06C11004954}"/>
    <cellStyle name="40% - Accent4 10 2 2 2 3 4" xfId="30750" xr:uid="{8F430DBF-37A1-46A8-8C7A-EAAD4B874D6A}"/>
    <cellStyle name="40% - Accent4 10 2 2 2 4" xfId="11312" xr:uid="{00000000-0005-0000-0000-0000563F0000}"/>
    <cellStyle name="40% - Accent4 10 2 2 2 4 2" xfId="35162" xr:uid="{0E8F1C96-C24A-4143-93E2-4CD8F89D775E}"/>
    <cellStyle name="40% - Accent4 10 2 2 2 5" xfId="19267" xr:uid="{00000000-0005-0000-0000-0000573F0000}"/>
    <cellStyle name="40% - Accent4 10 2 2 2 5 2" xfId="43100" xr:uid="{6ECFEF22-69ED-4CFD-8F67-29C8D54196D0}"/>
    <cellStyle name="40% - Accent4 10 2 2 2 6" xfId="27220" xr:uid="{88417019-81A4-46EA-9F9B-B617139E1524}"/>
    <cellStyle name="40% - Accent4 10 2 2 2_Exh G" xfId="3060" xr:uid="{00000000-0005-0000-0000-0000583F0000}"/>
    <cellStyle name="40% - Accent4 10 2 2 3" xfId="4165" xr:uid="{00000000-0005-0000-0000-0000593F0000}"/>
    <cellStyle name="40% - Accent4 10 2 2 3 2" xfId="7757" xr:uid="{00000000-0005-0000-0000-00005A3F0000}"/>
    <cellStyle name="40% - Accent4 10 2 2 3 2 2" xfId="15728" xr:uid="{00000000-0005-0000-0000-00005B3F0000}"/>
    <cellStyle name="40% - Accent4 10 2 2 3 2 2 2" xfId="39571" xr:uid="{453E65E1-003F-431C-86FB-6FEA88C93C7D}"/>
    <cellStyle name="40% - Accent4 10 2 2 3 2 3" xfId="23674" xr:uid="{00000000-0005-0000-0000-00005C3F0000}"/>
    <cellStyle name="40% - Accent4 10 2 2 3 2 3 2" xfId="47507" xr:uid="{15084898-E966-4B34-8947-6B36EEF4D861}"/>
    <cellStyle name="40% - Accent4 10 2 2 3 2 4" xfId="31630" xr:uid="{34DF396B-EA10-4738-A85A-C1C6447C354A}"/>
    <cellStyle name="40% - Accent4 10 2 2 3 3" xfId="12190" xr:uid="{00000000-0005-0000-0000-00005D3F0000}"/>
    <cellStyle name="40% - Accent4 10 2 2 3 3 2" xfId="36040" xr:uid="{C615A59D-A419-4F63-A3AF-626B0354EE6B}"/>
    <cellStyle name="40% - Accent4 10 2 2 3 4" xfId="20145" xr:uid="{00000000-0005-0000-0000-00005E3F0000}"/>
    <cellStyle name="40% - Accent4 10 2 2 3 4 2" xfId="43978" xr:uid="{E01BA667-A446-4C20-81DC-063045B73C02}"/>
    <cellStyle name="40% - Accent4 10 2 2 3 5" xfId="28099" xr:uid="{77E366EE-D156-4554-8AB4-2FAC61E13251}"/>
    <cellStyle name="40% - Accent4 10 2 2 4" xfId="5985" xr:uid="{00000000-0005-0000-0000-00005F3F0000}"/>
    <cellStyle name="40% - Accent4 10 2 2 4 2" xfId="13969" xr:uid="{00000000-0005-0000-0000-0000603F0000}"/>
    <cellStyle name="40% - Accent4 10 2 2 4 2 2" xfId="37813" xr:uid="{65C12646-FB1F-49A9-A6F6-82A639369E66}"/>
    <cellStyle name="40% - Accent4 10 2 2 4 3" xfId="21917" xr:uid="{00000000-0005-0000-0000-0000613F0000}"/>
    <cellStyle name="40% - Accent4 10 2 2 4 3 2" xfId="45750" xr:uid="{4A68C09C-185C-40B9-88D5-7726218D8F26}"/>
    <cellStyle name="40% - Accent4 10 2 2 4 4" xfId="29872" xr:uid="{72383244-3826-4A28-9CF0-DF713B4C8A3E}"/>
    <cellStyle name="40% - Accent4 10 2 2 5" xfId="9538" xr:uid="{00000000-0005-0000-0000-0000623F0000}"/>
    <cellStyle name="40% - Accent4 10 2 2 5 2" xfId="17496" xr:uid="{00000000-0005-0000-0000-0000633F0000}"/>
    <cellStyle name="40% - Accent4 10 2 2 5 2 2" xfId="41337" xr:uid="{69FAB2B0-82CA-4FE0-8170-970FC5B9E58E}"/>
    <cellStyle name="40% - Accent4 10 2 2 5 3" xfId="25440" xr:uid="{00000000-0005-0000-0000-0000643F0000}"/>
    <cellStyle name="40% - Accent4 10 2 2 5 3 2" xfId="49273" xr:uid="{9C2D84CF-7B2F-458B-B198-8FF3BEB98002}"/>
    <cellStyle name="40% - Accent4 10 2 2 5 4" xfId="33396" xr:uid="{80C488BF-03E0-4626-9B42-D36CDB582D80}"/>
    <cellStyle name="40% - Accent4 10 2 2 6" xfId="10434" xr:uid="{00000000-0005-0000-0000-0000653F0000}"/>
    <cellStyle name="40% - Accent4 10 2 2 6 2" xfId="34284" xr:uid="{7D767769-9F3A-4C59-8B09-B7E80B39B453}"/>
    <cellStyle name="40% - Accent4 10 2 2 7" xfId="18389" xr:uid="{00000000-0005-0000-0000-0000663F0000}"/>
    <cellStyle name="40% - Accent4 10 2 2 7 2" xfId="42222" xr:uid="{25DCAE80-A9CF-45D8-A81E-2E0D7D4D25B7}"/>
    <cellStyle name="40% - Accent4 10 2 2 8" xfId="26342" xr:uid="{D12589B8-ABBD-43B2-BF56-9DAE68BBE742}"/>
    <cellStyle name="40% - Accent4 10 2 2_Exh G" xfId="3059" xr:uid="{00000000-0005-0000-0000-0000673F0000}"/>
    <cellStyle name="40% - Accent4 10 2 3" xfId="1513" xr:uid="{00000000-0005-0000-0000-0000683F0000}"/>
    <cellStyle name="40% - Accent4 10 2 3 2" xfId="5043" xr:uid="{00000000-0005-0000-0000-0000693F0000}"/>
    <cellStyle name="40% - Accent4 10 2 3 2 2" xfId="8634" xr:uid="{00000000-0005-0000-0000-00006A3F0000}"/>
    <cellStyle name="40% - Accent4 10 2 3 2 2 2" xfId="16605" xr:uid="{00000000-0005-0000-0000-00006B3F0000}"/>
    <cellStyle name="40% - Accent4 10 2 3 2 2 2 2" xfId="40448" xr:uid="{4157AA3B-BF9D-4254-9CFE-B41C86B55ADE}"/>
    <cellStyle name="40% - Accent4 10 2 3 2 2 3" xfId="24551" xr:uid="{00000000-0005-0000-0000-00006C3F0000}"/>
    <cellStyle name="40% - Accent4 10 2 3 2 2 3 2" xfId="48384" xr:uid="{1D746980-F59C-4DDE-9E30-86BAC17B6A74}"/>
    <cellStyle name="40% - Accent4 10 2 3 2 2 4" xfId="32507" xr:uid="{7FC58574-41EC-4A38-8DBE-F7D7AD94F621}"/>
    <cellStyle name="40% - Accent4 10 2 3 2 3" xfId="13067" xr:uid="{00000000-0005-0000-0000-00006D3F0000}"/>
    <cellStyle name="40% - Accent4 10 2 3 2 3 2" xfId="36917" xr:uid="{4A1A0899-16CE-4E4D-962B-DCB42683DB41}"/>
    <cellStyle name="40% - Accent4 10 2 3 2 4" xfId="21022" xr:uid="{00000000-0005-0000-0000-00006E3F0000}"/>
    <cellStyle name="40% - Accent4 10 2 3 2 4 2" xfId="44855" xr:uid="{CBE8B3E9-2E8F-42A8-943B-AC76D8450C79}"/>
    <cellStyle name="40% - Accent4 10 2 3 2 5" xfId="28976" xr:uid="{10F25A74-4BBB-4104-A0E2-47FA78E37F46}"/>
    <cellStyle name="40% - Accent4 10 2 3 3" xfId="6875" xr:uid="{00000000-0005-0000-0000-00006F3F0000}"/>
    <cellStyle name="40% - Accent4 10 2 3 3 2" xfId="14847" xr:uid="{00000000-0005-0000-0000-0000703F0000}"/>
    <cellStyle name="40% - Accent4 10 2 3 3 2 2" xfId="38690" xr:uid="{F8E56ADD-EBFA-4136-9F67-C847B7BD1161}"/>
    <cellStyle name="40% - Accent4 10 2 3 3 3" xfId="22794" xr:uid="{00000000-0005-0000-0000-0000713F0000}"/>
    <cellStyle name="40% - Accent4 10 2 3 3 3 2" xfId="46627" xr:uid="{9C606826-5572-4FD7-B020-8775EA8A17C5}"/>
    <cellStyle name="40% - Accent4 10 2 3 3 4" xfId="30749" xr:uid="{B9A3D840-C825-4AA8-AB2B-5FA847117E05}"/>
    <cellStyle name="40% - Accent4 10 2 3 4" xfId="11311" xr:uid="{00000000-0005-0000-0000-0000723F0000}"/>
    <cellStyle name="40% - Accent4 10 2 3 4 2" xfId="35161" xr:uid="{92AC5531-E7C1-428A-874F-484A135AD729}"/>
    <cellStyle name="40% - Accent4 10 2 3 5" xfId="19266" xr:uid="{00000000-0005-0000-0000-0000733F0000}"/>
    <cellStyle name="40% - Accent4 10 2 3 5 2" xfId="43099" xr:uid="{D46817A8-4171-4ECA-9263-EA89C5ED98FF}"/>
    <cellStyle name="40% - Accent4 10 2 3 6" xfId="27219" xr:uid="{B682CD95-0B27-491D-8CFF-1CF3FA7363AF}"/>
    <cellStyle name="40% - Accent4 10 2 3_Exh G" xfId="3061" xr:uid="{00000000-0005-0000-0000-0000743F0000}"/>
    <cellStyle name="40% - Accent4 10 2 4" xfId="4164" xr:uid="{00000000-0005-0000-0000-0000753F0000}"/>
    <cellStyle name="40% - Accent4 10 2 4 2" xfId="7756" xr:uid="{00000000-0005-0000-0000-0000763F0000}"/>
    <cellStyle name="40% - Accent4 10 2 4 2 2" xfId="15727" xr:uid="{00000000-0005-0000-0000-0000773F0000}"/>
    <cellStyle name="40% - Accent4 10 2 4 2 2 2" xfId="39570" xr:uid="{99CD3950-59B3-4ADC-B4DD-03008737194E}"/>
    <cellStyle name="40% - Accent4 10 2 4 2 3" xfId="23673" xr:uid="{00000000-0005-0000-0000-0000783F0000}"/>
    <cellStyle name="40% - Accent4 10 2 4 2 3 2" xfId="47506" xr:uid="{B71D6046-015F-4575-9FBE-1D1255955C62}"/>
    <cellStyle name="40% - Accent4 10 2 4 2 4" xfId="31629" xr:uid="{910F9C39-B2FC-44C4-A04F-25D727352E52}"/>
    <cellStyle name="40% - Accent4 10 2 4 3" xfId="12189" xr:uid="{00000000-0005-0000-0000-0000793F0000}"/>
    <cellStyle name="40% - Accent4 10 2 4 3 2" xfId="36039" xr:uid="{A157C05D-340D-4133-B485-6AC84D0907A2}"/>
    <cellStyle name="40% - Accent4 10 2 4 4" xfId="20144" xr:uid="{00000000-0005-0000-0000-00007A3F0000}"/>
    <cellStyle name="40% - Accent4 10 2 4 4 2" xfId="43977" xr:uid="{66DC7FDC-6180-4014-8DF7-4680EC47B1E7}"/>
    <cellStyle name="40% - Accent4 10 2 4 5" xfId="28098" xr:uid="{612EE604-ADB8-4E42-A9F1-C4AC5B3FE2F0}"/>
    <cellStyle name="40% - Accent4 10 2 5" xfId="5984" xr:uid="{00000000-0005-0000-0000-00007B3F0000}"/>
    <cellStyle name="40% - Accent4 10 2 5 2" xfId="13968" xr:uid="{00000000-0005-0000-0000-00007C3F0000}"/>
    <cellStyle name="40% - Accent4 10 2 5 2 2" xfId="37812" xr:uid="{3DAD2F56-4FB4-4CD0-96AB-85EB6951B498}"/>
    <cellStyle name="40% - Accent4 10 2 5 3" xfId="21916" xr:uid="{00000000-0005-0000-0000-00007D3F0000}"/>
    <cellStyle name="40% - Accent4 10 2 5 3 2" xfId="45749" xr:uid="{351F7395-566F-40CD-95D0-FB4A24887CEA}"/>
    <cellStyle name="40% - Accent4 10 2 5 4" xfId="29871" xr:uid="{1AABEE38-D3D8-4BF8-B72B-E4607060C1D1}"/>
    <cellStyle name="40% - Accent4 10 2 6" xfId="9537" xr:uid="{00000000-0005-0000-0000-00007E3F0000}"/>
    <cellStyle name="40% - Accent4 10 2 6 2" xfId="17495" xr:uid="{00000000-0005-0000-0000-00007F3F0000}"/>
    <cellStyle name="40% - Accent4 10 2 6 2 2" xfId="41336" xr:uid="{58E4FFC7-FA0E-49EB-B9CD-DE2CA43ADE8E}"/>
    <cellStyle name="40% - Accent4 10 2 6 3" xfId="25439" xr:uid="{00000000-0005-0000-0000-0000803F0000}"/>
    <cellStyle name="40% - Accent4 10 2 6 3 2" xfId="49272" xr:uid="{D071ECEE-7551-4B94-9D86-491570364AEA}"/>
    <cellStyle name="40% - Accent4 10 2 6 4" xfId="33395" xr:uid="{872CCE30-66CA-4BD2-BBA8-3FE132A74B20}"/>
    <cellStyle name="40% - Accent4 10 2 7" xfId="10433" xr:uid="{00000000-0005-0000-0000-0000813F0000}"/>
    <cellStyle name="40% - Accent4 10 2 7 2" xfId="34283" xr:uid="{4845CE4F-D191-4449-B77C-3F9EA575136B}"/>
    <cellStyle name="40% - Accent4 10 2 8" xfId="18388" xr:uid="{00000000-0005-0000-0000-0000823F0000}"/>
    <cellStyle name="40% - Accent4 10 2 8 2" xfId="42221" xr:uid="{42A0AB49-1BB1-4E04-8935-235D4A6B8697}"/>
    <cellStyle name="40% - Accent4 10 2 9" xfId="26341" xr:uid="{FB4E80A9-8140-4041-AE6E-2E643E21703D}"/>
    <cellStyle name="40% - Accent4 10 2_Exh G" xfId="3058" xr:uid="{00000000-0005-0000-0000-0000833F0000}"/>
    <cellStyle name="40% - Accent4 10 3" xfId="487" xr:uid="{00000000-0005-0000-0000-0000843F0000}"/>
    <cellStyle name="40% - Accent4 10 3 2" xfId="1515" xr:uid="{00000000-0005-0000-0000-0000853F0000}"/>
    <cellStyle name="40% - Accent4 10 3 2 2" xfId="5045" xr:uid="{00000000-0005-0000-0000-0000863F0000}"/>
    <cellStyle name="40% - Accent4 10 3 2 2 2" xfId="8636" xr:uid="{00000000-0005-0000-0000-0000873F0000}"/>
    <cellStyle name="40% - Accent4 10 3 2 2 2 2" xfId="16607" xr:uid="{00000000-0005-0000-0000-0000883F0000}"/>
    <cellStyle name="40% - Accent4 10 3 2 2 2 2 2" xfId="40450" xr:uid="{8C8709FD-2993-478E-A3F1-1A8BCB5291A0}"/>
    <cellStyle name="40% - Accent4 10 3 2 2 2 3" xfId="24553" xr:uid="{00000000-0005-0000-0000-0000893F0000}"/>
    <cellStyle name="40% - Accent4 10 3 2 2 2 3 2" xfId="48386" xr:uid="{C89D3C23-81B6-4B0E-81CF-A0856D7A2975}"/>
    <cellStyle name="40% - Accent4 10 3 2 2 2 4" xfId="32509" xr:uid="{3730B667-8DFC-466B-B2AB-3888A896510F}"/>
    <cellStyle name="40% - Accent4 10 3 2 2 3" xfId="13069" xr:uid="{00000000-0005-0000-0000-00008A3F0000}"/>
    <cellStyle name="40% - Accent4 10 3 2 2 3 2" xfId="36919" xr:uid="{FA29BB14-BC91-453B-8B70-1AB1E532A214}"/>
    <cellStyle name="40% - Accent4 10 3 2 2 4" xfId="21024" xr:uid="{00000000-0005-0000-0000-00008B3F0000}"/>
    <cellStyle name="40% - Accent4 10 3 2 2 4 2" xfId="44857" xr:uid="{2D732ECA-D5CF-4535-A26A-5073D30F2876}"/>
    <cellStyle name="40% - Accent4 10 3 2 2 5" xfId="28978" xr:uid="{A4F6A0B3-A19C-4653-A693-8470187E5CBC}"/>
    <cellStyle name="40% - Accent4 10 3 2 3" xfId="6877" xr:uid="{00000000-0005-0000-0000-00008C3F0000}"/>
    <cellStyle name="40% - Accent4 10 3 2 3 2" xfId="14849" xr:uid="{00000000-0005-0000-0000-00008D3F0000}"/>
    <cellStyle name="40% - Accent4 10 3 2 3 2 2" xfId="38692" xr:uid="{DE3876F0-FDF6-471E-BC26-EAE7ACBEF6C6}"/>
    <cellStyle name="40% - Accent4 10 3 2 3 3" xfId="22796" xr:uid="{00000000-0005-0000-0000-00008E3F0000}"/>
    <cellStyle name="40% - Accent4 10 3 2 3 3 2" xfId="46629" xr:uid="{A1200CA6-7129-4461-9319-D358B097CE5B}"/>
    <cellStyle name="40% - Accent4 10 3 2 3 4" xfId="30751" xr:uid="{09DE587C-4EFE-4E32-BBC2-CAB6688EDB00}"/>
    <cellStyle name="40% - Accent4 10 3 2 4" xfId="11313" xr:uid="{00000000-0005-0000-0000-00008F3F0000}"/>
    <cellStyle name="40% - Accent4 10 3 2 4 2" xfId="35163" xr:uid="{63E307D3-F3FD-46D5-A88D-F1FDC4121EDD}"/>
    <cellStyle name="40% - Accent4 10 3 2 5" xfId="19268" xr:uid="{00000000-0005-0000-0000-0000903F0000}"/>
    <cellStyle name="40% - Accent4 10 3 2 5 2" xfId="43101" xr:uid="{3B87E635-DA79-4C78-81BE-8E75FCF9614B}"/>
    <cellStyle name="40% - Accent4 10 3 2 6" xfId="27221" xr:uid="{19AEBAF7-E40A-4239-BAD4-3421956B399A}"/>
    <cellStyle name="40% - Accent4 10 3 2_Exh G" xfId="3063" xr:uid="{00000000-0005-0000-0000-0000913F0000}"/>
    <cellStyle name="40% - Accent4 10 3 3" xfId="4166" xr:uid="{00000000-0005-0000-0000-0000923F0000}"/>
    <cellStyle name="40% - Accent4 10 3 3 2" xfId="7758" xr:uid="{00000000-0005-0000-0000-0000933F0000}"/>
    <cellStyle name="40% - Accent4 10 3 3 2 2" xfId="15729" xr:uid="{00000000-0005-0000-0000-0000943F0000}"/>
    <cellStyle name="40% - Accent4 10 3 3 2 2 2" xfId="39572" xr:uid="{D7721753-E733-4843-B012-797DF4A138F4}"/>
    <cellStyle name="40% - Accent4 10 3 3 2 3" xfId="23675" xr:uid="{00000000-0005-0000-0000-0000953F0000}"/>
    <cellStyle name="40% - Accent4 10 3 3 2 3 2" xfId="47508" xr:uid="{CEBC92F1-F8C1-41B1-8E44-7A1FDB78A3C5}"/>
    <cellStyle name="40% - Accent4 10 3 3 2 4" xfId="31631" xr:uid="{9A057D98-76F1-4C23-9155-11FDDD224B68}"/>
    <cellStyle name="40% - Accent4 10 3 3 3" xfId="12191" xr:uid="{00000000-0005-0000-0000-0000963F0000}"/>
    <cellStyle name="40% - Accent4 10 3 3 3 2" xfId="36041" xr:uid="{063471F6-42E2-438C-8861-9211E5B2F96A}"/>
    <cellStyle name="40% - Accent4 10 3 3 4" xfId="20146" xr:uid="{00000000-0005-0000-0000-0000973F0000}"/>
    <cellStyle name="40% - Accent4 10 3 3 4 2" xfId="43979" xr:uid="{5939D674-9398-4F95-908C-A90C71CA4FF7}"/>
    <cellStyle name="40% - Accent4 10 3 3 5" xfId="28100" xr:uid="{6A4AC5CD-0869-4128-971B-B02A9C53BF3F}"/>
    <cellStyle name="40% - Accent4 10 3 4" xfId="5986" xr:uid="{00000000-0005-0000-0000-0000983F0000}"/>
    <cellStyle name="40% - Accent4 10 3 4 2" xfId="13970" xr:uid="{00000000-0005-0000-0000-0000993F0000}"/>
    <cellStyle name="40% - Accent4 10 3 4 2 2" xfId="37814" xr:uid="{35566DF7-B886-4E35-9A42-8EEFB1023389}"/>
    <cellStyle name="40% - Accent4 10 3 4 3" xfId="21918" xr:uid="{00000000-0005-0000-0000-00009A3F0000}"/>
    <cellStyle name="40% - Accent4 10 3 4 3 2" xfId="45751" xr:uid="{EB335724-88A4-45B6-86EA-530AB2012F07}"/>
    <cellStyle name="40% - Accent4 10 3 4 4" xfId="29873" xr:uid="{C86DB39F-EA49-483F-97AB-76C4C77A5CA3}"/>
    <cellStyle name="40% - Accent4 10 3 5" xfId="9539" xr:uid="{00000000-0005-0000-0000-00009B3F0000}"/>
    <cellStyle name="40% - Accent4 10 3 5 2" xfId="17497" xr:uid="{00000000-0005-0000-0000-00009C3F0000}"/>
    <cellStyle name="40% - Accent4 10 3 5 2 2" xfId="41338" xr:uid="{389133C1-303F-4596-97D7-0B9E50A835CD}"/>
    <cellStyle name="40% - Accent4 10 3 5 3" xfId="25441" xr:uid="{00000000-0005-0000-0000-00009D3F0000}"/>
    <cellStyle name="40% - Accent4 10 3 5 3 2" xfId="49274" xr:uid="{9CE6FD5D-5C71-43D3-BFF6-D199A28980A0}"/>
    <cellStyle name="40% - Accent4 10 3 5 4" xfId="33397" xr:uid="{46DC02CB-6A52-473D-B651-90DAC576C00B}"/>
    <cellStyle name="40% - Accent4 10 3 6" xfId="10435" xr:uid="{00000000-0005-0000-0000-00009E3F0000}"/>
    <cellStyle name="40% - Accent4 10 3 6 2" xfId="34285" xr:uid="{51731DFC-2A30-4D7A-8F28-D2871AE839F1}"/>
    <cellStyle name="40% - Accent4 10 3 7" xfId="18390" xr:uid="{00000000-0005-0000-0000-00009F3F0000}"/>
    <cellStyle name="40% - Accent4 10 3 7 2" xfId="42223" xr:uid="{54383AD5-F94D-4527-8DE4-5BF7BCE63752}"/>
    <cellStyle name="40% - Accent4 10 3 8" xfId="26343" xr:uid="{6ADA854F-F48D-4C55-A93F-84DB8C917733}"/>
    <cellStyle name="40% - Accent4 10 3_Exh G" xfId="3062" xr:uid="{00000000-0005-0000-0000-0000A03F0000}"/>
    <cellStyle name="40% - Accent4 10 4" xfId="970" xr:uid="{00000000-0005-0000-0000-0000A13F0000}"/>
    <cellStyle name="40% - Accent4 10 5" xfId="1512" xr:uid="{00000000-0005-0000-0000-0000A23F0000}"/>
    <cellStyle name="40% - Accent4 10 5 2" xfId="5042" xr:uid="{00000000-0005-0000-0000-0000A33F0000}"/>
    <cellStyle name="40% - Accent4 10 5 2 2" xfId="8633" xr:uid="{00000000-0005-0000-0000-0000A43F0000}"/>
    <cellStyle name="40% - Accent4 10 5 2 2 2" xfId="16604" xr:uid="{00000000-0005-0000-0000-0000A53F0000}"/>
    <cellStyle name="40% - Accent4 10 5 2 2 2 2" xfId="40447" xr:uid="{8E68B8E7-387B-4831-9372-15636661548D}"/>
    <cellStyle name="40% - Accent4 10 5 2 2 3" xfId="24550" xr:uid="{00000000-0005-0000-0000-0000A63F0000}"/>
    <cellStyle name="40% - Accent4 10 5 2 2 3 2" xfId="48383" xr:uid="{8DB2776A-0D33-4094-9442-7C6D8A858D39}"/>
    <cellStyle name="40% - Accent4 10 5 2 2 4" xfId="32506" xr:uid="{9293DB11-EB33-407C-A8D7-2438CF45786E}"/>
    <cellStyle name="40% - Accent4 10 5 2 3" xfId="13066" xr:uid="{00000000-0005-0000-0000-0000A73F0000}"/>
    <cellStyle name="40% - Accent4 10 5 2 3 2" xfId="36916" xr:uid="{47262D86-2197-4006-8A6A-D35830526C95}"/>
    <cellStyle name="40% - Accent4 10 5 2 4" xfId="21021" xr:uid="{00000000-0005-0000-0000-0000A83F0000}"/>
    <cellStyle name="40% - Accent4 10 5 2 4 2" xfId="44854" xr:uid="{B9E67798-3EC8-4D22-9F30-453A93FBA0CC}"/>
    <cellStyle name="40% - Accent4 10 5 2 5" xfId="28975" xr:uid="{88C23397-CB46-482F-9568-33B2172A8F44}"/>
    <cellStyle name="40% - Accent4 10 5 3" xfId="6874" xr:uid="{00000000-0005-0000-0000-0000A93F0000}"/>
    <cellStyle name="40% - Accent4 10 5 3 2" xfId="14846" xr:uid="{00000000-0005-0000-0000-0000AA3F0000}"/>
    <cellStyle name="40% - Accent4 10 5 3 2 2" xfId="38689" xr:uid="{4FD62411-F332-49DC-AA5F-210E69BC1846}"/>
    <cellStyle name="40% - Accent4 10 5 3 3" xfId="22793" xr:uid="{00000000-0005-0000-0000-0000AB3F0000}"/>
    <cellStyle name="40% - Accent4 10 5 3 3 2" xfId="46626" xr:uid="{DE1519DD-FBB4-42DD-AC16-2438BF539E92}"/>
    <cellStyle name="40% - Accent4 10 5 3 4" xfId="30748" xr:uid="{FBD9B411-E498-488A-9E37-71CBF09D3B2B}"/>
    <cellStyle name="40% - Accent4 10 5 4" xfId="11310" xr:uid="{00000000-0005-0000-0000-0000AC3F0000}"/>
    <cellStyle name="40% - Accent4 10 5 4 2" xfId="35160" xr:uid="{6924D7A0-C7F1-4387-885C-B2A578C26DD9}"/>
    <cellStyle name="40% - Accent4 10 5 5" xfId="19265" xr:uid="{00000000-0005-0000-0000-0000AD3F0000}"/>
    <cellStyle name="40% - Accent4 10 5 5 2" xfId="43098" xr:uid="{EF03AEA7-F49D-4885-ACB4-DD805667718C}"/>
    <cellStyle name="40% - Accent4 10 5 6" xfId="27218" xr:uid="{F6784F84-CDB8-4EAB-818C-3574F2FC7C62}"/>
    <cellStyle name="40% - Accent4 10 5_Exh G" xfId="3064" xr:uid="{00000000-0005-0000-0000-0000AE3F0000}"/>
    <cellStyle name="40% - Accent4 10 6" xfId="4163" xr:uid="{00000000-0005-0000-0000-0000AF3F0000}"/>
    <cellStyle name="40% - Accent4 10 6 2" xfId="7755" xr:uid="{00000000-0005-0000-0000-0000B03F0000}"/>
    <cellStyle name="40% - Accent4 10 6 2 2" xfId="15726" xr:uid="{00000000-0005-0000-0000-0000B13F0000}"/>
    <cellStyle name="40% - Accent4 10 6 2 2 2" xfId="39569" xr:uid="{014EB1EC-ACFB-45C2-A9AF-3DFBB320D940}"/>
    <cellStyle name="40% - Accent4 10 6 2 3" xfId="23672" xr:uid="{00000000-0005-0000-0000-0000B23F0000}"/>
    <cellStyle name="40% - Accent4 10 6 2 3 2" xfId="47505" xr:uid="{812C7D29-0AE1-49DF-B141-695803212639}"/>
    <cellStyle name="40% - Accent4 10 6 2 4" xfId="31628" xr:uid="{D9F3A1FD-95E9-482B-9668-F8EECDECF07D}"/>
    <cellStyle name="40% - Accent4 10 6 3" xfId="12188" xr:uid="{00000000-0005-0000-0000-0000B33F0000}"/>
    <cellStyle name="40% - Accent4 10 6 3 2" xfId="36038" xr:uid="{3F9240B6-7D40-4BCA-B100-65BBA3F7B656}"/>
    <cellStyle name="40% - Accent4 10 6 4" xfId="20143" xr:uid="{00000000-0005-0000-0000-0000B43F0000}"/>
    <cellStyle name="40% - Accent4 10 6 4 2" xfId="43976" xr:uid="{C0631599-3005-4A44-B60C-885E06622B7F}"/>
    <cellStyle name="40% - Accent4 10 6 5" xfId="28097" xr:uid="{96085A80-2AB9-4185-8E4C-EB97A53A0393}"/>
    <cellStyle name="40% - Accent4 10 7" xfId="5983" xr:uid="{00000000-0005-0000-0000-0000B53F0000}"/>
    <cellStyle name="40% - Accent4 10 7 2" xfId="13967" xr:uid="{00000000-0005-0000-0000-0000B63F0000}"/>
    <cellStyle name="40% - Accent4 10 7 2 2" xfId="37811" xr:uid="{B5B17DEC-B977-4021-BB2A-B1FD8815DC74}"/>
    <cellStyle name="40% - Accent4 10 7 3" xfId="21915" xr:uid="{00000000-0005-0000-0000-0000B73F0000}"/>
    <cellStyle name="40% - Accent4 10 7 3 2" xfId="45748" xr:uid="{6C20138A-5954-4FB0-81B8-D77C5BA55D1B}"/>
    <cellStyle name="40% - Accent4 10 7 4" xfId="29870" xr:uid="{80BA40A9-E3EA-4455-BB09-EDCACA7B82FA}"/>
    <cellStyle name="40% - Accent4 10 8" xfId="9536" xr:uid="{00000000-0005-0000-0000-0000B83F0000}"/>
    <cellStyle name="40% - Accent4 10 8 2" xfId="17494" xr:uid="{00000000-0005-0000-0000-0000B93F0000}"/>
    <cellStyle name="40% - Accent4 10 8 2 2" xfId="41335" xr:uid="{41C634CA-AD96-4CBA-8A47-BEE24F5C195C}"/>
    <cellStyle name="40% - Accent4 10 8 3" xfId="25438" xr:uid="{00000000-0005-0000-0000-0000BA3F0000}"/>
    <cellStyle name="40% - Accent4 10 8 3 2" xfId="49271" xr:uid="{308B50B9-8348-4F5C-8964-0F80E152D808}"/>
    <cellStyle name="40% - Accent4 10 8 4" xfId="33394" xr:uid="{35BC35C8-4AF1-4A16-A37F-D3000FEEB4D8}"/>
    <cellStyle name="40% - Accent4 10 9" xfId="10432" xr:uid="{00000000-0005-0000-0000-0000BB3F0000}"/>
    <cellStyle name="40% - Accent4 10 9 2" xfId="34282" xr:uid="{10E6AEEA-3B56-4D70-BE72-406B5FCB18C0}"/>
    <cellStyle name="40% - Accent4 10_Exh G" xfId="3057" xr:uid="{00000000-0005-0000-0000-0000BC3F0000}"/>
    <cellStyle name="40% - Accent4 11" xfId="488" xr:uid="{00000000-0005-0000-0000-0000BD3F0000}"/>
    <cellStyle name="40% - Accent4 11 10" xfId="26344" xr:uid="{0286C9FC-A348-4DED-BD35-168ED4F9D025}"/>
    <cellStyle name="40% - Accent4 11 2" xfId="489" xr:uid="{00000000-0005-0000-0000-0000BE3F0000}"/>
    <cellStyle name="40% - Accent4 11 2 2" xfId="490" xr:uid="{00000000-0005-0000-0000-0000BF3F0000}"/>
    <cellStyle name="40% - Accent4 11 2 2 2" xfId="1518" xr:uid="{00000000-0005-0000-0000-0000C03F0000}"/>
    <cellStyle name="40% - Accent4 11 2 2 2 2" xfId="5048" xr:uid="{00000000-0005-0000-0000-0000C13F0000}"/>
    <cellStyle name="40% - Accent4 11 2 2 2 2 2" xfId="8639" xr:uid="{00000000-0005-0000-0000-0000C23F0000}"/>
    <cellStyle name="40% - Accent4 11 2 2 2 2 2 2" xfId="16610" xr:uid="{00000000-0005-0000-0000-0000C33F0000}"/>
    <cellStyle name="40% - Accent4 11 2 2 2 2 2 2 2" xfId="40453" xr:uid="{3D79B0EC-B979-45FE-B252-C944B4232CF6}"/>
    <cellStyle name="40% - Accent4 11 2 2 2 2 2 3" xfId="24556" xr:uid="{00000000-0005-0000-0000-0000C43F0000}"/>
    <cellStyle name="40% - Accent4 11 2 2 2 2 2 3 2" xfId="48389" xr:uid="{FACF887C-BD47-497B-AAFC-39FD38028BB7}"/>
    <cellStyle name="40% - Accent4 11 2 2 2 2 2 4" xfId="32512" xr:uid="{586AEC8F-6A98-444F-91C4-8D333ED059E3}"/>
    <cellStyle name="40% - Accent4 11 2 2 2 2 3" xfId="13072" xr:uid="{00000000-0005-0000-0000-0000C53F0000}"/>
    <cellStyle name="40% - Accent4 11 2 2 2 2 3 2" xfId="36922" xr:uid="{FCFA509A-E0C1-4EA8-B8E0-693637CEEA99}"/>
    <cellStyle name="40% - Accent4 11 2 2 2 2 4" xfId="21027" xr:uid="{00000000-0005-0000-0000-0000C63F0000}"/>
    <cellStyle name="40% - Accent4 11 2 2 2 2 4 2" xfId="44860" xr:uid="{1DF9A590-C49D-4EC3-BE16-B858377976C6}"/>
    <cellStyle name="40% - Accent4 11 2 2 2 2 5" xfId="28981" xr:uid="{C65631E8-189D-407F-9DD1-741EE4DF1A5F}"/>
    <cellStyle name="40% - Accent4 11 2 2 2 3" xfId="6880" xr:uid="{00000000-0005-0000-0000-0000C73F0000}"/>
    <cellStyle name="40% - Accent4 11 2 2 2 3 2" xfId="14852" xr:uid="{00000000-0005-0000-0000-0000C83F0000}"/>
    <cellStyle name="40% - Accent4 11 2 2 2 3 2 2" xfId="38695" xr:uid="{BF628C00-8F7C-4D14-AD20-FF2731B31013}"/>
    <cellStyle name="40% - Accent4 11 2 2 2 3 3" xfId="22799" xr:uid="{00000000-0005-0000-0000-0000C93F0000}"/>
    <cellStyle name="40% - Accent4 11 2 2 2 3 3 2" xfId="46632" xr:uid="{0147855E-8495-416B-BB5F-499D7FE6B662}"/>
    <cellStyle name="40% - Accent4 11 2 2 2 3 4" xfId="30754" xr:uid="{73C01720-1885-4EF7-B23A-BD5149ADE873}"/>
    <cellStyle name="40% - Accent4 11 2 2 2 4" xfId="11316" xr:uid="{00000000-0005-0000-0000-0000CA3F0000}"/>
    <cellStyle name="40% - Accent4 11 2 2 2 4 2" xfId="35166" xr:uid="{02D688FD-7E53-4B5F-A29C-BEA41C1EAC71}"/>
    <cellStyle name="40% - Accent4 11 2 2 2 5" xfId="19271" xr:uid="{00000000-0005-0000-0000-0000CB3F0000}"/>
    <cellStyle name="40% - Accent4 11 2 2 2 5 2" xfId="43104" xr:uid="{E51C5479-B22D-419A-8B4E-E40A322E4C01}"/>
    <cellStyle name="40% - Accent4 11 2 2 2 6" xfId="27224" xr:uid="{351364DE-0922-4343-A6E0-5252D4939A79}"/>
    <cellStyle name="40% - Accent4 11 2 2 2_Exh G" xfId="3068" xr:uid="{00000000-0005-0000-0000-0000CC3F0000}"/>
    <cellStyle name="40% - Accent4 11 2 2 3" xfId="4169" xr:uid="{00000000-0005-0000-0000-0000CD3F0000}"/>
    <cellStyle name="40% - Accent4 11 2 2 3 2" xfId="7761" xr:uid="{00000000-0005-0000-0000-0000CE3F0000}"/>
    <cellStyle name="40% - Accent4 11 2 2 3 2 2" xfId="15732" xr:uid="{00000000-0005-0000-0000-0000CF3F0000}"/>
    <cellStyle name="40% - Accent4 11 2 2 3 2 2 2" xfId="39575" xr:uid="{BE187A27-158C-45FA-9AE3-7ACA162558C2}"/>
    <cellStyle name="40% - Accent4 11 2 2 3 2 3" xfId="23678" xr:uid="{00000000-0005-0000-0000-0000D03F0000}"/>
    <cellStyle name="40% - Accent4 11 2 2 3 2 3 2" xfId="47511" xr:uid="{2B55AA6B-A887-45CE-9BDD-BB1848311CE5}"/>
    <cellStyle name="40% - Accent4 11 2 2 3 2 4" xfId="31634" xr:uid="{287892E5-5492-4351-BBE8-708B4BD98E51}"/>
    <cellStyle name="40% - Accent4 11 2 2 3 3" xfId="12194" xr:uid="{00000000-0005-0000-0000-0000D13F0000}"/>
    <cellStyle name="40% - Accent4 11 2 2 3 3 2" xfId="36044" xr:uid="{E9457C53-1CAE-4460-BD33-B80B09895E7F}"/>
    <cellStyle name="40% - Accent4 11 2 2 3 4" xfId="20149" xr:uid="{00000000-0005-0000-0000-0000D23F0000}"/>
    <cellStyle name="40% - Accent4 11 2 2 3 4 2" xfId="43982" xr:uid="{9ECECE0A-FE78-41A7-8DDC-B947CDB408BF}"/>
    <cellStyle name="40% - Accent4 11 2 2 3 5" xfId="28103" xr:uid="{E6290EC5-12FC-4278-A58C-885972DBCE65}"/>
    <cellStyle name="40% - Accent4 11 2 2 4" xfId="5989" xr:uid="{00000000-0005-0000-0000-0000D33F0000}"/>
    <cellStyle name="40% - Accent4 11 2 2 4 2" xfId="13973" xr:uid="{00000000-0005-0000-0000-0000D43F0000}"/>
    <cellStyle name="40% - Accent4 11 2 2 4 2 2" xfId="37817" xr:uid="{5E00FFE1-8A5A-4C36-B67C-43B4C7AEE6EC}"/>
    <cellStyle name="40% - Accent4 11 2 2 4 3" xfId="21921" xr:uid="{00000000-0005-0000-0000-0000D53F0000}"/>
    <cellStyle name="40% - Accent4 11 2 2 4 3 2" xfId="45754" xr:uid="{ED5264D9-D3F4-46E4-8883-639EC0E7B3C0}"/>
    <cellStyle name="40% - Accent4 11 2 2 4 4" xfId="29876" xr:uid="{D4AC5BBF-D879-4D87-9B14-7276BF9203FD}"/>
    <cellStyle name="40% - Accent4 11 2 2 5" xfId="9542" xr:uid="{00000000-0005-0000-0000-0000D63F0000}"/>
    <cellStyle name="40% - Accent4 11 2 2 5 2" xfId="17500" xr:uid="{00000000-0005-0000-0000-0000D73F0000}"/>
    <cellStyle name="40% - Accent4 11 2 2 5 2 2" xfId="41341" xr:uid="{DC65B2B6-CB20-4EE1-A271-A0AC6854D683}"/>
    <cellStyle name="40% - Accent4 11 2 2 5 3" xfId="25444" xr:uid="{00000000-0005-0000-0000-0000D83F0000}"/>
    <cellStyle name="40% - Accent4 11 2 2 5 3 2" xfId="49277" xr:uid="{4EA14811-D31E-4A6A-862E-6C05E6A1872D}"/>
    <cellStyle name="40% - Accent4 11 2 2 5 4" xfId="33400" xr:uid="{497362D6-13F8-4C8B-8B2E-36C569761C2D}"/>
    <cellStyle name="40% - Accent4 11 2 2 6" xfId="10438" xr:uid="{00000000-0005-0000-0000-0000D93F0000}"/>
    <cellStyle name="40% - Accent4 11 2 2 6 2" xfId="34288" xr:uid="{0FB2A468-41CB-4FE2-9099-3437BDCD82AD}"/>
    <cellStyle name="40% - Accent4 11 2 2 7" xfId="18393" xr:uid="{00000000-0005-0000-0000-0000DA3F0000}"/>
    <cellStyle name="40% - Accent4 11 2 2 7 2" xfId="42226" xr:uid="{977318FC-11CD-4DB7-9E9D-2E293D12993F}"/>
    <cellStyle name="40% - Accent4 11 2 2 8" xfId="26346" xr:uid="{021F94A6-0320-4EA6-B582-0F671C7714E4}"/>
    <cellStyle name="40% - Accent4 11 2 2_Exh G" xfId="3067" xr:uid="{00000000-0005-0000-0000-0000DB3F0000}"/>
    <cellStyle name="40% - Accent4 11 2 3" xfId="1517" xr:uid="{00000000-0005-0000-0000-0000DC3F0000}"/>
    <cellStyle name="40% - Accent4 11 2 3 2" xfId="5047" xr:uid="{00000000-0005-0000-0000-0000DD3F0000}"/>
    <cellStyle name="40% - Accent4 11 2 3 2 2" xfId="8638" xr:uid="{00000000-0005-0000-0000-0000DE3F0000}"/>
    <cellStyle name="40% - Accent4 11 2 3 2 2 2" xfId="16609" xr:uid="{00000000-0005-0000-0000-0000DF3F0000}"/>
    <cellStyle name="40% - Accent4 11 2 3 2 2 2 2" xfId="40452" xr:uid="{B9632810-1CD7-4E0F-9BBD-98DD0AB4E5DE}"/>
    <cellStyle name="40% - Accent4 11 2 3 2 2 3" xfId="24555" xr:uid="{00000000-0005-0000-0000-0000E03F0000}"/>
    <cellStyle name="40% - Accent4 11 2 3 2 2 3 2" xfId="48388" xr:uid="{F8A24BEF-2BB9-4FA8-BCF5-DD3A6A36E75E}"/>
    <cellStyle name="40% - Accent4 11 2 3 2 2 4" xfId="32511" xr:uid="{9E36612E-4A8A-4D98-84B1-71340D35A037}"/>
    <cellStyle name="40% - Accent4 11 2 3 2 3" xfId="13071" xr:uid="{00000000-0005-0000-0000-0000E13F0000}"/>
    <cellStyle name="40% - Accent4 11 2 3 2 3 2" xfId="36921" xr:uid="{CE45D98A-B594-47BB-8671-A50443A94E3B}"/>
    <cellStyle name="40% - Accent4 11 2 3 2 4" xfId="21026" xr:uid="{00000000-0005-0000-0000-0000E23F0000}"/>
    <cellStyle name="40% - Accent4 11 2 3 2 4 2" xfId="44859" xr:uid="{8EDF2164-4B0A-4AA5-B11E-870A9029631C}"/>
    <cellStyle name="40% - Accent4 11 2 3 2 5" xfId="28980" xr:uid="{C7D09500-AEFE-4A06-B1CB-97B14395E2E4}"/>
    <cellStyle name="40% - Accent4 11 2 3 3" xfId="6879" xr:uid="{00000000-0005-0000-0000-0000E33F0000}"/>
    <cellStyle name="40% - Accent4 11 2 3 3 2" xfId="14851" xr:uid="{00000000-0005-0000-0000-0000E43F0000}"/>
    <cellStyle name="40% - Accent4 11 2 3 3 2 2" xfId="38694" xr:uid="{C839CDC2-2391-47E5-8A18-304E5322A870}"/>
    <cellStyle name="40% - Accent4 11 2 3 3 3" xfId="22798" xr:uid="{00000000-0005-0000-0000-0000E53F0000}"/>
    <cellStyle name="40% - Accent4 11 2 3 3 3 2" xfId="46631" xr:uid="{5332BAB9-1047-4AA8-9FB4-19305EA168D0}"/>
    <cellStyle name="40% - Accent4 11 2 3 3 4" xfId="30753" xr:uid="{0BE6663A-5737-4B82-9903-E514C3156587}"/>
    <cellStyle name="40% - Accent4 11 2 3 4" xfId="11315" xr:uid="{00000000-0005-0000-0000-0000E63F0000}"/>
    <cellStyle name="40% - Accent4 11 2 3 4 2" xfId="35165" xr:uid="{01C344DC-9926-413D-82DB-4DEAFBC99CF7}"/>
    <cellStyle name="40% - Accent4 11 2 3 5" xfId="19270" xr:uid="{00000000-0005-0000-0000-0000E73F0000}"/>
    <cellStyle name="40% - Accent4 11 2 3 5 2" xfId="43103" xr:uid="{40BBF65D-FCD2-4597-9226-238DC0B81A5D}"/>
    <cellStyle name="40% - Accent4 11 2 3 6" xfId="27223" xr:uid="{0FD422C7-766A-46E4-8615-28889F260C3F}"/>
    <cellStyle name="40% - Accent4 11 2 3_Exh G" xfId="3069" xr:uid="{00000000-0005-0000-0000-0000E83F0000}"/>
    <cellStyle name="40% - Accent4 11 2 4" xfId="4168" xr:uid="{00000000-0005-0000-0000-0000E93F0000}"/>
    <cellStyle name="40% - Accent4 11 2 4 2" xfId="7760" xr:uid="{00000000-0005-0000-0000-0000EA3F0000}"/>
    <cellStyle name="40% - Accent4 11 2 4 2 2" xfId="15731" xr:uid="{00000000-0005-0000-0000-0000EB3F0000}"/>
    <cellStyle name="40% - Accent4 11 2 4 2 2 2" xfId="39574" xr:uid="{EACAE2A8-A8BC-432C-A1AA-0CA379ECCAAD}"/>
    <cellStyle name="40% - Accent4 11 2 4 2 3" xfId="23677" xr:uid="{00000000-0005-0000-0000-0000EC3F0000}"/>
    <cellStyle name="40% - Accent4 11 2 4 2 3 2" xfId="47510" xr:uid="{6B13DC09-8B7E-4F6A-9C6C-A3D1E0988E56}"/>
    <cellStyle name="40% - Accent4 11 2 4 2 4" xfId="31633" xr:uid="{5AF479C0-D395-4828-B50E-927AA68A9D2A}"/>
    <cellStyle name="40% - Accent4 11 2 4 3" xfId="12193" xr:uid="{00000000-0005-0000-0000-0000ED3F0000}"/>
    <cellStyle name="40% - Accent4 11 2 4 3 2" xfId="36043" xr:uid="{7D6B6FBE-A06E-473D-809B-F8770C8E7277}"/>
    <cellStyle name="40% - Accent4 11 2 4 4" xfId="20148" xr:uid="{00000000-0005-0000-0000-0000EE3F0000}"/>
    <cellStyle name="40% - Accent4 11 2 4 4 2" xfId="43981" xr:uid="{A2D3B30E-E3F7-4B09-BED6-6544AD9351CF}"/>
    <cellStyle name="40% - Accent4 11 2 4 5" xfId="28102" xr:uid="{E3962A42-73F6-4C0A-8EDB-EAB44E0F895C}"/>
    <cellStyle name="40% - Accent4 11 2 5" xfId="5988" xr:uid="{00000000-0005-0000-0000-0000EF3F0000}"/>
    <cellStyle name="40% - Accent4 11 2 5 2" xfId="13972" xr:uid="{00000000-0005-0000-0000-0000F03F0000}"/>
    <cellStyle name="40% - Accent4 11 2 5 2 2" xfId="37816" xr:uid="{08240CA3-2E32-42FA-B6F9-CD3D25978522}"/>
    <cellStyle name="40% - Accent4 11 2 5 3" xfId="21920" xr:uid="{00000000-0005-0000-0000-0000F13F0000}"/>
    <cellStyle name="40% - Accent4 11 2 5 3 2" xfId="45753" xr:uid="{FE895800-D819-4934-9DFE-F076BAA8EE05}"/>
    <cellStyle name="40% - Accent4 11 2 5 4" xfId="29875" xr:uid="{4BD5EBDD-9DDE-40B2-A5E3-C59D2FE44FE9}"/>
    <cellStyle name="40% - Accent4 11 2 6" xfId="9541" xr:uid="{00000000-0005-0000-0000-0000F23F0000}"/>
    <cellStyle name="40% - Accent4 11 2 6 2" xfId="17499" xr:uid="{00000000-0005-0000-0000-0000F33F0000}"/>
    <cellStyle name="40% - Accent4 11 2 6 2 2" xfId="41340" xr:uid="{A4BA58E8-1C2E-4690-91DF-ECB1D12522F7}"/>
    <cellStyle name="40% - Accent4 11 2 6 3" xfId="25443" xr:uid="{00000000-0005-0000-0000-0000F43F0000}"/>
    <cellStyle name="40% - Accent4 11 2 6 3 2" xfId="49276" xr:uid="{0729038B-74B6-4204-A7B6-DDCD1F68E35B}"/>
    <cellStyle name="40% - Accent4 11 2 6 4" xfId="33399" xr:uid="{38AA1799-0780-4058-B15F-2B8594C9A9FD}"/>
    <cellStyle name="40% - Accent4 11 2 7" xfId="10437" xr:uid="{00000000-0005-0000-0000-0000F53F0000}"/>
    <cellStyle name="40% - Accent4 11 2 7 2" xfId="34287" xr:uid="{3F643D3D-A68E-476F-ACB5-D2AEA39F48BF}"/>
    <cellStyle name="40% - Accent4 11 2 8" xfId="18392" xr:uid="{00000000-0005-0000-0000-0000F63F0000}"/>
    <cellStyle name="40% - Accent4 11 2 8 2" xfId="42225" xr:uid="{221305C9-1874-421C-A322-436AD6E2064D}"/>
    <cellStyle name="40% - Accent4 11 2 9" xfId="26345" xr:uid="{918A3D8A-7D30-4C7D-ABEF-49DA6E324648}"/>
    <cellStyle name="40% - Accent4 11 2_Exh G" xfId="3066" xr:uid="{00000000-0005-0000-0000-0000F73F0000}"/>
    <cellStyle name="40% - Accent4 11 3" xfId="491" xr:uid="{00000000-0005-0000-0000-0000F83F0000}"/>
    <cellStyle name="40% - Accent4 11 3 2" xfId="1519" xr:uid="{00000000-0005-0000-0000-0000F93F0000}"/>
    <cellStyle name="40% - Accent4 11 3 2 2" xfId="5049" xr:uid="{00000000-0005-0000-0000-0000FA3F0000}"/>
    <cellStyle name="40% - Accent4 11 3 2 2 2" xfId="8640" xr:uid="{00000000-0005-0000-0000-0000FB3F0000}"/>
    <cellStyle name="40% - Accent4 11 3 2 2 2 2" xfId="16611" xr:uid="{00000000-0005-0000-0000-0000FC3F0000}"/>
    <cellStyle name="40% - Accent4 11 3 2 2 2 2 2" xfId="40454" xr:uid="{91444C0F-996E-4910-A907-6DF0FB013977}"/>
    <cellStyle name="40% - Accent4 11 3 2 2 2 3" xfId="24557" xr:uid="{00000000-0005-0000-0000-0000FD3F0000}"/>
    <cellStyle name="40% - Accent4 11 3 2 2 2 3 2" xfId="48390" xr:uid="{83971264-9CA3-4406-901E-E9D57E2B98BA}"/>
    <cellStyle name="40% - Accent4 11 3 2 2 2 4" xfId="32513" xr:uid="{14191647-8680-4340-83E1-497C4BA52509}"/>
    <cellStyle name="40% - Accent4 11 3 2 2 3" xfId="13073" xr:uid="{00000000-0005-0000-0000-0000FE3F0000}"/>
    <cellStyle name="40% - Accent4 11 3 2 2 3 2" xfId="36923" xr:uid="{E4025B7F-53FC-4876-ACD6-A8B8F45F3E86}"/>
    <cellStyle name="40% - Accent4 11 3 2 2 4" xfId="21028" xr:uid="{00000000-0005-0000-0000-0000FF3F0000}"/>
    <cellStyle name="40% - Accent4 11 3 2 2 4 2" xfId="44861" xr:uid="{6848569F-3190-4F9B-A018-5B3E8F85C10F}"/>
    <cellStyle name="40% - Accent4 11 3 2 2 5" xfId="28982" xr:uid="{BBB96641-12A4-4F5F-99EC-E42AAD797863}"/>
    <cellStyle name="40% - Accent4 11 3 2 3" xfId="6881" xr:uid="{00000000-0005-0000-0000-000000400000}"/>
    <cellStyle name="40% - Accent4 11 3 2 3 2" xfId="14853" xr:uid="{00000000-0005-0000-0000-000001400000}"/>
    <cellStyle name="40% - Accent4 11 3 2 3 2 2" xfId="38696" xr:uid="{140D9D98-DDB1-4D95-BF46-1CF78F3D881D}"/>
    <cellStyle name="40% - Accent4 11 3 2 3 3" xfId="22800" xr:uid="{00000000-0005-0000-0000-000002400000}"/>
    <cellStyle name="40% - Accent4 11 3 2 3 3 2" xfId="46633" xr:uid="{6C0A0369-5FAC-423E-A074-45A2A1744282}"/>
    <cellStyle name="40% - Accent4 11 3 2 3 4" xfId="30755" xr:uid="{9AD0B369-590E-41E1-BA84-7C5BBBB4109B}"/>
    <cellStyle name="40% - Accent4 11 3 2 4" xfId="11317" xr:uid="{00000000-0005-0000-0000-000003400000}"/>
    <cellStyle name="40% - Accent4 11 3 2 4 2" xfId="35167" xr:uid="{1E749B1C-B2B9-4E9D-BB7A-19146E2CF9D9}"/>
    <cellStyle name="40% - Accent4 11 3 2 5" xfId="19272" xr:uid="{00000000-0005-0000-0000-000004400000}"/>
    <cellStyle name="40% - Accent4 11 3 2 5 2" xfId="43105" xr:uid="{389DAAA6-C526-438D-80AE-99EFD706F494}"/>
    <cellStyle name="40% - Accent4 11 3 2 6" xfId="27225" xr:uid="{8DBA957B-453B-460C-BE99-6D8F3B9E64FF}"/>
    <cellStyle name="40% - Accent4 11 3 2_Exh G" xfId="3071" xr:uid="{00000000-0005-0000-0000-000005400000}"/>
    <cellStyle name="40% - Accent4 11 3 3" xfId="4170" xr:uid="{00000000-0005-0000-0000-000006400000}"/>
    <cellStyle name="40% - Accent4 11 3 3 2" xfId="7762" xr:uid="{00000000-0005-0000-0000-000007400000}"/>
    <cellStyle name="40% - Accent4 11 3 3 2 2" xfId="15733" xr:uid="{00000000-0005-0000-0000-000008400000}"/>
    <cellStyle name="40% - Accent4 11 3 3 2 2 2" xfId="39576" xr:uid="{DAB3FC39-D169-4DDC-B2ED-136C50A39754}"/>
    <cellStyle name="40% - Accent4 11 3 3 2 3" xfId="23679" xr:uid="{00000000-0005-0000-0000-000009400000}"/>
    <cellStyle name="40% - Accent4 11 3 3 2 3 2" xfId="47512" xr:uid="{590D8A6B-DC3D-47A0-80BD-04B453C55D9D}"/>
    <cellStyle name="40% - Accent4 11 3 3 2 4" xfId="31635" xr:uid="{C96FC957-50A6-44EE-8CF1-4A56AF5699F0}"/>
    <cellStyle name="40% - Accent4 11 3 3 3" xfId="12195" xr:uid="{00000000-0005-0000-0000-00000A400000}"/>
    <cellStyle name="40% - Accent4 11 3 3 3 2" xfId="36045" xr:uid="{9372C229-F191-4D2B-ACAC-FDDD336C2C38}"/>
    <cellStyle name="40% - Accent4 11 3 3 4" xfId="20150" xr:uid="{00000000-0005-0000-0000-00000B400000}"/>
    <cellStyle name="40% - Accent4 11 3 3 4 2" xfId="43983" xr:uid="{5A353C31-4F05-4FD2-9318-80674F58A7CB}"/>
    <cellStyle name="40% - Accent4 11 3 3 5" xfId="28104" xr:uid="{D5104189-CFEA-45BD-8FBD-AF6C2DB37F93}"/>
    <cellStyle name="40% - Accent4 11 3 4" xfId="5990" xr:uid="{00000000-0005-0000-0000-00000C400000}"/>
    <cellStyle name="40% - Accent4 11 3 4 2" xfId="13974" xr:uid="{00000000-0005-0000-0000-00000D400000}"/>
    <cellStyle name="40% - Accent4 11 3 4 2 2" xfId="37818" xr:uid="{16EE97EF-66F2-4472-8138-8AA75321C809}"/>
    <cellStyle name="40% - Accent4 11 3 4 3" xfId="21922" xr:uid="{00000000-0005-0000-0000-00000E400000}"/>
    <cellStyle name="40% - Accent4 11 3 4 3 2" xfId="45755" xr:uid="{4904B9CE-F534-43F9-942A-687328679B79}"/>
    <cellStyle name="40% - Accent4 11 3 4 4" xfId="29877" xr:uid="{462A0127-2DAC-4538-A146-808E56B09E23}"/>
    <cellStyle name="40% - Accent4 11 3 5" xfId="9543" xr:uid="{00000000-0005-0000-0000-00000F400000}"/>
    <cellStyle name="40% - Accent4 11 3 5 2" xfId="17501" xr:uid="{00000000-0005-0000-0000-000010400000}"/>
    <cellStyle name="40% - Accent4 11 3 5 2 2" xfId="41342" xr:uid="{050BA098-5C51-42A9-9A67-DA86D9B5798D}"/>
    <cellStyle name="40% - Accent4 11 3 5 3" xfId="25445" xr:uid="{00000000-0005-0000-0000-000011400000}"/>
    <cellStyle name="40% - Accent4 11 3 5 3 2" xfId="49278" xr:uid="{97CE6771-781C-44B2-B9CC-36400067BC08}"/>
    <cellStyle name="40% - Accent4 11 3 5 4" xfId="33401" xr:uid="{268C679A-0168-4580-AB7F-C279C5717451}"/>
    <cellStyle name="40% - Accent4 11 3 6" xfId="10439" xr:uid="{00000000-0005-0000-0000-000012400000}"/>
    <cellStyle name="40% - Accent4 11 3 6 2" xfId="34289" xr:uid="{6EC5141D-A970-48E3-8DE0-C04BA9FD595C}"/>
    <cellStyle name="40% - Accent4 11 3 7" xfId="18394" xr:uid="{00000000-0005-0000-0000-000013400000}"/>
    <cellStyle name="40% - Accent4 11 3 7 2" xfId="42227" xr:uid="{2A367B9B-4D3A-4D55-859C-43261B12A646}"/>
    <cellStyle name="40% - Accent4 11 3 8" xfId="26347" xr:uid="{8B619FBC-1EC9-4F61-9A1F-12EFEED05FAE}"/>
    <cellStyle name="40% - Accent4 11 3_Exh G" xfId="3070" xr:uid="{00000000-0005-0000-0000-000014400000}"/>
    <cellStyle name="40% - Accent4 11 4" xfId="1516" xr:uid="{00000000-0005-0000-0000-000015400000}"/>
    <cellStyle name="40% - Accent4 11 4 2" xfId="5046" xr:uid="{00000000-0005-0000-0000-000016400000}"/>
    <cellStyle name="40% - Accent4 11 4 2 2" xfId="8637" xr:uid="{00000000-0005-0000-0000-000017400000}"/>
    <cellStyle name="40% - Accent4 11 4 2 2 2" xfId="16608" xr:uid="{00000000-0005-0000-0000-000018400000}"/>
    <cellStyle name="40% - Accent4 11 4 2 2 2 2" xfId="40451" xr:uid="{50C41173-E2CD-4DD4-8A7F-3855553779E8}"/>
    <cellStyle name="40% - Accent4 11 4 2 2 3" xfId="24554" xr:uid="{00000000-0005-0000-0000-000019400000}"/>
    <cellStyle name="40% - Accent4 11 4 2 2 3 2" xfId="48387" xr:uid="{51E6511F-BBCD-4347-B8BE-09B132774AC6}"/>
    <cellStyle name="40% - Accent4 11 4 2 2 4" xfId="32510" xr:uid="{6518BF76-95B9-42E7-AD12-65BE14A3594F}"/>
    <cellStyle name="40% - Accent4 11 4 2 3" xfId="13070" xr:uid="{00000000-0005-0000-0000-00001A400000}"/>
    <cellStyle name="40% - Accent4 11 4 2 3 2" xfId="36920" xr:uid="{BB9E8AF8-6484-466E-BDB0-8179B71BDAF5}"/>
    <cellStyle name="40% - Accent4 11 4 2 4" xfId="21025" xr:uid="{00000000-0005-0000-0000-00001B400000}"/>
    <cellStyle name="40% - Accent4 11 4 2 4 2" xfId="44858" xr:uid="{44837C38-717F-4A2B-9F3E-02C8C9D4293B}"/>
    <cellStyle name="40% - Accent4 11 4 2 5" xfId="28979" xr:uid="{8A7A36E7-8E49-4DA7-BE36-67C5023DE696}"/>
    <cellStyle name="40% - Accent4 11 4 3" xfId="6878" xr:uid="{00000000-0005-0000-0000-00001C400000}"/>
    <cellStyle name="40% - Accent4 11 4 3 2" xfId="14850" xr:uid="{00000000-0005-0000-0000-00001D400000}"/>
    <cellStyle name="40% - Accent4 11 4 3 2 2" xfId="38693" xr:uid="{8F0C1674-EC63-4C9A-B9FF-FAC7E03D0ED4}"/>
    <cellStyle name="40% - Accent4 11 4 3 3" xfId="22797" xr:uid="{00000000-0005-0000-0000-00001E400000}"/>
    <cellStyle name="40% - Accent4 11 4 3 3 2" xfId="46630" xr:uid="{05406EAE-DFD4-480C-AE07-15F7CF002F91}"/>
    <cellStyle name="40% - Accent4 11 4 3 4" xfId="30752" xr:uid="{018FDE6A-0BEB-409A-93C9-4DC7B3F8EA57}"/>
    <cellStyle name="40% - Accent4 11 4 4" xfId="11314" xr:uid="{00000000-0005-0000-0000-00001F400000}"/>
    <cellStyle name="40% - Accent4 11 4 4 2" xfId="35164" xr:uid="{D920E4DD-8BEF-4703-A9C8-5FBFBCCF9DF3}"/>
    <cellStyle name="40% - Accent4 11 4 5" xfId="19269" xr:uid="{00000000-0005-0000-0000-000020400000}"/>
    <cellStyle name="40% - Accent4 11 4 5 2" xfId="43102" xr:uid="{11A16259-BB29-4E64-8493-650D4AA51738}"/>
    <cellStyle name="40% - Accent4 11 4 6" xfId="27222" xr:uid="{AC6D32FC-177F-4130-BB03-A316D90A6258}"/>
    <cellStyle name="40% - Accent4 11 4_Exh G" xfId="3072" xr:uid="{00000000-0005-0000-0000-000021400000}"/>
    <cellStyle name="40% - Accent4 11 5" xfId="4167" xr:uid="{00000000-0005-0000-0000-000022400000}"/>
    <cellStyle name="40% - Accent4 11 5 2" xfId="7759" xr:uid="{00000000-0005-0000-0000-000023400000}"/>
    <cellStyle name="40% - Accent4 11 5 2 2" xfId="15730" xr:uid="{00000000-0005-0000-0000-000024400000}"/>
    <cellStyle name="40% - Accent4 11 5 2 2 2" xfId="39573" xr:uid="{80C38B93-B368-4336-8307-D3782F2B2320}"/>
    <cellStyle name="40% - Accent4 11 5 2 3" xfId="23676" xr:uid="{00000000-0005-0000-0000-000025400000}"/>
    <cellStyle name="40% - Accent4 11 5 2 3 2" xfId="47509" xr:uid="{04391034-4A42-40C2-9109-6632E092C4CF}"/>
    <cellStyle name="40% - Accent4 11 5 2 4" xfId="31632" xr:uid="{7741383F-CC3D-4AD6-B227-BD82F5F01E6B}"/>
    <cellStyle name="40% - Accent4 11 5 3" xfId="12192" xr:uid="{00000000-0005-0000-0000-000026400000}"/>
    <cellStyle name="40% - Accent4 11 5 3 2" xfId="36042" xr:uid="{449382DB-2264-4B4D-8057-196194D68CF9}"/>
    <cellStyle name="40% - Accent4 11 5 4" xfId="20147" xr:uid="{00000000-0005-0000-0000-000027400000}"/>
    <cellStyle name="40% - Accent4 11 5 4 2" xfId="43980" xr:uid="{893645AE-7D3C-4B10-AD0F-F7EE27D62C4B}"/>
    <cellStyle name="40% - Accent4 11 5 5" xfId="28101" xr:uid="{8C5FFA87-7485-41C8-A7AC-DD8BC32E73B0}"/>
    <cellStyle name="40% - Accent4 11 6" xfId="5987" xr:uid="{00000000-0005-0000-0000-000028400000}"/>
    <cellStyle name="40% - Accent4 11 6 2" xfId="13971" xr:uid="{00000000-0005-0000-0000-000029400000}"/>
    <cellStyle name="40% - Accent4 11 6 2 2" xfId="37815" xr:uid="{98CF3C51-A864-448F-AB3B-31DA48C45E24}"/>
    <cellStyle name="40% - Accent4 11 6 3" xfId="21919" xr:uid="{00000000-0005-0000-0000-00002A400000}"/>
    <cellStyle name="40% - Accent4 11 6 3 2" xfId="45752" xr:uid="{6D832CDF-55A1-40B7-A50B-B61036C63911}"/>
    <cellStyle name="40% - Accent4 11 6 4" xfId="29874" xr:uid="{6E1046C7-7630-4944-AF16-8E62CA9931FA}"/>
    <cellStyle name="40% - Accent4 11 7" xfId="9540" xr:uid="{00000000-0005-0000-0000-00002B400000}"/>
    <cellStyle name="40% - Accent4 11 7 2" xfId="17498" xr:uid="{00000000-0005-0000-0000-00002C400000}"/>
    <cellStyle name="40% - Accent4 11 7 2 2" xfId="41339" xr:uid="{391E8F74-62E6-4785-90CD-AF6020F4027A}"/>
    <cellStyle name="40% - Accent4 11 7 3" xfId="25442" xr:uid="{00000000-0005-0000-0000-00002D400000}"/>
    <cellStyle name="40% - Accent4 11 7 3 2" xfId="49275" xr:uid="{2AE4BFCE-2740-444D-AB9B-A0630EA8AAD9}"/>
    <cellStyle name="40% - Accent4 11 7 4" xfId="33398" xr:uid="{BCFFE88B-A343-407F-B2FF-DCFC7FFB228C}"/>
    <cellStyle name="40% - Accent4 11 8" xfId="10436" xr:uid="{00000000-0005-0000-0000-00002E400000}"/>
    <cellStyle name="40% - Accent4 11 8 2" xfId="34286" xr:uid="{7F8A4EF4-5776-4F52-B187-4A054F193228}"/>
    <cellStyle name="40% - Accent4 11 9" xfId="18391" xr:uid="{00000000-0005-0000-0000-00002F400000}"/>
    <cellStyle name="40% - Accent4 11 9 2" xfId="42224" xr:uid="{F17EA48B-A385-474E-9260-73E95839E161}"/>
    <cellStyle name="40% - Accent4 11_Exh G" xfId="3065" xr:uid="{00000000-0005-0000-0000-000030400000}"/>
    <cellStyle name="40% - Accent4 12" xfId="492" xr:uid="{00000000-0005-0000-0000-000031400000}"/>
    <cellStyle name="40% - Accent4 12 10" xfId="26348" xr:uid="{80D4225A-8ADE-4D7F-A9AF-C69435B279A7}"/>
    <cellStyle name="40% - Accent4 12 2" xfId="493" xr:uid="{00000000-0005-0000-0000-000032400000}"/>
    <cellStyle name="40% - Accent4 12 2 2" xfId="494" xr:uid="{00000000-0005-0000-0000-000033400000}"/>
    <cellStyle name="40% - Accent4 12 2 2 2" xfId="1522" xr:uid="{00000000-0005-0000-0000-000034400000}"/>
    <cellStyle name="40% - Accent4 12 2 2 2 2" xfId="5052" xr:uid="{00000000-0005-0000-0000-000035400000}"/>
    <cellStyle name="40% - Accent4 12 2 2 2 2 2" xfId="8643" xr:uid="{00000000-0005-0000-0000-000036400000}"/>
    <cellStyle name="40% - Accent4 12 2 2 2 2 2 2" xfId="16614" xr:uid="{00000000-0005-0000-0000-000037400000}"/>
    <cellStyle name="40% - Accent4 12 2 2 2 2 2 2 2" xfId="40457" xr:uid="{86809E0D-CB21-4BC8-87AD-95048A11FE02}"/>
    <cellStyle name="40% - Accent4 12 2 2 2 2 2 3" xfId="24560" xr:uid="{00000000-0005-0000-0000-000038400000}"/>
    <cellStyle name="40% - Accent4 12 2 2 2 2 2 3 2" xfId="48393" xr:uid="{A54757EC-8867-4912-B870-A8FE73C8FD9E}"/>
    <cellStyle name="40% - Accent4 12 2 2 2 2 2 4" xfId="32516" xr:uid="{A2A08A6F-6EAC-47DE-9AD2-2A64A025CC93}"/>
    <cellStyle name="40% - Accent4 12 2 2 2 2 3" xfId="13076" xr:uid="{00000000-0005-0000-0000-000039400000}"/>
    <cellStyle name="40% - Accent4 12 2 2 2 2 3 2" xfId="36926" xr:uid="{E04C7B1A-68A0-40D5-855B-C226C7835360}"/>
    <cellStyle name="40% - Accent4 12 2 2 2 2 4" xfId="21031" xr:uid="{00000000-0005-0000-0000-00003A400000}"/>
    <cellStyle name="40% - Accent4 12 2 2 2 2 4 2" xfId="44864" xr:uid="{5CACB679-7AB4-4155-BDD9-E11D734B742D}"/>
    <cellStyle name="40% - Accent4 12 2 2 2 2 5" xfId="28985" xr:uid="{155C97F6-6344-4387-853A-2C37C0CD1773}"/>
    <cellStyle name="40% - Accent4 12 2 2 2 3" xfId="6884" xr:uid="{00000000-0005-0000-0000-00003B400000}"/>
    <cellStyle name="40% - Accent4 12 2 2 2 3 2" xfId="14856" xr:uid="{00000000-0005-0000-0000-00003C400000}"/>
    <cellStyle name="40% - Accent4 12 2 2 2 3 2 2" xfId="38699" xr:uid="{ACDB26F2-47F9-4331-8A53-D2043C98B482}"/>
    <cellStyle name="40% - Accent4 12 2 2 2 3 3" xfId="22803" xr:uid="{00000000-0005-0000-0000-00003D400000}"/>
    <cellStyle name="40% - Accent4 12 2 2 2 3 3 2" xfId="46636" xr:uid="{9E23BF26-E700-4868-97E8-47CFDCBD75A9}"/>
    <cellStyle name="40% - Accent4 12 2 2 2 3 4" xfId="30758" xr:uid="{BAD62AED-2694-4B45-B09D-166CE650CE42}"/>
    <cellStyle name="40% - Accent4 12 2 2 2 4" xfId="11320" xr:uid="{00000000-0005-0000-0000-00003E400000}"/>
    <cellStyle name="40% - Accent4 12 2 2 2 4 2" xfId="35170" xr:uid="{C2B4C320-872C-469F-8927-5F4E13F35458}"/>
    <cellStyle name="40% - Accent4 12 2 2 2 5" xfId="19275" xr:uid="{00000000-0005-0000-0000-00003F400000}"/>
    <cellStyle name="40% - Accent4 12 2 2 2 5 2" xfId="43108" xr:uid="{E030B505-01F1-4E83-B3F7-C10E407485E2}"/>
    <cellStyle name="40% - Accent4 12 2 2 2 6" xfId="27228" xr:uid="{0590889B-9756-4DF0-B6D4-16755695DC08}"/>
    <cellStyle name="40% - Accent4 12 2 2 2_Exh G" xfId="3076" xr:uid="{00000000-0005-0000-0000-000040400000}"/>
    <cellStyle name="40% - Accent4 12 2 2 3" xfId="4173" xr:uid="{00000000-0005-0000-0000-000041400000}"/>
    <cellStyle name="40% - Accent4 12 2 2 3 2" xfId="7765" xr:uid="{00000000-0005-0000-0000-000042400000}"/>
    <cellStyle name="40% - Accent4 12 2 2 3 2 2" xfId="15736" xr:uid="{00000000-0005-0000-0000-000043400000}"/>
    <cellStyle name="40% - Accent4 12 2 2 3 2 2 2" xfId="39579" xr:uid="{776C48B6-03C4-4A82-8D9D-8D3DF04851AF}"/>
    <cellStyle name="40% - Accent4 12 2 2 3 2 3" xfId="23682" xr:uid="{00000000-0005-0000-0000-000044400000}"/>
    <cellStyle name="40% - Accent4 12 2 2 3 2 3 2" xfId="47515" xr:uid="{34CA7A9A-0900-434D-B10D-974687E2FD5D}"/>
    <cellStyle name="40% - Accent4 12 2 2 3 2 4" xfId="31638" xr:uid="{3386099E-5A30-40A8-8A6F-14FD85332B83}"/>
    <cellStyle name="40% - Accent4 12 2 2 3 3" xfId="12198" xr:uid="{00000000-0005-0000-0000-000045400000}"/>
    <cellStyle name="40% - Accent4 12 2 2 3 3 2" xfId="36048" xr:uid="{87BD1D91-D3A4-4453-A159-9D5E8CD0EB61}"/>
    <cellStyle name="40% - Accent4 12 2 2 3 4" xfId="20153" xr:uid="{00000000-0005-0000-0000-000046400000}"/>
    <cellStyle name="40% - Accent4 12 2 2 3 4 2" xfId="43986" xr:uid="{C66A52B9-76E4-40C4-B052-95F2BA18167C}"/>
    <cellStyle name="40% - Accent4 12 2 2 3 5" xfId="28107" xr:uid="{B1E5E0AA-D67C-4C9F-A01A-1A3E2ECE10E8}"/>
    <cellStyle name="40% - Accent4 12 2 2 4" xfId="5993" xr:uid="{00000000-0005-0000-0000-000047400000}"/>
    <cellStyle name="40% - Accent4 12 2 2 4 2" xfId="13977" xr:uid="{00000000-0005-0000-0000-000048400000}"/>
    <cellStyle name="40% - Accent4 12 2 2 4 2 2" xfId="37821" xr:uid="{AABF351D-33FC-43E2-B69F-690A39A5D162}"/>
    <cellStyle name="40% - Accent4 12 2 2 4 3" xfId="21925" xr:uid="{00000000-0005-0000-0000-000049400000}"/>
    <cellStyle name="40% - Accent4 12 2 2 4 3 2" xfId="45758" xr:uid="{2980AA5D-2548-4E7C-89DE-4103297AE5F4}"/>
    <cellStyle name="40% - Accent4 12 2 2 4 4" xfId="29880" xr:uid="{96F53058-7FDD-45CD-8941-B7099B467536}"/>
    <cellStyle name="40% - Accent4 12 2 2 5" xfId="9546" xr:uid="{00000000-0005-0000-0000-00004A400000}"/>
    <cellStyle name="40% - Accent4 12 2 2 5 2" xfId="17504" xr:uid="{00000000-0005-0000-0000-00004B400000}"/>
    <cellStyle name="40% - Accent4 12 2 2 5 2 2" xfId="41345" xr:uid="{76A8CDE3-A46D-4BDA-B67E-EE75A3167CE5}"/>
    <cellStyle name="40% - Accent4 12 2 2 5 3" xfId="25448" xr:uid="{00000000-0005-0000-0000-00004C400000}"/>
    <cellStyle name="40% - Accent4 12 2 2 5 3 2" xfId="49281" xr:uid="{EE73085C-3996-4D62-9614-4BC44FAC9A26}"/>
    <cellStyle name="40% - Accent4 12 2 2 5 4" xfId="33404" xr:uid="{CB0F5781-EBA4-44B6-9F1D-A9EFAF5C506F}"/>
    <cellStyle name="40% - Accent4 12 2 2 6" xfId="10442" xr:uid="{00000000-0005-0000-0000-00004D400000}"/>
    <cellStyle name="40% - Accent4 12 2 2 6 2" xfId="34292" xr:uid="{F9EC0A44-1EB4-4F99-9EAE-D3C229DB3A65}"/>
    <cellStyle name="40% - Accent4 12 2 2 7" xfId="18397" xr:uid="{00000000-0005-0000-0000-00004E400000}"/>
    <cellStyle name="40% - Accent4 12 2 2 7 2" xfId="42230" xr:uid="{71255634-F0DC-4F94-8884-15394E060E1F}"/>
    <cellStyle name="40% - Accent4 12 2 2 8" xfId="26350" xr:uid="{B88F9CBC-565B-44F5-8F60-B49AF7B5D7CC}"/>
    <cellStyle name="40% - Accent4 12 2 2_Exh G" xfId="3075" xr:uid="{00000000-0005-0000-0000-00004F400000}"/>
    <cellStyle name="40% - Accent4 12 2 3" xfId="1521" xr:uid="{00000000-0005-0000-0000-000050400000}"/>
    <cellStyle name="40% - Accent4 12 2 3 2" xfId="5051" xr:uid="{00000000-0005-0000-0000-000051400000}"/>
    <cellStyle name="40% - Accent4 12 2 3 2 2" xfId="8642" xr:uid="{00000000-0005-0000-0000-000052400000}"/>
    <cellStyle name="40% - Accent4 12 2 3 2 2 2" xfId="16613" xr:uid="{00000000-0005-0000-0000-000053400000}"/>
    <cellStyle name="40% - Accent4 12 2 3 2 2 2 2" xfId="40456" xr:uid="{886CBEC4-8F0C-490D-890E-0B9CD4AD74A8}"/>
    <cellStyle name="40% - Accent4 12 2 3 2 2 3" xfId="24559" xr:uid="{00000000-0005-0000-0000-000054400000}"/>
    <cellStyle name="40% - Accent4 12 2 3 2 2 3 2" xfId="48392" xr:uid="{3904D2B0-FD85-4255-8975-F1578895E2A3}"/>
    <cellStyle name="40% - Accent4 12 2 3 2 2 4" xfId="32515" xr:uid="{36B072D3-5C61-4197-B5E2-3171915076A4}"/>
    <cellStyle name="40% - Accent4 12 2 3 2 3" xfId="13075" xr:uid="{00000000-0005-0000-0000-000055400000}"/>
    <cellStyle name="40% - Accent4 12 2 3 2 3 2" xfId="36925" xr:uid="{FDED0D39-EC37-4A44-8875-A8C144040F19}"/>
    <cellStyle name="40% - Accent4 12 2 3 2 4" xfId="21030" xr:uid="{00000000-0005-0000-0000-000056400000}"/>
    <cellStyle name="40% - Accent4 12 2 3 2 4 2" xfId="44863" xr:uid="{989A3E1D-66F9-4772-86A1-471BEA96EEF5}"/>
    <cellStyle name="40% - Accent4 12 2 3 2 5" xfId="28984" xr:uid="{8004D7C4-8B99-45C3-AD37-EB86B7C689A3}"/>
    <cellStyle name="40% - Accent4 12 2 3 3" xfId="6883" xr:uid="{00000000-0005-0000-0000-000057400000}"/>
    <cellStyle name="40% - Accent4 12 2 3 3 2" xfId="14855" xr:uid="{00000000-0005-0000-0000-000058400000}"/>
    <cellStyle name="40% - Accent4 12 2 3 3 2 2" xfId="38698" xr:uid="{1E0F66AE-FD55-4852-90D6-A2793574B5DA}"/>
    <cellStyle name="40% - Accent4 12 2 3 3 3" xfId="22802" xr:uid="{00000000-0005-0000-0000-000059400000}"/>
    <cellStyle name="40% - Accent4 12 2 3 3 3 2" xfId="46635" xr:uid="{F4E3A4A9-B2D3-4567-810B-219558CC3776}"/>
    <cellStyle name="40% - Accent4 12 2 3 3 4" xfId="30757" xr:uid="{4EF1A80B-209C-40DA-8A5E-3D3E1839639B}"/>
    <cellStyle name="40% - Accent4 12 2 3 4" xfId="11319" xr:uid="{00000000-0005-0000-0000-00005A400000}"/>
    <cellStyle name="40% - Accent4 12 2 3 4 2" xfId="35169" xr:uid="{A66D02BD-786D-413B-985E-E81B50A0E81D}"/>
    <cellStyle name="40% - Accent4 12 2 3 5" xfId="19274" xr:uid="{00000000-0005-0000-0000-00005B400000}"/>
    <cellStyle name="40% - Accent4 12 2 3 5 2" xfId="43107" xr:uid="{13A4A293-A93D-40D1-AA19-B71700D55E32}"/>
    <cellStyle name="40% - Accent4 12 2 3 6" xfId="27227" xr:uid="{C6175AB5-5630-4F4D-86BA-EBE7F6E326B8}"/>
    <cellStyle name="40% - Accent4 12 2 3_Exh G" xfId="3077" xr:uid="{00000000-0005-0000-0000-00005C400000}"/>
    <cellStyle name="40% - Accent4 12 2 4" xfId="4172" xr:uid="{00000000-0005-0000-0000-00005D400000}"/>
    <cellStyle name="40% - Accent4 12 2 4 2" xfId="7764" xr:uid="{00000000-0005-0000-0000-00005E400000}"/>
    <cellStyle name="40% - Accent4 12 2 4 2 2" xfId="15735" xr:uid="{00000000-0005-0000-0000-00005F400000}"/>
    <cellStyle name="40% - Accent4 12 2 4 2 2 2" xfId="39578" xr:uid="{F275DCE7-1870-4C02-8F85-92698134888C}"/>
    <cellStyle name="40% - Accent4 12 2 4 2 3" xfId="23681" xr:uid="{00000000-0005-0000-0000-000060400000}"/>
    <cellStyle name="40% - Accent4 12 2 4 2 3 2" xfId="47514" xr:uid="{BC08F7F9-47F9-432F-892F-EDDA863BC42A}"/>
    <cellStyle name="40% - Accent4 12 2 4 2 4" xfId="31637" xr:uid="{9EC0B7FB-0664-4802-AC0A-4CFA6500C27C}"/>
    <cellStyle name="40% - Accent4 12 2 4 3" xfId="12197" xr:uid="{00000000-0005-0000-0000-000061400000}"/>
    <cellStyle name="40% - Accent4 12 2 4 3 2" xfId="36047" xr:uid="{56E0BD27-3D7A-4410-B502-3BD9A36E3ADA}"/>
    <cellStyle name="40% - Accent4 12 2 4 4" xfId="20152" xr:uid="{00000000-0005-0000-0000-000062400000}"/>
    <cellStyle name="40% - Accent4 12 2 4 4 2" xfId="43985" xr:uid="{B037EAD1-45BA-48D2-8B27-256A2C49B046}"/>
    <cellStyle name="40% - Accent4 12 2 4 5" xfId="28106" xr:uid="{2F8BC214-119B-45D5-962D-26171403527D}"/>
    <cellStyle name="40% - Accent4 12 2 5" xfId="5992" xr:uid="{00000000-0005-0000-0000-000063400000}"/>
    <cellStyle name="40% - Accent4 12 2 5 2" xfId="13976" xr:uid="{00000000-0005-0000-0000-000064400000}"/>
    <cellStyle name="40% - Accent4 12 2 5 2 2" xfId="37820" xr:uid="{CCB26F60-45D3-4695-8C43-3B6FF5554044}"/>
    <cellStyle name="40% - Accent4 12 2 5 3" xfId="21924" xr:uid="{00000000-0005-0000-0000-000065400000}"/>
    <cellStyle name="40% - Accent4 12 2 5 3 2" xfId="45757" xr:uid="{D757C051-7912-4FEB-98F8-FFBFFAC105B9}"/>
    <cellStyle name="40% - Accent4 12 2 5 4" xfId="29879" xr:uid="{D23B5797-F8E3-4384-809A-DC996374AEA8}"/>
    <cellStyle name="40% - Accent4 12 2 6" xfId="9545" xr:uid="{00000000-0005-0000-0000-000066400000}"/>
    <cellStyle name="40% - Accent4 12 2 6 2" xfId="17503" xr:uid="{00000000-0005-0000-0000-000067400000}"/>
    <cellStyle name="40% - Accent4 12 2 6 2 2" xfId="41344" xr:uid="{EC67BDF2-A3E0-4EC0-B270-AB0238459F2E}"/>
    <cellStyle name="40% - Accent4 12 2 6 3" xfId="25447" xr:uid="{00000000-0005-0000-0000-000068400000}"/>
    <cellStyle name="40% - Accent4 12 2 6 3 2" xfId="49280" xr:uid="{AB1885BF-015F-40A3-A608-31225B93C8C1}"/>
    <cellStyle name="40% - Accent4 12 2 6 4" xfId="33403" xr:uid="{0138365D-D6B5-4101-890E-2F8BF8376053}"/>
    <cellStyle name="40% - Accent4 12 2 7" xfId="10441" xr:uid="{00000000-0005-0000-0000-000069400000}"/>
    <cellStyle name="40% - Accent4 12 2 7 2" xfId="34291" xr:uid="{4782415B-22A7-4739-8BA2-5CAF2B199935}"/>
    <cellStyle name="40% - Accent4 12 2 8" xfId="18396" xr:uid="{00000000-0005-0000-0000-00006A400000}"/>
    <cellStyle name="40% - Accent4 12 2 8 2" xfId="42229" xr:uid="{3E7D1199-5C04-40D3-8864-E31979503BD0}"/>
    <cellStyle name="40% - Accent4 12 2 9" xfId="26349" xr:uid="{0D525391-1370-49ED-B341-0C9EA6E4B882}"/>
    <cellStyle name="40% - Accent4 12 2_Exh G" xfId="3074" xr:uid="{00000000-0005-0000-0000-00006B400000}"/>
    <cellStyle name="40% - Accent4 12 3" xfId="495" xr:uid="{00000000-0005-0000-0000-00006C400000}"/>
    <cellStyle name="40% - Accent4 12 3 2" xfId="1523" xr:uid="{00000000-0005-0000-0000-00006D400000}"/>
    <cellStyle name="40% - Accent4 12 3 2 2" xfId="5053" xr:uid="{00000000-0005-0000-0000-00006E400000}"/>
    <cellStyle name="40% - Accent4 12 3 2 2 2" xfId="8644" xr:uid="{00000000-0005-0000-0000-00006F400000}"/>
    <cellStyle name="40% - Accent4 12 3 2 2 2 2" xfId="16615" xr:uid="{00000000-0005-0000-0000-000070400000}"/>
    <cellStyle name="40% - Accent4 12 3 2 2 2 2 2" xfId="40458" xr:uid="{D1B28C61-08CC-4BC5-9CFC-FAD9328E758D}"/>
    <cellStyle name="40% - Accent4 12 3 2 2 2 3" xfId="24561" xr:uid="{00000000-0005-0000-0000-000071400000}"/>
    <cellStyle name="40% - Accent4 12 3 2 2 2 3 2" xfId="48394" xr:uid="{D5E0E965-8CB5-458B-9A54-063A02107B53}"/>
    <cellStyle name="40% - Accent4 12 3 2 2 2 4" xfId="32517" xr:uid="{B0FEC80A-680E-44D5-A360-B638E726C5D0}"/>
    <cellStyle name="40% - Accent4 12 3 2 2 3" xfId="13077" xr:uid="{00000000-0005-0000-0000-000072400000}"/>
    <cellStyle name="40% - Accent4 12 3 2 2 3 2" xfId="36927" xr:uid="{AB9760F5-9C44-46BC-ADA7-5FB114E02D9B}"/>
    <cellStyle name="40% - Accent4 12 3 2 2 4" xfId="21032" xr:uid="{00000000-0005-0000-0000-000073400000}"/>
    <cellStyle name="40% - Accent4 12 3 2 2 4 2" xfId="44865" xr:uid="{EFF5905F-2A0D-42F9-8186-F1077551F7D4}"/>
    <cellStyle name="40% - Accent4 12 3 2 2 5" xfId="28986" xr:uid="{A6B43848-79F5-4053-B1F6-3747A49EB877}"/>
    <cellStyle name="40% - Accent4 12 3 2 3" xfId="6885" xr:uid="{00000000-0005-0000-0000-000074400000}"/>
    <cellStyle name="40% - Accent4 12 3 2 3 2" xfId="14857" xr:uid="{00000000-0005-0000-0000-000075400000}"/>
    <cellStyle name="40% - Accent4 12 3 2 3 2 2" xfId="38700" xr:uid="{B4FDFB09-F229-4202-AE32-C203648CA3D3}"/>
    <cellStyle name="40% - Accent4 12 3 2 3 3" xfId="22804" xr:uid="{00000000-0005-0000-0000-000076400000}"/>
    <cellStyle name="40% - Accent4 12 3 2 3 3 2" xfId="46637" xr:uid="{AD32146A-EFF7-44E8-9B7E-80AF63B33C5B}"/>
    <cellStyle name="40% - Accent4 12 3 2 3 4" xfId="30759" xr:uid="{BF68811C-E409-4A73-B9ED-1B2EC4C511DD}"/>
    <cellStyle name="40% - Accent4 12 3 2 4" xfId="11321" xr:uid="{00000000-0005-0000-0000-000077400000}"/>
    <cellStyle name="40% - Accent4 12 3 2 4 2" xfId="35171" xr:uid="{50E93C53-0BD9-4BE3-A235-2235FB8A57EF}"/>
    <cellStyle name="40% - Accent4 12 3 2 5" xfId="19276" xr:uid="{00000000-0005-0000-0000-000078400000}"/>
    <cellStyle name="40% - Accent4 12 3 2 5 2" xfId="43109" xr:uid="{CC9E4917-EC99-4F7B-B14A-CCD1FDBA5254}"/>
    <cellStyle name="40% - Accent4 12 3 2 6" xfId="27229" xr:uid="{A86F78B1-F423-4250-886F-1D77C57ABD6F}"/>
    <cellStyle name="40% - Accent4 12 3 2_Exh G" xfId="3079" xr:uid="{00000000-0005-0000-0000-000079400000}"/>
    <cellStyle name="40% - Accent4 12 3 3" xfId="4174" xr:uid="{00000000-0005-0000-0000-00007A400000}"/>
    <cellStyle name="40% - Accent4 12 3 3 2" xfId="7766" xr:uid="{00000000-0005-0000-0000-00007B400000}"/>
    <cellStyle name="40% - Accent4 12 3 3 2 2" xfId="15737" xr:uid="{00000000-0005-0000-0000-00007C400000}"/>
    <cellStyle name="40% - Accent4 12 3 3 2 2 2" xfId="39580" xr:uid="{5173B856-F2C3-44A0-9483-3BEB69E0B095}"/>
    <cellStyle name="40% - Accent4 12 3 3 2 3" xfId="23683" xr:uid="{00000000-0005-0000-0000-00007D400000}"/>
    <cellStyle name="40% - Accent4 12 3 3 2 3 2" xfId="47516" xr:uid="{835A5FDA-7D94-43F2-9842-A63F173BD1BF}"/>
    <cellStyle name="40% - Accent4 12 3 3 2 4" xfId="31639" xr:uid="{D333BCCB-4F33-4D97-9BAE-2B9265C704FA}"/>
    <cellStyle name="40% - Accent4 12 3 3 3" xfId="12199" xr:uid="{00000000-0005-0000-0000-00007E400000}"/>
    <cellStyle name="40% - Accent4 12 3 3 3 2" xfId="36049" xr:uid="{7C77F689-F2BA-4EC6-A943-0A6815C41693}"/>
    <cellStyle name="40% - Accent4 12 3 3 4" xfId="20154" xr:uid="{00000000-0005-0000-0000-00007F400000}"/>
    <cellStyle name="40% - Accent4 12 3 3 4 2" xfId="43987" xr:uid="{10C25E88-AB38-450A-99D0-B7D6ABBE07FB}"/>
    <cellStyle name="40% - Accent4 12 3 3 5" xfId="28108" xr:uid="{68D85CED-3330-4048-8F75-B85C2FA8BE51}"/>
    <cellStyle name="40% - Accent4 12 3 4" xfId="5994" xr:uid="{00000000-0005-0000-0000-000080400000}"/>
    <cellStyle name="40% - Accent4 12 3 4 2" xfId="13978" xr:uid="{00000000-0005-0000-0000-000081400000}"/>
    <cellStyle name="40% - Accent4 12 3 4 2 2" xfId="37822" xr:uid="{B7FC95FC-2206-4D4B-A066-1D86AD202448}"/>
    <cellStyle name="40% - Accent4 12 3 4 3" xfId="21926" xr:uid="{00000000-0005-0000-0000-000082400000}"/>
    <cellStyle name="40% - Accent4 12 3 4 3 2" xfId="45759" xr:uid="{51280762-53C7-4DF9-AC14-CECA80AE52C1}"/>
    <cellStyle name="40% - Accent4 12 3 4 4" xfId="29881" xr:uid="{E476D846-E6A0-4B02-979D-D25D617E1395}"/>
    <cellStyle name="40% - Accent4 12 3 5" xfId="9547" xr:uid="{00000000-0005-0000-0000-000083400000}"/>
    <cellStyle name="40% - Accent4 12 3 5 2" xfId="17505" xr:uid="{00000000-0005-0000-0000-000084400000}"/>
    <cellStyle name="40% - Accent4 12 3 5 2 2" xfId="41346" xr:uid="{1086D9D0-5B62-4555-8886-ACB3B0B07AF7}"/>
    <cellStyle name="40% - Accent4 12 3 5 3" xfId="25449" xr:uid="{00000000-0005-0000-0000-000085400000}"/>
    <cellStyle name="40% - Accent4 12 3 5 3 2" xfId="49282" xr:uid="{1BABEB2A-950E-4A52-80B5-7D476F24F683}"/>
    <cellStyle name="40% - Accent4 12 3 5 4" xfId="33405" xr:uid="{46DE0169-9537-40F6-9AAF-9386D057283F}"/>
    <cellStyle name="40% - Accent4 12 3 6" xfId="10443" xr:uid="{00000000-0005-0000-0000-000086400000}"/>
    <cellStyle name="40% - Accent4 12 3 6 2" xfId="34293" xr:uid="{00F7F4BB-819C-4B7D-A471-65A958D9DB5B}"/>
    <cellStyle name="40% - Accent4 12 3 7" xfId="18398" xr:uid="{00000000-0005-0000-0000-000087400000}"/>
    <cellStyle name="40% - Accent4 12 3 7 2" xfId="42231" xr:uid="{9BE14422-9507-4FC7-97A4-371247DE2F9E}"/>
    <cellStyle name="40% - Accent4 12 3 8" xfId="26351" xr:uid="{14C2A170-5A11-47B6-A871-F1D049297B94}"/>
    <cellStyle name="40% - Accent4 12 3_Exh G" xfId="3078" xr:uid="{00000000-0005-0000-0000-000088400000}"/>
    <cellStyle name="40% - Accent4 12 4" xfId="1520" xr:uid="{00000000-0005-0000-0000-000089400000}"/>
    <cellStyle name="40% - Accent4 12 4 2" xfId="5050" xr:uid="{00000000-0005-0000-0000-00008A400000}"/>
    <cellStyle name="40% - Accent4 12 4 2 2" xfId="8641" xr:uid="{00000000-0005-0000-0000-00008B400000}"/>
    <cellStyle name="40% - Accent4 12 4 2 2 2" xfId="16612" xr:uid="{00000000-0005-0000-0000-00008C400000}"/>
    <cellStyle name="40% - Accent4 12 4 2 2 2 2" xfId="40455" xr:uid="{9CDF4268-6D85-43B9-9622-9863B196AE2F}"/>
    <cellStyle name="40% - Accent4 12 4 2 2 3" xfId="24558" xr:uid="{00000000-0005-0000-0000-00008D400000}"/>
    <cellStyle name="40% - Accent4 12 4 2 2 3 2" xfId="48391" xr:uid="{80D0BC1D-8212-43E0-ACF1-81E9FB2B0B9E}"/>
    <cellStyle name="40% - Accent4 12 4 2 2 4" xfId="32514" xr:uid="{8D08838A-1498-4FAE-89DE-B17622D285FC}"/>
    <cellStyle name="40% - Accent4 12 4 2 3" xfId="13074" xr:uid="{00000000-0005-0000-0000-00008E400000}"/>
    <cellStyle name="40% - Accent4 12 4 2 3 2" xfId="36924" xr:uid="{8F73892A-534A-48B3-BA43-5E9684A1AF77}"/>
    <cellStyle name="40% - Accent4 12 4 2 4" xfId="21029" xr:uid="{00000000-0005-0000-0000-00008F400000}"/>
    <cellStyle name="40% - Accent4 12 4 2 4 2" xfId="44862" xr:uid="{99400509-BF91-415F-8828-414CDF7EDA18}"/>
    <cellStyle name="40% - Accent4 12 4 2 5" xfId="28983" xr:uid="{8117DB69-0BF1-4CD6-A156-232F962F6F0C}"/>
    <cellStyle name="40% - Accent4 12 4 3" xfId="6882" xr:uid="{00000000-0005-0000-0000-000090400000}"/>
    <cellStyle name="40% - Accent4 12 4 3 2" xfId="14854" xr:uid="{00000000-0005-0000-0000-000091400000}"/>
    <cellStyle name="40% - Accent4 12 4 3 2 2" xfId="38697" xr:uid="{E32CAC52-47E6-4F66-9292-4A56078273C2}"/>
    <cellStyle name="40% - Accent4 12 4 3 3" xfId="22801" xr:uid="{00000000-0005-0000-0000-000092400000}"/>
    <cellStyle name="40% - Accent4 12 4 3 3 2" xfId="46634" xr:uid="{650264AA-7C25-4EC8-96D0-863E124097D8}"/>
    <cellStyle name="40% - Accent4 12 4 3 4" xfId="30756" xr:uid="{EEC12E87-D6A0-475E-94ED-374758A71103}"/>
    <cellStyle name="40% - Accent4 12 4 4" xfId="11318" xr:uid="{00000000-0005-0000-0000-000093400000}"/>
    <cellStyle name="40% - Accent4 12 4 4 2" xfId="35168" xr:uid="{8BCE7B86-9C0D-49E6-BD81-5AADE5805585}"/>
    <cellStyle name="40% - Accent4 12 4 5" xfId="19273" xr:uid="{00000000-0005-0000-0000-000094400000}"/>
    <cellStyle name="40% - Accent4 12 4 5 2" xfId="43106" xr:uid="{B3356F09-65E5-4656-98DD-49C617E66521}"/>
    <cellStyle name="40% - Accent4 12 4 6" xfId="27226" xr:uid="{79888420-CFCC-4FD8-9A00-C660CE58A183}"/>
    <cellStyle name="40% - Accent4 12 4_Exh G" xfId="3080" xr:uid="{00000000-0005-0000-0000-000095400000}"/>
    <cellStyle name="40% - Accent4 12 5" xfId="4171" xr:uid="{00000000-0005-0000-0000-000096400000}"/>
    <cellStyle name="40% - Accent4 12 5 2" xfId="7763" xr:uid="{00000000-0005-0000-0000-000097400000}"/>
    <cellStyle name="40% - Accent4 12 5 2 2" xfId="15734" xr:uid="{00000000-0005-0000-0000-000098400000}"/>
    <cellStyle name="40% - Accent4 12 5 2 2 2" xfId="39577" xr:uid="{80F09B1D-E499-45F6-BDD5-42437A0F05BE}"/>
    <cellStyle name="40% - Accent4 12 5 2 3" xfId="23680" xr:uid="{00000000-0005-0000-0000-000099400000}"/>
    <cellStyle name="40% - Accent4 12 5 2 3 2" xfId="47513" xr:uid="{50B72661-21E3-4B8B-8C77-A310F78F4957}"/>
    <cellStyle name="40% - Accent4 12 5 2 4" xfId="31636" xr:uid="{F761CBE0-1CE6-4D18-8047-B6E70D8F7278}"/>
    <cellStyle name="40% - Accent4 12 5 3" xfId="12196" xr:uid="{00000000-0005-0000-0000-00009A400000}"/>
    <cellStyle name="40% - Accent4 12 5 3 2" xfId="36046" xr:uid="{8076ECB8-C426-410B-9F55-4BA112235AD9}"/>
    <cellStyle name="40% - Accent4 12 5 4" xfId="20151" xr:uid="{00000000-0005-0000-0000-00009B400000}"/>
    <cellStyle name="40% - Accent4 12 5 4 2" xfId="43984" xr:uid="{542235AB-F116-4525-9476-84F59768FD59}"/>
    <cellStyle name="40% - Accent4 12 5 5" xfId="28105" xr:uid="{216F7ADD-243C-425C-810B-572A04CE6FB3}"/>
    <cellStyle name="40% - Accent4 12 6" xfId="5991" xr:uid="{00000000-0005-0000-0000-00009C400000}"/>
    <cellStyle name="40% - Accent4 12 6 2" xfId="13975" xr:uid="{00000000-0005-0000-0000-00009D400000}"/>
    <cellStyle name="40% - Accent4 12 6 2 2" xfId="37819" xr:uid="{AAA6F551-65C2-4EBD-89DE-578E7D916D4F}"/>
    <cellStyle name="40% - Accent4 12 6 3" xfId="21923" xr:uid="{00000000-0005-0000-0000-00009E400000}"/>
    <cellStyle name="40% - Accent4 12 6 3 2" xfId="45756" xr:uid="{DED67B95-B03E-4A28-98B1-F9580FB1B6FC}"/>
    <cellStyle name="40% - Accent4 12 6 4" xfId="29878" xr:uid="{A98A9356-522E-4896-A33C-AED3FF4FC3E1}"/>
    <cellStyle name="40% - Accent4 12 7" xfId="9544" xr:uid="{00000000-0005-0000-0000-00009F400000}"/>
    <cellStyle name="40% - Accent4 12 7 2" xfId="17502" xr:uid="{00000000-0005-0000-0000-0000A0400000}"/>
    <cellStyle name="40% - Accent4 12 7 2 2" xfId="41343" xr:uid="{051B9697-D386-4875-9EF9-A3766B98AA0F}"/>
    <cellStyle name="40% - Accent4 12 7 3" xfId="25446" xr:uid="{00000000-0005-0000-0000-0000A1400000}"/>
    <cellStyle name="40% - Accent4 12 7 3 2" xfId="49279" xr:uid="{A48FECBC-27D0-41F5-ACFD-EFC3DCD95D25}"/>
    <cellStyle name="40% - Accent4 12 7 4" xfId="33402" xr:uid="{C6C9BA08-996F-41A4-9741-79F7082C8254}"/>
    <cellStyle name="40% - Accent4 12 8" xfId="10440" xr:uid="{00000000-0005-0000-0000-0000A2400000}"/>
    <cellStyle name="40% - Accent4 12 8 2" xfId="34290" xr:uid="{17C83322-21F0-4771-9E3B-3F735C1F8347}"/>
    <cellStyle name="40% - Accent4 12 9" xfId="18395" xr:uid="{00000000-0005-0000-0000-0000A3400000}"/>
    <cellStyle name="40% - Accent4 12 9 2" xfId="42228" xr:uid="{882FD7D1-EBD7-47D1-B47B-C230D8D043C3}"/>
    <cellStyle name="40% - Accent4 12_Exh G" xfId="3073" xr:uid="{00000000-0005-0000-0000-0000A4400000}"/>
    <cellStyle name="40% - Accent4 13" xfId="496" xr:uid="{00000000-0005-0000-0000-0000A5400000}"/>
    <cellStyle name="40% - Accent4 13 10" xfId="26352" xr:uid="{32A3A9C5-AF00-4557-87C2-34B2138570BE}"/>
    <cellStyle name="40% - Accent4 13 2" xfId="497" xr:uid="{00000000-0005-0000-0000-0000A6400000}"/>
    <cellStyle name="40% - Accent4 13 2 2" xfId="498" xr:uid="{00000000-0005-0000-0000-0000A7400000}"/>
    <cellStyle name="40% - Accent4 13 2 2 2" xfId="1526" xr:uid="{00000000-0005-0000-0000-0000A8400000}"/>
    <cellStyle name="40% - Accent4 13 2 2 2 2" xfId="5056" xr:uid="{00000000-0005-0000-0000-0000A9400000}"/>
    <cellStyle name="40% - Accent4 13 2 2 2 2 2" xfId="8647" xr:uid="{00000000-0005-0000-0000-0000AA400000}"/>
    <cellStyle name="40% - Accent4 13 2 2 2 2 2 2" xfId="16618" xr:uid="{00000000-0005-0000-0000-0000AB400000}"/>
    <cellStyle name="40% - Accent4 13 2 2 2 2 2 2 2" xfId="40461" xr:uid="{BF7D88F2-57B9-41E3-AF37-8F10BBC00763}"/>
    <cellStyle name="40% - Accent4 13 2 2 2 2 2 3" xfId="24564" xr:uid="{00000000-0005-0000-0000-0000AC400000}"/>
    <cellStyle name="40% - Accent4 13 2 2 2 2 2 3 2" xfId="48397" xr:uid="{EEDF08AD-EA82-443C-B2F7-C92B65675B7A}"/>
    <cellStyle name="40% - Accent4 13 2 2 2 2 2 4" xfId="32520" xr:uid="{A9E3F1D9-D75D-4346-83EA-754FA950C685}"/>
    <cellStyle name="40% - Accent4 13 2 2 2 2 3" xfId="13080" xr:uid="{00000000-0005-0000-0000-0000AD400000}"/>
    <cellStyle name="40% - Accent4 13 2 2 2 2 3 2" xfId="36930" xr:uid="{448EE400-0B15-46BA-B19E-C487AC07ACB3}"/>
    <cellStyle name="40% - Accent4 13 2 2 2 2 4" xfId="21035" xr:uid="{00000000-0005-0000-0000-0000AE400000}"/>
    <cellStyle name="40% - Accent4 13 2 2 2 2 4 2" xfId="44868" xr:uid="{D3F5FC92-219E-49A9-AF91-EA11B6AABFB5}"/>
    <cellStyle name="40% - Accent4 13 2 2 2 2 5" xfId="28989" xr:uid="{9BB5793C-F1D4-478C-90C8-8087EC9354AE}"/>
    <cellStyle name="40% - Accent4 13 2 2 2 3" xfId="6888" xr:uid="{00000000-0005-0000-0000-0000AF400000}"/>
    <cellStyle name="40% - Accent4 13 2 2 2 3 2" xfId="14860" xr:uid="{00000000-0005-0000-0000-0000B0400000}"/>
    <cellStyle name="40% - Accent4 13 2 2 2 3 2 2" xfId="38703" xr:uid="{93049A72-536F-416E-9940-750C6C1AE434}"/>
    <cellStyle name="40% - Accent4 13 2 2 2 3 3" xfId="22807" xr:uid="{00000000-0005-0000-0000-0000B1400000}"/>
    <cellStyle name="40% - Accent4 13 2 2 2 3 3 2" xfId="46640" xr:uid="{3CB2D838-65E5-4B61-8BC6-4CF2D81FE95A}"/>
    <cellStyle name="40% - Accent4 13 2 2 2 3 4" xfId="30762" xr:uid="{6539131B-2B12-4524-B5F1-AC77AB9DA3B2}"/>
    <cellStyle name="40% - Accent4 13 2 2 2 4" xfId="11324" xr:uid="{00000000-0005-0000-0000-0000B2400000}"/>
    <cellStyle name="40% - Accent4 13 2 2 2 4 2" xfId="35174" xr:uid="{CBE40256-3083-4AD1-83DB-11FCFBF81BE0}"/>
    <cellStyle name="40% - Accent4 13 2 2 2 5" xfId="19279" xr:uid="{00000000-0005-0000-0000-0000B3400000}"/>
    <cellStyle name="40% - Accent4 13 2 2 2 5 2" xfId="43112" xr:uid="{52E11D6E-1FAB-4606-B342-BA8F1363663F}"/>
    <cellStyle name="40% - Accent4 13 2 2 2 6" xfId="27232" xr:uid="{B94824E5-0588-40FF-8480-2F32A56CE519}"/>
    <cellStyle name="40% - Accent4 13 2 2 2_Exh G" xfId="3084" xr:uid="{00000000-0005-0000-0000-0000B4400000}"/>
    <cellStyle name="40% - Accent4 13 2 2 3" xfId="4177" xr:uid="{00000000-0005-0000-0000-0000B5400000}"/>
    <cellStyle name="40% - Accent4 13 2 2 3 2" xfId="7769" xr:uid="{00000000-0005-0000-0000-0000B6400000}"/>
    <cellStyle name="40% - Accent4 13 2 2 3 2 2" xfId="15740" xr:uid="{00000000-0005-0000-0000-0000B7400000}"/>
    <cellStyle name="40% - Accent4 13 2 2 3 2 2 2" xfId="39583" xr:uid="{0BA68887-A30D-4B55-BA15-AA432DCAB6B0}"/>
    <cellStyle name="40% - Accent4 13 2 2 3 2 3" xfId="23686" xr:uid="{00000000-0005-0000-0000-0000B8400000}"/>
    <cellStyle name="40% - Accent4 13 2 2 3 2 3 2" xfId="47519" xr:uid="{DC91E0ED-6656-4483-BC33-87E9C430988A}"/>
    <cellStyle name="40% - Accent4 13 2 2 3 2 4" xfId="31642" xr:uid="{723B6B26-2A75-4327-933E-770C7C69A705}"/>
    <cellStyle name="40% - Accent4 13 2 2 3 3" xfId="12202" xr:uid="{00000000-0005-0000-0000-0000B9400000}"/>
    <cellStyle name="40% - Accent4 13 2 2 3 3 2" xfId="36052" xr:uid="{2D86418F-147C-43F8-8306-72B7ABB8B901}"/>
    <cellStyle name="40% - Accent4 13 2 2 3 4" xfId="20157" xr:uid="{00000000-0005-0000-0000-0000BA400000}"/>
    <cellStyle name="40% - Accent4 13 2 2 3 4 2" xfId="43990" xr:uid="{E9991526-6C51-449A-BE2C-6EBB71205B41}"/>
    <cellStyle name="40% - Accent4 13 2 2 3 5" xfId="28111" xr:uid="{F488031E-EA38-4E20-95A5-284F8CB33F4A}"/>
    <cellStyle name="40% - Accent4 13 2 2 4" xfId="5997" xr:uid="{00000000-0005-0000-0000-0000BB400000}"/>
    <cellStyle name="40% - Accent4 13 2 2 4 2" xfId="13981" xr:uid="{00000000-0005-0000-0000-0000BC400000}"/>
    <cellStyle name="40% - Accent4 13 2 2 4 2 2" xfId="37825" xr:uid="{5B62F344-80DC-45CE-B8FF-924C49FA6DE1}"/>
    <cellStyle name="40% - Accent4 13 2 2 4 3" xfId="21929" xr:uid="{00000000-0005-0000-0000-0000BD400000}"/>
    <cellStyle name="40% - Accent4 13 2 2 4 3 2" xfId="45762" xr:uid="{71745CEE-78B4-4E3E-A20F-00A3BA436D99}"/>
    <cellStyle name="40% - Accent4 13 2 2 4 4" xfId="29884" xr:uid="{5FC7005F-133C-411D-84BC-7A76678062CD}"/>
    <cellStyle name="40% - Accent4 13 2 2 5" xfId="9550" xr:uid="{00000000-0005-0000-0000-0000BE400000}"/>
    <cellStyle name="40% - Accent4 13 2 2 5 2" xfId="17508" xr:uid="{00000000-0005-0000-0000-0000BF400000}"/>
    <cellStyle name="40% - Accent4 13 2 2 5 2 2" xfId="41349" xr:uid="{08A59B4D-3185-458E-96F7-D0B5B7C071D3}"/>
    <cellStyle name="40% - Accent4 13 2 2 5 3" xfId="25452" xr:uid="{00000000-0005-0000-0000-0000C0400000}"/>
    <cellStyle name="40% - Accent4 13 2 2 5 3 2" xfId="49285" xr:uid="{CA42AC22-F13F-40B6-ACF1-C755F9A69B9B}"/>
    <cellStyle name="40% - Accent4 13 2 2 5 4" xfId="33408" xr:uid="{F474E87F-D8F3-411C-BA95-638073774DEF}"/>
    <cellStyle name="40% - Accent4 13 2 2 6" xfId="10446" xr:uid="{00000000-0005-0000-0000-0000C1400000}"/>
    <cellStyle name="40% - Accent4 13 2 2 6 2" xfId="34296" xr:uid="{797DF032-6221-4191-B571-A1581128DF71}"/>
    <cellStyle name="40% - Accent4 13 2 2 7" xfId="18401" xr:uid="{00000000-0005-0000-0000-0000C2400000}"/>
    <cellStyle name="40% - Accent4 13 2 2 7 2" xfId="42234" xr:uid="{009F3E26-F2DA-4346-BADB-4961338E19BF}"/>
    <cellStyle name="40% - Accent4 13 2 2 8" xfId="26354" xr:uid="{D2F39155-77A7-48FE-8BB2-809947911D8D}"/>
    <cellStyle name="40% - Accent4 13 2 2_Exh G" xfId="3083" xr:uid="{00000000-0005-0000-0000-0000C3400000}"/>
    <cellStyle name="40% - Accent4 13 2 3" xfId="1525" xr:uid="{00000000-0005-0000-0000-0000C4400000}"/>
    <cellStyle name="40% - Accent4 13 2 3 2" xfId="5055" xr:uid="{00000000-0005-0000-0000-0000C5400000}"/>
    <cellStyle name="40% - Accent4 13 2 3 2 2" xfId="8646" xr:uid="{00000000-0005-0000-0000-0000C6400000}"/>
    <cellStyle name="40% - Accent4 13 2 3 2 2 2" xfId="16617" xr:uid="{00000000-0005-0000-0000-0000C7400000}"/>
    <cellStyle name="40% - Accent4 13 2 3 2 2 2 2" xfId="40460" xr:uid="{E368ECE0-44CF-4FFE-A838-8DA10EF132C1}"/>
    <cellStyle name="40% - Accent4 13 2 3 2 2 3" xfId="24563" xr:uid="{00000000-0005-0000-0000-0000C8400000}"/>
    <cellStyle name="40% - Accent4 13 2 3 2 2 3 2" xfId="48396" xr:uid="{02122684-62A6-4AFA-B211-834E757EB6A1}"/>
    <cellStyle name="40% - Accent4 13 2 3 2 2 4" xfId="32519" xr:uid="{5902DB5C-4838-49D3-BCF6-9DC950D32F24}"/>
    <cellStyle name="40% - Accent4 13 2 3 2 3" xfId="13079" xr:uid="{00000000-0005-0000-0000-0000C9400000}"/>
    <cellStyle name="40% - Accent4 13 2 3 2 3 2" xfId="36929" xr:uid="{4E7FF113-3079-43AD-9561-CD416332D396}"/>
    <cellStyle name="40% - Accent4 13 2 3 2 4" xfId="21034" xr:uid="{00000000-0005-0000-0000-0000CA400000}"/>
    <cellStyle name="40% - Accent4 13 2 3 2 4 2" xfId="44867" xr:uid="{6DE7DCFA-2ADF-4236-8BC5-03689CE1EE2B}"/>
    <cellStyle name="40% - Accent4 13 2 3 2 5" xfId="28988" xr:uid="{4C1C6EE7-9322-407C-93FC-B94E48E1B296}"/>
    <cellStyle name="40% - Accent4 13 2 3 3" xfId="6887" xr:uid="{00000000-0005-0000-0000-0000CB400000}"/>
    <cellStyle name="40% - Accent4 13 2 3 3 2" xfId="14859" xr:uid="{00000000-0005-0000-0000-0000CC400000}"/>
    <cellStyle name="40% - Accent4 13 2 3 3 2 2" xfId="38702" xr:uid="{373CC48A-5A17-4DBA-9013-A19B31EAF630}"/>
    <cellStyle name="40% - Accent4 13 2 3 3 3" xfId="22806" xr:uid="{00000000-0005-0000-0000-0000CD400000}"/>
    <cellStyle name="40% - Accent4 13 2 3 3 3 2" xfId="46639" xr:uid="{8D0E799A-6FA2-402F-8537-992D04F6EC04}"/>
    <cellStyle name="40% - Accent4 13 2 3 3 4" xfId="30761" xr:uid="{6F856FC4-3712-42CD-A66C-DD74AE1EFF55}"/>
    <cellStyle name="40% - Accent4 13 2 3 4" xfId="11323" xr:uid="{00000000-0005-0000-0000-0000CE400000}"/>
    <cellStyle name="40% - Accent4 13 2 3 4 2" xfId="35173" xr:uid="{C2DCA902-CB76-4EE6-A6E3-D799BA4BFCAC}"/>
    <cellStyle name="40% - Accent4 13 2 3 5" xfId="19278" xr:uid="{00000000-0005-0000-0000-0000CF400000}"/>
    <cellStyle name="40% - Accent4 13 2 3 5 2" xfId="43111" xr:uid="{7B6B7FB4-5ACB-4E67-88F0-4CF863883D10}"/>
    <cellStyle name="40% - Accent4 13 2 3 6" xfId="27231" xr:uid="{1A48B2D0-3E12-4AA0-ACD2-6EE58E5E0D9C}"/>
    <cellStyle name="40% - Accent4 13 2 3_Exh G" xfId="3085" xr:uid="{00000000-0005-0000-0000-0000D0400000}"/>
    <cellStyle name="40% - Accent4 13 2 4" xfId="4176" xr:uid="{00000000-0005-0000-0000-0000D1400000}"/>
    <cellStyle name="40% - Accent4 13 2 4 2" xfId="7768" xr:uid="{00000000-0005-0000-0000-0000D2400000}"/>
    <cellStyle name="40% - Accent4 13 2 4 2 2" xfId="15739" xr:uid="{00000000-0005-0000-0000-0000D3400000}"/>
    <cellStyle name="40% - Accent4 13 2 4 2 2 2" xfId="39582" xr:uid="{1EAF73B1-AAC3-4198-AD51-75C07D2766CA}"/>
    <cellStyle name="40% - Accent4 13 2 4 2 3" xfId="23685" xr:uid="{00000000-0005-0000-0000-0000D4400000}"/>
    <cellStyle name="40% - Accent4 13 2 4 2 3 2" xfId="47518" xr:uid="{227A1B53-7AA3-49AD-A85A-78BF0119A149}"/>
    <cellStyle name="40% - Accent4 13 2 4 2 4" xfId="31641" xr:uid="{CAF797DF-6C05-416A-AB80-E4DEA923DE51}"/>
    <cellStyle name="40% - Accent4 13 2 4 3" xfId="12201" xr:uid="{00000000-0005-0000-0000-0000D5400000}"/>
    <cellStyle name="40% - Accent4 13 2 4 3 2" xfId="36051" xr:uid="{8A8857CF-3AF2-4F38-9720-8E6D279136FC}"/>
    <cellStyle name="40% - Accent4 13 2 4 4" xfId="20156" xr:uid="{00000000-0005-0000-0000-0000D6400000}"/>
    <cellStyle name="40% - Accent4 13 2 4 4 2" xfId="43989" xr:uid="{E8F95292-55BF-4AF8-87BA-1958174B3421}"/>
    <cellStyle name="40% - Accent4 13 2 4 5" xfId="28110" xr:uid="{AED30DC2-A739-48C4-A7BE-DF12936601F9}"/>
    <cellStyle name="40% - Accent4 13 2 5" xfId="5996" xr:uid="{00000000-0005-0000-0000-0000D7400000}"/>
    <cellStyle name="40% - Accent4 13 2 5 2" xfId="13980" xr:uid="{00000000-0005-0000-0000-0000D8400000}"/>
    <cellStyle name="40% - Accent4 13 2 5 2 2" xfId="37824" xr:uid="{973C9740-EA45-47BB-87DF-3CB3623C9D40}"/>
    <cellStyle name="40% - Accent4 13 2 5 3" xfId="21928" xr:uid="{00000000-0005-0000-0000-0000D9400000}"/>
    <cellStyle name="40% - Accent4 13 2 5 3 2" xfId="45761" xr:uid="{FF9C9902-215F-4334-8DE1-FAE814B28F87}"/>
    <cellStyle name="40% - Accent4 13 2 5 4" xfId="29883" xr:uid="{C4781489-41B4-455C-A2B8-382EAA315C1B}"/>
    <cellStyle name="40% - Accent4 13 2 6" xfId="9549" xr:uid="{00000000-0005-0000-0000-0000DA400000}"/>
    <cellStyle name="40% - Accent4 13 2 6 2" xfId="17507" xr:uid="{00000000-0005-0000-0000-0000DB400000}"/>
    <cellStyle name="40% - Accent4 13 2 6 2 2" xfId="41348" xr:uid="{F6436B1B-3AF8-4A6E-B7E3-2F4D86AAED72}"/>
    <cellStyle name="40% - Accent4 13 2 6 3" xfId="25451" xr:uid="{00000000-0005-0000-0000-0000DC400000}"/>
    <cellStyle name="40% - Accent4 13 2 6 3 2" xfId="49284" xr:uid="{0E48269F-C3B2-42CA-9757-7F20EA4EDDFF}"/>
    <cellStyle name="40% - Accent4 13 2 6 4" xfId="33407" xr:uid="{F6A91D20-D4DE-4AE2-ACF7-D61A387F4E2C}"/>
    <cellStyle name="40% - Accent4 13 2 7" xfId="10445" xr:uid="{00000000-0005-0000-0000-0000DD400000}"/>
    <cellStyle name="40% - Accent4 13 2 7 2" xfId="34295" xr:uid="{814128F5-2B07-46A5-834E-7F5B2CEE67A9}"/>
    <cellStyle name="40% - Accent4 13 2 8" xfId="18400" xr:uid="{00000000-0005-0000-0000-0000DE400000}"/>
    <cellStyle name="40% - Accent4 13 2 8 2" xfId="42233" xr:uid="{91E863F8-F761-45E8-B403-EAB5A1130DEC}"/>
    <cellStyle name="40% - Accent4 13 2 9" xfId="26353" xr:uid="{4D5A2B49-95EE-401B-99BA-6825980E931A}"/>
    <cellStyle name="40% - Accent4 13 2_Exh G" xfId="3082" xr:uid="{00000000-0005-0000-0000-0000DF400000}"/>
    <cellStyle name="40% - Accent4 13 3" xfId="499" xr:uid="{00000000-0005-0000-0000-0000E0400000}"/>
    <cellStyle name="40% - Accent4 13 3 2" xfId="1527" xr:uid="{00000000-0005-0000-0000-0000E1400000}"/>
    <cellStyle name="40% - Accent4 13 3 2 2" xfId="5057" xr:uid="{00000000-0005-0000-0000-0000E2400000}"/>
    <cellStyle name="40% - Accent4 13 3 2 2 2" xfId="8648" xr:uid="{00000000-0005-0000-0000-0000E3400000}"/>
    <cellStyle name="40% - Accent4 13 3 2 2 2 2" xfId="16619" xr:uid="{00000000-0005-0000-0000-0000E4400000}"/>
    <cellStyle name="40% - Accent4 13 3 2 2 2 2 2" xfId="40462" xr:uid="{E0C7AD84-A817-4BA3-B09C-702325D456CB}"/>
    <cellStyle name="40% - Accent4 13 3 2 2 2 3" xfId="24565" xr:uid="{00000000-0005-0000-0000-0000E5400000}"/>
    <cellStyle name="40% - Accent4 13 3 2 2 2 3 2" xfId="48398" xr:uid="{ADEDBEB4-ECFA-45CB-9901-01AEA14F03C0}"/>
    <cellStyle name="40% - Accent4 13 3 2 2 2 4" xfId="32521" xr:uid="{0542F831-68DD-4C95-801C-83C6F056AB88}"/>
    <cellStyle name="40% - Accent4 13 3 2 2 3" xfId="13081" xr:uid="{00000000-0005-0000-0000-0000E6400000}"/>
    <cellStyle name="40% - Accent4 13 3 2 2 3 2" xfId="36931" xr:uid="{78C7980A-0AB5-45A7-9E41-71144D2FFA83}"/>
    <cellStyle name="40% - Accent4 13 3 2 2 4" xfId="21036" xr:uid="{00000000-0005-0000-0000-0000E7400000}"/>
    <cellStyle name="40% - Accent4 13 3 2 2 4 2" xfId="44869" xr:uid="{FCD6FEE2-F8D0-41F8-90DE-08097AA3899E}"/>
    <cellStyle name="40% - Accent4 13 3 2 2 5" xfId="28990" xr:uid="{B4A8C0B4-F435-446D-A4E0-E8E9F450341C}"/>
    <cellStyle name="40% - Accent4 13 3 2 3" xfId="6889" xr:uid="{00000000-0005-0000-0000-0000E8400000}"/>
    <cellStyle name="40% - Accent4 13 3 2 3 2" xfId="14861" xr:uid="{00000000-0005-0000-0000-0000E9400000}"/>
    <cellStyle name="40% - Accent4 13 3 2 3 2 2" xfId="38704" xr:uid="{97202B13-6EC1-439B-9CE9-FAAD20F10204}"/>
    <cellStyle name="40% - Accent4 13 3 2 3 3" xfId="22808" xr:uid="{00000000-0005-0000-0000-0000EA400000}"/>
    <cellStyle name="40% - Accent4 13 3 2 3 3 2" xfId="46641" xr:uid="{9C8DBC86-F86A-4981-9FAA-22DA49C023E3}"/>
    <cellStyle name="40% - Accent4 13 3 2 3 4" xfId="30763" xr:uid="{239AA03E-C177-4754-B90B-E5A8CAFE2829}"/>
    <cellStyle name="40% - Accent4 13 3 2 4" xfId="11325" xr:uid="{00000000-0005-0000-0000-0000EB400000}"/>
    <cellStyle name="40% - Accent4 13 3 2 4 2" xfId="35175" xr:uid="{5F95FF56-BD30-48BB-9852-842B54502D54}"/>
    <cellStyle name="40% - Accent4 13 3 2 5" xfId="19280" xr:uid="{00000000-0005-0000-0000-0000EC400000}"/>
    <cellStyle name="40% - Accent4 13 3 2 5 2" xfId="43113" xr:uid="{60D9244B-C117-4DA8-AF12-030E7107C157}"/>
    <cellStyle name="40% - Accent4 13 3 2 6" xfId="27233" xr:uid="{68447A79-B7B8-4B31-9C59-E074F5197260}"/>
    <cellStyle name="40% - Accent4 13 3 2_Exh G" xfId="3087" xr:uid="{00000000-0005-0000-0000-0000ED400000}"/>
    <cellStyle name="40% - Accent4 13 3 3" xfId="4178" xr:uid="{00000000-0005-0000-0000-0000EE400000}"/>
    <cellStyle name="40% - Accent4 13 3 3 2" xfId="7770" xr:uid="{00000000-0005-0000-0000-0000EF400000}"/>
    <cellStyle name="40% - Accent4 13 3 3 2 2" xfId="15741" xr:uid="{00000000-0005-0000-0000-0000F0400000}"/>
    <cellStyle name="40% - Accent4 13 3 3 2 2 2" xfId="39584" xr:uid="{3DDF143D-08EB-4333-A0C7-7F4445B873DA}"/>
    <cellStyle name="40% - Accent4 13 3 3 2 3" xfId="23687" xr:uid="{00000000-0005-0000-0000-0000F1400000}"/>
    <cellStyle name="40% - Accent4 13 3 3 2 3 2" xfId="47520" xr:uid="{40A35FB7-F6B5-4190-9265-71461174DC4B}"/>
    <cellStyle name="40% - Accent4 13 3 3 2 4" xfId="31643" xr:uid="{8CAE82C7-E326-42BB-A7B2-8C06A0D9E274}"/>
    <cellStyle name="40% - Accent4 13 3 3 3" xfId="12203" xr:uid="{00000000-0005-0000-0000-0000F2400000}"/>
    <cellStyle name="40% - Accent4 13 3 3 3 2" xfId="36053" xr:uid="{7F7F464D-2BE0-4563-A92C-BDE0EDA78B63}"/>
    <cellStyle name="40% - Accent4 13 3 3 4" xfId="20158" xr:uid="{00000000-0005-0000-0000-0000F3400000}"/>
    <cellStyle name="40% - Accent4 13 3 3 4 2" xfId="43991" xr:uid="{E4B56ACE-6E4D-46EC-BA1A-5DC362D95B3F}"/>
    <cellStyle name="40% - Accent4 13 3 3 5" xfId="28112" xr:uid="{0DDB0C47-0AA1-4827-BC72-6B2E83F40D63}"/>
    <cellStyle name="40% - Accent4 13 3 4" xfId="5998" xr:uid="{00000000-0005-0000-0000-0000F4400000}"/>
    <cellStyle name="40% - Accent4 13 3 4 2" xfId="13982" xr:uid="{00000000-0005-0000-0000-0000F5400000}"/>
    <cellStyle name="40% - Accent4 13 3 4 2 2" xfId="37826" xr:uid="{18405503-691B-436C-8076-AF47C3E6DA2F}"/>
    <cellStyle name="40% - Accent4 13 3 4 3" xfId="21930" xr:uid="{00000000-0005-0000-0000-0000F6400000}"/>
    <cellStyle name="40% - Accent4 13 3 4 3 2" xfId="45763" xr:uid="{F241190E-1260-42FC-B766-E5F025AC3CAA}"/>
    <cellStyle name="40% - Accent4 13 3 4 4" xfId="29885" xr:uid="{466F3107-8C1D-4DDA-86EF-72D7451B3EC9}"/>
    <cellStyle name="40% - Accent4 13 3 5" xfId="9551" xr:uid="{00000000-0005-0000-0000-0000F7400000}"/>
    <cellStyle name="40% - Accent4 13 3 5 2" xfId="17509" xr:uid="{00000000-0005-0000-0000-0000F8400000}"/>
    <cellStyle name="40% - Accent4 13 3 5 2 2" xfId="41350" xr:uid="{FB91BD38-D903-4D52-9849-8FD5D7FBFFC4}"/>
    <cellStyle name="40% - Accent4 13 3 5 3" xfId="25453" xr:uid="{00000000-0005-0000-0000-0000F9400000}"/>
    <cellStyle name="40% - Accent4 13 3 5 3 2" xfId="49286" xr:uid="{31EF6D4A-DE22-40A3-AEDD-766104B2389D}"/>
    <cellStyle name="40% - Accent4 13 3 5 4" xfId="33409" xr:uid="{9AA1724D-2D99-42CB-8499-D11774D956BF}"/>
    <cellStyle name="40% - Accent4 13 3 6" xfId="10447" xr:uid="{00000000-0005-0000-0000-0000FA400000}"/>
    <cellStyle name="40% - Accent4 13 3 6 2" xfId="34297" xr:uid="{49430808-9A5F-41CA-8278-B703DC79B408}"/>
    <cellStyle name="40% - Accent4 13 3 7" xfId="18402" xr:uid="{00000000-0005-0000-0000-0000FB400000}"/>
    <cellStyle name="40% - Accent4 13 3 7 2" xfId="42235" xr:uid="{0B9FD9A5-5038-41CA-8DDF-57E869BDF159}"/>
    <cellStyle name="40% - Accent4 13 3 8" xfId="26355" xr:uid="{E374C097-1879-47EA-A017-7D9D881F1FB2}"/>
    <cellStyle name="40% - Accent4 13 3_Exh G" xfId="3086" xr:uid="{00000000-0005-0000-0000-0000FC400000}"/>
    <cellStyle name="40% - Accent4 13 4" xfId="1524" xr:uid="{00000000-0005-0000-0000-0000FD400000}"/>
    <cellStyle name="40% - Accent4 13 4 2" xfId="5054" xr:uid="{00000000-0005-0000-0000-0000FE400000}"/>
    <cellStyle name="40% - Accent4 13 4 2 2" xfId="8645" xr:uid="{00000000-0005-0000-0000-0000FF400000}"/>
    <cellStyle name="40% - Accent4 13 4 2 2 2" xfId="16616" xr:uid="{00000000-0005-0000-0000-000000410000}"/>
    <cellStyle name="40% - Accent4 13 4 2 2 2 2" xfId="40459" xr:uid="{C9285BBA-92A8-4F3E-A96E-A77F286CB9AF}"/>
    <cellStyle name="40% - Accent4 13 4 2 2 3" xfId="24562" xr:uid="{00000000-0005-0000-0000-000001410000}"/>
    <cellStyle name="40% - Accent4 13 4 2 2 3 2" xfId="48395" xr:uid="{21C81054-05DC-4EC9-BDB6-EC5EC535F95A}"/>
    <cellStyle name="40% - Accent4 13 4 2 2 4" xfId="32518" xr:uid="{6366D1A0-955B-4BC0-8B24-C44909A732ED}"/>
    <cellStyle name="40% - Accent4 13 4 2 3" xfId="13078" xr:uid="{00000000-0005-0000-0000-000002410000}"/>
    <cellStyle name="40% - Accent4 13 4 2 3 2" xfId="36928" xr:uid="{02DF09F9-3F5C-4143-8AA4-1F1BD75F39A3}"/>
    <cellStyle name="40% - Accent4 13 4 2 4" xfId="21033" xr:uid="{00000000-0005-0000-0000-000003410000}"/>
    <cellStyle name="40% - Accent4 13 4 2 4 2" xfId="44866" xr:uid="{B1C7E29F-E6DF-48B3-A724-7907A7C14E4B}"/>
    <cellStyle name="40% - Accent4 13 4 2 5" xfId="28987" xr:uid="{D3B26841-7E94-4C06-8784-AE5F1A497F47}"/>
    <cellStyle name="40% - Accent4 13 4 3" xfId="6886" xr:uid="{00000000-0005-0000-0000-000004410000}"/>
    <cellStyle name="40% - Accent4 13 4 3 2" xfId="14858" xr:uid="{00000000-0005-0000-0000-000005410000}"/>
    <cellStyle name="40% - Accent4 13 4 3 2 2" xfId="38701" xr:uid="{0D1B12A2-BFAE-4D16-B9FB-A96E5EE13949}"/>
    <cellStyle name="40% - Accent4 13 4 3 3" xfId="22805" xr:uid="{00000000-0005-0000-0000-000006410000}"/>
    <cellStyle name="40% - Accent4 13 4 3 3 2" xfId="46638" xr:uid="{DC6A12B1-1CC1-463C-A7A2-0D8358C3C4AD}"/>
    <cellStyle name="40% - Accent4 13 4 3 4" xfId="30760" xr:uid="{86297378-2C88-46D2-978A-43F2983D96BF}"/>
    <cellStyle name="40% - Accent4 13 4 4" xfId="11322" xr:uid="{00000000-0005-0000-0000-000007410000}"/>
    <cellStyle name="40% - Accent4 13 4 4 2" xfId="35172" xr:uid="{1E464D8D-4035-49A5-BF64-06608C594D0F}"/>
    <cellStyle name="40% - Accent4 13 4 5" xfId="19277" xr:uid="{00000000-0005-0000-0000-000008410000}"/>
    <cellStyle name="40% - Accent4 13 4 5 2" xfId="43110" xr:uid="{D367A3B8-3B85-4B86-B81A-2FAF702029BF}"/>
    <cellStyle name="40% - Accent4 13 4 6" xfId="27230" xr:uid="{43B7DA5F-C800-4172-B5C2-EA8EF02B0E01}"/>
    <cellStyle name="40% - Accent4 13 4_Exh G" xfId="3088" xr:uid="{00000000-0005-0000-0000-000009410000}"/>
    <cellStyle name="40% - Accent4 13 5" xfId="4175" xr:uid="{00000000-0005-0000-0000-00000A410000}"/>
    <cellStyle name="40% - Accent4 13 5 2" xfId="7767" xr:uid="{00000000-0005-0000-0000-00000B410000}"/>
    <cellStyle name="40% - Accent4 13 5 2 2" xfId="15738" xr:uid="{00000000-0005-0000-0000-00000C410000}"/>
    <cellStyle name="40% - Accent4 13 5 2 2 2" xfId="39581" xr:uid="{E0D7D561-CFC6-4862-9321-D126737BDCFB}"/>
    <cellStyle name="40% - Accent4 13 5 2 3" xfId="23684" xr:uid="{00000000-0005-0000-0000-00000D410000}"/>
    <cellStyle name="40% - Accent4 13 5 2 3 2" xfId="47517" xr:uid="{0A8D7526-487B-4049-A788-44900437DC9C}"/>
    <cellStyle name="40% - Accent4 13 5 2 4" xfId="31640" xr:uid="{B4214C2D-A9ED-4B9E-A1C8-4B03F7401AD5}"/>
    <cellStyle name="40% - Accent4 13 5 3" xfId="12200" xr:uid="{00000000-0005-0000-0000-00000E410000}"/>
    <cellStyle name="40% - Accent4 13 5 3 2" xfId="36050" xr:uid="{DE51C4D5-C8EB-4D57-B103-A954E9B62C87}"/>
    <cellStyle name="40% - Accent4 13 5 4" xfId="20155" xr:uid="{00000000-0005-0000-0000-00000F410000}"/>
    <cellStyle name="40% - Accent4 13 5 4 2" xfId="43988" xr:uid="{A6424F73-CCFF-4DBC-9A14-4B441C0E609E}"/>
    <cellStyle name="40% - Accent4 13 5 5" xfId="28109" xr:uid="{0A02EE47-4EAE-4D9D-85B4-DCEC98B6F55A}"/>
    <cellStyle name="40% - Accent4 13 6" xfId="5995" xr:uid="{00000000-0005-0000-0000-000010410000}"/>
    <cellStyle name="40% - Accent4 13 6 2" xfId="13979" xr:uid="{00000000-0005-0000-0000-000011410000}"/>
    <cellStyle name="40% - Accent4 13 6 2 2" xfId="37823" xr:uid="{53846137-2CA2-47F5-9939-2EC04CB55698}"/>
    <cellStyle name="40% - Accent4 13 6 3" xfId="21927" xr:uid="{00000000-0005-0000-0000-000012410000}"/>
    <cellStyle name="40% - Accent4 13 6 3 2" xfId="45760" xr:uid="{05116CC2-59E7-4B95-A7E2-7CD2377C9BE9}"/>
    <cellStyle name="40% - Accent4 13 6 4" xfId="29882" xr:uid="{179A9A1B-88C6-4107-89EC-69659C0D6BA1}"/>
    <cellStyle name="40% - Accent4 13 7" xfId="9548" xr:uid="{00000000-0005-0000-0000-000013410000}"/>
    <cellStyle name="40% - Accent4 13 7 2" xfId="17506" xr:uid="{00000000-0005-0000-0000-000014410000}"/>
    <cellStyle name="40% - Accent4 13 7 2 2" xfId="41347" xr:uid="{DE13EFFA-AC24-4CB0-BD56-6FD6BF108343}"/>
    <cellStyle name="40% - Accent4 13 7 3" xfId="25450" xr:uid="{00000000-0005-0000-0000-000015410000}"/>
    <cellStyle name="40% - Accent4 13 7 3 2" xfId="49283" xr:uid="{5559012A-6174-4EAA-BB00-DA7F027A032D}"/>
    <cellStyle name="40% - Accent4 13 7 4" xfId="33406" xr:uid="{73E01557-C520-42D9-BB31-CAEB2C3C8AA1}"/>
    <cellStyle name="40% - Accent4 13 8" xfId="10444" xr:uid="{00000000-0005-0000-0000-000016410000}"/>
    <cellStyle name="40% - Accent4 13 8 2" xfId="34294" xr:uid="{0992BC4C-283C-43A7-B943-9285C12152C8}"/>
    <cellStyle name="40% - Accent4 13 9" xfId="18399" xr:uid="{00000000-0005-0000-0000-000017410000}"/>
    <cellStyle name="40% - Accent4 13 9 2" xfId="42232" xr:uid="{673DB673-C89B-4CDF-ABCA-A7F7ACDA9D0B}"/>
    <cellStyle name="40% - Accent4 13_Exh G" xfId="3081" xr:uid="{00000000-0005-0000-0000-000018410000}"/>
    <cellStyle name="40% - Accent4 14" xfId="500" xr:uid="{00000000-0005-0000-0000-000019410000}"/>
    <cellStyle name="40% - Accent4 14 2" xfId="501" xr:uid="{00000000-0005-0000-0000-00001A410000}"/>
    <cellStyle name="40% - Accent4 14 2 2" xfId="1529" xr:uid="{00000000-0005-0000-0000-00001B410000}"/>
    <cellStyle name="40% - Accent4 14 2 2 2" xfId="5059" xr:uid="{00000000-0005-0000-0000-00001C410000}"/>
    <cellStyle name="40% - Accent4 14 2 2 2 2" xfId="8650" xr:uid="{00000000-0005-0000-0000-00001D410000}"/>
    <cellStyle name="40% - Accent4 14 2 2 2 2 2" xfId="16621" xr:uid="{00000000-0005-0000-0000-00001E410000}"/>
    <cellStyle name="40% - Accent4 14 2 2 2 2 2 2" xfId="40464" xr:uid="{52E7B048-1EBA-4795-9AC9-CB6F0D474857}"/>
    <cellStyle name="40% - Accent4 14 2 2 2 2 3" xfId="24567" xr:uid="{00000000-0005-0000-0000-00001F410000}"/>
    <cellStyle name="40% - Accent4 14 2 2 2 2 3 2" xfId="48400" xr:uid="{3AC34E4D-C6EA-4BF4-AC33-AD1ECA65B0BA}"/>
    <cellStyle name="40% - Accent4 14 2 2 2 2 4" xfId="32523" xr:uid="{98FD446E-6D98-4361-8598-8B7339BCC8D4}"/>
    <cellStyle name="40% - Accent4 14 2 2 2 3" xfId="13083" xr:uid="{00000000-0005-0000-0000-000020410000}"/>
    <cellStyle name="40% - Accent4 14 2 2 2 3 2" xfId="36933" xr:uid="{E9E7361B-A22A-4518-92C9-08F2F1D7303E}"/>
    <cellStyle name="40% - Accent4 14 2 2 2 4" xfId="21038" xr:uid="{00000000-0005-0000-0000-000021410000}"/>
    <cellStyle name="40% - Accent4 14 2 2 2 4 2" xfId="44871" xr:uid="{A63C1532-6E0A-4446-8762-B79A8418CB8D}"/>
    <cellStyle name="40% - Accent4 14 2 2 2 5" xfId="28992" xr:uid="{9C45FEB7-2385-4B84-92B3-98EB114BA546}"/>
    <cellStyle name="40% - Accent4 14 2 2 3" xfId="6891" xr:uid="{00000000-0005-0000-0000-000022410000}"/>
    <cellStyle name="40% - Accent4 14 2 2 3 2" xfId="14863" xr:uid="{00000000-0005-0000-0000-000023410000}"/>
    <cellStyle name="40% - Accent4 14 2 2 3 2 2" xfId="38706" xr:uid="{B6DA6697-0932-4D3B-9CD5-2ADECE1159A7}"/>
    <cellStyle name="40% - Accent4 14 2 2 3 3" xfId="22810" xr:uid="{00000000-0005-0000-0000-000024410000}"/>
    <cellStyle name="40% - Accent4 14 2 2 3 3 2" xfId="46643" xr:uid="{4F9C5AB7-A5EE-489A-B7F7-23CF4B647103}"/>
    <cellStyle name="40% - Accent4 14 2 2 3 4" xfId="30765" xr:uid="{C537C017-097E-4D90-9A2D-34E7CFC45AF1}"/>
    <cellStyle name="40% - Accent4 14 2 2 4" xfId="11327" xr:uid="{00000000-0005-0000-0000-000025410000}"/>
    <cellStyle name="40% - Accent4 14 2 2 4 2" xfId="35177" xr:uid="{4A81B8B3-C338-4E30-9C67-ED8D3D1F933A}"/>
    <cellStyle name="40% - Accent4 14 2 2 5" xfId="19282" xr:uid="{00000000-0005-0000-0000-000026410000}"/>
    <cellStyle name="40% - Accent4 14 2 2 5 2" xfId="43115" xr:uid="{E96CD4C5-87E8-4A8C-95B3-737C1B764B40}"/>
    <cellStyle name="40% - Accent4 14 2 2 6" xfId="27235" xr:uid="{399EB351-C8D1-40B1-986D-97DCF8419CC1}"/>
    <cellStyle name="40% - Accent4 14 2 2_Exh G" xfId="3091" xr:uid="{00000000-0005-0000-0000-000027410000}"/>
    <cellStyle name="40% - Accent4 14 2 3" xfId="4180" xr:uid="{00000000-0005-0000-0000-000028410000}"/>
    <cellStyle name="40% - Accent4 14 2 3 2" xfId="7772" xr:uid="{00000000-0005-0000-0000-000029410000}"/>
    <cellStyle name="40% - Accent4 14 2 3 2 2" xfId="15743" xr:uid="{00000000-0005-0000-0000-00002A410000}"/>
    <cellStyle name="40% - Accent4 14 2 3 2 2 2" xfId="39586" xr:uid="{B243C1A0-FA79-4E8C-96DB-A4C50C7C399D}"/>
    <cellStyle name="40% - Accent4 14 2 3 2 3" xfId="23689" xr:uid="{00000000-0005-0000-0000-00002B410000}"/>
    <cellStyle name="40% - Accent4 14 2 3 2 3 2" xfId="47522" xr:uid="{B4415D16-9B56-41CC-9450-31513628CAAF}"/>
    <cellStyle name="40% - Accent4 14 2 3 2 4" xfId="31645" xr:uid="{648F75D1-592B-4764-ACD5-715AF7989C68}"/>
    <cellStyle name="40% - Accent4 14 2 3 3" xfId="12205" xr:uid="{00000000-0005-0000-0000-00002C410000}"/>
    <cellStyle name="40% - Accent4 14 2 3 3 2" xfId="36055" xr:uid="{3FB48E77-9E85-427A-94A2-4356836E9DA0}"/>
    <cellStyle name="40% - Accent4 14 2 3 4" xfId="20160" xr:uid="{00000000-0005-0000-0000-00002D410000}"/>
    <cellStyle name="40% - Accent4 14 2 3 4 2" xfId="43993" xr:uid="{01EE1C17-EE02-41B5-979F-AD2DFE8CBD73}"/>
    <cellStyle name="40% - Accent4 14 2 3 5" xfId="28114" xr:uid="{770CB57B-EC6A-42A2-B0AA-8CB6C5DE2D83}"/>
    <cellStyle name="40% - Accent4 14 2 4" xfId="6000" xr:uid="{00000000-0005-0000-0000-00002E410000}"/>
    <cellStyle name="40% - Accent4 14 2 4 2" xfId="13984" xr:uid="{00000000-0005-0000-0000-00002F410000}"/>
    <cellStyle name="40% - Accent4 14 2 4 2 2" xfId="37828" xr:uid="{7562BDBC-FCC2-4E93-93E8-A41C183C3EA9}"/>
    <cellStyle name="40% - Accent4 14 2 4 3" xfId="21932" xr:uid="{00000000-0005-0000-0000-000030410000}"/>
    <cellStyle name="40% - Accent4 14 2 4 3 2" xfId="45765" xr:uid="{71874AF9-0FF9-4B4E-8727-C79EB4707D75}"/>
    <cellStyle name="40% - Accent4 14 2 4 4" xfId="29887" xr:uid="{CBB55A59-1814-4271-BF5A-CAE700101A0D}"/>
    <cellStyle name="40% - Accent4 14 2 5" xfId="9553" xr:uid="{00000000-0005-0000-0000-000031410000}"/>
    <cellStyle name="40% - Accent4 14 2 5 2" xfId="17511" xr:uid="{00000000-0005-0000-0000-000032410000}"/>
    <cellStyle name="40% - Accent4 14 2 5 2 2" xfId="41352" xr:uid="{72644311-9517-4722-837C-93A9F8F0BF33}"/>
    <cellStyle name="40% - Accent4 14 2 5 3" xfId="25455" xr:uid="{00000000-0005-0000-0000-000033410000}"/>
    <cellStyle name="40% - Accent4 14 2 5 3 2" xfId="49288" xr:uid="{1B8BE82E-7286-49B3-B43D-17A85B3853D9}"/>
    <cellStyle name="40% - Accent4 14 2 5 4" xfId="33411" xr:uid="{ACC40B05-856A-44BF-A6B7-CE80AEAD8DEF}"/>
    <cellStyle name="40% - Accent4 14 2 6" xfId="10449" xr:uid="{00000000-0005-0000-0000-000034410000}"/>
    <cellStyle name="40% - Accent4 14 2 6 2" xfId="34299" xr:uid="{B89AB038-E2CA-4E55-8E38-3E88210863DB}"/>
    <cellStyle name="40% - Accent4 14 2 7" xfId="18404" xr:uid="{00000000-0005-0000-0000-000035410000}"/>
    <cellStyle name="40% - Accent4 14 2 7 2" xfId="42237" xr:uid="{662FAC74-6420-4991-9389-B340CACEE031}"/>
    <cellStyle name="40% - Accent4 14 2 8" xfId="26357" xr:uid="{4143AEE5-65F5-4A92-8600-131BD7C96474}"/>
    <cellStyle name="40% - Accent4 14 2_Exh G" xfId="3090" xr:uid="{00000000-0005-0000-0000-000036410000}"/>
    <cellStyle name="40% - Accent4 14 3" xfId="1528" xr:uid="{00000000-0005-0000-0000-000037410000}"/>
    <cellStyle name="40% - Accent4 14 3 2" xfId="5058" xr:uid="{00000000-0005-0000-0000-000038410000}"/>
    <cellStyle name="40% - Accent4 14 3 2 2" xfId="8649" xr:uid="{00000000-0005-0000-0000-000039410000}"/>
    <cellStyle name="40% - Accent4 14 3 2 2 2" xfId="16620" xr:uid="{00000000-0005-0000-0000-00003A410000}"/>
    <cellStyle name="40% - Accent4 14 3 2 2 2 2" xfId="40463" xr:uid="{B3BEC9E1-2AA5-432B-B7C0-892C556AD4C3}"/>
    <cellStyle name="40% - Accent4 14 3 2 2 3" xfId="24566" xr:uid="{00000000-0005-0000-0000-00003B410000}"/>
    <cellStyle name="40% - Accent4 14 3 2 2 3 2" xfId="48399" xr:uid="{34FF0C03-0D0A-4ED1-A5D4-E7006000EF14}"/>
    <cellStyle name="40% - Accent4 14 3 2 2 4" xfId="32522" xr:uid="{E2E337C4-0695-49E1-BD03-1DCDDAEFBDCA}"/>
    <cellStyle name="40% - Accent4 14 3 2 3" xfId="13082" xr:uid="{00000000-0005-0000-0000-00003C410000}"/>
    <cellStyle name="40% - Accent4 14 3 2 3 2" xfId="36932" xr:uid="{3CA9572C-BA46-4D3C-BE65-70CD212D9378}"/>
    <cellStyle name="40% - Accent4 14 3 2 4" xfId="21037" xr:uid="{00000000-0005-0000-0000-00003D410000}"/>
    <cellStyle name="40% - Accent4 14 3 2 4 2" xfId="44870" xr:uid="{09495704-7E88-44A6-8947-617CE7C6ECCF}"/>
    <cellStyle name="40% - Accent4 14 3 2 5" xfId="28991" xr:uid="{3D6C7655-02AB-467B-A9C5-A3316E61EB39}"/>
    <cellStyle name="40% - Accent4 14 3 3" xfId="6890" xr:uid="{00000000-0005-0000-0000-00003E410000}"/>
    <cellStyle name="40% - Accent4 14 3 3 2" xfId="14862" xr:uid="{00000000-0005-0000-0000-00003F410000}"/>
    <cellStyle name="40% - Accent4 14 3 3 2 2" xfId="38705" xr:uid="{89C6F5F3-0FB0-4689-995E-19120E20EABB}"/>
    <cellStyle name="40% - Accent4 14 3 3 3" xfId="22809" xr:uid="{00000000-0005-0000-0000-000040410000}"/>
    <cellStyle name="40% - Accent4 14 3 3 3 2" xfId="46642" xr:uid="{313C897D-A7B2-4FC6-970B-1500C1B173DD}"/>
    <cellStyle name="40% - Accent4 14 3 3 4" xfId="30764" xr:uid="{E571B1A8-1A5F-49AE-811B-376BA8340497}"/>
    <cellStyle name="40% - Accent4 14 3 4" xfId="11326" xr:uid="{00000000-0005-0000-0000-000041410000}"/>
    <cellStyle name="40% - Accent4 14 3 4 2" xfId="35176" xr:uid="{DD0C43AE-E792-4B9E-9890-55EEE9F87A8F}"/>
    <cellStyle name="40% - Accent4 14 3 5" xfId="19281" xr:uid="{00000000-0005-0000-0000-000042410000}"/>
    <cellStyle name="40% - Accent4 14 3 5 2" xfId="43114" xr:uid="{8757678A-6D6C-4B5D-B15E-3ADF2BAB801B}"/>
    <cellStyle name="40% - Accent4 14 3 6" xfId="27234" xr:uid="{30CE344F-5608-4FAE-9909-F10C88AEFFF3}"/>
    <cellStyle name="40% - Accent4 14 3_Exh G" xfId="3092" xr:uid="{00000000-0005-0000-0000-000043410000}"/>
    <cellStyle name="40% - Accent4 14 4" xfId="4179" xr:uid="{00000000-0005-0000-0000-000044410000}"/>
    <cellStyle name="40% - Accent4 14 4 2" xfId="7771" xr:uid="{00000000-0005-0000-0000-000045410000}"/>
    <cellStyle name="40% - Accent4 14 4 2 2" xfId="15742" xr:uid="{00000000-0005-0000-0000-000046410000}"/>
    <cellStyle name="40% - Accent4 14 4 2 2 2" xfId="39585" xr:uid="{5669D65F-4ED1-4032-AF91-D9881E18D9A0}"/>
    <cellStyle name="40% - Accent4 14 4 2 3" xfId="23688" xr:uid="{00000000-0005-0000-0000-000047410000}"/>
    <cellStyle name="40% - Accent4 14 4 2 3 2" xfId="47521" xr:uid="{FA0A1BC0-CBD6-40DD-A56A-0FAA2A6D9DF8}"/>
    <cellStyle name="40% - Accent4 14 4 2 4" xfId="31644" xr:uid="{41D51D4F-60B0-404C-9B26-02ADDF7D7679}"/>
    <cellStyle name="40% - Accent4 14 4 3" xfId="12204" xr:uid="{00000000-0005-0000-0000-000048410000}"/>
    <cellStyle name="40% - Accent4 14 4 3 2" xfId="36054" xr:uid="{71677563-DDF3-4290-AD68-8ED0CC236067}"/>
    <cellStyle name="40% - Accent4 14 4 4" xfId="20159" xr:uid="{00000000-0005-0000-0000-000049410000}"/>
    <cellStyle name="40% - Accent4 14 4 4 2" xfId="43992" xr:uid="{B24E31F6-7905-4A10-84AC-D856CC47841E}"/>
    <cellStyle name="40% - Accent4 14 4 5" xfId="28113" xr:uid="{36168B1D-B144-4A37-ADD8-03767DE3D71D}"/>
    <cellStyle name="40% - Accent4 14 5" xfId="5999" xr:uid="{00000000-0005-0000-0000-00004A410000}"/>
    <cellStyle name="40% - Accent4 14 5 2" xfId="13983" xr:uid="{00000000-0005-0000-0000-00004B410000}"/>
    <cellStyle name="40% - Accent4 14 5 2 2" xfId="37827" xr:uid="{6DAD5847-9D33-477F-8E5F-F0B2B975845C}"/>
    <cellStyle name="40% - Accent4 14 5 3" xfId="21931" xr:uid="{00000000-0005-0000-0000-00004C410000}"/>
    <cellStyle name="40% - Accent4 14 5 3 2" xfId="45764" xr:uid="{394D7010-B4D9-455B-8351-2DD3DDD41AB8}"/>
    <cellStyle name="40% - Accent4 14 5 4" xfId="29886" xr:uid="{11FE31FE-CE4D-4E95-BFC9-94F54083AFA0}"/>
    <cellStyle name="40% - Accent4 14 6" xfId="9552" xr:uid="{00000000-0005-0000-0000-00004D410000}"/>
    <cellStyle name="40% - Accent4 14 6 2" xfId="17510" xr:uid="{00000000-0005-0000-0000-00004E410000}"/>
    <cellStyle name="40% - Accent4 14 6 2 2" xfId="41351" xr:uid="{779FBA9C-1F47-4577-8295-EC5D23EEA95F}"/>
    <cellStyle name="40% - Accent4 14 6 3" xfId="25454" xr:uid="{00000000-0005-0000-0000-00004F410000}"/>
    <cellStyle name="40% - Accent4 14 6 3 2" xfId="49287" xr:uid="{022E3040-F87C-42EE-B816-756907F2FD67}"/>
    <cellStyle name="40% - Accent4 14 6 4" xfId="33410" xr:uid="{4A0A8D01-2083-416E-8B1B-E02E8045D85E}"/>
    <cellStyle name="40% - Accent4 14 7" xfId="10448" xr:uid="{00000000-0005-0000-0000-000050410000}"/>
    <cellStyle name="40% - Accent4 14 7 2" xfId="34298" xr:uid="{61B9C0EA-FFCD-4BD2-86A6-31280FB420AC}"/>
    <cellStyle name="40% - Accent4 14 8" xfId="18403" xr:uid="{00000000-0005-0000-0000-000051410000}"/>
    <cellStyle name="40% - Accent4 14 8 2" xfId="42236" xr:uid="{96F8BDB9-87F2-45B4-BB09-B611A5BEE775}"/>
    <cellStyle name="40% - Accent4 14 9" xfId="26356" xr:uid="{117620F5-902F-4FAC-B177-36A08BD62B68}"/>
    <cellStyle name="40% - Accent4 14_Exh G" xfId="3089" xr:uid="{00000000-0005-0000-0000-000052410000}"/>
    <cellStyle name="40% - Accent4 15" xfId="502" xr:uid="{00000000-0005-0000-0000-000053410000}"/>
    <cellStyle name="40% - Accent4 15 2" xfId="1530" xr:uid="{00000000-0005-0000-0000-000054410000}"/>
    <cellStyle name="40% - Accent4 15 2 2" xfId="5060" xr:uid="{00000000-0005-0000-0000-000055410000}"/>
    <cellStyle name="40% - Accent4 15 2 2 2" xfId="8651" xr:uid="{00000000-0005-0000-0000-000056410000}"/>
    <cellStyle name="40% - Accent4 15 2 2 2 2" xfId="16622" xr:uid="{00000000-0005-0000-0000-000057410000}"/>
    <cellStyle name="40% - Accent4 15 2 2 2 2 2" xfId="40465" xr:uid="{7202F387-AD17-4F0D-B1CB-704B2B9A296C}"/>
    <cellStyle name="40% - Accent4 15 2 2 2 3" xfId="24568" xr:uid="{00000000-0005-0000-0000-000058410000}"/>
    <cellStyle name="40% - Accent4 15 2 2 2 3 2" xfId="48401" xr:uid="{EF30D652-4CF1-4B4C-9BD2-B64A614DA590}"/>
    <cellStyle name="40% - Accent4 15 2 2 2 4" xfId="32524" xr:uid="{925E686A-8DB6-4768-8C32-938B2B96121A}"/>
    <cellStyle name="40% - Accent4 15 2 2 3" xfId="13084" xr:uid="{00000000-0005-0000-0000-000059410000}"/>
    <cellStyle name="40% - Accent4 15 2 2 3 2" xfId="36934" xr:uid="{0FB82D1D-B320-4E4D-86D5-9268273390CC}"/>
    <cellStyle name="40% - Accent4 15 2 2 4" xfId="21039" xr:uid="{00000000-0005-0000-0000-00005A410000}"/>
    <cellStyle name="40% - Accent4 15 2 2 4 2" xfId="44872" xr:uid="{D162D7AB-E34C-4797-9A5E-026826309C97}"/>
    <cellStyle name="40% - Accent4 15 2 2 5" xfId="28993" xr:uid="{3D3A6E9D-4A42-4FB5-B9FE-6F47F319F4C7}"/>
    <cellStyle name="40% - Accent4 15 2 3" xfId="6892" xr:uid="{00000000-0005-0000-0000-00005B410000}"/>
    <cellStyle name="40% - Accent4 15 2 3 2" xfId="14864" xr:uid="{00000000-0005-0000-0000-00005C410000}"/>
    <cellStyle name="40% - Accent4 15 2 3 2 2" xfId="38707" xr:uid="{402BDB5B-0DC3-44FE-BCF6-64CA23D0677B}"/>
    <cellStyle name="40% - Accent4 15 2 3 3" xfId="22811" xr:uid="{00000000-0005-0000-0000-00005D410000}"/>
    <cellStyle name="40% - Accent4 15 2 3 3 2" xfId="46644" xr:uid="{7D4CCF73-02BB-451D-8491-EE68E1A850A7}"/>
    <cellStyle name="40% - Accent4 15 2 3 4" xfId="30766" xr:uid="{7DBC2E84-4C41-4880-BB18-C3C29AC0ED1E}"/>
    <cellStyle name="40% - Accent4 15 2 4" xfId="11328" xr:uid="{00000000-0005-0000-0000-00005E410000}"/>
    <cellStyle name="40% - Accent4 15 2 4 2" xfId="35178" xr:uid="{E8928721-1E7C-4059-8189-A186586E252E}"/>
    <cellStyle name="40% - Accent4 15 2 5" xfId="19283" xr:uid="{00000000-0005-0000-0000-00005F410000}"/>
    <cellStyle name="40% - Accent4 15 2 5 2" xfId="43116" xr:uid="{A7D0E833-728D-4DFA-9F49-58566F99BF87}"/>
    <cellStyle name="40% - Accent4 15 2 6" xfId="27236" xr:uid="{A50083E3-DDE9-49B1-AEC9-B8655A3C96F5}"/>
    <cellStyle name="40% - Accent4 15 2_Exh G" xfId="3094" xr:uid="{00000000-0005-0000-0000-000060410000}"/>
    <cellStyle name="40% - Accent4 15 3" xfId="4181" xr:uid="{00000000-0005-0000-0000-000061410000}"/>
    <cellStyle name="40% - Accent4 15 3 2" xfId="7773" xr:uid="{00000000-0005-0000-0000-000062410000}"/>
    <cellStyle name="40% - Accent4 15 3 2 2" xfId="15744" xr:uid="{00000000-0005-0000-0000-000063410000}"/>
    <cellStyle name="40% - Accent4 15 3 2 2 2" xfId="39587" xr:uid="{CACF827F-3EB3-4FF4-B719-E5F6A651D05A}"/>
    <cellStyle name="40% - Accent4 15 3 2 3" xfId="23690" xr:uid="{00000000-0005-0000-0000-000064410000}"/>
    <cellStyle name="40% - Accent4 15 3 2 3 2" xfId="47523" xr:uid="{3B08AEE9-2C45-43AC-A07C-5FA64C2C459D}"/>
    <cellStyle name="40% - Accent4 15 3 2 4" xfId="31646" xr:uid="{8FCBC72C-8E85-49C8-A0EA-E05F058139A9}"/>
    <cellStyle name="40% - Accent4 15 3 3" xfId="12206" xr:uid="{00000000-0005-0000-0000-000065410000}"/>
    <cellStyle name="40% - Accent4 15 3 3 2" xfId="36056" xr:uid="{70B2B36C-74E7-49DD-B7F4-4140B71A18AB}"/>
    <cellStyle name="40% - Accent4 15 3 4" xfId="20161" xr:uid="{00000000-0005-0000-0000-000066410000}"/>
    <cellStyle name="40% - Accent4 15 3 4 2" xfId="43994" xr:uid="{779F23C1-0C97-4899-B6CD-D1F057095B57}"/>
    <cellStyle name="40% - Accent4 15 3 5" xfId="28115" xr:uid="{6EBB9A82-CCDD-4244-8040-5AC399917C4A}"/>
    <cellStyle name="40% - Accent4 15 4" xfId="6001" xr:uid="{00000000-0005-0000-0000-000067410000}"/>
    <cellStyle name="40% - Accent4 15 4 2" xfId="13985" xr:uid="{00000000-0005-0000-0000-000068410000}"/>
    <cellStyle name="40% - Accent4 15 4 2 2" xfId="37829" xr:uid="{04DD7A69-3A48-4F31-B339-49C4038C931E}"/>
    <cellStyle name="40% - Accent4 15 4 3" xfId="21933" xr:uid="{00000000-0005-0000-0000-000069410000}"/>
    <cellStyle name="40% - Accent4 15 4 3 2" xfId="45766" xr:uid="{88D2A24E-D898-4EFE-AD75-44175721F65D}"/>
    <cellStyle name="40% - Accent4 15 4 4" xfId="29888" xr:uid="{6EAE62B2-32B3-4A6A-819B-F88FCCE8E251}"/>
    <cellStyle name="40% - Accent4 15 5" xfId="9554" xr:uid="{00000000-0005-0000-0000-00006A410000}"/>
    <cellStyle name="40% - Accent4 15 5 2" xfId="17512" xr:uid="{00000000-0005-0000-0000-00006B410000}"/>
    <cellStyle name="40% - Accent4 15 5 2 2" xfId="41353" xr:uid="{A33A3D53-522B-45C5-9458-B1583B551150}"/>
    <cellStyle name="40% - Accent4 15 5 3" xfId="25456" xr:uid="{00000000-0005-0000-0000-00006C410000}"/>
    <cellStyle name="40% - Accent4 15 5 3 2" xfId="49289" xr:uid="{EBA096AA-6AD5-4DA6-9D94-9790FCE50DCB}"/>
    <cellStyle name="40% - Accent4 15 5 4" xfId="33412" xr:uid="{5EE865F8-E1A5-48C6-9EAF-43FFBEF78E4B}"/>
    <cellStyle name="40% - Accent4 15 6" xfId="10450" xr:uid="{00000000-0005-0000-0000-00006D410000}"/>
    <cellStyle name="40% - Accent4 15 6 2" xfId="34300" xr:uid="{385269D9-A708-4EDB-B2C1-8485FF360DE4}"/>
    <cellStyle name="40% - Accent4 15 7" xfId="18405" xr:uid="{00000000-0005-0000-0000-00006E410000}"/>
    <cellStyle name="40% - Accent4 15 7 2" xfId="42238" xr:uid="{71499F45-70C6-4730-A83F-B2336E4A26C4}"/>
    <cellStyle name="40% - Accent4 15 8" xfId="26358" xr:uid="{B5170A6E-7DDA-4BCA-A934-3E4A2B337ED4}"/>
    <cellStyle name="40% - Accent4 15_Exh G" xfId="3093" xr:uid="{00000000-0005-0000-0000-00006F410000}"/>
    <cellStyle name="40% - Accent4 16" xfId="852" xr:uid="{00000000-0005-0000-0000-000070410000}"/>
    <cellStyle name="40% - Accent4 16 2" xfId="1791" xr:uid="{00000000-0005-0000-0000-000071410000}"/>
    <cellStyle name="40% - Accent4 16 2 2" xfId="5312" xr:uid="{00000000-0005-0000-0000-000072410000}"/>
    <cellStyle name="40% - Accent4 16 2 2 2" xfId="8903" xr:uid="{00000000-0005-0000-0000-000073410000}"/>
    <cellStyle name="40% - Accent4 16 2 2 2 2" xfId="16874" xr:uid="{00000000-0005-0000-0000-000074410000}"/>
    <cellStyle name="40% - Accent4 16 2 2 2 2 2" xfId="40717" xr:uid="{60CD5B50-9C74-4CBB-A421-78318E96296A}"/>
    <cellStyle name="40% - Accent4 16 2 2 2 3" xfId="24820" xr:uid="{00000000-0005-0000-0000-000075410000}"/>
    <cellStyle name="40% - Accent4 16 2 2 2 3 2" xfId="48653" xr:uid="{6CB5F435-7089-41B9-8837-347E48EEE80A}"/>
    <cellStyle name="40% - Accent4 16 2 2 2 4" xfId="32776" xr:uid="{06918825-6FF2-4FB1-BCCF-402175052DD8}"/>
    <cellStyle name="40% - Accent4 16 2 2 3" xfId="13336" xr:uid="{00000000-0005-0000-0000-000076410000}"/>
    <cellStyle name="40% - Accent4 16 2 2 3 2" xfId="37186" xr:uid="{ADF50A8D-0D2F-4979-BA09-4244C6BE8D68}"/>
    <cellStyle name="40% - Accent4 16 2 2 4" xfId="21291" xr:uid="{00000000-0005-0000-0000-000077410000}"/>
    <cellStyle name="40% - Accent4 16 2 2 4 2" xfId="45124" xr:uid="{170E0C62-63B8-4D5A-929A-368BFF625216}"/>
    <cellStyle name="40% - Accent4 16 2 2 5" xfId="29245" xr:uid="{B3496B4C-5857-4EDB-88E2-8E9B856914D1}"/>
    <cellStyle name="40% - Accent4 16 2 3" xfId="7144" xr:uid="{00000000-0005-0000-0000-000078410000}"/>
    <cellStyle name="40% - Accent4 16 2 3 2" xfId="15116" xr:uid="{00000000-0005-0000-0000-000079410000}"/>
    <cellStyle name="40% - Accent4 16 2 3 2 2" xfId="38959" xr:uid="{576C8791-6FD3-4D88-8EE4-EFAA34ADE8AC}"/>
    <cellStyle name="40% - Accent4 16 2 3 3" xfId="23063" xr:uid="{00000000-0005-0000-0000-00007A410000}"/>
    <cellStyle name="40% - Accent4 16 2 3 3 2" xfId="46896" xr:uid="{E1E250EC-DF7D-43B5-A8AD-CC92FD11AD35}"/>
    <cellStyle name="40% - Accent4 16 2 3 4" xfId="31018" xr:uid="{47C408BD-73C7-49BF-A4B0-761CE0169AE5}"/>
    <cellStyle name="40% - Accent4 16 2 4" xfId="11580" xr:uid="{00000000-0005-0000-0000-00007B410000}"/>
    <cellStyle name="40% - Accent4 16 2 4 2" xfId="35430" xr:uid="{76C80284-0984-462D-851B-07ADD5AA3629}"/>
    <cellStyle name="40% - Accent4 16 2 5" xfId="19535" xr:uid="{00000000-0005-0000-0000-00007C410000}"/>
    <cellStyle name="40% - Accent4 16 2 5 2" xfId="43368" xr:uid="{FF77B386-B275-473B-896B-C4A139C0E88D}"/>
    <cellStyle name="40% - Accent4 16 2 6" xfId="27488" xr:uid="{5442CE8B-484C-4A2A-A509-50B125A5F572}"/>
    <cellStyle name="40% - Accent4 16 2_Exh G" xfId="3096" xr:uid="{00000000-0005-0000-0000-00007D410000}"/>
    <cellStyle name="40% - Accent4 16 3" xfId="4433" xr:uid="{00000000-0005-0000-0000-00007E410000}"/>
    <cellStyle name="40% - Accent4 16 3 2" xfId="8025" xr:uid="{00000000-0005-0000-0000-00007F410000}"/>
    <cellStyle name="40% - Accent4 16 3 2 2" xfId="15996" xr:uid="{00000000-0005-0000-0000-000080410000}"/>
    <cellStyle name="40% - Accent4 16 3 2 2 2" xfId="39839" xr:uid="{705C648B-73DF-4633-9CA8-7421A47336AF}"/>
    <cellStyle name="40% - Accent4 16 3 2 3" xfId="23942" xr:uid="{00000000-0005-0000-0000-000081410000}"/>
    <cellStyle name="40% - Accent4 16 3 2 3 2" xfId="47775" xr:uid="{837CAC72-9973-4993-B3B3-CFA384C14DC5}"/>
    <cellStyle name="40% - Accent4 16 3 2 4" xfId="31898" xr:uid="{6D3E94B2-AD76-412F-9ED2-9F78EC221048}"/>
    <cellStyle name="40% - Accent4 16 3 3" xfId="12458" xr:uid="{00000000-0005-0000-0000-000082410000}"/>
    <cellStyle name="40% - Accent4 16 3 3 2" xfId="36308" xr:uid="{37EBF04D-CAAC-456A-B80B-80E67F83A3C6}"/>
    <cellStyle name="40% - Accent4 16 3 4" xfId="20413" xr:uid="{00000000-0005-0000-0000-000083410000}"/>
    <cellStyle name="40% - Accent4 16 3 4 2" xfId="44246" xr:uid="{A7C1AA3F-5A1D-4D3E-AAC1-6F4B3DBA69DB}"/>
    <cellStyle name="40% - Accent4 16 3 5" xfId="28367" xr:uid="{D5D35CEC-5F7E-49F6-B632-A8CC14557A8E}"/>
    <cellStyle name="40% - Accent4 16 4" xfId="6263" xr:uid="{00000000-0005-0000-0000-000084410000}"/>
    <cellStyle name="40% - Accent4 16 4 2" xfId="14238" xr:uid="{00000000-0005-0000-0000-000085410000}"/>
    <cellStyle name="40% - Accent4 16 4 2 2" xfId="38081" xr:uid="{C3E6D8FA-B562-47C7-8423-A4D3C50DB52A}"/>
    <cellStyle name="40% - Accent4 16 4 3" xfId="22185" xr:uid="{00000000-0005-0000-0000-000086410000}"/>
    <cellStyle name="40% - Accent4 16 4 3 2" xfId="46018" xr:uid="{866E9BE7-CDAC-460D-A8A0-C5924EDFC00F}"/>
    <cellStyle name="40% - Accent4 16 4 4" xfId="30140" xr:uid="{ABE789A3-8E32-4040-8EFD-8CC59BE09807}"/>
    <cellStyle name="40% - Accent4 16 5" xfId="9806" xr:uid="{00000000-0005-0000-0000-000087410000}"/>
    <cellStyle name="40% - Accent4 16 5 2" xfId="17764" xr:uid="{00000000-0005-0000-0000-000088410000}"/>
    <cellStyle name="40% - Accent4 16 5 2 2" xfId="41605" xr:uid="{69EE2AE1-12D7-48B6-9B26-87FBF6CE1642}"/>
    <cellStyle name="40% - Accent4 16 5 3" xfId="25708" xr:uid="{00000000-0005-0000-0000-000089410000}"/>
    <cellStyle name="40% - Accent4 16 5 3 2" xfId="49541" xr:uid="{B75A3C1D-5E43-4066-AD25-FC926315CE53}"/>
    <cellStyle name="40% - Accent4 16 5 4" xfId="33664" xr:uid="{6073F5ED-A15C-4D93-AB33-BEFBA536099F}"/>
    <cellStyle name="40% - Accent4 16 6" xfId="10702" xr:uid="{00000000-0005-0000-0000-00008A410000}"/>
    <cellStyle name="40% - Accent4 16 6 2" xfId="34552" xr:uid="{9C0731A9-B77A-4404-9527-90A48C256443}"/>
    <cellStyle name="40% - Accent4 16 7" xfId="18657" xr:uid="{00000000-0005-0000-0000-00008B410000}"/>
    <cellStyle name="40% - Accent4 16 7 2" xfId="42490" xr:uid="{7EEC8A07-1A70-4877-A15D-8CD834B05E0E}"/>
    <cellStyle name="40% - Accent4 16 8" xfId="26610" xr:uid="{AF85E0E6-56A1-4468-AF1D-335B114D5881}"/>
    <cellStyle name="40% - Accent4 16_Exh G" xfId="3095" xr:uid="{00000000-0005-0000-0000-00008C410000}"/>
    <cellStyle name="40% - Accent4 17" xfId="49802" xr:uid="{50B61F38-D25E-4EB7-8710-268F673E3CCC}"/>
    <cellStyle name="40% - Accent4 2" xfId="503" xr:uid="{00000000-0005-0000-0000-00008D410000}"/>
    <cellStyle name="40% - Accent4 2 10" xfId="18406" xr:uid="{00000000-0005-0000-0000-00008E410000}"/>
    <cellStyle name="40% - Accent4 2 10 2" xfId="42239" xr:uid="{042FADDB-5BD3-4C43-8B38-7CBF00A8B178}"/>
    <cellStyle name="40% - Accent4 2 11" xfId="26359" xr:uid="{F43D789F-D7E7-46BC-BEBB-8B59612E4579}"/>
    <cellStyle name="40% - Accent4 2 12" xfId="49787" xr:uid="{C13CB8F4-CA60-4765-8B23-CCD3878CE86D}"/>
    <cellStyle name="40% - Accent4 2 13" xfId="49815" xr:uid="{20DEE15C-4915-43B4-B034-7BE8861D20D7}"/>
    <cellStyle name="40% - Accent4 2 2" xfId="504" xr:uid="{00000000-0005-0000-0000-00008F410000}"/>
    <cellStyle name="40% - Accent4 2 2 10" xfId="26360" xr:uid="{C8AF8A1A-B42D-48FD-81D4-321483732515}"/>
    <cellStyle name="40% - Accent4 2 2 2" xfId="505" xr:uid="{00000000-0005-0000-0000-000090410000}"/>
    <cellStyle name="40% - Accent4 2 2 2 2" xfId="1533" xr:uid="{00000000-0005-0000-0000-000091410000}"/>
    <cellStyle name="40% - Accent4 2 2 2 2 2" xfId="5063" xr:uid="{00000000-0005-0000-0000-000092410000}"/>
    <cellStyle name="40% - Accent4 2 2 2 2 2 2" xfId="8654" xr:uid="{00000000-0005-0000-0000-000093410000}"/>
    <cellStyle name="40% - Accent4 2 2 2 2 2 2 2" xfId="16625" xr:uid="{00000000-0005-0000-0000-000094410000}"/>
    <cellStyle name="40% - Accent4 2 2 2 2 2 2 2 2" xfId="40468" xr:uid="{3B9E2DED-D417-436F-B0EE-7147630BB9A7}"/>
    <cellStyle name="40% - Accent4 2 2 2 2 2 2 3" xfId="24571" xr:uid="{00000000-0005-0000-0000-000095410000}"/>
    <cellStyle name="40% - Accent4 2 2 2 2 2 2 3 2" xfId="48404" xr:uid="{81F7E82E-7667-481B-AC39-17A8DAFDE222}"/>
    <cellStyle name="40% - Accent4 2 2 2 2 2 2 4" xfId="32527" xr:uid="{1BE74311-ACCC-4DA0-B35D-D0A4E999BA9C}"/>
    <cellStyle name="40% - Accent4 2 2 2 2 2 3" xfId="13087" xr:uid="{00000000-0005-0000-0000-000096410000}"/>
    <cellStyle name="40% - Accent4 2 2 2 2 2 3 2" xfId="36937" xr:uid="{C39296C9-D847-40F2-943C-A952E337F4BB}"/>
    <cellStyle name="40% - Accent4 2 2 2 2 2 4" xfId="21042" xr:uid="{00000000-0005-0000-0000-000097410000}"/>
    <cellStyle name="40% - Accent4 2 2 2 2 2 4 2" xfId="44875" xr:uid="{AD437589-0A52-4D66-9F7B-F2466DFF3740}"/>
    <cellStyle name="40% - Accent4 2 2 2 2 2 5" xfId="28996" xr:uid="{993CCC55-F13C-4E16-BDE9-E8ABE0D286FF}"/>
    <cellStyle name="40% - Accent4 2 2 2 2 3" xfId="6895" xr:uid="{00000000-0005-0000-0000-000098410000}"/>
    <cellStyle name="40% - Accent4 2 2 2 2 3 2" xfId="14867" xr:uid="{00000000-0005-0000-0000-000099410000}"/>
    <cellStyle name="40% - Accent4 2 2 2 2 3 2 2" xfId="38710" xr:uid="{04D84990-0335-490B-996E-B456E4A55DCC}"/>
    <cellStyle name="40% - Accent4 2 2 2 2 3 3" xfId="22814" xr:uid="{00000000-0005-0000-0000-00009A410000}"/>
    <cellStyle name="40% - Accent4 2 2 2 2 3 3 2" xfId="46647" xr:uid="{82CCE9A4-0E55-401D-B3FF-9B6103AB1CCA}"/>
    <cellStyle name="40% - Accent4 2 2 2 2 3 4" xfId="30769" xr:uid="{4F576E48-0B10-4EBF-BDB7-597483AD65BC}"/>
    <cellStyle name="40% - Accent4 2 2 2 2 4" xfId="11331" xr:uid="{00000000-0005-0000-0000-00009B410000}"/>
    <cellStyle name="40% - Accent4 2 2 2 2 4 2" xfId="35181" xr:uid="{0F9D785B-6B00-4380-B903-B4C28FD05862}"/>
    <cellStyle name="40% - Accent4 2 2 2 2 5" xfId="19286" xr:uid="{00000000-0005-0000-0000-00009C410000}"/>
    <cellStyle name="40% - Accent4 2 2 2 2 5 2" xfId="43119" xr:uid="{0F9EF237-F91F-43F6-B26E-E3AADAF2E435}"/>
    <cellStyle name="40% - Accent4 2 2 2 2 6" xfId="27239" xr:uid="{1FFC42C4-779C-471C-AD45-ACEC1F01AFC6}"/>
    <cellStyle name="40% - Accent4 2 2 2 2_Exh G" xfId="3100" xr:uid="{00000000-0005-0000-0000-00009D410000}"/>
    <cellStyle name="40% - Accent4 2 2 2 3" xfId="4184" xr:uid="{00000000-0005-0000-0000-00009E410000}"/>
    <cellStyle name="40% - Accent4 2 2 2 3 2" xfId="7776" xr:uid="{00000000-0005-0000-0000-00009F410000}"/>
    <cellStyle name="40% - Accent4 2 2 2 3 2 2" xfId="15747" xr:uid="{00000000-0005-0000-0000-0000A0410000}"/>
    <cellStyle name="40% - Accent4 2 2 2 3 2 2 2" xfId="39590" xr:uid="{E51DB69C-92BD-458F-8CC6-B3AA13EF8554}"/>
    <cellStyle name="40% - Accent4 2 2 2 3 2 3" xfId="23693" xr:uid="{00000000-0005-0000-0000-0000A1410000}"/>
    <cellStyle name="40% - Accent4 2 2 2 3 2 3 2" xfId="47526" xr:uid="{B63CFEAD-76C2-4FD4-A147-EE5F0283E85F}"/>
    <cellStyle name="40% - Accent4 2 2 2 3 2 4" xfId="31649" xr:uid="{1A13D493-82E2-403C-A6F5-9F392D3FA636}"/>
    <cellStyle name="40% - Accent4 2 2 2 3 3" xfId="12209" xr:uid="{00000000-0005-0000-0000-0000A2410000}"/>
    <cellStyle name="40% - Accent4 2 2 2 3 3 2" xfId="36059" xr:uid="{B3CA77E0-2EC5-4F54-9F6D-D2F1539B3CC6}"/>
    <cellStyle name="40% - Accent4 2 2 2 3 4" xfId="20164" xr:uid="{00000000-0005-0000-0000-0000A3410000}"/>
    <cellStyle name="40% - Accent4 2 2 2 3 4 2" xfId="43997" xr:uid="{759BAF34-29E2-4A9C-A254-77A0654CDBAA}"/>
    <cellStyle name="40% - Accent4 2 2 2 3 5" xfId="28118" xr:uid="{59BA5C05-097D-4C29-9F78-EDDCEAC455B6}"/>
    <cellStyle name="40% - Accent4 2 2 2 4" xfId="6004" xr:uid="{00000000-0005-0000-0000-0000A4410000}"/>
    <cellStyle name="40% - Accent4 2 2 2 4 2" xfId="13988" xr:uid="{00000000-0005-0000-0000-0000A5410000}"/>
    <cellStyle name="40% - Accent4 2 2 2 4 2 2" xfId="37832" xr:uid="{AA8EB964-26EC-40A6-A3E2-F72EDC18F683}"/>
    <cellStyle name="40% - Accent4 2 2 2 4 3" xfId="21936" xr:uid="{00000000-0005-0000-0000-0000A6410000}"/>
    <cellStyle name="40% - Accent4 2 2 2 4 3 2" xfId="45769" xr:uid="{7F45FE0C-0281-45D9-B323-7D01E26716C1}"/>
    <cellStyle name="40% - Accent4 2 2 2 4 4" xfId="29891" xr:uid="{A22D62E3-BF07-4424-86F8-616D141FC8FA}"/>
    <cellStyle name="40% - Accent4 2 2 2 5" xfId="9557" xr:uid="{00000000-0005-0000-0000-0000A7410000}"/>
    <cellStyle name="40% - Accent4 2 2 2 5 2" xfId="17515" xr:uid="{00000000-0005-0000-0000-0000A8410000}"/>
    <cellStyle name="40% - Accent4 2 2 2 5 2 2" xfId="41356" xr:uid="{0AC187AB-707E-4AE7-9329-B2EEEF7555EF}"/>
    <cellStyle name="40% - Accent4 2 2 2 5 3" xfId="25459" xr:uid="{00000000-0005-0000-0000-0000A9410000}"/>
    <cellStyle name="40% - Accent4 2 2 2 5 3 2" xfId="49292" xr:uid="{55DD5A72-E22A-45BA-84EC-7C20C5B342DC}"/>
    <cellStyle name="40% - Accent4 2 2 2 5 4" xfId="33415" xr:uid="{57966FAA-8D5F-43E5-8A37-AB930E625681}"/>
    <cellStyle name="40% - Accent4 2 2 2 6" xfId="10453" xr:uid="{00000000-0005-0000-0000-0000AA410000}"/>
    <cellStyle name="40% - Accent4 2 2 2 6 2" xfId="34303" xr:uid="{19416A94-A973-4A44-95E6-4AFD4ED5E02E}"/>
    <cellStyle name="40% - Accent4 2 2 2 7" xfId="18408" xr:uid="{00000000-0005-0000-0000-0000AB410000}"/>
    <cellStyle name="40% - Accent4 2 2 2 7 2" xfId="42241" xr:uid="{61906CBA-C8F6-4E17-B5FB-D28295308EAB}"/>
    <cellStyle name="40% - Accent4 2 2 2 8" xfId="26361" xr:uid="{7CE528F0-1247-4947-A97A-637B892000A0}"/>
    <cellStyle name="40% - Accent4 2 2 2_Exh G" xfId="3099" xr:uid="{00000000-0005-0000-0000-0000AC410000}"/>
    <cellStyle name="40% - Accent4 2 2 3" xfId="972" xr:uid="{00000000-0005-0000-0000-0000AD410000}"/>
    <cellStyle name="40% - Accent4 2 2 3 2" xfId="1890" xr:uid="{00000000-0005-0000-0000-0000AE410000}"/>
    <cellStyle name="40% - Accent4 2 2 3 2 2" xfId="5408" xr:uid="{00000000-0005-0000-0000-0000AF410000}"/>
    <cellStyle name="40% - Accent4 2 2 3 2 2 2" xfId="8999" xr:uid="{00000000-0005-0000-0000-0000B0410000}"/>
    <cellStyle name="40% - Accent4 2 2 3 2 2 2 2" xfId="16970" xr:uid="{00000000-0005-0000-0000-0000B1410000}"/>
    <cellStyle name="40% - Accent4 2 2 3 2 2 2 2 2" xfId="40813" xr:uid="{48619863-E2E6-4645-BBA8-4F87C0500F17}"/>
    <cellStyle name="40% - Accent4 2 2 3 2 2 2 3" xfId="24916" xr:uid="{00000000-0005-0000-0000-0000B2410000}"/>
    <cellStyle name="40% - Accent4 2 2 3 2 2 2 3 2" xfId="48749" xr:uid="{9973B9DB-6E74-43DB-8E43-F29B46E6A4F5}"/>
    <cellStyle name="40% - Accent4 2 2 3 2 2 2 4" xfId="32872" xr:uid="{CBAB7F29-C96C-4407-A9E2-CE26FE3F9AD6}"/>
    <cellStyle name="40% - Accent4 2 2 3 2 2 3" xfId="13432" xr:uid="{00000000-0005-0000-0000-0000B3410000}"/>
    <cellStyle name="40% - Accent4 2 2 3 2 2 3 2" xfId="37282" xr:uid="{E2CE381C-474B-4996-AD76-8395C28B2388}"/>
    <cellStyle name="40% - Accent4 2 2 3 2 2 4" xfId="21387" xr:uid="{00000000-0005-0000-0000-0000B4410000}"/>
    <cellStyle name="40% - Accent4 2 2 3 2 2 4 2" xfId="45220" xr:uid="{7B821503-0B2F-48CF-9295-2C3A07CE71A7}"/>
    <cellStyle name="40% - Accent4 2 2 3 2 2 5" xfId="29341" xr:uid="{F9C5450D-7151-4790-803E-AC112EA6B1BB}"/>
    <cellStyle name="40% - Accent4 2 2 3 2 3" xfId="7240" xr:uid="{00000000-0005-0000-0000-0000B5410000}"/>
    <cellStyle name="40% - Accent4 2 2 3 2 3 2" xfId="15212" xr:uid="{00000000-0005-0000-0000-0000B6410000}"/>
    <cellStyle name="40% - Accent4 2 2 3 2 3 2 2" xfId="39055" xr:uid="{958E5D4E-8A47-4030-A8C6-70EE60A5E06E}"/>
    <cellStyle name="40% - Accent4 2 2 3 2 3 3" xfId="23159" xr:uid="{00000000-0005-0000-0000-0000B7410000}"/>
    <cellStyle name="40% - Accent4 2 2 3 2 3 3 2" xfId="46992" xr:uid="{1D1CF853-722D-4328-827A-ABA0712A8CF8}"/>
    <cellStyle name="40% - Accent4 2 2 3 2 3 4" xfId="31114" xr:uid="{4EE30D47-45F5-4348-8110-FB699FCB768E}"/>
    <cellStyle name="40% - Accent4 2 2 3 2 4" xfId="11676" xr:uid="{00000000-0005-0000-0000-0000B8410000}"/>
    <cellStyle name="40% - Accent4 2 2 3 2 4 2" xfId="35526" xr:uid="{7B7F205D-2094-4D0B-8220-BAAF7ED9DB2B}"/>
    <cellStyle name="40% - Accent4 2 2 3 2 5" xfId="19631" xr:uid="{00000000-0005-0000-0000-0000B9410000}"/>
    <cellStyle name="40% - Accent4 2 2 3 2 5 2" xfId="43464" xr:uid="{C30DCFBF-B93A-4255-83BF-44773E128B59}"/>
    <cellStyle name="40% - Accent4 2 2 3 2 6" xfId="27584" xr:uid="{BB42082F-7CA8-4061-92C9-86DA929CDDF3}"/>
    <cellStyle name="40% - Accent4 2 2 3 2_Exh G" xfId="3102" xr:uid="{00000000-0005-0000-0000-0000BA410000}"/>
    <cellStyle name="40% - Accent4 2 2 3 3" xfId="4529" xr:uid="{00000000-0005-0000-0000-0000BB410000}"/>
    <cellStyle name="40% - Accent4 2 2 3 3 2" xfId="8121" xr:uid="{00000000-0005-0000-0000-0000BC410000}"/>
    <cellStyle name="40% - Accent4 2 2 3 3 2 2" xfId="16092" xr:uid="{00000000-0005-0000-0000-0000BD410000}"/>
    <cellStyle name="40% - Accent4 2 2 3 3 2 2 2" xfId="39935" xr:uid="{5DA6FF1F-BC29-48C2-AAFF-27A082275BA5}"/>
    <cellStyle name="40% - Accent4 2 2 3 3 2 3" xfId="24038" xr:uid="{00000000-0005-0000-0000-0000BE410000}"/>
    <cellStyle name="40% - Accent4 2 2 3 3 2 3 2" xfId="47871" xr:uid="{CE6C9A39-6F51-4058-B744-D99177C50B0D}"/>
    <cellStyle name="40% - Accent4 2 2 3 3 2 4" xfId="31994" xr:uid="{170B105C-BE20-4A3B-BCD2-7C0988541555}"/>
    <cellStyle name="40% - Accent4 2 2 3 3 3" xfId="12554" xr:uid="{00000000-0005-0000-0000-0000BF410000}"/>
    <cellStyle name="40% - Accent4 2 2 3 3 3 2" xfId="36404" xr:uid="{2A245452-3BC3-4F19-99B9-72716AA160A8}"/>
    <cellStyle name="40% - Accent4 2 2 3 3 4" xfId="20509" xr:uid="{00000000-0005-0000-0000-0000C0410000}"/>
    <cellStyle name="40% - Accent4 2 2 3 3 4 2" xfId="44342" xr:uid="{8A66DE16-0735-4AB4-B1B4-3F0C776EB1E8}"/>
    <cellStyle name="40% - Accent4 2 2 3 3 5" xfId="28463" xr:uid="{BEAE95DE-9658-497F-A964-8718EB04C44A}"/>
    <cellStyle name="40% - Accent4 2 2 3 4" xfId="6359" xr:uid="{00000000-0005-0000-0000-0000C1410000}"/>
    <cellStyle name="40% - Accent4 2 2 3 4 2" xfId="14334" xr:uid="{00000000-0005-0000-0000-0000C2410000}"/>
    <cellStyle name="40% - Accent4 2 2 3 4 2 2" xfId="38177" xr:uid="{18ACFF46-BB01-46A8-947B-C02AB98255C4}"/>
    <cellStyle name="40% - Accent4 2 2 3 4 3" xfId="22281" xr:uid="{00000000-0005-0000-0000-0000C3410000}"/>
    <cellStyle name="40% - Accent4 2 2 3 4 3 2" xfId="46114" xr:uid="{CC95FD76-FAD4-44A0-9923-B86C78A7916B}"/>
    <cellStyle name="40% - Accent4 2 2 3 4 4" xfId="30236" xr:uid="{2DEFDFBF-C731-4D19-8FB5-DCF28EC043F7}"/>
    <cellStyle name="40% - Accent4 2 2 3 5" xfId="9902" xr:uid="{00000000-0005-0000-0000-0000C4410000}"/>
    <cellStyle name="40% - Accent4 2 2 3 5 2" xfId="17860" xr:uid="{00000000-0005-0000-0000-0000C5410000}"/>
    <cellStyle name="40% - Accent4 2 2 3 5 2 2" xfId="41701" xr:uid="{FA0A3E77-4CD7-41A9-A605-E58274DAC8A9}"/>
    <cellStyle name="40% - Accent4 2 2 3 5 3" xfId="25804" xr:uid="{00000000-0005-0000-0000-0000C6410000}"/>
    <cellStyle name="40% - Accent4 2 2 3 5 3 2" xfId="49637" xr:uid="{90BA8F7C-1026-4182-BB60-D49BCB0D9830}"/>
    <cellStyle name="40% - Accent4 2 2 3 5 4" xfId="33760" xr:uid="{F25AE26D-A3FC-4AAF-9BB2-9F357076ABF8}"/>
    <cellStyle name="40% - Accent4 2 2 3 6" xfId="10798" xr:uid="{00000000-0005-0000-0000-0000C7410000}"/>
    <cellStyle name="40% - Accent4 2 2 3 6 2" xfId="34648" xr:uid="{6C10DDAD-FB02-45F2-B9C9-877AABDBB162}"/>
    <cellStyle name="40% - Accent4 2 2 3 7" xfId="18753" xr:uid="{00000000-0005-0000-0000-0000C8410000}"/>
    <cellStyle name="40% - Accent4 2 2 3 7 2" xfId="42586" xr:uid="{9295FBE4-3ECB-4F8C-A7C5-4466CFDD98FC}"/>
    <cellStyle name="40% - Accent4 2 2 3 8" xfId="26706" xr:uid="{EA8EE386-B486-4DCF-800B-90B957A3724A}"/>
    <cellStyle name="40% - Accent4 2 2 3_Exh G" xfId="3101" xr:uid="{00000000-0005-0000-0000-0000C9410000}"/>
    <cellStyle name="40% - Accent4 2 2 4" xfId="1532" xr:uid="{00000000-0005-0000-0000-0000CA410000}"/>
    <cellStyle name="40% - Accent4 2 2 4 2" xfId="5062" xr:uid="{00000000-0005-0000-0000-0000CB410000}"/>
    <cellStyle name="40% - Accent4 2 2 4 2 2" xfId="8653" xr:uid="{00000000-0005-0000-0000-0000CC410000}"/>
    <cellStyle name="40% - Accent4 2 2 4 2 2 2" xfId="16624" xr:uid="{00000000-0005-0000-0000-0000CD410000}"/>
    <cellStyle name="40% - Accent4 2 2 4 2 2 2 2" xfId="40467" xr:uid="{72DB3F85-D1D9-420F-8C49-FFC75E4D3F1B}"/>
    <cellStyle name="40% - Accent4 2 2 4 2 2 3" xfId="24570" xr:uid="{00000000-0005-0000-0000-0000CE410000}"/>
    <cellStyle name="40% - Accent4 2 2 4 2 2 3 2" xfId="48403" xr:uid="{A8F7B629-B201-4D91-ACAC-5753C923D301}"/>
    <cellStyle name="40% - Accent4 2 2 4 2 2 4" xfId="32526" xr:uid="{88661F99-6BE5-4488-8355-8109801DD93F}"/>
    <cellStyle name="40% - Accent4 2 2 4 2 3" xfId="13086" xr:uid="{00000000-0005-0000-0000-0000CF410000}"/>
    <cellStyle name="40% - Accent4 2 2 4 2 3 2" xfId="36936" xr:uid="{DCED09E9-2658-4BA6-A911-48F990D42063}"/>
    <cellStyle name="40% - Accent4 2 2 4 2 4" xfId="21041" xr:uid="{00000000-0005-0000-0000-0000D0410000}"/>
    <cellStyle name="40% - Accent4 2 2 4 2 4 2" xfId="44874" xr:uid="{EAE796D2-39DC-4501-BE24-7DF93FAB44FF}"/>
    <cellStyle name="40% - Accent4 2 2 4 2 5" xfId="28995" xr:uid="{F4A8CCD8-545A-47DF-BC85-04EBBB0C1C00}"/>
    <cellStyle name="40% - Accent4 2 2 4 3" xfId="6894" xr:uid="{00000000-0005-0000-0000-0000D1410000}"/>
    <cellStyle name="40% - Accent4 2 2 4 3 2" xfId="14866" xr:uid="{00000000-0005-0000-0000-0000D2410000}"/>
    <cellStyle name="40% - Accent4 2 2 4 3 2 2" xfId="38709" xr:uid="{9B885CAE-25EB-468D-9B04-D24965CB67EF}"/>
    <cellStyle name="40% - Accent4 2 2 4 3 3" xfId="22813" xr:uid="{00000000-0005-0000-0000-0000D3410000}"/>
    <cellStyle name="40% - Accent4 2 2 4 3 3 2" xfId="46646" xr:uid="{074B2234-0C7C-49AA-A228-A1F4CD68A6CA}"/>
    <cellStyle name="40% - Accent4 2 2 4 3 4" xfId="30768" xr:uid="{57C277FF-6BE8-4427-9FFB-5F895D321175}"/>
    <cellStyle name="40% - Accent4 2 2 4 4" xfId="11330" xr:uid="{00000000-0005-0000-0000-0000D4410000}"/>
    <cellStyle name="40% - Accent4 2 2 4 4 2" xfId="35180" xr:uid="{27499511-20C6-442B-A1C2-1E136078235F}"/>
    <cellStyle name="40% - Accent4 2 2 4 5" xfId="19285" xr:uid="{00000000-0005-0000-0000-0000D5410000}"/>
    <cellStyle name="40% - Accent4 2 2 4 5 2" xfId="43118" xr:uid="{9EE0CD0B-1D97-4DD1-9146-934FF11BEDB4}"/>
    <cellStyle name="40% - Accent4 2 2 4 6" xfId="27238" xr:uid="{E7997852-8238-475D-9B5A-2F656C6B8351}"/>
    <cellStyle name="40% - Accent4 2 2 4_Exh G" xfId="3103" xr:uid="{00000000-0005-0000-0000-0000D6410000}"/>
    <cellStyle name="40% - Accent4 2 2 5" xfId="4183" xr:uid="{00000000-0005-0000-0000-0000D7410000}"/>
    <cellStyle name="40% - Accent4 2 2 5 2" xfId="7775" xr:uid="{00000000-0005-0000-0000-0000D8410000}"/>
    <cellStyle name="40% - Accent4 2 2 5 2 2" xfId="15746" xr:uid="{00000000-0005-0000-0000-0000D9410000}"/>
    <cellStyle name="40% - Accent4 2 2 5 2 2 2" xfId="39589" xr:uid="{7D2CF6AD-5C66-4897-94C5-B76934352DEA}"/>
    <cellStyle name="40% - Accent4 2 2 5 2 3" xfId="23692" xr:uid="{00000000-0005-0000-0000-0000DA410000}"/>
    <cellStyle name="40% - Accent4 2 2 5 2 3 2" xfId="47525" xr:uid="{438049AC-7ED3-4327-8AFE-415E1D064B87}"/>
    <cellStyle name="40% - Accent4 2 2 5 2 4" xfId="31648" xr:uid="{0517DFF5-018D-4777-A575-71E85C036902}"/>
    <cellStyle name="40% - Accent4 2 2 5 3" xfId="12208" xr:uid="{00000000-0005-0000-0000-0000DB410000}"/>
    <cellStyle name="40% - Accent4 2 2 5 3 2" xfId="36058" xr:uid="{AACB2EC5-D637-4A50-8ADF-50A395569D73}"/>
    <cellStyle name="40% - Accent4 2 2 5 4" xfId="20163" xr:uid="{00000000-0005-0000-0000-0000DC410000}"/>
    <cellStyle name="40% - Accent4 2 2 5 4 2" xfId="43996" xr:uid="{39441BF7-3C75-4D30-99EF-E7829377166C}"/>
    <cellStyle name="40% - Accent4 2 2 5 5" xfId="28117" xr:uid="{5D5C4B9C-D830-46E5-B39F-CBCDD0A72908}"/>
    <cellStyle name="40% - Accent4 2 2 6" xfId="6003" xr:uid="{00000000-0005-0000-0000-0000DD410000}"/>
    <cellStyle name="40% - Accent4 2 2 6 2" xfId="13987" xr:uid="{00000000-0005-0000-0000-0000DE410000}"/>
    <cellStyle name="40% - Accent4 2 2 6 2 2" xfId="37831" xr:uid="{26DA5B5F-C2C7-4846-A31A-DBA4D29C5E84}"/>
    <cellStyle name="40% - Accent4 2 2 6 3" xfId="21935" xr:uid="{00000000-0005-0000-0000-0000DF410000}"/>
    <cellStyle name="40% - Accent4 2 2 6 3 2" xfId="45768" xr:uid="{9F98AE64-B737-4921-87DF-3F7602AABA54}"/>
    <cellStyle name="40% - Accent4 2 2 6 4" xfId="29890" xr:uid="{DA7A222F-E673-4652-AA55-1F6FC32D9131}"/>
    <cellStyle name="40% - Accent4 2 2 7" xfId="9556" xr:uid="{00000000-0005-0000-0000-0000E0410000}"/>
    <cellStyle name="40% - Accent4 2 2 7 2" xfId="17514" xr:uid="{00000000-0005-0000-0000-0000E1410000}"/>
    <cellStyle name="40% - Accent4 2 2 7 2 2" xfId="41355" xr:uid="{A36C18AB-07E0-42CC-899F-E133FDD22EBB}"/>
    <cellStyle name="40% - Accent4 2 2 7 3" xfId="25458" xr:uid="{00000000-0005-0000-0000-0000E2410000}"/>
    <cellStyle name="40% - Accent4 2 2 7 3 2" xfId="49291" xr:uid="{DB020100-CE66-4DF7-9240-FC04CEA37AFD}"/>
    <cellStyle name="40% - Accent4 2 2 7 4" xfId="33414" xr:uid="{5DB45DF1-8FE2-4231-BE38-CE02C16F0FED}"/>
    <cellStyle name="40% - Accent4 2 2 8" xfId="10452" xr:uid="{00000000-0005-0000-0000-0000E3410000}"/>
    <cellStyle name="40% - Accent4 2 2 8 2" xfId="34302" xr:uid="{9199B007-BDDA-4B30-AE4C-DD111D638C97}"/>
    <cellStyle name="40% - Accent4 2 2 9" xfId="18407" xr:uid="{00000000-0005-0000-0000-0000E4410000}"/>
    <cellStyle name="40% - Accent4 2 2 9 2" xfId="42240" xr:uid="{8004325E-3584-41EE-8252-936FC6E605E4}"/>
    <cellStyle name="40% - Accent4 2 2_Exh G" xfId="3098" xr:uid="{00000000-0005-0000-0000-0000E5410000}"/>
    <cellStyle name="40% - Accent4 2 3" xfId="506" xr:uid="{00000000-0005-0000-0000-0000E6410000}"/>
    <cellStyle name="40% - Accent4 2 3 2" xfId="1534" xr:uid="{00000000-0005-0000-0000-0000E7410000}"/>
    <cellStyle name="40% - Accent4 2 3 2 2" xfId="5064" xr:uid="{00000000-0005-0000-0000-0000E8410000}"/>
    <cellStyle name="40% - Accent4 2 3 2 2 2" xfId="8655" xr:uid="{00000000-0005-0000-0000-0000E9410000}"/>
    <cellStyle name="40% - Accent4 2 3 2 2 2 2" xfId="16626" xr:uid="{00000000-0005-0000-0000-0000EA410000}"/>
    <cellStyle name="40% - Accent4 2 3 2 2 2 2 2" xfId="40469" xr:uid="{5C677370-4824-42BD-BDDD-061A7F2C37F7}"/>
    <cellStyle name="40% - Accent4 2 3 2 2 2 3" xfId="24572" xr:uid="{00000000-0005-0000-0000-0000EB410000}"/>
    <cellStyle name="40% - Accent4 2 3 2 2 2 3 2" xfId="48405" xr:uid="{6BF0F9A8-AAE6-46F5-95C0-E1C387E5CA4F}"/>
    <cellStyle name="40% - Accent4 2 3 2 2 2 4" xfId="32528" xr:uid="{E1B990B8-2373-43E5-9300-166F9122FE1F}"/>
    <cellStyle name="40% - Accent4 2 3 2 2 3" xfId="13088" xr:uid="{00000000-0005-0000-0000-0000EC410000}"/>
    <cellStyle name="40% - Accent4 2 3 2 2 3 2" xfId="36938" xr:uid="{A38ACCFD-5970-4558-B034-07D0D4E00B08}"/>
    <cellStyle name="40% - Accent4 2 3 2 2 4" xfId="21043" xr:uid="{00000000-0005-0000-0000-0000ED410000}"/>
    <cellStyle name="40% - Accent4 2 3 2 2 4 2" xfId="44876" xr:uid="{C0A9F629-B8A0-4958-BC05-0EB6A423636E}"/>
    <cellStyle name="40% - Accent4 2 3 2 2 5" xfId="28997" xr:uid="{EB1E4724-2AD4-4AC9-AB03-519267448953}"/>
    <cellStyle name="40% - Accent4 2 3 2 3" xfId="6896" xr:uid="{00000000-0005-0000-0000-0000EE410000}"/>
    <cellStyle name="40% - Accent4 2 3 2 3 2" xfId="14868" xr:uid="{00000000-0005-0000-0000-0000EF410000}"/>
    <cellStyle name="40% - Accent4 2 3 2 3 2 2" xfId="38711" xr:uid="{04816579-7253-4925-8467-92715CB61E49}"/>
    <cellStyle name="40% - Accent4 2 3 2 3 3" xfId="22815" xr:uid="{00000000-0005-0000-0000-0000F0410000}"/>
    <cellStyle name="40% - Accent4 2 3 2 3 3 2" xfId="46648" xr:uid="{332ECCA4-BFDB-492E-AD0A-70AB695152D0}"/>
    <cellStyle name="40% - Accent4 2 3 2 3 4" xfId="30770" xr:uid="{32171904-0F47-470D-9F41-D2B02AB9B5DB}"/>
    <cellStyle name="40% - Accent4 2 3 2 4" xfId="11332" xr:uid="{00000000-0005-0000-0000-0000F1410000}"/>
    <cellStyle name="40% - Accent4 2 3 2 4 2" xfId="35182" xr:uid="{151FDB53-8BC6-42E1-B869-4008D1EA3869}"/>
    <cellStyle name="40% - Accent4 2 3 2 5" xfId="19287" xr:uid="{00000000-0005-0000-0000-0000F2410000}"/>
    <cellStyle name="40% - Accent4 2 3 2 5 2" xfId="43120" xr:uid="{468AFD6A-D30E-4492-B7D5-FDC05F32BCFC}"/>
    <cellStyle name="40% - Accent4 2 3 2 6" xfId="27240" xr:uid="{1A93E228-EEFC-4AD2-920D-5F58B6A92918}"/>
    <cellStyle name="40% - Accent4 2 3 2_Exh G" xfId="3105" xr:uid="{00000000-0005-0000-0000-0000F3410000}"/>
    <cellStyle name="40% - Accent4 2 3 3" xfId="4185" xr:uid="{00000000-0005-0000-0000-0000F4410000}"/>
    <cellStyle name="40% - Accent4 2 3 3 2" xfId="7777" xr:uid="{00000000-0005-0000-0000-0000F5410000}"/>
    <cellStyle name="40% - Accent4 2 3 3 2 2" xfId="15748" xr:uid="{00000000-0005-0000-0000-0000F6410000}"/>
    <cellStyle name="40% - Accent4 2 3 3 2 2 2" xfId="39591" xr:uid="{629768F3-818C-4A5A-8C02-D66B329F1D4C}"/>
    <cellStyle name="40% - Accent4 2 3 3 2 3" xfId="23694" xr:uid="{00000000-0005-0000-0000-0000F7410000}"/>
    <cellStyle name="40% - Accent4 2 3 3 2 3 2" xfId="47527" xr:uid="{9EDE8CCD-6FA2-4882-A6B2-8827A169F34D}"/>
    <cellStyle name="40% - Accent4 2 3 3 2 4" xfId="31650" xr:uid="{77CB774B-A3C5-400F-A554-DD6249EBD075}"/>
    <cellStyle name="40% - Accent4 2 3 3 3" xfId="12210" xr:uid="{00000000-0005-0000-0000-0000F8410000}"/>
    <cellStyle name="40% - Accent4 2 3 3 3 2" xfId="36060" xr:uid="{80E2C33A-C31B-4D3D-B1AC-FDB701C14E04}"/>
    <cellStyle name="40% - Accent4 2 3 3 4" xfId="20165" xr:uid="{00000000-0005-0000-0000-0000F9410000}"/>
    <cellStyle name="40% - Accent4 2 3 3 4 2" xfId="43998" xr:uid="{A7CCC952-A99E-48B6-8A26-E1E9B1CF2FAC}"/>
    <cellStyle name="40% - Accent4 2 3 3 5" xfId="28119" xr:uid="{DC96DBD8-63A6-4C76-8DAC-8487D6E88E62}"/>
    <cellStyle name="40% - Accent4 2 3 4" xfId="6005" xr:uid="{00000000-0005-0000-0000-0000FA410000}"/>
    <cellStyle name="40% - Accent4 2 3 4 2" xfId="13989" xr:uid="{00000000-0005-0000-0000-0000FB410000}"/>
    <cellStyle name="40% - Accent4 2 3 4 2 2" xfId="37833" xr:uid="{401706EC-23F2-4EFF-9D6E-AA5D58FBEE84}"/>
    <cellStyle name="40% - Accent4 2 3 4 3" xfId="21937" xr:uid="{00000000-0005-0000-0000-0000FC410000}"/>
    <cellStyle name="40% - Accent4 2 3 4 3 2" xfId="45770" xr:uid="{2582B0FE-8069-49CD-B601-596DFF5E0616}"/>
    <cellStyle name="40% - Accent4 2 3 4 4" xfId="29892" xr:uid="{EBD85D5B-0DDA-4597-914E-EF3771C61736}"/>
    <cellStyle name="40% - Accent4 2 3 5" xfId="9558" xr:uid="{00000000-0005-0000-0000-0000FD410000}"/>
    <cellStyle name="40% - Accent4 2 3 5 2" xfId="17516" xr:uid="{00000000-0005-0000-0000-0000FE410000}"/>
    <cellStyle name="40% - Accent4 2 3 5 2 2" xfId="41357" xr:uid="{0CBD5E4F-6944-4140-A302-D129512D79A0}"/>
    <cellStyle name="40% - Accent4 2 3 5 3" xfId="25460" xr:uid="{00000000-0005-0000-0000-0000FF410000}"/>
    <cellStyle name="40% - Accent4 2 3 5 3 2" xfId="49293" xr:uid="{EF7BE122-ACEB-4C9E-BACC-381A6D4DDDA8}"/>
    <cellStyle name="40% - Accent4 2 3 5 4" xfId="33416" xr:uid="{22767313-776D-4721-93D9-36D7B7A24B2B}"/>
    <cellStyle name="40% - Accent4 2 3 6" xfId="10454" xr:uid="{00000000-0005-0000-0000-000000420000}"/>
    <cellStyle name="40% - Accent4 2 3 6 2" xfId="34304" xr:uid="{985A8EAC-D628-4135-B18B-12BD32183AEB}"/>
    <cellStyle name="40% - Accent4 2 3 7" xfId="18409" xr:uid="{00000000-0005-0000-0000-000001420000}"/>
    <cellStyle name="40% - Accent4 2 3 7 2" xfId="42242" xr:uid="{040287AA-E986-4011-9ABA-2C1EEEE19D67}"/>
    <cellStyle name="40% - Accent4 2 3 8" xfId="26362" xr:uid="{C4C8FB22-B409-4DC7-9ECC-BFE6EA03FD07}"/>
    <cellStyle name="40% - Accent4 2 3_Exh G" xfId="3104" xr:uid="{00000000-0005-0000-0000-000002420000}"/>
    <cellStyle name="40% - Accent4 2 4" xfId="971" xr:uid="{00000000-0005-0000-0000-000003420000}"/>
    <cellStyle name="40% - Accent4 2 4 2" xfId="1889" xr:uid="{00000000-0005-0000-0000-000004420000}"/>
    <cellStyle name="40% - Accent4 2 4 2 2" xfId="5407" xr:uid="{00000000-0005-0000-0000-000005420000}"/>
    <cellStyle name="40% - Accent4 2 4 2 2 2" xfId="8998" xr:uid="{00000000-0005-0000-0000-000006420000}"/>
    <cellStyle name="40% - Accent4 2 4 2 2 2 2" xfId="16969" xr:uid="{00000000-0005-0000-0000-000007420000}"/>
    <cellStyle name="40% - Accent4 2 4 2 2 2 2 2" xfId="40812" xr:uid="{E6531F4B-9F01-4524-B56F-726C226BBF72}"/>
    <cellStyle name="40% - Accent4 2 4 2 2 2 3" xfId="24915" xr:uid="{00000000-0005-0000-0000-000008420000}"/>
    <cellStyle name="40% - Accent4 2 4 2 2 2 3 2" xfId="48748" xr:uid="{AC738C05-AB56-475B-A266-DD7B92A688D2}"/>
    <cellStyle name="40% - Accent4 2 4 2 2 2 4" xfId="32871" xr:uid="{3E635B6C-6E99-48C0-913D-359C19E7EADF}"/>
    <cellStyle name="40% - Accent4 2 4 2 2 3" xfId="13431" xr:uid="{00000000-0005-0000-0000-000009420000}"/>
    <cellStyle name="40% - Accent4 2 4 2 2 3 2" xfId="37281" xr:uid="{3F2D100F-CB90-4799-BD3E-0DB7816EC53B}"/>
    <cellStyle name="40% - Accent4 2 4 2 2 4" xfId="21386" xr:uid="{00000000-0005-0000-0000-00000A420000}"/>
    <cellStyle name="40% - Accent4 2 4 2 2 4 2" xfId="45219" xr:uid="{93370C7F-1AD5-4382-8F38-C05B4F0C293A}"/>
    <cellStyle name="40% - Accent4 2 4 2 2 5" xfId="29340" xr:uid="{606D281A-ADAB-43CF-A771-AB5D26EC61EF}"/>
    <cellStyle name="40% - Accent4 2 4 2 3" xfId="7239" xr:uid="{00000000-0005-0000-0000-00000B420000}"/>
    <cellStyle name="40% - Accent4 2 4 2 3 2" xfId="15211" xr:uid="{00000000-0005-0000-0000-00000C420000}"/>
    <cellStyle name="40% - Accent4 2 4 2 3 2 2" xfId="39054" xr:uid="{AF55F7A8-42E9-443F-A638-5E680326381F}"/>
    <cellStyle name="40% - Accent4 2 4 2 3 3" xfId="23158" xr:uid="{00000000-0005-0000-0000-00000D420000}"/>
    <cellStyle name="40% - Accent4 2 4 2 3 3 2" xfId="46991" xr:uid="{CCCE4694-D0E7-4824-93EF-88AD72E4ED1B}"/>
    <cellStyle name="40% - Accent4 2 4 2 3 4" xfId="31113" xr:uid="{4C9ADAE8-BA9E-46E4-8092-6BC33A4611C9}"/>
    <cellStyle name="40% - Accent4 2 4 2 4" xfId="11675" xr:uid="{00000000-0005-0000-0000-00000E420000}"/>
    <cellStyle name="40% - Accent4 2 4 2 4 2" xfId="35525" xr:uid="{95245B3C-E9B1-47AA-A0B2-340CC9CB0FDE}"/>
    <cellStyle name="40% - Accent4 2 4 2 5" xfId="19630" xr:uid="{00000000-0005-0000-0000-00000F420000}"/>
    <cellStyle name="40% - Accent4 2 4 2 5 2" xfId="43463" xr:uid="{5F764E5F-C90C-425E-B00A-E5951B72014B}"/>
    <cellStyle name="40% - Accent4 2 4 2 6" xfId="27583" xr:uid="{DA0EAFDB-7178-40EE-97A9-81DC7920D249}"/>
    <cellStyle name="40% - Accent4 2 4 2_Exh G" xfId="3107" xr:uid="{00000000-0005-0000-0000-000010420000}"/>
    <cellStyle name="40% - Accent4 2 4 3" xfId="4528" xr:uid="{00000000-0005-0000-0000-000011420000}"/>
    <cellStyle name="40% - Accent4 2 4 3 2" xfId="8120" xr:uid="{00000000-0005-0000-0000-000012420000}"/>
    <cellStyle name="40% - Accent4 2 4 3 2 2" xfId="16091" xr:uid="{00000000-0005-0000-0000-000013420000}"/>
    <cellStyle name="40% - Accent4 2 4 3 2 2 2" xfId="39934" xr:uid="{4C6A2FCE-D62B-450A-9E3F-B948DE4E19E8}"/>
    <cellStyle name="40% - Accent4 2 4 3 2 3" xfId="24037" xr:uid="{00000000-0005-0000-0000-000014420000}"/>
    <cellStyle name="40% - Accent4 2 4 3 2 3 2" xfId="47870" xr:uid="{1144C03E-F74E-47C4-BB1D-880B10ADE431}"/>
    <cellStyle name="40% - Accent4 2 4 3 2 4" xfId="31993" xr:uid="{AC32F730-8BAA-40DC-961D-9D6CD2B7B706}"/>
    <cellStyle name="40% - Accent4 2 4 3 3" xfId="12553" xr:uid="{00000000-0005-0000-0000-000015420000}"/>
    <cellStyle name="40% - Accent4 2 4 3 3 2" xfId="36403" xr:uid="{9D8BA786-5D34-4261-844F-E9D70E9DA38E}"/>
    <cellStyle name="40% - Accent4 2 4 3 4" xfId="20508" xr:uid="{00000000-0005-0000-0000-000016420000}"/>
    <cellStyle name="40% - Accent4 2 4 3 4 2" xfId="44341" xr:uid="{7454A02C-88C9-4F7B-B59C-6EE44B8A47E8}"/>
    <cellStyle name="40% - Accent4 2 4 3 5" xfId="28462" xr:uid="{3257DA1B-EE44-4D2F-80D3-FBD6815B117A}"/>
    <cellStyle name="40% - Accent4 2 4 4" xfId="6358" xr:uid="{00000000-0005-0000-0000-000017420000}"/>
    <cellStyle name="40% - Accent4 2 4 4 2" xfId="14333" xr:uid="{00000000-0005-0000-0000-000018420000}"/>
    <cellStyle name="40% - Accent4 2 4 4 2 2" xfId="38176" xr:uid="{92C98F21-3F25-4279-BC6E-A8225582367F}"/>
    <cellStyle name="40% - Accent4 2 4 4 3" xfId="22280" xr:uid="{00000000-0005-0000-0000-000019420000}"/>
    <cellStyle name="40% - Accent4 2 4 4 3 2" xfId="46113" xr:uid="{B1A89891-A03D-49EB-968C-4DB6A1EFD2E6}"/>
    <cellStyle name="40% - Accent4 2 4 4 4" xfId="30235" xr:uid="{654773FA-CE4C-4371-AF18-139BDCF4A5C0}"/>
    <cellStyle name="40% - Accent4 2 4 5" xfId="9901" xr:uid="{00000000-0005-0000-0000-00001A420000}"/>
    <cellStyle name="40% - Accent4 2 4 5 2" xfId="17859" xr:uid="{00000000-0005-0000-0000-00001B420000}"/>
    <cellStyle name="40% - Accent4 2 4 5 2 2" xfId="41700" xr:uid="{5443139E-6122-4CE2-A8C7-86434B998E0B}"/>
    <cellStyle name="40% - Accent4 2 4 5 3" xfId="25803" xr:uid="{00000000-0005-0000-0000-00001C420000}"/>
    <cellStyle name="40% - Accent4 2 4 5 3 2" xfId="49636" xr:uid="{85C81B12-AAAE-4C3E-A203-FC191BC1CE3A}"/>
    <cellStyle name="40% - Accent4 2 4 5 4" xfId="33759" xr:uid="{33BE3F59-32AD-49DF-A600-4081141F3614}"/>
    <cellStyle name="40% - Accent4 2 4 6" xfId="10797" xr:uid="{00000000-0005-0000-0000-00001D420000}"/>
    <cellStyle name="40% - Accent4 2 4 6 2" xfId="34647" xr:uid="{A2CCB97E-D373-4136-B8AD-EFFD087CF093}"/>
    <cellStyle name="40% - Accent4 2 4 7" xfId="18752" xr:uid="{00000000-0005-0000-0000-00001E420000}"/>
    <cellStyle name="40% - Accent4 2 4 7 2" xfId="42585" xr:uid="{6C9693D6-41B4-4D98-A3A1-14DC31FF2D35}"/>
    <cellStyle name="40% - Accent4 2 4 8" xfId="26705" xr:uid="{4EF0658D-D9D2-4A77-A213-5D888E59808F}"/>
    <cellStyle name="40% - Accent4 2 4_Exh G" xfId="3106" xr:uid="{00000000-0005-0000-0000-00001F420000}"/>
    <cellStyle name="40% - Accent4 2 5" xfId="1531" xr:uid="{00000000-0005-0000-0000-000020420000}"/>
    <cellStyle name="40% - Accent4 2 5 2" xfId="5061" xr:uid="{00000000-0005-0000-0000-000021420000}"/>
    <cellStyle name="40% - Accent4 2 5 2 2" xfId="8652" xr:uid="{00000000-0005-0000-0000-000022420000}"/>
    <cellStyle name="40% - Accent4 2 5 2 2 2" xfId="16623" xr:uid="{00000000-0005-0000-0000-000023420000}"/>
    <cellStyle name="40% - Accent4 2 5 2 2 2 2" xfId="40466" xr:uid="{C1FEBA76-1D6E-4D5C-AF1B-581933AE9C13}"/>
    <cellStyle name="40% - Accent4 2 5 2 2 3" xfId="24569" xr:uid="{00000000-0005-0000-0000-000024420000}"/>
    <cellStyle name="40% - Accent4 2 5 2 2 3 2" xfId="48402" xr:uid="{48D9CB70-E02C-4BEC-ACBA-4299EB31FBCD}"/>
    <cellStyle name="40% - Accent4 2 5 2 2 4" xfId="32525" xr:uid="{6B48B180-2F11-44FB-A7B9-A1B280A79C6C}"/>
    <cellStyle name="40% - Accent4 2 5 2 3" xfId="13085" xr:uid="{00000000-0005-0000-0000-000025420000}"/>
    <cellStyle name="40% - Accent4 2 5 2 3 2" xfId="36935" xr:uid="{D9592565-8542-4260-9C19-F7D60F2D9649}"/>
    <cellStyle name="40% - Accent4 2 5 2 4" xfId="21040" xr:uid="{00000000-0005-0000-0000-000026420000}"/>
    <cellStyle name="40% - Accent4 2 5 2 4 2" xfId="44873" xr:uid="{90C4A698-8C1B-40A5-B646-D1AFA7069D71}"/>
    <cellStyle name="40% - Accent4 2 5 2 5" xfId="28994" xr:uid="{851CD6DE-1BBD-4CF2-95B0-D8F4D8859EFD}"/>
    <cellStyle name="40% - Accent4 2 5 3" xfId="6893" xr:uid="{00000000-0005-0000-0000-000027420000}"/>
    <cellStyle name="40% - Accent4 2 5 3 2" xfId="14865" xr:uid="{00000000-0005-0000-0000-000028420000}"/>
    <cellStyle name="40% - Accent4 2 5 3 2 2" xfId="38708" xr:uid="{AF431400-BA85-4E91-9357-DCBCECA2330D}"/>
    <cellStyle name="40% - Accent4 2 5 3 3" xfId="22812" xr:uid="{00000000-0005-0000-0000-000029420000}"/>
    <cellStyle name="40% - Accent4 2 5 3 3 2" xfId="46645" xr:uid="{C7A07EAD-E8EA-4F62-A29D-E952962BFE83}"/>
    <cellStyle name="40% - Accent4 2 5 3 4" xfId="30767" xr:uid="{E49F4070-350B-4577-96C9-527291C00DD9}"/>
    <cellStyle name="40% - Accent4 2 5 4" xfId="11329" xr:uid="{00000000-0005-0000-0000-00002A420000}"/>
    <cellStyle name="40% - Accent4 2 5 4 2" xfId="35179" xr:uid="{4D116ACE-8885-4A01-AC76-AC0487B6B32F}"/>
    <cellStyle name="40% - Accent4 2 5 5" xfId="19284" xr:uid="{00000000-0005-0000-0000-00002B420000}"/>
    <cellStyle name="40% - Accent4 2 5 5 2" xfId="43117" xr:uid="{9B7B9A79-570B-4057-84A7-0D54AEA77937}"/>
    <cellStyle name="40% - Accent4 2 5 6" xfId="27237" xr:uid="{781D9EB0-6F0C-49F8-9914-FBBC6BF978CA}"/>
    <cellStyle name="40% - Accent4 2 5_Exh G" xfId="3108" xr:uid="{00000000-0005-0000-0000-00002C420000}"/>
    <cellStyle name="40% - Accent4 2 6" xfId="4182" xr:uid="{00000000-0005-0000-0000-00002D420000}"/>
    <cellStyle name="40% - Accent4 2 6 2" xfId="7774" xr:uid="{00000000-0005-0000-0000-00002E420000}"/>
    <cellStyle name="40% - Accent4 2 6 2 2" xfId="15745" xr:uid="{00000000-0005-0000-0000-00002F420000}"/>
    <cellStyle name="40% - Accent4 2 6 2 2 2" xfId="39588" xr:uid="{7A72D268-95B0-46EE-8675-0D555F42F1D8}"/>
    <cellStyle name="40% - Accent4 2 6 2 3" xfId="23691" xr:uid="{00000000-0005-0000-0000-000030420000}"/>
    <cellStyle name="40% - Accent4 2 6 2 3 2" xfId="47524" xr:uid="{45BC722A-4AA1-4E2D-AAD5-AA7D978E2A9F}"/>
    <cellStyle name="40% - Accent4 2 6 2 4" xfId="31647" xr:uid="{6280B64F-1129-455A-B9D9-2FC907B5D686}"/>
    <cellStyle name="40% - Accent4 2 6 3" xfId="12207" xr:uid="{00000000-0005-0000-0000-000031420000}"/>
    <cellStyle name="40% - Accent4 2 6 3 2" xfId="36057" xr:uid="{84C1C32A-D394-4683-B3A0-BC6C5FAF8D78}"/>
    <cellStyle name="40% - Accent4 2 6 4" xfId="20162" xr:uid="{00000000-0005-0000-0000-000032420000}"/>
    <cellStyle name="40% - Accent4 2 6 4 2" xfId="43995" xr:uid="{CBB32699-E694-4E1E-B6CD-466CC1E135C5}"/>
    <cellStyle name="40% - Accent4 2 6 5" xfId="28116" xr:uid="{F06A3372-EDB2-42B9-816A-A326A33B0794}"/>
    <cellStyle name="40% - Accent4 2 7" xfId="6002" xr:uid="{00000000-0005-0000-0000-000033420000}"/>
    <cellStyle name="40% - Accent4 2 7 2" xfId="13986" xr:uid="{00000000-0005-0000-0000-000034420000}"/>
    <cellStyle name="40% - Accent4 2 7 2 2" xfId="37830" xr:uid="{B8BAEC34-C367-4972-B94B-C7733DB280CB}"/>
    <cellStyle name="40% - Accent4 2 7 3" xfId="21934" xr:uid="{00000000-0005-0000-0000-000035420000}"/>
    <cellStyle name="40% - Accent4 2 7 3 2" xfId="45767" xr:uid="{E7463EA1-84B3-4434-A289-C8261E57AB78}"/>
    <cellStyle name="40% - Accent4 2 7 4" xfId="29889" xr:uid="{D8C621DE-D38E-43D0-AFAD-0DD4479B8393}"/>
    <cellStyle name="40% - Accent4 2 8" xfId="9555" xr:uid="{00000000-0005-0000-0000-000036420000}"/>
    <cellStyle name="40% - Accent4 2 8 2" xfId="17513" xr:uid="{00000000-0005-0000-0000-000037420000}"/>
    <cellStyle name="40% - Accent4 2 8 2 2" xfId="41354" xr:uid="{92EC5AD4-9BEF-434E-A269-A143CD531C38}"/>
    <cellStyle name="40% - Accent4 2 8 3" xfId="25457" xr:uid="{00000000-0005-0000-0000-000038420000}"/>
    <cellStyle name="40% - Accent4 2 8 3 2" xfId="49290" xr:uid="{A1EC5AD2-5D57-429B-9B5D-7B4D613857A8}"/>
    <cellStyle name="40% - Accent4 2 8 4" xfId="33413" xr:uid="{D23E3B21-BE1D-48B9-95D6-58062F110EEC}"/>
    <cellStyle name="40% - Accent4 2 9" xfId="10451" xr:uid="{00000000-0005-0000-0000-000039420000}"/>
    <cellStyle name="40% - Accent4 2 9 2" xfId="34301" xr:uid="{0CA3DB56-3DC9-4C9E-A4BC-F9A344E1E025}"/>
    <cellStyle name="40% - Accent4 2_Exh G" xfId="3097" xr:uid="{00000000-0005-0000-0000-00003A420000}"/>
    <cellStyle name="40% - Accent4 3" xfId="507" xr:uid="{00000000-0005-0000-0000-00003B420000}"/>
    <cellStyle name="40% - Accent4 3 10" xfId="18410" xr:uid="{00000000-0005-0000-0000-00003C420000}"/>
    <cellStyle name="40% - Accent4 3 10 2" xfId="42243" xr:uid="{49916F93-9D85-4322-B891-5714523448AC}"/>
    <cellStyle name="40% - Accent4 3 11" xfId="26363" xr:uid="{704D65E6-3812-458E-8780-F1BD932EABC7}"/>
    <cellStyle name="40% - Accent4 3 12" xfId="49773" xr:uid="{035F9CAE-C5B0-4BA8-ACB3-3374E481DDF7}"/>
    <cellStyle name="40% - Accent4 3 13" xfId="49827" xr:uid="{90095F8B-97D1-444B-B9E6-FF108C247D51}"/>
    <cellStyle name="40% - Accent4 3 2" xfId="508" xr:uid="{00000000-0005-0000-0000-00003D420000}"/>
    <cellStyle name="40% - Accent4 3 2 10" xfId="26364" xr:uid="{23323BF3-4995-48D2-BF93-162B62F7705E}"/>
    <cellStyle name="40% - Accent4 3 2 2" xfId="509" xr:uid="{00000000-0005-0000-0000-00003E420000}"/>
    <cellStyle name="40% - Accent4 3 2 2 2" xfId="1537" xr:uid="{00000000-0005-0000-0000-00003F420000}"/>
    <cellStyle name="40% - Accent4 3 2 2 2 2" xfId="5067" xr:uid="{00000000-0005-0000-0000-000040420000}"/>
    <cellStyle name="40% - Accent4 3 2 2 2 2 2" xfId="8658" xr:uid="{00000000-0005-0000-0000-000041420000}"/>
    <cellStyle name="40% - Accent4 3 2 2 2 2 2 2" xfId="16629" xr:uid="{00000000-0005-0000-0000-000042420000}"/>
    <cellStyle name="40% - Accent4 3 2 2 2 2 2 2 2" xfId="40472" xr:uid="{FE44741B-91D6-46B8-BBC9-D24D4D515EF2}"/>
    <cellStyle name="40% - Accent4 3 2 2 2 2 2 3" xfId="24575" xr:uid="{00000000-0005-0000-0000-000043420000}"/>
    <cellStyle name="40% - Accent4 3 2 2 2 2 2 3 2" xfId="48408" xr:uid="{B84F2D39-6105-48EE-BB50-3E9261ECFD73}"/>
    <cellStyle name="40% - Accent4 3 2 2 2 2 2 4" xfId="32531" xr:uid="{1E86C068-057C-4287-AEFF-4CA5E208CF19}"/>
    <cellStyle name="40% - Accent4 3 2 2 2 2 3" xfId="13091" xr:uid="{00000000-0005-0000-0000-000044420000}"/>
    <cellStyle name="40% - Accent4 3 2 2 2 2 3 2" xfId="36941" xr:uid="{8514BDE4-4446-490E-9480-CE58F5911459}"/>
    <cellStyle name="40% - Accent4 3 2 2 2 2 4" xfId="21046" xr:uid="{00000000-0005-0000-0000-000045420000}"/>
    <cellStyle name="40% - Accent4 3 2 2 2 2 4 2" xfId="44879" xr:uid="{B8E67818-F028-4BAC-8CB6-4F23223D8443}"/>
    <cellStyle name="40% - Accent4 3 2 2 2 2 5" xfId="29000" xr:uid="{9615B3B5-886B-4734-9ED7-80AEDBAD6EFC}"/>
    <cellStyle name="40% - Accent4 3 2 2 2 3" xfId="6899" xr:uid="{00000000-0005-0000-0000-000046420000}"/>
    <cellStyle name="40% - Accent4 3 2 2 2 3 2" xfId="14871" xr:uid="{00000000-0005-0000-0000-000047420000}"/>
    <cellStyle name="40% - Accent4 3 2 2 2 3 2 2" xfId="38714" xr:uid="{5B2A7079-460C-491E-B015-7F9C8073AC93}"/>
    <cellStyle name="40% - Accent4 3 2 2 2 3 3" xfId="22818" xr:uid="{00000000-0005-0000-0000-000048420000}"/>
    <cellStyle name="40% - Accent4 3 2 2 2 3 3 2" xfId="46651" xr:uid="{E8DF3231-E0CD-45F2-82A6-A2F57A1BFB99}"/>
    <cellStyle name="40% - Accent4 3 2 2 2 3 4" xfId="30773" xr:uid="{A6FF5BC9-5E2C-458D-BEFF-363ACDE4E617}"/>
    <cellStyle name="40% - Accent4 3 2 2 2 4" xfId="11335" xr:uid="{00000000-0005-0000-0000-000049420000}"/>
    <cellStyle name="40% - Accent4 3 2 2 2 4 2" xfId="35185" xr:uid="{C4FB5B39-3EBD-41D5-A8FB-1A9D85EC05A7}"/>
    <cellStyle name="40% - Accent4 3 2 2 2 5" xfId="19290" xr:uid="{00000000-0005-0000-0000-00004A420000}"/>
    <cellStyle name="40% - Accent4 3 2 2 2 5 2" xfId="43123" xr:uid="{EC8D52D5-257A-47FC-B75C-33133B6663D8}"/>
    <cellStyle name="40% - Accent4 3 2 2 2 6" xfId="27243" xr:uid="{60622B2D-F32F-475A-B209-74309E9119BF}"/>
    <cellStyle name="40% - Accent4 3 2 2 2_Exh G" xfId="3112" xr:uid="{00000000-0005-0000-0000-00004B420000}"/>
    <cellStyle name="40% - Accent4 3 2 2 3" xfId="4188" xr:uid="{00000000-0005-0000-0000-00004C420000}"/>
    <cellStyle name="40% - Accent4 3 2 2 3 2" xfId="7780" xr:uid="{00000000-0005-0000-0000-00004D420000}"/>
    <cellStyle name="40% - Accent4 3 2 2 3 2 2" xfId="15751" xr:uid="{00000000-0005-0000-0000-00004E420000}"/>
    <cellStyle name="40% - Accent4 3 2 2 3 2 2 2" xfId="39594" xr:uid="{7831F4BD-8A93-4DBF-8C57-9EB841A2006A}"/>
    <cellStyle name="40% - Accent4 3 2 2 3 2 3" xfId="23697" xr:uid="{00000000-0005-0000-0000-00004F420000}"/>
    <cellStyle name="40% - Accent4 3 2 2 3 2 3 2" xfId="47530" xr:uid="{4D1A4858-8C23-40B0-B4D9-AAE05C4482C4}"/>
    <cellStyle name="40% - Accent4 3 2 2 3 2 4" xfId="31653" xr:uid="{43558F6A-117B-4BB0-BE9C-AD2CB980A0A9}"/>
    <cellStyle name="40% - Accent4 3 2 2 3 3" xfId="12213" xr:uid="{00000000-0005-0000-0000-000050420000}"/>
    <cellStyle name="40% - Accent4 3 2 2 3 3 2" xfId="36063" xr:uid="{1F916163-4CB4-46D0-A626-3BE5D253FAAE}"/>
    <cellStyle name="40% - Accent4 3 2 2 3 4" xfId="20168" xr:uid="{00000000-0005-0000-0000-000051420000}"/>
    <cellStyle name="40% - Accent4 3 2 2 3 4 2" xfId="44001" xr:uid="{5EF445DE-BCE4-4811-8276-ED0BB348A4A9}"/>
    <cellStyle name="40% - Accent4 3 2 2 3 5" xfId="28122" xr:uid="{F1767D6F-F057-423B-86AC-1F9C7D22A811}"/>
    <cellStyle name="40% - Accent4 3 2 2 4" xfId="6008" xr:uid="{00000000-0005-0000-0000-000052420000}"/>
    <cellStyle name="40% - Accent4 3 2 2 4 2" xfId="13992" xr:uid="{00000000-0005-0000-0000-000053420000}"/>
    <cellStyle name="40% - Accent4 3 2 2 4 2 2" xfId="37836" xr:uid="{651E779F-A241-4143-BC53-CB68B488F404}"/>
    <cellStyle name="40% - Accent4 3 2 2 4 3" xfId="21940" xr:uid="{00000000-0005-0000-0000-000054420000}"/>
    <cellStyle name="40% - Accent4 3 2 2 4 3 2" xfId="45773" xr:uid="{8D5E4F32-C3C2-48F0-85B0-81402FE2A7F3}"/>
    <cellStyle name="40% - Accent4 3 2 2 4 4" xfId="29895" xr:uid="{E6A31E4F-1EB8-4D01-B5F0-1134ACD9AD44}"/>
    <cellStyle name="40% - Accent4 3 2 2 5" xfId="9561" xr:uid="{00000000-0005-0000-0000-000055420000}"/>
    <cellStyle name="40% - Accent4 3 2 2 5 2" xfId="17519" xr:uid="{00000000-0005-0000-0000-000056420000}"/>
    <cellStyle name="40% - Accent4 3 2 2 5 2 2" xfId="41360" xr:uid="{82E8496C-5740-4565-B685-E4DD676C8D82}"/>
    <cellStyle name="40% - Accent4 3 2 2 5 3" xfId="25463" xr:uid="{00000000-0005-0000-0000-000057420000}"/>
    <cellStyle name="40% - Accent4 3 2 2 5 3 2" xfId="49296" xr:uid="{FB6CC448-D97B-492A-9019-3823278373FA}"/>
    <cellStyle name="40% - Accent4 3 2 2 5 4" xfId="33419" xr:uid="{9CBDE43F-B335-4673-8B50-10798DC0E1D0}"/>
    <cellStyle name="40% - Accent4 3 2 2 6" xfId="10457" xr:uid="{00000000-0005-0000-0000-000058420000}"/>
    <cellStyle name="40% - Accent4 3 2 2 6 2" xfId="34307" xr:uid="{95D2E2F6-BDC5-4E81-9D25-59F597AF1EAA}"/>
    <cellStyle name="40% - Accent4 3 2 2 7" xfId="18412" xr:uid="{00000000-0005-0000-0000-000059420000}"/>
    <cellStyle name="40% - Accent4 3 2 2 7 2" xfId="42245" xr:uid="{1CD30561-E1E3-4CB0-9E94-AA7170F4CD07}"/>
    <cellStyle name="40% - Accent4 3 2 2 8" xfId="26365" xr:uid="{E9380D34-3375-400B-B93E-65B073CE4297}"/>
    <cellStyle name="40% - Accent4 3 2 2_Exh G" xfId="3111" xr:uid="{00000000-0005-0000-0000-00005A420000}"/>
    <cellStyle name="40% - Accent4 3 2 3" xfId="974" xr:uid="{00000000-0005-0000-0000-00005B420000}"/>
    <cellStyle name="40% - Accent4 3 2 3 2" xfId="1892" xr:uid="{00000000-0005-0000-0000-00005C420000}"/>
    <cellStyle name="40% - Accent4 3 2 3 2 2" xfId="5410" xr:uid="{00000000-0005-0000-0000-00005D420000}"/>
    <cellStyle name="40% - Accent4 3 2 3 2 2 2" xfId="9001" xr:uid="{00000000-0005-0000-0000-00005E420000}"/>
    <cellStyle name="40% - Accent4 3 2 3 2 2 2 2" xfId="16972" xr:uid="{00000000-0005-0000-0000-00005F420000}"/>
    <cellStyle name="40% - Accent4 3 2 3 2 2 2 2 2" xfId="40815" xr:uid="{49330E50-3941-4C04-BA1D-5A9C617EB3EF}"/>
    <cellStyle name="40% - Accent4 3 2 3 2 2 2 3" xfId="24918" xr:uid="{00000000-0005-0000-0000-000060420000}"/>
    <cellStyle name="40% - Accent4 3 2 3 2 2 2 3 2" xfId="48751" xr:uid="{A86F116B-CC41-448D-968A-F66BE6250B6D}"/>
    <cellStyle name="40% - Accent4 3 2 3 2 2 2 4" xfId="32874" xr:uid="{532CF3DD-FE6F-481B-80CE-C24357095A7F}"/>
    <cellStyle name="40% - Accent4 3 2 3 2 2 3" xfId="13434" xr:uid="{00000000-0005-0000-0000-000061420000}"/>
    <cellStyle name="40% - Accent4 3 2 3 2 2 3 2" xfId="37284" xr:uid="{B6FD8A8D-A21C-485C-9A3F-8CF56EBE75CD}"/>
    <cellStyle name="40% - Accent4 3 2 3 2 2 4" xfId="21389" xr:uid="{00000000-0005-0000-0000-000062420000}"/>
    <cellStyle name="40% - Accent4 3 2 3 2 2 4 2" xfId="45222" xr:uid="{A20F9225-6F39-4424-8158-15520356104D}"/>
    <cellStyle name="40% - Accent4 3 2 3 2 2 5" xfId="29343" xr:uid="{7CACD3AF-0FFA-4844-94C1-0DC99D7530B7}"/>
    <cellStyle name="40% - Accent4 3 2 3 2 3" xfId="7242" xr:uid="{00000000-0005-0000-0000-000063420000}"/>
    <cellStyle name="40% - Accent4 3 2 3 2 3 2" xfId="15214" xr:uid="{00000000-0005-0000-0000-000064420000}"/>
    <cellStyle name="40% - Accent4 3 2 3 2 3 2 2" xfId="39057" xr:uid="{551A2799-98B8-4810-B886-59B02043CA2C}"/>
    <cellStyle name="40% - Accent4 3 2 3 2 3 3" xfId="23161" xr:uid="{00000000-0005-0000-0000-000065420000}"/>
    <cellStyle name="40% - Accent4 3 2 3 2 3 3 2" xfId="46994" xr:uid="{5E8A5D29-5497-44A3-AA8B-3994C6D820CA}"/>
    <cellStyle name="40% - Accent4 3 2 3 2 3 4" xfId="31116" xr:uid="{7DB7D26D-2D85-4F87-938B-E29B1FCEC405}"/>
    <cellStyle name="40% - Accent4 3 2 3 2 4" xfId="11678" xr:uid="{00000000-0005-0000-0000-000066420000}"/>
    <cellStyle name="40% - Accent4 3 2 3 2 4 2" xfId="35528" xr:uid="{AC0F22F6-FB37-4623-A335-C8EF661EDC36}"/>
    <cellStyle name="40% - Accent4 3 2 3 2 5" xfId="19633" xr:uid="{00000000-0005-0000-0000-000067420000}"/>
    <cellStyle name="40% - Accent4 3 2 3 2 5 2" xfId="43466" xr:uid="{A0E597D5-8DBE-4C91-99F4-3CA819679678}"/>
    <cellStyle name="40% - Accent4 3 2 3 2 6" xfId="27586" xr:uid="{6C4E6BBB-B3F0-455B-9ECD-1D38EEEA0127}"/>
    <cellStyle name="40% - Accent4 3 2 3 2_Exh G" xfId="3114" xr:uid="{00000000-0005-0000-0000-000068420000}"/>
    <cellStyle name="40% - Accent4 3 2 3 3" xfId="4531" xr:uid="{00000000-0005-0000-0000-000069420000}"/>
    <cellStyle name="40% - Accent4 3 2 3 3 2" xfId="8123" xr:uid="{00000000-0005-0000-0000-00006A420000}"/>
    <cellStyle name="40% - Accent4 3 2 3 3 2 2" xfId="16094" xr:uid="{00000000-0005-0000-0000-00006B420000}"/>
    <cellStyle name="40% - Accent4 3 2 3 3 2 2 2" xfId="39937" xr:uid="{744F78D7-ACA1-49AC-8DB1-AEAF253CAC26}"/>
    <cellStyle name="40% - Accent4 3 2 3 3 2 3" xfId="24040" xr:uid="{00000000-0005-0000-0000-00006C420000}"/>
    <cellStyle name="40% - Accent4 3 2 3 3 2 3 2" xfId="47873" xr:uid="{243C5EBB-47A5-4AA0-9482-49317993EE3B}"/>
    <cellStyle name="40% - Accent4 3 2 3 3 2 4" xfId="31996" xr:uid="{98D854A5-07F6-4042-820C-9950F1FEAAF1}"/>
    <cellStyle name="40% - Accent4 3 2 3 3 3" xfId="12556" xr:uid="{00000000-0005-0000-0000-00006D420000}"/>
    <cellStyle name="40% - Accent4 3 2 3 3 3 2" xfId="36406" xr:uid="{D0414C77-8912-4A0C-99D1-B3CF432972CA}"/>
    <cellStyle name="40% - Accent4 3 2 3 3 4" xfId="20511" xr:uid="{00000000-0005-0000-0000-00006E420000}"/>
    <cellStyle name="40% - Accent4 3 2 3 3 4 2" xfId="44344" xr:uid="{FCD77185-01C6-4BFD-80FD-2096C44DC0FF}"/>
    <cellStyle name="40% - Accent4 3 2 3 3 5" xfId="28465" xr:uid="{84496EC1-4678-49B4-B6A3-22ADC8DBD235}"/>
    <cellStyle name="40% - Accent4 3 2 3 4" xfId="6361" xr:uid="{00000000-0005-0000-0000-00006F420000}"/>
    <cellStyle name="40% - Accent4 3 2 3 4 2" xfId="14336" xr:uid="{00000000-0005-0000-0000-000070420000}"/>
    <cellStyle name="40% - Accent4 3 2 3 4 2 2" xfId="38179" xr:uid="{E3B0C46C-BAEF-43D0-8128-40CBAAB11E74}"/>
    <cellStyle name="40% - Accent4 3 2 3 4 3" xfId="22283" xr:uid="{00000000-0005-0000-0000-000071420000}"/>
    <cellStyle name="40% - Accent4 3 2 3 4 3 2" xfId="46116" xr:uid="{50008A7B-4C4B-4D99-9314-2D2A8728D1C6}"/>
    <cellStyle name="40% - Accent4 3 2 3 4 4" xfId="30238" xr:uid="{77F64F59-E8B8-46ED-864E-4F0B47DD00F9}"/>
    <cellStyle name="40% - Accent4 3 2 3 5" xfId="9904" xr:uid="{00000000-0005-0000-0000-000072420000}"/>
    <cellStyle name="40% - Accent4 3 2 3 5 2" xfId="17862" xr:uid="{00000000-0005-0000-0000-000073420000}"/>
    <cellStyle name="40% - Accent4 3 2 3 5 2 2" xfId="41703" xr:uid="{425615C1-5F67-4A52-A6D1-B917192AE23E}"/>
    <cellStyle name="40% - Accent4 3 2 3 5 3" xfId="25806" xr:uid="{00000000-0005-0000-0000-000074420000}"/>
    <cellStyle name="40% - Accent4 3 2 3 5 3 2" xfId="49639" xr:uid="{7E022157-9A02-4E77-8988-020B072E7924}"/>
    <cellStyle name="40% - Accent4 3 2 3 5 4" xfId="33762" xr:uid="{837D4625-5D43-44BD-B1F5-157EE2862F1F}"/>
    <cellStyle name="40% - Accent4 3 2 3 6" xfId="10800" xr:uid="{00000000-0005-0000-0000-000075420000}"/>
    <cellStyle name="40% - Accent4 3 2 3 6 2" xfId="34650" xr:uid="{DB431E61-DE3F-4AF0-AD74-138401F4AC64}"/>
    <cellStyle name="40% - Accent4 3 2 3 7" xfId="18755" xr:uid="{00000000-0005-0000-0000-000076420000}"/>
    <cellStyle name="40% - Accent4 3 2 3 7 2" xfId="42588" xr:uid="{57258889-4FE3-46B8-95C5-8FAD2FFCA8B7}"/>
    <cellStyle name="40% - Accent4 3 2 3 8" xfId="26708" xr:uid="{0349E3F8-E68F-4EA0-99C5-030642A7124C}"/>
    <cellStyle name="40% - Accent4 3 2 3_Exh G" xfId="3113" xr:uid="{00000000-0005-0000-0000-000077420000}"/>
    <cellStyle name="40% - Accent4 3 2 4" xfId="1536" xr:uid="{00000000-0005-0000-0000-000078420000}"/>
    <cellStyle name="40% - Accent4 3 2 4 2" xfId="5066" xr:uid="{00000000-0005-0000-0000-000079420000}"/>
    <cellStyle name="40% - Accent4 3 2 4 2 2" xfId="8657" xr:uid="{00000000-0005-0000-0000-00007A420000}"/>
    <cellStyle name="40% - Accent4 3 2 4 2 2 2" xfId="16628" xr:uid="{00000000-0005-0000-0000-00007B420000}"/>
    <cellStyle name="40% - Accent4 3 2 4 2 2 2 2" xfId="40471" xr:uid="{27F9CCD1-B22C-49F8-AC21-2872D95D4586}"/>
    <cellStyle name="40% - Accent4 3 2 4 2 2 3" xfId="24574" xr:uid="{00000000-0005-0000-0000-00007C420000}"/>
    <cellStyle name="40% - Accent4 3 2 4 2 2 3 2" xfId="48407" xr:uid="{73274771-B831-4019-A63C-A550EB8A3441}"/>
    <cellStyle name="40% - Accent4 3 2 4 2 2 4" xfId="32530" xr:uid="{8C05C1A6-1841-4463-AB23-C6987E825393}"/>
    <cellStyle name="40% - Accent4 3 2 4 2 3" xfId="13090" xr:uid="{00000000-0005-0000-0000-00007D420000}"/>
    <cellStyle name="40% - Accent4 3 2 4 2 3 2" xfId="36940" xr:uid="{208EB7D2-6A98-48FD-A36F-C8856F1257B5}"/>
    <cellStyle name="40% - Accent4 3 2 4 2 4" xfId="21045" xr:uid="{00000000-0005-0000-0000-00007E420000}"/>
    <cellStyle name="40% - Accent4 3 2 4 2 4 2" xfId="44878" xr:uid="{9E4470DA-8FDF-4F04-98FF-8AC7AD670188}"/>
    <cellStyle name="40% - Accent4 3 2 4 2 5" xfId="28999" xr:uid="{E0E815E4-7E80-4097-AE45-86C8A34503DA}"/>
    <cellStyle name="40% - Accent4 3 2 4 3" xfId="6898" xr:uid="{00000000-0005-0000-0000-00007F420000}"/>
    <cellStyle name="40% - Accent4 3 2 4 3 2" xfId="14870" xr:uid="{00000000-0005-0000-0000-000080420000}"/>
    <cellStyle name="40% - Accent4 3 2 4 3 2 2" xfId="38713" xr:uid="{86E8FFB2-52F8-461A-8A8F-031D4099961C}"/>
    <cellStyle name="40% - Accent4 3 2 4 3 3" xfId="22817" xr:uid="{00000000-0005-0000-0000-000081420000}"/>
    <cellStyle name="40% - Accent4 3 2 4 3 3 2" xfId="46650" xr:uid="{B405BDEE-97B2-49B2-83F9-F2BD85F8A49A}"/>
    <cellStyle name="40% - Accent4 3 2 4 3 4" xfId="30772" xr:uid="{BFACB55D-CA6E-406A-9A77-5EA5D912621B}"/>
    <cellStyle name="40% - Accent4 3 2 4 4" xfId="11334" xr:uid="{00000000-0005-0000-0000-000082420000}"/>
    <cellStyle name="40% - Accent4 3 2 4 4 2" xfId="35184" xr:uid="{7DE6EA36-AFC4-4903-974E-3C9C323D9764}"/>
    <cellStyle name="40% - Accent4 3 2 4 5" xfId="19289" xr:uid="{00000000-0005-0000-0000-000083420000}"/>
    <cellStyle name="40% - Accent4 3 2 4 5 2" xfId="43122" xr:uid="{669D7D72-9354-4E9D-A150-353F5C9DCA04}"/>
    <cellStyle name="40% - Accent4 3 2 4 6" xfId="27242" xr:uid="{3C6208F0-00FF-4C34-B48F-3F8220301D10}"/>
    <cellStyle name="40% - Accent4 3 2 4_Exh G" xfId="3115" xr:uid="{00000000-0005-0000-0000-000084420000}"/>
    <cellStyle name="40% - Accent4 3 2 5" xfId="4187" xr:uid="{00000000-0005-0000-0000-000085420000}"/>
    <cellStyle name="40% - Accent4 3 2 5 2" xfId="7779" xr:uid="{00000000-0005-0000-0000-000086420000}"/>
    <cellStyle name="40% - Accent4 3 2 5 2 2" xfId="15750" xr:uid="{00000000-0005-0000-0000-000087420000}"/>
    <cellStyle name="40% - Accent4 3 2 5 2 2 2" xfId="39593" xr:uid="{8E6760F7-9AFB-4C7E-BAB0-2EF508955EE4}"/>
    <cellStyle name="40% - Accent4 3 2 5 2 3" xfId="23696" xr:uid="{00000000-0005-0000-0000-000088420000}"/>
    <cellStyle name="40% - Accent4 3 2 5 2 3 2" xfId="47529" xr:uid="{F0450BBF-E0EE-434D-969B-9AF7AB3030A3}"/>
    <cellStyle name="40% - Accent4 3 2 5 2 4" xfId="31652" xr:uid="{918FE828-0ABC-45AE-8AFE-A872EB4CEEA5}"/>
    <cellStyle name="40% - Accent4 3 2 5 3" xfId="12212" xr:uid="{00000000-0005-0000-0000-000089420000}"/>
    <cellStyle name="40% - Accent4 3 2 5 3 2" xfId="36062" xr:uid="{9B7D2F4A-C79C-4159-9D65-003B1CBC429E}"/>
    <cellStyle name="40% - Accent4 3 2 5 4" xfId="20167" xr:uid="{00000000-0005-0000-0000-00008A420000}"/>
    <cellStyle name="40% - Accent4 3 2 5 4 2" xfId="44000" xr:uid="{61A76E26-79E8-477D-9184-9569738810B2}"/>
    <cellStyle name="40% - Accent4 3 2 5 5" xfId="28121" xr:uid="{170CA39E-1D84-43F9-AA26-1AB9366F5465}"/>
    <cellStyle name="40% - Accent4 3 2 6" xfId="6007" xr:uid="{00000000-0005-0000-0000-00008B420000}"/>
    <cellStyle name="40% - Accent4 3 2 6 2" xfId="13991" xr:uid="{00000000-0005-0000-0000-00008C420000}"/>
    <cellStyle name="40% - Accent4 3 2 6 2 2" xfId="37835" xr:uid="{61BB1006-FF72-4DF0-9A3A-9C753BED0165}"/>
    <cellStyle name="40% - Accent4 3 2 6 3" xfId="21939" xr:uid="{00000000-0005-0000-0000-00008D420000}"/>
    <cellStyle name="40% - Accent4 3 2 6 3 2" xfId="45772" xr:uid="{B6A97396-7205-448E-82A3-F8009C8D1A16}"/>
    <cellStyle name="40% - Accent4 3 2 6 4" xfId="29894" xr:uid="{580BE241-31B9-45CC-ABC3-5A1BC1BE6001}"/>
    <cellStyle name="40% - Accent4 3 2 7" xfId="9560" xr:uid="{00000000-0005-0000-0000-00008E420000}"/>
    <cellStyle name="40% - Accent4 3 2 7 2" xfId="17518" xr:uid="{00000000-0005-0000-0000-00008F420000}"/>
    <cellStyle name="40% - Accent4 3 2 7 2 2" xfId="41359" xr:uid="{8E708B9B-E6C0-427F-8644-A2446210D5E8}"/>
    <cellStyle name="40% - Accent4 3 2 7 3" xfId="25462" xr:uid="{00000000-0005-0000-0000-000090420000}"/>
    <cellStyle name="40% - Accent4 3 2 7 3 2" xfId="49295" xr:uid="{E02AA4E5-51DF-4217-86DA-1A5E105484F9}"/>
    <cellStyle name="40% - Accent4 3 2 7 4" xfId="33418" xr:uid="{15FB393E-996C-4687-9DF3-BB1A92D76C57}"/>
    <cellStyle name="40% - Accent4 3 2 8" xfId="10456" xr:uid="{00000000-0005-0000-0000-000091420000}"/>
    <cellStyle name="40% - Accent4 3 2 8 2" xfId="34306" xr:uid="{D82E3D42-E108-4E46-8254-7B65C15797D2}"/>
    <cellStyle name="40% - Accent4 3 2 9" xfId="18411" xr:uid="{00000000-0005-0000-0000-000092420000}"/>
    <cellStyle name="40% - Accent4 3 2 9 2" xfId="42244" xr:uid="{8761760F-6115-459C-868F-C5E2612CC872}"/>
    <cellStyle name="40% - Accent4 3 2_Exh G" xfId="3110" xr:uid="{00000000-0005-0000-0000-000093420000}"/>
    <cellStyle name="40% - Accent4 3 3" xfId="510" xr:uid="{00000000-0005-0000-0000-000094420000}"/>
    <cellStyle name="40% - Accent4 3 3 2" xfId="1538" xr:uid="{00000000-0005-0000-0000-000095420000}"/>
    <cellStyle name="40% - Accent4 3 3 2 2" xfId="5068" xr:uid="{00000000-0005-0000-0000-000096420000}"/>
    <cellStyle name="40% - Accent4 3 3 2 2 2" xfId="8659" xr:uid="{00000000-0005-0000-0000-000097420000}"/>
    <cellStyle name="40% - Accent4 3 3 2 2 2 2" xfId="16630" xr:uid="{00000000-0005-0000-0000-000098420000}"/>
    <cellStyle name="40% - Accent4 3 3 2 2 2 2 2" xfId="40473" xr:uid="{35ED1A03-E224-46A4-938B-8F831B1213CE}"/>
    <cellStyle name="40% - Accent4 3 3 2 2 2 3" xfId="24576" xr:uid="{00000000-0005-0000-0000-000099420000}"/>
    <cellStyle name="40% - Accent4 3 3 2 2 2 3 2" xfId="48409" xr:uid="{A558D5B2-C87F-4F9A-9912-C3F63249B501}"/>
    <cellStyle name="40% - Accent4 3 3 2 2 2 4" xfId="32532" xr:uid="{B2623D0C-C0A5-4714-96AD-A77EDDB2168F}"/>
    <cellStyle name="40% - Accent4 3 3 2 2 3" xfId="13092" xr:uid="{00000000-0005-0000-0000-00009A420000}"/>
    <cellStyle name="40% - Accent4 3 3 2 2 3 2" xfId="36942" xr:uid="{B72EBBB2-D4D8-452A-88CC-330E7F4B1EA2}"/>
    <cellStyle name="40% - Accent4 3 3 2 2 4" xfId="21047" xr:uid="{00000000-0005-0000-0000-00009B420000}"/>
    <cellStyle name="40% - Accent4 3 3 2 2 4 2" xfId="44880" xr:uid="{1322A623-63BB-42EA-9D8F-97EDD7F5203F}"/>
    <cellStyle name="40% - Accent4 3 3 2 2 5" xfId="29001" xr:uid="{50498A66-5C70-4247-8DEA-F3F10310094E}"/>
    <cellStyle name="40% - Accent4 3 3 2 3" xfId="6900" xr:uid="{00000000-0005-0000-0000-00009C420000}"/>
    <cellStyle name="40% - Accent4 3 3 2 3 2" xfId="14872" xr:uid="{00000000-0005-0000-0000-00009D420000}"/>
    <cellStyle name="40% - Accent4 3 3 2 3 2 2" xfId="38715" xr:uid="{BE4D05D0-2844-4438-864A-4D6E5A362D49}"/>
    <cellStyle name="40% - Accent4 3 3 2 3 3" xfId="22819" xr:uid="{00000000-0005-0000-0000-00009E420000}"/>
    <cellStyle name="40% - Accent4 3 3 2 3 3 2" xfId="46652" xr:uid="{A4D0E37F-2F03-4B0A-9B26-2FCE4F148D82}"/>
    <cellStyle name="40% - Accent4 3 3 2 3 4" xfId="30774" xr:uid="{FBB818D9-D82B-424F-9BE8-D31C417409A6}"/>
    <cellStyle name="40% - Accent4 3 3 2 4" xfId="11336" xr:uid="{00000000-0005-0000-0000-00009F420000}"/>
    <cellStyle name="40% - Accent4 3 3 2 4 2" xfId="35186" xr:uid="{2D5AC206-6EEB-48F4-962A-1E3B561FC014}"/>
    <cellStyle name="40% - Accent4 3 3 2 5" xfId="19291" xr:uid="{00000000-0005-0000-0000-0000A0420000}"/>
    <cellStyle name="40% - Accent4 3 3 2 5 2" xfId="43124" xr:uid="{606FF65D-C694-4CB8-ACFB-92BEC51C1A6E}"/>
    <cellStyle name="40% - Accent4 3 3 2 6" xfId="27244" xr:uid="{4899E49C-69AB-4881-9799-F207EF3C3324}"/>
    <cellStyle name="40% - Accent4 3 3 2_Exh G" xfId="3117" xr:uid="{00000000-0005-0000-0000-0000A1420000}"/>
    <cellStyle name="40% - Accent4 3 3 3" xfId="4189" xr:uid="{00000000-0005-0000-0000-0000A2420000}"/>
    <cellStyle name="40% - Accent4 3 3 3 2" xfId="7781" xr:uid="{00000000-0005-0000-0000-0000A3420000}"/>
    <cellStyle name="40% - Accent4 3 3 3 2 2" xfId="15752" xr:uid="{00000000-0005-0000-0000-0000A4420000}"/>
    <cellStyle name="40% - Accent4 3 3 3 2 2 2" xfId="39595" xr:uid="{251A9456-3D47-4195-B0A7-FEE46B912FF9}"/>
    <cellStyle name="40% - Accent4 3 3 3 2 3" xfId="23698" xr:uid="{00000000-0005-0000-0000-0000A5420000}"/>
    <cellStyle name="40% - Accent4 3 3 3 2 3 2" xfId="47531" xr:uid="{71D939B4-1454-47C6-8850-0908E7AD1870}"/>
    <cellStyle name="40% - Accent4 3 3 3 2 4" xfId="31654" xr:uid="{4BE99974-172E-4C4A-AD7A-9E11821D4563}"/>
    <cellStyle name="40% - Accent4 3 3 3 3" xfId="12214" xr:uid="{00000000-0005-0000-0000-0000A6420000}"/>
    <cellStyle name="40% - Accent4 3 3 3 3 2" xfId="36064" xr:uid="{240E3F73-02B2-41FE-9365-C0B76C077E2A}"/>
    <cellStyle name="40% - Accent4 3 3 3 4" xfId="20169" xr:uid="{00000000-0005-0000-0000-0000A7420000}"/>
    <cellStyle name="40% - Accent4 3 3 3 4 2" xfId="44002" xr:uid="{543F9263-22CF-439E-9D73-70EDE2D6857B}"/>
    <cellStyle name="40% - Accent4 3 3 3 5" xfId="28123" xr:uid="{9920FBBF-80E2-4BE2-99F1-07CACB492770}"/>
    <cellStyle name="40% - Accent4 3 3 4" xfId="6009" xr:uid="{00000000-0005-0000-0000-0000A8420000}"/>
    <cellStyle name="40% - Accent4 3 3 4 2" xfId="13993" xr:uid="{00000000-0005-0000-0000-0000A9420000}"/>
    <cellStyle name="40% - Accent4 3 3 4 2 2" xfId="37837" xr:uid="{137755AB-22EC-499E-8EF3-4E271E00CA83}"/>
    <cellStyle name="40% - Accent4 3 3 4 3" xfId="21941" xr:uid="{00000000-0005-0000-0000-0000AA420000}"/>
    <cellStyle name="40% - Accent4 3 3 4 3 2" xfId="45774" xr:uid="{6C0FFFFA-1D7C-4B65-A129-E3EFCDF6612F}"/>
    <cellStyle name="40% - Accent4 3 3 4 4" xfId="29896" xr:uid="{215FFDA2-A462-4F11-B6B1-3D62428B401B}"/>
    <cellStyle name="40% - Accent4 3 3 5" xfId="9562" xr:uid="{00000000-0005-0000-0000-0000AB420000}"/>
    <cellStyle name="40% - Accent4 3 3 5 2" xfId="17520" xr:uid="{00000000-0005-0000-0000-0000AC420000}"/>
    <cellStyle name="40% - Accent4 3 3 5 2 2" xfId="41361" xr:uid="{2B8CD29E-64E6-4425-883C-17FC8D436CF7}"/>
    <cellStyle name="40% - Accent4 3 3 5 3" xfId="25464" xr:uid="{00000000-0005-0000-0000-0000AD420000}"/>
    <cellStyle name="40% - Accent4 3 3 5 3 2" xfId="49297" xr:uid="{2746BA38-69BC-433C-BE2A-7328B93C9D3A}"/>
    <cellStyle name="40% - Accent4 3 3 5 4" xfId="33420" xr:uid="{BBE4DC0B-6072-4CF7-A192-952CB2946912}"/>
    <cellStyle name="40% - Accent4 3 3 6" xfId="10458" xr:uid="{00000000-0005-0000-0000-0000AE420000}"/>
    <cellStyle name="40% - Accent4 3 3 6 2" xfId="34308" xr:uid="{AA695110-CCEF-48E0-9D13-087C6EB0DD64}"/>
    <cellStyle name="40% - Accent4 3 3 7" xfId="18413" xr:uid="{00000000-0005-0000-0000-0000AF420000}"/>
    <cellStyle name="40% - Accent4 3 3 7 2" xfId="42246" xr:uid="{32120AA1-013F-4DDC-A848-5A514FFCE095}"/>
    <cellStyle name="40% - Accent4 3 3 8" xfId="26366" xr:uid="{D09791FF-1DB4-4866-9FD6-F0B81A6F1E67}"/>
    <cellStyle name="40% - Accent4 3 3_Exh G" xfId="3116" xr:uid="{00000000-0005-0000-0000-0000B0420000}"/>
    <cellStyle name="40% - Accent4 3 4" xfId="973" xr:uid="{00000000-0005-0000-0000-0000B1420000}"/>
    <cellStyle name="40% - Accent4 3 4 2" xfId="1891" xr:uid="{00000000-0005-0000-0000-0000B2420000}"/>
    <cellStyle name="40% - Accent4 3 4 2 2" xfId="5409" xr:uid="{00000000-0005-0000-0000-0000B3420000}"/>
    <cellStyle name="40% - Accent4 3 4 2 2 2" xfId="9000" xr:uid="{00000000-0005-0000-0000-0000B4420000}"/>
    <cellStyle name="40% - Accent4 3 4 2 2 2 2" xfId="16971" xr:uid="{00000000-0005-0000-0000-0000B5420000}"/>
    <cellStyle name="40% - Accent4 3 4 2 2 2 2 2" xfId="40814" xr:uid="{C7AC2A04-8DD2-4463-8871-254CD50490C8}"/>
    <cellStyle name="40% - Accent4 3 4 2 2 2 3" xfId="24917" xr:uid="{00000000-0005-0000-0000-0000B6420000}"/>
    <cellStyle name="40% - Accent4 3 4 2 2 2 3 2" xfId="48750" xr:uid="{7BEEE5F8-7848-4DC2-AE51-7AD2665DAEEC}"/>
    <cellStyle name="40% - Accent4 3 4 2 2 2 4" xfId="32873" xr:uid="{EFA28FBE-6B89-493F-9481-940593F6D987}"/>
    <cellStyle name="40% - Accent4 3 4 2 2 3" xfId="13433" xr:uid="{00000000-0005-0000-0000-0000B7420000}"/>
    <cellStyle name="40% - Accent4 3 4 2 2 3 2" xfId="37283" xr:uid="{7A750902-C119-4047-ACD8-1B4CA897739F}"/>
    <cellStyle name="40% - Accent4 3 4 2 2 4" xfId="21388" xr:uid="{00000000-0005-0000-0000-0000B8420000}"/>
    <cellStyle name="40% - Accent4 3 4 2 2 4 2" xfId="45221" xr:uid="{E8D5AD15-2403-41DE-954A-EC34F9CCE902}"/>
    <cellStyle name="40% - Accent4 3 4 2 2 5" xfId="29342" xr:uid="{4D820A08-4877-4007-B343-B64186DA278F}"/>
    <cellStyle name="40% - Accent4 3 4 2 3" xfId="7241" xr:uid="{00000000-0005-0000-0000-0000B9420000}"/>
    <cellStyle name="40% - Accent4 3 4 2 3 2" xfId="15213" xr:uid="{00000000-0005-0000-0000-0000BA420000}"/>
    <cellStyle name="40% - Accent4 3 4 2 3 2 2" xfId="39056" xr:uid="{9AFBA840-1D1E-48B1-AC48-396468826388}"/>
    <cellStyle name="40% - Accent4 3 4 2 3 3" xfId="23160" xr:uid="{00000000-0005-0000-0000-0000BB420000}"/>
    <cellStyle name="40% - Accent4 3 4 2 3 3 2" xfId="46993" xr:uid="{2EDB9720-7761-45BE-BD5A-1B509E261DB4}"/>
    <cellStyle name="40% - Accent4 3 4 2 3 4" xfId="31115" xr:uid="{86F92019-BB8B-4EB9-9A4B-6028DC039E24}"/>
    <cellStyle name="40% - Accent4 3 4 2 4" xfId="11677" xr:uid="{00000000-0005-0000-0000-0000BC420000}"/>
    <cellStyle name="40% - Accent4 3 4 2 4 2" xfId="35527" xr:uid="{E04A7DD2-0F5A-4D42-91A9-11D37ABBF56A}"/>
    <cellStyle name="40% - Accent4 3 4 2 5" xfId="19632" xr:uid="{00000000-0005-0000-0000-0000BD420000}"/>
    <cellStyle name="40% - Accent4 3 4 2 5 2" xfId="43465" xr:uid="{6FB69803-3708-4177-9011-E3C17CCCB5E5}"/>
    <cellStyle name="40% - Accent4 3 4 2 6" xfId="27585" xr:uid="{15C0157E-037E-494F-800B-39CFBAA498C0}"/>
    <cellStyle name="40% - Accent4 3 4 2_Exh G" xfId="3119" xr:uid="{00000000-0005-0000-0000-0000BE420000}"/>
    <cellStyle name="40% - Accent4 3 4 3" xfId="4530" xr:uid="{00000000-0005-0000-0000-0000BF420000}"/>
    <cellStyle name="40% - Accent4 3 4 3 2" xfId="8122" xr:uid="{00000000-0005-0000-0000-0000C0420000}"/>
    <cellStyle name="40% - Accent4 3 4 3 2 2" xfId="16093" xr:uid="{00000000-0005-0000-0000-0000C1420000}"/>
    <cellStyle name="40% - Accent4 3 4 3 2 2 2" xfId="39936" xr:uid="{DE7C41D0-3214-406E-962F-E462BF30A05A}"/>
    <cellStyle name="40% - Accent4 3 4 3 2 3" xfId="24039" xr:uid="{00000000-0005-0000-0000-0000C2420000}"/>
    <cellStyle name="40% - Accent4 3 4 3 2 3 2" xfId="47872" xr:uid="{573D4506-09D3-466E-90E7-A3527194617C}"/>
    <cellStyle name="40% - Accent4 3 4 3 2 4" xfId="31995" xr:uid="{BE94CD56-7526-4961-A888-430EAE97E6A0}"/>
    <cellStyle name="40% - Accent4 3 4 3 3" xfId="12555" xr:uid="{00000000-0005-0000-0000-0000C3420000}"/>
    <cellStyle name="40% - Accent4 3 4 3 3 2" xfId="36405" xr:uid="{C1CE491C-AA91-47A1-B54D-3AEA4D83F11F}"/>
    <cellStyle name="40% - Accent4 3 4 3 4" xfId="20510" xr:uid="{00000000-0005-0000-0000-0000C4420000}"/>
    <cellStyle name="40% - Accent4 3 4 3 4 2" xfId="44343" xr:uid="{DEF854BA-9A6D-4216-BCB7-3C1CCEC3B537}"/>
    <cellStyle name="40% - Accent4 3 4 3 5" xfId="28464" xr:uid="{E39723AB-BA5B-4221-8119-F26AC1B0B752}"/>
    <cellStyle name="40% - Accent4 3 4 4" xfId="6360" xr:uid="{00000000-0005-0000-0000-0000C5420000}"/>
    <cellStyle name="40% - Accent4 3 4 4 2" xfId="14335" xr:uid="{00000000-0005-0000-0000-0000C6420000}"/>
    <cellStyle name="40% - Accent4 3 4 4 2 2" xfId="38178" xr:uid="{CCE05C0F-33AA-4B89-85B1-BFB559F2B8A5}"/>
    <cellStyle name="40% - Accent4 3 4 4 3" xfId="22282" xr:uid="{00000000-0005-0000-0000-0000C7420000}"/>
    <cellStyle name="40% - Accent4 3 4 4 3 2" xfId="46115" xr:uid="{24CAE5A8-8407-4865-BB34-C6BC737EF57C}"/>
    <cellStyle name="40% - Accent4 3 4 4 4" xfId="30237" xr:uid="{16EAC0ED-B5D9-4435-AE95-7F325AF86CB7}"/>
    <cellStyle name="40% - Accent4 3 4 5" xfId="9903" xr:uid="{00000000-0005-0000-0000-0000C8420000}"/>
    <cellStyle name="40% - Accent4 3 4 5 2" xfId="17861" xr:uid="{00000000-0005-0000-0000-0000C9420000}"/>
    <cellStyle name="40% - Accent4 3 4 5 2 2" xfId="41702" xr:uid="{20CE98F9-3316-4C3E-A5DC-24C1A4805EBE}"/>
    <cellStyle name="40% - Accent4 3 4 5 3" xfId="25805" xr:uid="{00000000-0005-0000-0000-0000CA420000}"/>
    <cellStyle name="40% - Accent4 3 4 5 3 2" xfId="49638" xr:uid="{152F0983-E32F-4121-8265-BCBADC71D300}"/>
    <cellStyle name="40% - Accent4 3 4 5 4" xfId="33761" xr:uid="{7D7CEBD2-6104-437D-BB7A-61D706399D36}"/>
    <cellStyle name="40% - Accent4 3 4 6" xfId="10799" xr:uid="{00000000-0005-0000-0000-0000CB420000}"/>
    <cellStyle name="40% - Accent4 3 4 6 2" xfId="34649" xr:uid="{CC39EE34-79B3-4561-93C8-A0F66CB16F15}"/>
    <cellStyle name="40% - Accent4 3 4 7" xfId="18754" xr:uid="{00000000-0005-0000-0000-0000CC420000}"/>
    <cellStyle name="40% - Accent4 3 4 7 2" xfId="42587" xr:uid="{1A7EDD43-D232-423D-8FC6-822BC9FF5724}"/>
    <cellStyle name="40% - Accent4 3 4 8" xfId="26707" xr:uid="{43FE3D6B-C47C-41BD-9C73-45AA56E5E1C1}"/>
    <cellStyle name="40% - Accent4 3 4_Exh G" xfId="3118" xr:uid="{00000000-0005-0000-0000-0000CD420000}"/>
    <cellStyle name="40% - Accent4 3 5" xfId="1535" xr:uid="{00000000-0005-0000-0000-0000CE420000}"/>
    <cellStyle name="40% - Accent4 3 5 2" xfId="5065" xr:uid="{00000000-0005-0000-0000-0000CF420000}"/>
    <cellStyle name="40% - Accent4 3 5 2 2" xfId="8656" xr:uid="{00000000-0005-0000-0000-0000D0420000}"/>
    <cellStyle name="40% - Accent4 3 5 2 2 2" xfId="16627" xr:uid="{00000000-0005-0000-0000-0000D1420000}"/>
    <cellStyle name="40% - Accent4 3 5 2 2 2 2" xfId="40470" xr:uid="{4E84AD0E-DD58-465A-9E78-72B5395D0CD7}"/>
    <cellStyle name="40% - Accent4 3 5 2 2 3" xfId="24573" xr:uid="{00000000-0005-0000-0000-0000D2420000}"/>
    <cellStyle name="40% - Accent4 3 5 2 2 3 2" xfId="48406" xr:uid="{58BCAEEB-7D24-47FB-9230-2162802888C6}"/>
    <cellStyle name="40% - Accent4 3 5 2 2 4" xfId="32529" xr:uid="{EF31644C-3669-433F-AF2F-8159B54E32E2}"/>
    <cellStyle name="40% - Accent4 3 5 2 3" xfId="13089" xr:uid="{00000000-0005-0000-0000-0000D3420000}"/>
    <cellStyle name="40% - Accent4 3 5 2 3 2" xfId="36939" xr:uid="{C398D6F0-3D87-494B-9F8B-9AD640CF01FF}"/>
    <cellStyle name="40% - Accent4 3 5 2 4" xfId="21044" xr:uid="{00000000-0005-0000-0000-0000D4420000}"/>
    <cellStyle name="40% - Accent4 3 5 2 4 2" xfId="44877" xr:uid="{F484B028-393E-4A76-9383-8B901C72BCF1}"/>
    <cellStyle name="40% - Accent4 3 5 2 5" xfId="28998" xr:uid="{630FE6DA-639E-4541-81C2-6B67F7BF51FF}"/>
    <cellStyle name="40% - Accent4 3 5 3" xfId="6897" xr:uid="{00000000-0005-0000-0000-0000D5420000}"/>
    <cellStyle name="40% - Accent4 3 5 3 2" xfId="14869" xr:uid="{00000000-0005-0000-0000-0000D6420000}"/>
    <cellStyle name="40% - Accent4 3 5 3 2 2" xfId="38712" xr:uid="{D75562EB-A0CD-42E5-83D1-54B53AE46BCC}"/>
    <cellStyle name="40% - Accent4 3 5 3 3" xfId="22816" xr:uid="{00000000-0005-0000-0000-0000D7420000}"/>
    <cellStyle name="40% - Accent4 3 5 3 3 2" xfId="46649" xr:uid="{CB0D7B56-593D-4A41-BF58-1400BACD3DAE}"/>
    <cellStyle name="40% - Accent4 3 5 3 4" xfId="30771" xr:uid="{606D61A2-6DE6-4CCD-8F4A-1AA6DD348C9F}"/>
    <cellStyle name="40% - Accent4 3 5 4" xfId="11333" xr:uid="{00000000-0005-0000-0000-0000D8420000}"/>
    <cellStyle name="40% - Accent4 3 5 4 2" xfId="35183" xr:uid="{8CFBB0A6-117A-4D7F-9F94-E7D4C341891C}"/>
    <cellStyle name="40% - Accent4 3 5 5" xfId="19288" xr:uid="{00000000-0005-0000-0000-0000D9420000}"/>
    <cellStyle name="40% - Accent4 3 5 5 2" xfId="43121" xr:uid="{523DE42C-A847-468C-8EC1-D2B2621055CF}"/>
    <cellStyle name="40% - Accent4 3 5 6" xfId="27241" xr:uid="{DC4A2825-3037-409B-9353-D4E38785554B}"/>
    <cellStyle name="40% - Accent4 3 5_Exh G" xfId="3120" xr:uid="{00000000-0005-0000-0000-0000DA420000}"/>
    <cellStyle name="40% - Accent4 3 6" xfId="4186" xr:uid="{00000000-0005-0000-0000-0000DB420000}"/>
    <cellStyle name="40% - Accent4 3 6 2" xfId="7778" xr:uid="{00000000-0005-0000-0000-0000DC420000}"/>
    <cellStyle name="40% - Accent4 3 6 2 2" xfId="15749" xr:uid="{00000000-0005-0000-0000-0000DD420000}"/>
    <cellStyle name="40% - Accent4 3 6 2 2 2" xfId="39592" xr:uid="{F04C63D2-A808-43F2-A0F0-8FF34E6EB7FA}"/>
    <cellStyle name="40% - Accent4 3 6 2 3" xfId="23695" xr:uid="{00000000-0005-0000-0000-0000DE420000}"/>
    <cellStyle name="40% - Accent4 3 6 2 3 2" xfId="47528" xr:uid="{30834049-2691-463D-AF2B-1407DD4EDBBC}"/>
    <cellStyle name="40% - Accent4 3 6 2 4" xfId="31651" xr:uid="{999B39C3-3533-434C-B02E-2DE5E02DEAD9}"/>
    <cellStyle name="40% - Accent4 3 6 3" xfId="12211" xr:uid="{00000000-0005-0000-0000-0000DF420000}"/>
    <cellStyle name="40% - Accent4 3 6 3 2" xfId="36061" xr:uid="{4A98A0C7-BDA5-426F-97B2-D42459DDF897}"/>
    <cellStyle name="40% - Accent4 3 6 4" xfId="20166" xr:uid="{00000000-0005-0000-0000-0000E0420000}"/>
    <cellStyle name="40% - Accent4 3 6 4 2" xfId="43999" xr:uid="{A24D7954-E6FE-4B92-9D6A-535662233E94}"/>
    <cellStyle name="40% - Accent4 3 6 5" xfId="28120" xr:uid="{26B18A09-CC5D-409A-B70B-B3334920A8AD}"/>
    <cellStyle name="40% - Accent4 3 7" xfId="6006" xr:uid="{00000000-0005-0000-0000-0000E1420000}"/>
    <cellStyle name="40% - Accent4 3 7 2" xfId="13990" xr:uid="{00000000-0005-0000-0000-0000E2420000}"/>
    <cellStyle name="40% - Accent4 3 7 2 2" xfId="37834" xr:uid="{2FB2F2C4-1D17-4763-86C7-934FA2F728C0}"/>
    <cellStyle name="40% - Accent4 3 7 3" xfId="21938" xr:uid="{00000000-0005-0000-0000-0000E3420000}"/>
    <cellStyle name="40% - Accent4 3 7 3 2" xfId="45771" xr:uid="{7C1F244D-B806-4F93-91AF-9465DBA07896}"/>
    <cellStyle name="40% - Accent4 3 7 4" xfId="29893" xr:uid="{988E7929-BBB9-4A26-93DC-0EAEDA53CFF4}"/>
    <cellStyle name="40% - Accent4 3 8" xfId="9559" xr:uid="{00000000-0005-0000-0000-0000E4420000}"/>
    <cellStyle name="40% - Accent4 3 8 2" xfId="17517" xr:uid="{00000000-0005-0000-0000-0000E5420000}"/>
    <cellStyle name="40% - Accent4 3 8 2 2" xfId="41358" xr:uid="{11BED97D-6136-4ACF-B129-FEDF875F48FA}"/>
    <cellStyle name="40% - Accent4 3 8 3" xfId="25461" xr:uid="{00000000-0005-0000-0000-0000E6420000}"/>
    <cellStyle name="40% - Accent4 3 8 3 2" xfId="49294" xr:uid="{A9AD87E6-8BD6-4A54-9D9C-BCCA1A43C185}"/>
    <cellStyle name="40% - Accent4 3 8 4" xfId="33417" xr:uid="{E0D032B9-3AAF-4228-8595-007B3B02E378}"/>
    <cellStyle name="40% - Accent4 3 9" xfId="10455" xr:uid="{00000000-0005-0000-0000-0000E7420000}"/>
    <cellStyle name="40% - Accent4 3 9 2" xfId="34305" xr:uid="{32EE4004-5261-4ABC-9FBD-090F51B71838}"/>
    <cellStyle name="40% - Accent4 3_Exh G" xfId="3109" xr:uid="{00000000-0005-0000-0000-0000E8420000}"/>
    <cellStyle name="40% - Accent4 4" xfId="511" xr:uid="{00000000-0005-0000-0000-0000E9420000}"/>
    <cellStyle name="40% - Accent4 4 10" xfId="18414" xr:uid="{00000000-0005-0000-0000-0000EA420000}"/>
    <cellStyle name="40% - Accent4 4 10 2" xfId="42247" xr:uid="{632A42EE-C81E-479F-A0B3-15F332C5E610}"/>
    <cellStyle name="40% - Accent4 4 11" xfId="26367" xr:uid="{24534573-AF5A-4AF7-A21C-97A969C3CA84}"/>
    <cellStyle name="40% - Accent4 4 2" xfId="512" xr:uid="{00000000-0005-0000-0000-0000EB420000}"/>
    <cellStyle name="40% - Accent4 4 2 10" xfId="26368" xr:uid="{9D838E66-EDEC-446F-941C-E45C772F7136}"/>
    <cellStyle name="40% - Accent4 4 2 2" xfId="513" xr:uid="{00000000-0005-0000-0000-0000EC420000}"/>
    <cellStyle name="40% - Accent4 4 2 2 2" xfId="1541" xr:uid="{00000000-0005-0000-0000-0000ED420000}"/>
    <cellStyle name="40% - Accent4 4 2 2 2 2" xfId="5071" xr:uid="{00000000-0005-0000-0000-0000EE420000}"/>
    <cellStyle name="40% - Accent4 4 2 2 2 2 2" xfId="8662" xr:uid="{00000000-0005-0000-0000-0000EF420000}"/>
    <cellStyle name="40% - Accent4 4 2 2 2 2 2 2" xfId="16633" xr:uid="{00000000-0005-0000-0000-0000F0420000}"/>
    <cellStyle name="40% - Accent4 4 2 2 2 2 2 2 2" xfId="40476" xr:uid="{03263D1D-3D9F-4EC8-A437-547673822D81}"/>
    <cellStyle name="40% - Accent4 4 2 2 2 2 2 3" xfId="24579" xr:uid="{00000000-0005-0000-0000-0000F1420000}"/>
    <cellStyle name="40% - Accent4 4 2 2 2 2 2 3 2" xfId="48412" xr:uid="{FE97CCF2-0448-4254-BC25-AE61D81D6136}"/>
    <cellStyle name="40% - Accent4 4 2 2 2 2 2 4" xfId="32535" xr:uid="{B99B8BA8-33C4-4887-A6A1-3FBD9DB731DC}"/>
    <cellStyle name="40% - Accent4 4 2 2 2 2 3" xfId="13095" xr:uid="{00000000-0005-0000-0000-0000F2420000}"/>
    <cellStyle name="40% - Accent4 4 2 2 2 2 3 2" xfId="36945" xr:uid="{50642F53-291E-4DBC-8406-E054960EEB2B}"/>
    <cellStyle name="40% - Accent4 4 2 2 2 2 4" xfId="21050" xr:uid="{00000000-0005-0000-0000-0000F3420000}"/>
    <cellStyle name="40% - Accent4 4 2 2 2 2 4 2" xfId="44883" xr:uid="{E225F7EE-3705-4376-B667-2A0B85FAF5AF}"/>
    <cellStyle name="40% - Accent4 4 2 2 2 2 5" xfId="29004" xr:uid="{C046F657-3383-45D1-B514-92BD9DD573DA}"/>
    <cellStyle name="40% - Accent4 4 2 2 2 3" xfId="6903" xr:uid="{00000000-0005-0000-0000-0000F4420000}"/>
    <cellStyle name="40% - Accent4 4 2 2 2 3 2" xfId="14875" xr:uid="{00000000-0005-0000-0000-0000F5420000}"/>
    <cellStyle name="40% - Accent4 4 2 2 2 3 2 2" xfId="38718" xr:uid="{BF50D321-AF4C-4818-B79A-B5AF846C0528}"/>
    <cellStyle name="40% - Accent4 4 2 2 2 3 3" xfId="22822" xr:uid="{00000000-0005-0000-0000-0000F6420000}"/>
    <cellStyle name="40% - Accent4 4 2 2 2 3 3 2" xfId="46655" xr:uid="{F318B258-3E9B-41DB-822F-7360AD25D4B9}"/>
    <cellStyle name="40% - Accent4 4 2 2 2 3 4" xfId="30777" xr:uid="{6C5E6A5E-5EB4-4F63-BB20-097E94A316FA}"/>
    <cellStyle name="40% - Accent4 4 2 2 2 4" xfId="11339" xr:uid="{00000000-0005-0000-0000-0000F7420000}"/>
    <cellStyle name="40% - Accent4 4 2 2 2 4 2" xfId="35189" xr:uid="{2720ABBF-F126-4ED5-AF64-68B8DEAA5EB3}"/>
    <cellStyle name="40% - Accent4 4 2 2 2 5" xfId="19294" xr:uid="{00000000-0005-0000-0000-0000F8420000}"/>
    <cellStyle name="40% - Accent4 4 2 2 2 5 2" xfId="43127" xr:uid="{D66E7FFC-34B5-4F2F-B884-E26AD7C6F8C7}"/>
    <cellStyle name="40% - Accent4 4 2 2 2 6" xfId="27247" xr:uid="{F16B2073-4AC1-4B6D-82B0-415DD4D570B7}"/>
    <cellStyle name="40% - Accent4 4 2 2 2_Exh G" xfId="3124" xr:uid="{00000000-0005-0000-0000-0000F9420000}"/>
    <cellStyle name="40% - Accent4 4 2 2 3" xfId="4192" xr:uid="{00000000-0005-0000-0000-0000FA420000}"/>
    <cellStyle name="40% - Accent4 4 2 2 3 2" xfId="7784" xr:uid="{00000000-0005-0000-0000-0000FB420000}"/>
    <cellStyle name="40% - Accent4 4 2 2 3 2 2" xfId="15755" xr:uid="{00000000-0005-0000-0000-0000FC420000}"/>
    <cellStyle name="40% - Accent4 4 2 2 3 2 2 2" xfId="39598" xr:uid="{E0EF5402-8C29-4DD2-A8A9-BAE7FFFD6066}"/>
    <cellStyle name="40% - Accent4 4 2 2 3 2 3" xfId="23701" xr:uid="{00000000-0005-0000-0000-0000FD420000}"/>
    <cellStyle name="40% - Accent4 4 2 2 3 2 3 2" xfId="47534" xr:uid="{57724B9F-C2F9-40C6-AB1C-898A7819245B}"/>
    <cellStyle name="40% - Accent4 4 2 2 3 2 4" xfId="31657" xr:uid="{6F74029A-5C03-484B-9CB7-EC682841C8F2}"/>
    <cellStyle name="40% - Accent4 4 2 2 3 3" xfId="12217" xr:uid="{00000000-0005-0000-0000-0000FE420000}"/>
    <cellStyle name="40% - Accent4 4 2 2 3 3 2" xfId="36067" xr:uid="{38C3D1E7-CCE2-4B36-973B-5D8797AAC1C2}"/>
    <cellStyle name="40% - Accent4 4 2 2 3 4" xfId="20172" xr:uid="{00000000-0005-0000-0000-0000FF420000}"/>
    <cellStyle name="40% - Accent4 4 2 2 3 4 2" xfId="44005" xr:uid="{7B325E63-CA49-4A17-A326-06CBEC19908E}"/>
    <cellStyle name="40% - Accent4 4 2 2 3 5" xfId="28126" xr:uid="{20320513-C35E-4469-8B84-0C98286A33CA}"/>
    <cellStyle name="40% - Accent4 4 2 2 4" xfId="6012" xr:uid="{00000000-0005-0000-0000-000000430000}"/>
    <cellStyle name="40% - Accent4 4 2 2 4 2" xfId="13996" xr:uid="{00000000-0005-0000-0000-000001430000}"/>
    <cellStyle name="40% - Accent4 4 2 2 4 2 2" xfId="37840" xr:uid="{9D664A58-25C0-4DFE-A5C0-FEB406C61D48}"/>
    <cellStyle name="40% - Accent4 4 2 2 4 3" xfId="21944" xr:uid="{00000000-0005-0000-0000-000002430000}"/>
    <cellStyle name="40% - Accent4 4 2 2 4 3 2" xfId="45777" xr:uid="{ECC20FDC-2666-4977-ADE0-F25B65C29295}"/>
    <cellStyle name="40% - Accent4 4 2 2 4 4" xfId="29899" xr:uid="{5120AC82-7B9B-481D-A9A0-BC87571CA4B7}"/>
    <cellStyle name="40% - Accent4 4 2 2 5" xfId="9565" xr:uid="{00000000-0005-0000-0000-000003430000}"/>
    <cellStyle name="40% - Accent4 4 2 2 5 2" xfId="17523" xr:uid="{00000000-0005-0000-0000-000004430000}"/>
    <cellStyle name="40% - Accent4 4 2 2 5 2 2" xfId="41364" xr:uid="{DAD5828F-295E-4F78-A455-746ADAF8DBE6}"/>
    <cellStyle name="40% - Accent4 4 2 2 5 3" xfId="25467" xr:uid="{00000000-0005-0000-0000-000005430000}"/>
    <cellStyle name="40% - Accent4 4 2 2 5 3 2" xfId="49300" xr:uid="{3D07B77C-2BAD-48D4-9EEC-2165A448B8FC}"/>
    <cellStyle name="40% - Accent4 4 2 2 5 4" xfId="33423" xr:uid="{5121BB49-BD81-4E44-A38F-E9E937E68DD9}"/>
    <cellStyle name="40% - Accent4 4 2 2 6" xfId="10461" xr:uid="{00000000-0005-0000-0000-000006430000}"/>
    <cellStyle name="40% - Accent4 4 2 2 6 2" xfId="34311" xr:uid="{08EC8E00-2AD2-48D4-9037-1A45A51F330F}"/>
    <cellStyle name="40% - Accent4 4 2 2 7" xfId="18416" xr:uid="{00000000-0005-0000-0000-000007430000}"/>
    <cellStyle name="40% - Accent4 4 2 2 7 2" xfId="42249" xr:uid="{F92B3D76-C3BE-4D0A-B593-F3C2E4F46CFE}"/>
    <cellStyle name="40% - Accent4 4 2 2 8" xfId="26369" xr:uid="{1D926EE3-F124-4771-99C7-E69F9D4F5F4F}"/>
    <cellStyle name="40% - Accent4 4 2 2_Exh G" xfId="3123" xr:uid="{00000000-0005-0000-0000-000008430000}"/>
    <cellStyle name="40% - Accent4 4 2 3" xfId="976" xr:uid="{00000000-0005-0000-0000-000009430000}"/>
    <cellStyle name="40% - Accent4 4 2 3 2" xfId="1894" xr:uid="{00000000-0005-0000-0000-00000A430000}"/>
    <cellStyle name="40% - Accent4 4 2 3 2 2" xfId="5412" xr:uid="{00000000-0005-0000-0000-00000B430000}"/>
    <cellStyle name="40% - Accent4 4 2 3 2 2 2" xfId="9003" xr:uid="{00000000-0005-0000-0000-00000C430000}"/>
    <cellStyle name="40% - Accent4 4 2 3 2 2 2 2" xfId="16974" xr:uid="{00000000-0005-0000-0000-00000D430000}"/>
    <cellStyle name="40% - Accent4 4 2 3 2 2 2 2 2" xfId="40817" xr:uid="{5E1419DF-392A-45EA-A760-15714D08E8BE}"/>
    <cellStyle name="40% - Accent4 4 2 3 2 2 2 3" xfId="24920" xr:uid="{00000000-0005-0000-0000-00000E430000}"/>
    <cellStyle name="40% - Accent4 4 2 3 2 2 2 3 2" xfId="48753" xr:uid="{34E00AF5-66F9-4939-838D-72CE96089B62}"/>
    <cellStyle name="40% - Accent4 4 2 3 2 2 2 4" xfId="32876" xr:uid="{2AB987FF-40C0-4A61-88AA-9609E3CE4BA0}"/>
    <cellStyle name="40% - Accent4 4 2 3 2 2 3" xfId="13436" xr:uid="{00000000-0005-0000-0000-00000F430000}"/>
    <cellStyle name="40% - Accent4 4 2 3 2 2 3 2" xfId="37286" xr:uid="{832B2434-20AB-4ADF-B211-1D99F6E9EA1C}"/>
    <cellStyle name="40% - Accent4 4 2 3 2 2 4" xfId="21391" xr:uid="{00000000-0005-0000-0000-000010430000}"/>
    <cellStyle name="40% - Accent4 4 2 3 2 2 4 2" xfId="45224" xr:uid="{432DB84B-B8AD-4020-A60E-C9D561DC5CEF}"/>
    <cellStyle name="40% - Accent4 4 2 3 2 2 5" xfId="29345" xr:uid="{9B780CF2-F8F5-404B-9DE6-02A3C08B02D1}"/>
    <cellStyle name="40% - Accent4 4 2 3 2 3" xfId="7244" xr:uid="{00000000-0005-0000-0000-000011430000}"/>
    <cellStyle name="40% - Accent4 4 2 3 2 3 2" xfId="15216" xr:uid="{00000000-0005-0000-0000-000012430000}"/>
    <cellStyle name="40% - Accent4 4 2 3 2 3 2 2" xfId="39059" xr:uid="{80F18427-E7CD-42E2-863D-33D34CFB6852}"/>
    <cellStyle name="40% - Accent4 4 2 3 2 3 3" xfId="23163" xr:uid="{00000000-0005-0000-0000-000013430000}"/>
    <cellStyle name="40% - Accent4 4 2 3 2 3 3 2" xfId="46996" xr:uid="{67CB5910-B6D6-4BB3-A2F2-4C65C21A327C}"/>
    <cellStyle name="40% - Accent4 4 2 3 2 3 4" xfId="31118" xr:uid="{F1788394-D3E9-4A26-89D3-4D14F38BE006}"/>
    <cellStyle name="40% - Accent4 4 2 3 2 4" xfId="11680" xr:uid="{00000000-0005-0000-0000-000014430000}"/>
    <cellStyle name="40% - Accent4 4 2 3 2 4 2" xfId="35530" xr:uid="{530B6867-A34E-4763-AE1F-39203AB1E887}"/>
    <cellStyle name="40% - Accent4 4 2 3 2 5" xfId="19635" xr:uid="{00000000-0005-0000-0000-000015430000}"/>
    <cellStyle name="40% - Accent4 4 2 3 2 5 2" xfId="43468" xr:uid="{3E31BCD5-9BE8-4E4F-AF04-502F1919999A}"/>
    <cellStyle name="40% - Accent4 4 2 3 2 6" xfId="27588" xr:uid="{B2B18174-E387-45F3-802E-A9CCAC9448EE}"/>
    <cellStyle name="40% - Accent4 4 2 3 2_Exh G" xfId="3126" xr:uid="{00000000-0005-0000-0000-000016430000}"/>
    <cellStyle name="40% - Accent4 4 2 3 3" xfId="4533" xr:uid="{00000000-0005-0000-0000-000017430000}"/>
    <cellStyle name="40% - Accent4 4 2 3 3 2" xfId="8125" xr:uid="{00000000-0005-0000-0000-000018430000}"/>
    <cellStyle name="40% - Accent4 4 2 3 3 2 2" xfId="16096" xr:uid="{00000000-0005-0000-0000-000019430000}"/>
    <cellStyle name="40% - Accent4 4 2 3 3 2 2 2" xfId="39939" xr:uid="{ED9B34F4-E6AA-4B7C-8D5E-80018C4E3847}"/>
    <cellStyle name="40% - Accent4 4 2 3 3 2 3" xfId="24042" xr:uid="{00000000-0005-0000-0000-00001A430000}"/>
    <cellStyle name="40% - Accent4 4 2 3 3 2 3 2" xfId="47875" xr:uid="{BB3B07B5-CAF3-407A-8943-BF0B05D0522F}"/>
    <cellStyle name="40% - Accent4 4 2 3 3 2 4" xfId="31998" xr:uid="{94A7BCF2-2AB6-4BD8-A302-C8C141ACAD65}"/>
    <cellStyle name="40% - Accent4 4 2 3 3 3" xfId="12558" xr:uid="{00000000-0005-0000-0000-00001B430000}"/>
    <cellStyle name="40% - Accent4 4 2 3 3 3 2" xfId="36408" xr:uid="{9AB7A869-0166-4081-AE7E-FB54D280CCF1}"/>
    <cellStyle name="40% - Accent4 4 2 3 3 4" xfId="20513" xr:uid="{00000000-0005-0000-0000-00001C430000}"/>
    <cellStyle name="40% - Accent4 4 2 3 3 4 2" xfId="44346" xr:uid="{0CEF0139-5E97-4EA4-8778-858122A4BCFC}"/>
    <cellStyle name="40% - Accent4 4 2 3 3 5" xfId="28467" xr:uid="{7697D3E2-EFA9-4DF8-8433-C361522EAAA1}"/>
    <cellStyle name="40% - Accent4 4 2 3 4" xfId="6363" xr:uid="{00000000-0005-0000-0000-00001D430000}"/>
    <cellStyle name="40% - Accent4 4 2 3 4 2" xfId="14338" xr:uid="{00000000-0005-0000-0000-00001E430000}"/>
    <cellStyle name="40% - Accent4 4 2 3 4 2 2" xfId="38181" xr:uid="{1DE76E4D-3988-4A3C-9956-72BC45AA5B71}"/>
    <cellStyle name="40% - Accent4 4 2 3 4 3" xfId="22285" xr:uid="{00000000-0005-0000-0000-00001F430000}"/>
    <cellStyle name="40% - Accent4 4 2 3 4 3 2" xfId="46118" xr:uid="{6708FF72-1076-475A-80DF-505ABD844BE0}"/>
    <cellStyle name="40% - Accent4 4 2 3 4 4" xfId="30240" xr:uid="{FB709C41-7F3D-42EE-9087-06290E49B212}"/>
    <cellStyle name="40% - Accent4 4 2 3 5" xfId="9906" xr:uid="{00000000-0005-0000-0000-000020430000}"/>
    <cellStyle name="40% - Accent4 4 2 3 5 2" xfId="17864" xr:uid="{00000000-0005-0000-0000-000021430000}"/>
    <cellStyle name="40% - Accent4 4 2 3 5 2 2" xfId="41705" xr:uid="{C72FA11A-1F2B-44CC-9917-EF22ABB7846D}"/>
    <cellStyle name="40% - Accent4 4 2 3 5 3" xfId="25808" xr:uid="{00000000-0005-0000-0000-000022430000}"/>
    <cellStyle name="40% - Accent4 4 2 3 5 3 2" xfId="49641" xr:uid="{1818DA87-340B-4864-9A56-C6FD0EDD8984}"/>
    <cellStyle name="40% - Accent4 4 2 3 5 4" xfId="33764" xr:uid="{EE45810F-72CC-4CDC-949B-AC3B04820A45}"/>
    <cellStyle name="40% - Accent4 4 2 3 6" xfId="10802" xr:uid="{00000000-0005-0000-0000-000023430000}"/>
    <cellStyle name="40% - Accent4 4 2 3 6 2" xfId="34652" xr:uid="{B545CE5E-02EA-4063-B714-D737AB3AACBE}"/>
    <cellStyle name="40% - Accent4 4 2 3 7" xfId="18757" xr:uid="{00000000-0005-0000-0000-000024430000}"/>
    <cellStyle name="40% - Accent4 4 2 3 7 2" xfId="42590" xr:uid="{D979B0F9-7EE8-4326-BFF2-DC5E1C64821B}"/>
    <cellStyle name="40% - Accent4 4 2 3 8" xfId="26710" xr:uid="{A13844D7-41ED-4CC9-B9C5-D9CB808FB05D}"/>
    <cellStyle name="40% - Accent4 4 2 3_Exh G" xfId="3125" xr:uid="{00000000-0005-0000-0000-000025430000}"/>
    <cellStyle name="40% - Accent4 4 2 4" xfId="1540" xr:uid="{00000000-0005-0000-0000-000026430000}"/>
    <cellStyle name="40% - Accent4 4 2 4 2" xfId="5070" xr:uid="{00000000-0005-0000-0000-000027430000}"/>
    <cellStyle name="40% - Accent4 4 2 4 2 2" xfId="8661" xr:uid="{00000000-0005-0000-0000-000028430000}"/>
    <cellStyle name="40% - Accent4 4 2 4 2 2 2" xfId="16632" xr:uid="{00000000-0005-0000-0000-000029430000}"/>
    <cellStyle name="40% - Accent4 4 2 4 2 2 2 2" xfId="40475" xr:uid="{E963F103-100D-461C-AA06-A1581217D798}"/>
    <cellStyle name="40% - Accent4 4 2 4 2 2 3" xfId="24578" xr:uid="{00000000-0005-0000-0000-00002A430000}"/>
    <cellStyle name="40% - Accent4 4 2 4 2 2 3 2" xfId="48411" xr:uid="{ED5F477B-0BE5-4DCF-97BF-3978B0491B52}"/>
    <cellStyle name="40% - Accent4 4 2 4 2 2 4" xfId="32534" xr:uid="{33CA7FED-8709-46E1-B1FA-1D1B05AFA90D}"/>
    <cellStyle name="40% - Accent4 4 2 4 2 3" xfId="13094" xr:uid="{00000000-0005-0000-0000-00002B430000}"/>
    <cellStyle name="40% - Accent4 4 2 4 2 3 2" xfId="36944" xr:uid="{832CA3B0-58A5-4264-BDA6-A1434D6ADE94}"/>
    <cellStyle name="40% - Accent4 4 2 4 2 4" xfId="21049" xr:uid="{00000000-0005-0000-0000-00002C430000}"/>
    <cellStyle name="40% - Accent4 4 2 4 2 4 2" xfId="44882" xr:uid="{128222D9-BFCF-4089-A8C5-859063477A70}"/>
    <cellStyle name="40% - Accent4 4 2 4 2 5" xfId="29003" xr:uid="{C8DA9DCB-76E4-4120-8AF9-F8D1FB6CDF1A}"/>
    <cellStyle name="40% - Accent4 4 2 4 3" xfId="6902" xr:uid="{00000000-0005-0000-0000-00002D430000}"/>
    <cellStyle name="40% - Accent4 4 2 4 3 2" xfId="14874" xr:uid="{00000000-0005-0000-0000-00002E430000}"/>
    <cellStyle name="40% - Accent4 4 2 4 3 2 2" xfId="38717" xr:uid="{066B5290-A610-44C8-A570-D0121401EB0F}"/>
    <cellStyle name="40% - Accent4 4 2 4 3 3" xfId="22821" xr:uid="{00000000-0005-0000-0000-00002F430000}"/>
    <cellStyle name="40% - Accent4 4 2 4 3 3 2" xfId="46654" xr:uid="{15B5C3C2-8A0F-49CA-8D62-75DE4AB95C4F}"/>
    <cellStyle name="40% - Accent4 4 2 4 3 4" xfId="30776" xr:uid="{5A3248EC-A6E9-44D6-B3E7-39AC03B657E6}"/>
    <cellStyle name="40% - Accent4 4 2 4 4" xfId="11338" xr:uid="{00000000-0005-0000-0000-000030430000}"/>
    <cellStyle name="40% - Accent4 4 2 4 4 2" xfId="35188" xr:uid="{952060E3-49B5-4242-8B0F-93068C8622DE}"/>
    <cellStyle name="40% - Accent4 4 2 4 5" xfId="19293" xr:uid="{00000000-0005-0000-0000-000031430000}"/>
    <cellStyle name="40% - Accent4 4 2 4 5 2" xfId="43126" xr:uid="{A7BB438C-0273-4BDC-BF3C-CAE455289927}"/>
    <cellStyle name="40% - Accent4 4 2 4 6" xfId="27246" xr:uid="{945EFB84-33F6-4685-BE39-139655543289}"/>
    <cellStyle name="40% - Accent4 4 2 4_Exh G" xfId="3127" xr:uid="{00000000-0005-0000-0000-000032430000}"/>
    <cellStyle name="40% - Accent4 4 2 5" xfId="4191" xr:uid="{00000000-0005-0000-0000-000033430000}"/>
    <cellStyle name="40% - Accent4 4 2 5 2" xfId="7783" xr:uid="{00000000-0005-0000-0000-000034430000}"/>
    <cellStyle name="40% - Accent4 4 2 5 2 2" xfId="15754" xr:uid="{00000000-0005-0000-0000-000035430000}"/>
    <cellStyle name="40% - Accent4 4 2 5 2 2 2" xfId="39597" xr:uid="{ED92AC35-7F58-4D22-8217-87ACB4608679}"/>
    <cellStyle name="40% - Accent4 4 2 5 2 3" xfId="23700" xr:uid="{00000000-0005-0000-0000-000036430000}"/>
    <cellStyle name="40% - Accent4 4 2 5 2 3 2" xfId="47533" xr:uid="{8E7CA8CD-D4FE-46B5-A049-66E9F3867240}"/>
    <cellStyle name="40% - Accent4 4 2 5 2 4" xfId="31656" xr:uid="{F8954320-BEFC-4A61-AA8C-DF47414970E9}"/>
    <cellStyle name="40% - Accent4 4 2 5 3" xfId="12216" xr:uid="{00000000-0005-0000-0000-000037430000}"/>
    <cellStyle name="40% - Accent4 4 2 5 3 2" xfId="36066" xr:uid="{AE9C55FD-0FF3-4E1D-8892-65254C566A9D}"/>
    <cellStyle name="40% - Accent4 4 2 5 4" xfId="20171" xr:uid="{00000000-0005-0000-0000-000038430000}"/>
    <cellStyle name="40% - Accent4 4 2 5 4 2" xfId="44004" xr:uid="{BF7118AA-4390-4DF0-9142-65F6F5868DDC}"/>
    <cellStyle name="40% - Accent4 4 2 5 5" xfId="28125" xr:uid="{8FACBF6D-23CE-479C-8DFA-523E3774FD3F}"/>
    <cellStyle name="40% - Accent4 4 2 6" xfId="6011" xr:uid="{00000000-0005-0000-0000-000039430000}"/>
    <cellStyle name="40% - Accent4 4 2 6 2" xfId="13995" xr:uid="{00000000-0005-0000-0000-00003A430000}"/>
    <cellStyle name="40% - Accent4 4 2 6 2 2" xfId="37839" xr:uid="{773E736A-67E7-48AB-8FB5-4F22778E339A}"/>
    <cellStyle name="40% - Accent4 4 2 6 3" xfId="21943" xr:uid="{00000000-0005-0000-0000-00003B430000}"/>
    <cellStyle name="40% - Accent4 4 2 6 3 2" xfId="45776" xr:uid="{007C6A6C-9DCB-48D5-B9C9-158054410268}"/>
    <cellStyle name="40% - Accent4 4 2 6 4" xfId="29898" xr:uid="{CCD3C1A7-C127-4F9B-9689-E5D93DE36FC3}"/>
    <cellStyle name="40% - Accent4 4 2 7" xfId="9564" xr:uid="{00000000-0005-0000-0000-00003C430000}"/>
    <cellStyle name="40% - Accent4 4 2 7 2" xfId="17522" xr:uid="{00000000-0005-0000-0000-00003D430000}"/>
    <cellStyle name="40% - Accent4 4 2 7 2 2" xfId="41363" xr:uid="{F0CCE1ED-4EC1-44A4-B3AE-67C77768BE1F}"/>
    <cellStyle name="40% - Accent4 4 2 7 3" xfId="25466" xr:uid="{00000000-0005-0000-0000-00003E430000}"/>
    <cellStyle name="40% - Accent4 4 2 7 3 2" xfId="49299" xr:uid="{49A801B6-40D2-4497-A3D5-C56289449DED}"/>
    <cellStyle name="40% - Accent4 4 2 7 4" xfId="33422" xr:uid="{898C76D2-AE0B-4BE5-9029-C994F2DE920A}"/>
    <cellStyle name="40% - Accent4 4 2 8" xfId="10460" xr:uid="{00000000-0005-0000-0000-00003F430000}"/>
    <cellStyle name="40% - Accent4 4 2 8 2" xfId="34310" xr:uid="{3B9E4D37-C7A7-465B-BD45-4896EED40509}"/>
    <cellStyle name="40% - Accent4 4 2 9" xfId="18415" xr:uid="{00000000-0005-0000-0000-000040430000}"/>
    <cellStyle name="40% - Accent4 4 2 9 2" xfId="42248" xr:uid="{28DEAE5D-21B4-45C4-87F0-57623EB333EB}"/>
    <cellStyle name="40% - Accent4 4 2_Exh G" xfId="3122" xr:uid="{00000000-0005-0000-0000-000041430000}"/>
    <cellStyle name="40% - Accent4 4 3" xfId="514" xr:uid="{00000000-0005-0000-0000-000042430000}"/>
    <cellStyle name="40% - Accent4 4 3 2" xfId="1542" xr:uid="{00000000-0005-0000-0000-000043430000}"/>
    <cellStyle name="40% - Accent4 4 3 2 2" xfId="5072" xr:uid="{00000000-0005-0000-0000-000044430000}"/>
    <cellStyle name="40% - Accent4 4 3 2 2 2" xfId="8663" xr:uid="{00000000-0005-0000-0000-000045430000}"/>
    <cellStyle name="40% - Accent4 4 3 2 2 2 2" xfId="16634" xr:uid="{00000000-0005-0000-0000-000046430000}"/>
    <cellStyle name="40% - Accent4 4 3 2 2 2 2 2" xfId="40477" xr:uid="{073A4BCC-6BC2-4226-A2E1-E5DC8AC23553}"/>
    <cellStyle name="40% - Accent4 4 3 2 2 2 3" xfId="24580" xr:uid="{00000000-0005-0000-0000-000047430000}"/>
    <cellStyle name="40% - Accent4 4 3 2 2 2 3 2" xfId="48413" xr:uid="{BC337507-8E9A-4107-AF87-303838D788EC}"/>
    <cellStyle name="40% - Accent4 4 3 2 2 2 4" xfId="32536" xr:uid="{40C160F6-3C51-49EF-AE06-3E118631C9E2}"/>
    <cellStyle name="40% - Accent4 4 3 2 2 3" xfId="13096" xr:uid="{00000000-0005-0000-0000-000048430000}"/>
    <cellStyle name="40% - Accent4 4 3 2 2 3 2" xfId="36946" xr:uid="{A30A20A3-0873-4B3E-8177-9C9960737FF1}"/>
    <cellStyle name="40% - Accent4 4 3 2 2 4" xfId="21051" xr:uid="{00000000-0005-0000-0000-000049430000}"/>
    <cellStyle name="40% - Accent4 4 3 2 2 4 2" xfId="44884" xr:uid="{CA897CB4-CA63-47C2-90A1-394945A4BC25}"/>
    <cellStyle name="40% - Accent4 4 3 2 2 5" xfId="29005" xr:uid="{3BC96E24-AA07-4202-B5DF-9EA69FFCC17D}"/>
    <cellStyle name="40% - Accent4 4 3 2 3" xfId="6904" xr:uid="{00000000-0005-0000-0000-00004A430000}"/>
    <cellStyle name="40% - Accent4 4 3 2 3 2" xfId="14876" xr:uid="{00000000-0005-0000-0000-00004B430000}"/>
    <cellStyle name="40% - Accent4 4 3 2 3 2 2" xfId="38719" xr:uid="{FC0F7E60-181B-4D46-86F4-514015C45714}"/>
    <cellStyle name="40% - Accent4 4 3 2 3 3" xfId="22823" xr:uid="{00000000-0005-0000-0000-00004C430000}"/>
    <cellStyle name="40% - Accent4 4 3 2 3 3 2" xfId="46656" xr:uid="{17BB96B7-E5DA-4661-B29A-1B69328FDFC4}"/>
    <cellStyle name="40% - Accent4 4 3 2 3 4" xfId="30778" xr:uid="{E55E812A-A369-4419-B9AD-E0F05DF03092}"/>
    <cellStyle name="40% - Accent4 4 3 2 4" xfId="11340" xr:uid="{00000000-0005-0000-0000-00004D430000}"/>
    <cellStyle name="40% - Accent4 4 3 2 4 2" xfId="35190" xr:uid="{B0B954E9-F7AD-4BF5-AB73-2CE5A40AA066}"/>
    <cellStyle name="40% - Accent4 4 3 2 5" xfId="19295" xr:uid="{00000000-0005-0000-0000-00004E430000}"/>
    <cellStyle name="40% - Accent4 4 3 2 5 2" xfId="43128" xr:uid="{1B1256D7-B13F-4736-A98A-0DEFE1CE9483}"/>
    <cellStyle name="40% - Accent4 4 3 2 6" xfId="27248" xr:uid="{36E5E701-7C61-480C-A60E-DF877B9977DF}"/>
    <cellStyle name="40% - Accent4 4 3 2_Exh G" xfId="3129" xr:uid="{00000000-0005-0000-0000-00004F430000}"/>
    <cellStyle name="40% - Accent4 4 3 3" xfId="4193" xr:uid="{00000000-0005-0000-0000-000050430000}"/>
    <cellStyle name="40% - Accent4 4 3 3 2" xfId="7785" xr:uid="{00000000-0005-0000-0000-000051430000}"/>
    <cellStyle name="40% - Accent4 4 3 3 2 2" xfId="15756" xr:uid="{00000000-0005-0000-0000-000052430000}"/>
    <cellStyle name="40% - Accent4 4 3 3 2 2 2" xfId="39599" xr:uid="{036D19CD-1CBA-4842-8C13-9EE1C34DFB62}"/>
    <cellStyle name="40% - Accent4 4 3 3 2 3" xfId="23702" xr:uid="{00000000-0005-0000-0000-000053430000}"/>
    <cellStyle name="40% - Accent4 4 3 3 2 3 2" xfId="47535" xr:uid="{AC71452B-C4F1-49F0-AD23-728255E5BDE3}"/>
    <cellStyle name="40% - Accent4 4 3 3 2 4" xfId="31658" xr:uid="{ED47B456-19CD-4022-9E39-5EE6AE058792}"/>
    <cellStyle name="40% - Accent4 4 3 3 3" xfId="12218" xr:uid="{00000000-0005-0000-0000-000054430000}"/>
    <cellStyle name="40% - Accent4 4 3 3 3 2" xfId="36068" xr:uid="{3901452D-3933-4A4E-A07C-AD6AE0DCEDB1}"/>
    <cellStyle name="40% - Accent4 4 3 3 4" xfId="20173" xr:uid="{00000000-0005-0000-0000-000055430000}"/>
    <cellStyle name="40% - Accent4 4 3 3 4 2" xfId="44006" xr:uid="{D0A20728-B7F2-41FD-90CE-5094BC391DDE}"/>
    <cellStyle name="40% - Accent4 4 3 3 5" xfId="28127" xr:uid="{1194464D-8FF0-48B4-9C62-072610CC36D9}"/>
    <cellStyle name="40% - Accent4 4 3 4" xfId="6013" xr:uid="{00000000-0005-0000-0000-000056430000}"/>
    <cellStyle name="40% - Accent4 4 3 4 2" xfId="13997" xr:uid="{00000000-0005-0000-0000-000057430000}"/>
    <cellStyle name="40% - Accent4 4 3 4 2 2" xfId="37841" xr:uid="{CC790D92-A27F-4953-80CD-A415F415E793}"/>
    <cellStyle name="40% - Accent4 4 3 4 3" xfId="21945" xr:uid="{00000000-0005-0000-0000-000058430000}"/>
    <cellStyle name="40% - Accent4 4 3 4 3 2" xfId="45778" xr:uid="{BFE4B4EC-7C99-4907-A1AC-8E974FEF88F1}"/>
    <cellStyle name="40% - Accent4 4 3 4 4" xfId="29900" xr:uid="{FE41C395-DE11-4539-9517-BF688FD39B6A}"/>
    <cellStyle name="40% - Accent4 4 3 5" xfId="9566" xr:uid="{00000000-0005-0000-0000-000059430000}"/>
    <cellStyle name="40% - Accent4 4 3 5 2" xfId="17524" xr:uid="{00000000-0005-0000-0000-00005A430000}"/>
    <cellStyle name="40% - Accent4 4 3 5 2 2" xfId="41365" xr:uid="{DCA53B72-6D7F-49A8-AA9E-37A60D26755D}"/>
    <cellStyle name="40% - Accent4 4 3 5 3" xfId="25468" xr:uid="{00000000-0005-0000-0000-00005B430000}"/>
    <cellStyle name="40% - Accent4 4 3 5 3 2" xfId="49301" xr:uid="{56DE96D6-ACCB-4E34-BC3B-00533F235A00}"/>
    <cellStyle name="40% - Accent4 4 3 5 4" xfId="33424" xr:uid="{F2E373DD-C77A-48FC-BE64-D56D1748A2AB}"/>
    <cellStyle name="40% - Accent4 4 3 6" xfId="10462" xr:uid="{00000000-0005-0000-0000-00005C430000}"/>
    <cellStyle name="40% - Accent4 4 3 6 2" xfId="34312" xr:uid="{A3672DC4-37C3-4E89-8865-E0C4A5230DCC}"/>
    <cellStyle name="40% - Accent4 4 3 7" xfId="18417" xr:uid="{00000000-0005-0000-0000-00005D430000}"/>
    <cellStyle name="40% - Accent4 4 3 7 2" xfId="42250" xr:uid="{F2B44DE8-C8CF-4856-9774-8D4E83508C58}"/>
    <cellStyle name="40% - Accent4 4 3 8" xfId="26370" xr:uid="{6D236BAA-C7DB-40E9-8A20-A4B0FF05FEF7}"/>
    <cellStyle name="40% - Accent4 4 3_Exh G" xfId="3128" xr:uid="{00000000-0005-0000-0000-00005E430000}"/>
    <cellStyle name="40% - Accent4 4 4" xfId="975" xr:uid="{00000000-0005-0000-0000-00005F430000}"/>
    <cellStyle name="40% - Accent4 4 4 2" xfId="1893" xr:uid="{00000000-0005-0000-0000-000060430000}"/>
    <cellStyle name="40% - Accent4 4 4 2 2" xfId="5411" xr:uid="{00000000-0005-0000-0000-000061430000}"/>
    <cellStyle name="40% - Accent4 4 4 2 2 2" xfId="9002" xr:uid="{00000000-0005-0000-0000-000062430000}"/>
    <cellStyle name="40% - Accent4 4 4 2 2 2 2" xfId="16973" xr:uid="{00000000-0005-0000-0000-000063430000}"/>
    <cellStyle name="40% - Accent4 4 4 2 2 2 2 2" xfId="40816" xr:uid="{F87E5F92-11E4-4EF3-995F-73F739C88579}"/>
    <cellStyle name="40% - Accent4 4 4 2 2 2 3" xfId="24919" xr:uid="{00000000-0005-0000-0000-000064430000}"/>
    <cellStyle name="40% - Accent4 4 4 2 2 2 3 2" xfId="48752" xr:uid="{09EAAD9B-5A73-48AA-B33B-96EF2D321AF7}"/>
    <cellStyle name="40% - Accent4 4 4 2 2 2 4" xfId="32875" xr:uid="{F52B4E9C-9587-4456-9CE4-CECEE3281DFC}"/>
    <cellStyle name="40% - Accent4 4 4 2 2 3" xfId="13435" xr:uid="{00000000-0005-0000-0000-000065430000}"/>
    <cellStyle name="40% - Accent4 4 4 2 2 3 2" xfId="37285" xr:uid="{7164CC7A-A62A-4557-B3A6-5702960F7DFF}"/>
    <cellStyle name="40% - Accent4 4 4 2 2 4" xfId="21390" xr:uid="{00000000-0005-0000-0000-000066430000}"/>
    <cellStyle name="40% - Accent4 4 4 2 2 4 2" xfId="45223" xr:uid="{DA7DAD9A-6832-4A9E-9074-AF6151EDBFF4}"/>
    <cellStyle name="40% - Accent4 4 4 2 2 5" xfId="29344" xr:uid="{5D5FC4EC-0DD8-475D-8DC5-DCE888EEF3C3}"/>
    <cellStyle name="40% - Accent4 4 4 2 3" xfId="7243" xr:uid="{00000000-0005-0000-0000-000067430000}"/>
    <cellStyle name="40% - Accent4 4 4 2 3 2" xfId="15215" xr:uid="{00000000-0005-0000-0000-000068430000}"/>
    <cellStyle name="40% - Accent4 4 4 2 3 2 2" xfId="39058" xr:uid="{5E26AE9D-FA48-40F0-9862-A7B5FDF8530F}"/>
    <cellStyle name="40% - Accent4 4 4 2 3 3" xfId="23162" xr:uid="{00000000-0005-0000-0000-000069430000}"/>
    <cellStyle name="40% - Accent4 4 4 2 3 3 2" xfId="46995" xr:uid="{37344C04-3602-43AE-985E-C6DC21D8C6F5}"/>
    <cellStyle name="40% - Accent4 4 4 2 3 4" xfId="31117" xr:uid="{5A302D48-B212-4BA9-8111-9BAAB99841B7}"/>
    <cellStyle name="40% - Accent4 4 4 2 4" xfId="11679" xr:uid="{00000000-0005-0000-0000-00006A430000}"/>
    <cellStyle name="40% - Accent4 4 4 2 4 2" xfId="35529" xr:uid="{9E2FDB0E-256A-42C3-999D-A85DDFDE6E9A}"/>
    <cellStyle name="40% - Accent4 4 4 2 5" xfId="19634" xr:uid="{00000000-0005-0000-0000-00006B430000}"/>
    <cellStyle name="40% - Accent4 4 4 2 5 2" xfId="43467" xr:uid="{7B411342-F410-4AD8-A597-3888AEA340BD}"/>
    <cellStyle name="40% - Accent4 4 4 2 6" xfId="27587" xr:uid="{615E07E1-239C-4899-9A0F-3BAAE64FD725}"/>
    <cellStyle name="40% - Accent4 4 4 2_Exh G" xfId="3131" xr:uid="{00000000-0005-0000-0000-00006C430000}"/>
    <cellStyle name="40% - Accent4 4 4 3" xfId="4532" xr:uid="{00000000-0005-0000-0000-00006D430000}"/>
    <cellStyle name="40% - Accent4 4 4 3 2" xfId="8124" xr:uid="{00000000-0005-0000-0000-00006E430000}"/>
    <cellStyle name="40% - Accent4 4 4 3 2 2" xfId="16095" xr:uid="{00000000-0005-0000-0000-00006F430000}"/>
    <cellStyle name="40% - Accent4 4 4 3 2 2 2" xfId="39938" xr:uid="{974C7BFE-98E8-4EE7-892C-E38330046E4D}"/>
    <cellStyle name="40% - Accent4 4 4 3 2 3" xfId="24041" xr:uid="{00000000-0005-0000-0000-000070430000}"/>
    <cellStyle name="40% - Accent4 4 4 3 2 3 2" xfId="47874" xr:uid="{17C1D3FA-04D4-4BB9-8DEE-3552F58B75F4}"/>
    <cellStyle name="40% - Accent4 4 4 3 2 4" xfId="31997" xr:uid="{02651627-76BE-4F00-90A1-C33463840E3D}"/>
    <cellStyle name="40% - Accent4 4 4 3 3" xfId="12557" xr:uid="{00000000-0005-0000-0000-000071430000}"/>
    <cellStyle name="40% - Accent4 4 4 3 3 2" xfId="36407" xr:uid="{52398E97-5D37-42CE-9E6B-E587798C125B}"/>
    <cellStyle name="40% - Accent4 4 4 3 4" xfId="20512" xr:uid="{00000000-0005-0000-0000-000072430000}"/>
    <cellStyle name="40% - Accent4 4 4 3 4 2" xfId="44345" xr:uid="{18B1F2DE-D0E3-4748-B115-439CA32441C0}"/>
    <cellStyle name="40% - Accent4 4 4 3 5" xfId="28466" xr:uid="{85520F26-EAF6-49F2-92EA-1A1ED095E387}"/>
    <cellStyle name="40% - Accent4 4 4 4" xfId="6362" xr:uid="{00000000-0005-0000-0000-000073430000}"/>
    <cellStyle name="40% - Accent4 4 4 4 2" xfId="14337" xr:uid="{00000000-0005-0000-0000-000074430000}"/>
    <cellStyle name="40% - Accent4 4 4 4 2 2" xfId="38180" xr:uid="{CDC227E3-8DF5-456C-9560-625199BA5BC2}"/>
    <cellStyle name="40% - Accent4 4 4 4 3" xfId="22284" xr:uid="{00000000-0005-0000-0000-000075430000}"/>
    <cellStyle name="40% - Accent4 4 4 4 3 2" xfId="46117" xr:uid="{04790122-33F7-41DD-9C94-E8F355DF5C8D}"/>
    <cellStyle name="40% - Accent4 4 4 4 4" xfId="30239" xr:uid="{CBCA3F3D-EFA0-41AB-A148-4F4859207A26}"/>
    <cellStyle name="40% - Accent4 4 4 5" xfId="9905" xr:uid="{00000000-0005-0000-0000-000076430000}"/>
    <cellStyle name="40% - Accent4 4 4 5 2" xfId="17863" xr:uid="{00000000-0005-0000-0000-000077430000}"/>
    <cellStyle name="40% - Accent4 4 4 5 2 2" xfId="41704" xr:uid="{B5072B4E-BAC3-4759-860B-B75014AAC3C7}"/>
    <cellStyle name="40% - Accent4 4 4 5 3" xfId="25807" xr:uid="{00000000-0005-0000-0000-000078430000}"/>
    <cellStyle name="40% - Accent4 4 4 5 3 2" xfId="49640" xr:uid="{C7579C3F-D791-454F-8A24-42A2C9AD5BCF}"/>
    <cellStyle name="40% - Accent4 4 4 5 4" xfId="33763" xr:uid="{599C771A-BB94-4669-963B-24B5E26C7A69}"/>
    <cellStyle name="40% - Accent4 4 4 6" xfId="10801" xr:uid="{00000000-0005-0000-0000-000079430000}"/>
    <cellStyle name="40% - Accent4 4 4 6 2" xfId="34651" xr:uid="{ADA26ABE-5160-4F48-B557-F3B784745CE9}"/>
    <cellStyle name="40% - Accent4 4 4 7" xfId="18756" xr:uid="{00000000-0005-0000-0000-00007A430000}"/>
    <cellStyle name="40% - Accent4 4 4 7 2" xfId="42589" xr:uid="{715A35C1-10BF-4D6C-909A-ECEA7546D05A}"/>
    <cellStyle name="40% - Accent4 4 4 8" xfId="26709" xr:uid="{C24C1827-34DC-4445-A112-E1661FBC0BC6}"/>
    <cellStyle name="40% - Accent4 4 4_Exh G" xfId="3130" xr:uid="{00000000-0005-0000-0000-00007B430000}"/>
    <cellStyle name="40% - Accent4 4 5" xfId="1539" xr:uid="{00000000-0005-0000-0000-00007C430000}"/>
    <cellStyle name="40% - Accent4 4 5 2" xfId="5069" xr:uid="{00000000-0005-0000-0000-00007D430000}"/>
    <cellStyle name="40% - Accent4 4 5 2 2" xfId="8660" xr:uid="{00000000-0005-0000-0000-00007E430000}"/>
    <cellStyle name="40% - Accent4 4 5 2 2 2" xfId="16631" xr:uid="{00000000-0005-0000-0000-00007F430000}"/>
    <cellStyle name="40% - Accent4 4 5 2 2 2 2" xfId="40474" xr:uid="{59732075-9E01-4C02-89EC-A347C4A1D1C9}"/>
    <cellStyle name="40% - Accent4 4 5 2 2 3" xfId="24577" xr:uid="{00000000-0005-0000-0000-000080430000}"/>
    <cellStyle name="40% - Accent4 4 5 2 2 3 2" xfId="48410" xr:uid="{D6EEC58A-BB43-4B0C-A452-4258B2D8BA7F}"/>
    <cellStyle name="40% - Accent4 4 5 2 2 4" xfId="32533" xr:uid="{660648D5-2FA9-4ED5-9D32-0C5C6D68CF38}"/>
    <cellStyle name="40% - Accent4 4 5 2 3" xfId="13093" xr:uid="{00000000-0005-0000-0000-000081430000}"/>
    <cellStyle name="40% - Accent4 4 5 2 3 2" xfId="36943" xr:uid="{9F2A256A-7711-45D6-8329-CB529A1D25AF}"/>
    <cellStyle name="40% - Accent4 4 5 2 4" xfId="21048" xr:uid="{00000000-0005-0000-0000-000082430000}"/>
    <cellStyle name="40% - Accent4 4 5 2 4 2" xfId="44881" xr:uid="{DDBD42A3-3F26-4ADE-BC74-46EFB7024CB8}"/>
    <cellStyle name="40% - Accent4 4 5 2 5" xfId="29002" xr:uid="{D49A2D43-FBC1-43CA-87F6-1C75D5CBC3A6}"/>
    <cellStyle name="40% - Accent4 4 5 3" xfId="6901" xr:uid="{00000000-0005-0000-0000-000083430000}"/>
    <cellStyle name="40% - Accent4 4 5 3 2" xfId="14873" xr:uid="{00000000-0005-0000-0000-000084430000}"/>
    <cellStyle name="40% - Accent4 4 5 3 2 2" xfId="38716" xr:uid="{8B6EDCFB-0E5F-4628-8A31-7F4CDE7C3E35}"/>
    <cellStyle name="40% - Accent4 4 5 3 3" xfId="22820" xr:uid="{00000000-0005-0000-0000-000085430000}"/>
    <cellStyle name="40% - Accent4 4 5 3 3 2" xfId="46653" xr:uid="{4DA78600-DCEC-47E7-9CF0-AEE910AE30FB}"/>
    <cellStyle name="40% - Accent4 4 5 3 4" xfId="30775" xr:uid="{8B08A570-3EA0-47BF-B39D-B8547DEF65CB}"/>
    <cellStyle name="40% - Accent4 4 5 4" xfId="11337" xr:uid="{00000000-0005-0000-0000-000086430000}"/>
    <cellStyle name="40% - Accent4 4 5 4 2" xfId="35187" xr:uid="{24152146-A8D7-4297-9915-13B305E2FCB6}"/>
    <cellStyle name="40% - Accent4 4 5 5" xfId="19292" xr:uid="{00000000-0005-0000-0000-000087430000}"/>
    <cellStyle name="40% - Accent4 4 5 5 2" xfId="43125" xr:uid="{FC9840C4-F8DC-4DEE-928B-80535E78E8A1}"/>
    <cellStyle name="40% - Accent4 4 5 6" xfId="27245" xr:uid="{69D2340B-06DF-4204-9A9A-F4B3CB1E9A76}"/>
    <cellStyle name="40% - Accent4 4 5_Exh G" xfId="3132" xr:uid="{00000000-0005-0000-0000-000088430000}"/>
    <cellStyle name="40% - Accent4 4 6" xfId="4190" xr:uid="{00000000-0005-0000-0000-000089430000}"/>
    <cellStyle name="40% - Accent4 4 6 2" xfId="7782" xr:uid="{00000000-0005-0000-0000-00008A430000}"/>
    <cellStyle name="40% - Accent4 4 6 2 2" xfId="15753" xr:uid="{00000000-0005-0000-0000-00008B430000}"/>
    <cellStyle name="40% - Accent4 4 6 2 2 2" xfId="39596" xr:uid="{FF199829-BEC7-418D-8682-335636A639A2}"/>
    <cellStyle name="40% - Accent4 4 6 2 3" xfId="23699" xr:uid="{00000000-0005-0000-0000-00008C430000}"/>
    <cellStyle name="40% - Accent4 4 6 2 3 2" xfId="47532" xr:uid="{EFB5BAEA-61F9-4328-9A4A-96646802DD5B}"/>
    <cellStyle name="40% - Accent4 4 6 2 4" xfId="31655" xr:uid="{7FB0B6E2-44A0-4D04-8013-249A8071ADE9}"/>
    <cellStyle name="40% - Accent4 4 6 3" xfId="12215" xr:uid="{00000000-0005-0000-0000-00008D430000}"/>
    <cellStyle name="40% - Accent4 4 6 3 2" xfId="36065" xr:uid="{5A0C2591-CA36-4CF2-90D0-86C560E3A83A}"/>
    <cellStyle name="40% - Accent4 4 6 4" xfId="20170" xr:uid="{00000000-0005-0000-0000-00008E430000}"/>
    <cellStyle name="40% - Accent4 4 6 4 2" xfId="44003" xr:uid="{B2F5D345-E78B-40EB-94B3-1D266944305B}"/>
    <cellStyle name="40% - Accent4 4 6 5" xfId="28124" xr:uid="{4B43F683-5B91-4987-9998-7F4D49422889}"/>
    <cellStyle name="40% - Accent4 4 7" xfId="6010" xr:uid="{00000000-0005-0000-0000-00008F430000}"/>
    <cellStyle name="40% - Accent4 4 7 2" xfId="13994" xr:uid="{00000000-0005-0000-0000-000090430000}"/>
    <cellStyle name="40% - Accent4 4 7 2 2" xfId="37838" xr:uid="{BE895380-E86D-4C60-B979-395B6F8E5471}"/>
    <cellStyle name="40% - Accent4 4 7 3" xfId="21942" xr:uid="{00000000-0005-0000-0000-000091430000}"/>
    <cellStyle name="40% - Accent4 4 7 3 2" xfId="45775" xr:uid="{09BFA047-E13A-4B00-B4A2-EF69B1B40E7B}"/>
    <cellStyle name="40% - Accent4 4 7 4" xfId="29897" xr:uid="{79CBAEC0-D3F6-4CA3-94E2-DFB3C2EC1BF4}"/>
    <cellStyle name="40% - Accent4 4 8" xfId="9563" xr:uid="{00000000-0005-0000-0000-000092430000}"/>
    <cellStyle name="40% - Accent4 4 8 2" xfId="17521" xr:uid="{00000000-0005-0000-0000-000093430000}"/>
    <cellStyle name="40% - Accent4 4 8 2 2" xfId="41362" xr:uid="{531F5B57-163D-4229-89FA-F859CE4525F5}"/>
    <cellStyle name="40% - Accent4 4 8 3" xfId="25465" xr:uid="{00000000-0005-0000-0000-000094430000}"/>
    <cellStyle name="40% - Accent4 4 8 3 2" xfId="49298" xr:uid="{A2E6666D-B3AB-4959-A6C7-A3065801F4C5}"/>
    <cellStyle name="40% - Accent4 4 8 4" xfId="33421" xr:uid="{FC20C28A-8B6E-482F-B72C-C60D2F5B02C7}"/>
    <cellStyle name="40% - Accent4 4 9" xfId="10459" xr:uid="{00000000-0005-0000-0000-000095430000}"/>
    <cellStyle name="40% - Accent4 4 9 2" xfId="34309" xr:uid="{A68FDC22-01C1-4519-9A08-56D40095BF2A}"/>
    <cellStyle name="40% - Accent4 4_Exh G" xfId="3121" xr:uid="{00000000-0005-0000-0000-000096430000}"/>
    <cellStyle name="40% - Accent4 5" xfId="515" xr:uid="{00000000-0005-0000-0000-000097430000}"/>
    <cellStyle name="40% - Accent4 5 10" xfId="18418" xr:uid="{00000000-0005-0000-0000-000098430000}"/>
    <cellStyle name="40% - Accent4 5 10 2" xfId="42251" xr:uid="{51D00649-327F-4BB3-9F38-F0F764FF1424}"/>
    <cellStyle name="40% - Accent4 5 11" xfId="26371" xr:uid="{A6A8CC89-9B4A-4AD6-AF37-825A6BA8D3FE}"/>
    <cellStyle name="40% - Accent4 5 2" xfId="516" xr:uid="{00000000-0005-0000-0000-000099430000}"/>
    <cellStyle name="40% - Accent4 5 2 2" xfId="517" xr:uid="{00000000-0005-0000-0000-00009A430000}"/>
    <cellStyle name="40% - Accent4 5 2 2 2" xfId="1545" xr:uid="{00000000-0005-0000-0000-00009B430000}"/>
    <cellStyle name="40% - Accent4 5 2 2 2 2" xfId="5075" xr:uid="{00000000-0005-0000-0000-00009C430000}"/>
    <cellStyle name="40% - Accent4 5 2 2 2 2 2" xfId="8666" xr:uid="{00000000-0005-0000-0000-00009D430000}"/>
    <cellStyle name="40% - Accent4 5 2 2 2 2 2 2" xfId="16637" xr:uid="{00000000-0005-0000-0000-00009E430000}"/>
    <cellStyle name="40% - Accent4 5 2 2 2 2 2 2 2" xfId="40480" xr:uid="{6F9ABDF6-96D0-485B-96D9-FD90F44E7E51}"/>
    <cellStyle name="40% - Accent4 5 2 2 2 2 2 3" xfId="24583" xr:uid="{00000000-0005-0000-0000-00009F430000}"/>
    <cellStyle name="40% - Accent4 5 2 2 2 2 2 3 2" xfId="48416" xr:uid="{5EF5D02F-8301-4262-9DC9-B60F3879236A}"/>
    <cellStyle name="40% - Accent4 5 2 2 2 2 2 4" xfId="32539" xr:uid="{357B8DE0-593B-4036-B74D-5579C389CDF1}"/>
    <cellStyle name="40% - Accent4 5 2 2 2 2 3" xfId="13099" xr:uid="{00000000-0005-0000-0000-0000A0430000}"/>
    <cellStyle name="40% - Accent4 5 2 2 2 2 3 2" xfId="36949" xr:uid="{7EB3022A-ECE0-4059-8CE9-909EC93F49A3}"/>
    <cellStyle name="40% - Accent4 5 2 2 2 2 4" xfId="21054" xr:uid="{00000000-0005-0000-0000-0000A1430000}"/>
    <cellStyle name="40% - Accent4 5 2 2 2 2 4 2" xfId="44887" xr:uid="{57596FD9-72EB-4D1C-B974-2F9E1B07C3A9}"/>
    <cellStyle name="40% - Accent4 5 2 2 2 2 5" xfId="29008" xr:uid="{30B3D384-A13A-4AD6-A0CC-BE84037D32F7}"/>
    <cellStyle name="40% - Accent4 5 2 2 2 3" xfId="6907" xr:uid="{00000000-0005-0000-0000-0000A2430000}"/>
    <cellStyle name="40% - Accent4 5 2 2 2 3 2" xfId="14879" xr:uid="{00000000-0005-0000-0000-0000A3430000}"/>
    <cellStyle name="40% - Accent4 5 2 2 2 3 2 2" xfId="38722" xr:uid="{43727A52-1C35-4C6B-95D7-13BF9BC63723}"/>
    <cellStyle name="40% - Accent4 5 2 2 2 3 3" xfId="22826" xr:uid="{00000000-0005-0000-0000-0000A4430000}"/>
    <cellStyle name="40% - Accent4 5 2 2 2 3 3 2" xfId="46659" xr:uid="{8E1819E7-FCA6-41A1-A33C-70D8C736D95E}"/>
    <cellStyle name="40% - Accent4 5 2 2 2 3 4" xfId="30781" xr:uid="{0DBED7DE-773D-430A-858C-301A1F2FCE4E}"/>
    <cellStyle name="40% - Accent4 5 2 2 2 4" xfId="11343" xr:uid="{00000000-0005-0000-0000-0000A5430000}"/>
    <cellStyle name="40% - Accent4 5 2 2 2 4 2" xfId="35193" xr:uid="{A0C88A35-89D8-4E3F-BD46-06945B18155D}"/>
    <cellStyle name="40% - Accent4 5 2 2 2 5" xfId="19298" xr:uid="{00000000-0005-0000-0000-0000A6430000}"/>
    <cellStyle name="40% - Accent4 5 2 2 2 5 2" xfId="43131" xr:uid="{1BE36FA3-4D12-47DC-B3DB-E9ACEE5941D5}"/>
    <cellStyle name="40% - Accent4 5 2 2 2 6" xfId="27251" xr:uid="{4194EEC7-5C51-4C14-9AD5-C42942B8653A}"/>
    <cellStyle name="40% - Accent4 5 2 2 2_Exh G" xfId="3136" xr:uid="{00000000-0005-0000-0000-0000A7430000}"/>
    <cellStyle name="40% - Accent4 5 2 2 3" xfId="4196" xr:uid="{00000000-0005-0000-0000-0000A8430000}"/>
    <cellStyle name="40% - Accent4 5 2 2 3 2" xfId="7788" xr:uid="{00000000-0005-0000-0000-0000A9430000}"/>
    <cellStyle name="40% - Accent4 5 2 2 3 2 2" xfId="15759" xr:uid="{00000000-0005-0000-0000-0000AA430000}"/>
    <cellStyle name="40% - Accent4 5 2 2 3 2 2 2" xfId="39602" xr:uid="{1387D85E-CFEF-4CAE-93C4-22882311AEBE}"/>
    <cellStyle name="40% - Accent4 5 2 2 3 2 3" xfId="23705" xr:uid="{00000000-0005-0000-0000-0000AB430000}"/>
    <cellStyle name="40% - Accent4 5 2 2 3 2 3 2" xfId="47538" xr:uid="{4235C8A7-1DC5-47CF-8302-57713F18C6C5}"/>
    <cellStyle name="40% - Accent4 5 2 2 3 2 4" xfId="31661" xr:uid="{4B294F42-1ADA-4C38-8ABF-DF9A47BD20D8}"/>
    <cellStyle name="40% - Accent4 5 2 2 3 3" xfId="12221" xr:uid="{00000000-0005-0000-0000-0000AC430000}"/>
    <cellStyle name="40% - Accent4 5 2 2 3 3 2" xfId="36071" xr:uid="{DDC77752-5AC1-48B1-B5A6-DD1CF523D0C3}"/>
    <cellStyle name="40% - Accent4 5 2 2 3 4" xfId="20176" xr:uid="{00000000-0005-0000-0000-0000AD430000}"/>
    <cellStyle name="40% - Accent4 5 2 2 3 4 2" xfId="44009" xr:uid="{1F332F48-D31B-428B-A6D5-E4287BE275EF}"/>
    <cellStyle name="40% - Accent4 5 2 2 3 5" xfId="28130" xr:uid="{671EFA2B-A44E-4B34-BDFB-A0CCD28ACE34}"/>
    <cellStyle name="40% - Accent4 5 2 2 4" xfId="6016" xr:uid="{00000000-0005-0000-0000-0000AE430000}"/>
    <cellStyle name="40% - Accent4 5 2 2 4 2" xfId="14000" xr:uid="{00000000-0005-0000-0000-0000AF430000}"/>
    <cellStyle name="40% - Accent4 5 2 2 4 2 2" xfId="37844" xr:uid="{86F3A11A-5688-4699-8EB3-210847E594F8}"/>
    <cellStyle name="40% - Accent4 5 2 2 4 3" xfId="21948" xr:uid="{00000000-0005-0000-0000-0000B0430000}"/>
    <cellStyle name="40% - Accent4 5 2 2 4 3 2" xfId="45781" xr:uid="{960DF57C-EEF5-488B-9AC5-5B69E80C8B49}"/>
    <cellStyle name="40% - Accent4 5 2 2 4 4" xfId="29903" xr:uid="{1DF9F97E-81F8-44E1-BDB5-3BE2EBD6F8CC}"/>
    <cellStyle name="40% - Accent4 5 2 2 5" xfId="9569" xr:uid="{00000000-0005-0000-0000-0000B1430000}"/>
    <cellStyle name="40% - Accent4 5 2 2 5 2" xfId="17527" xr:uid="{00000000-0005-0000-0000-0000B2430000}"/>
    <cellStyle name="40% - Accent4 5 2 2 5 2 2" xfId="41368" xr:uid="{0652AD67-7D74-43E3-8345-4811F323D033}"/>
    <cellStyle name="40% - Accent4 5 2 2 5 3" xfId="25471" xr:uid="{00000000-0005-0000-0000-0000B3430000}"/>
    <cellStyle name="40% - Accent4 5 2 2 5 3 2" xfId="49304" xr:uid="{0F57F259-50D4-45BB-8741-35E888AF2604}"/>
    <cellStyle name="40% - Accent4 5 2 2 5 4" xfId="33427" xr:uid="{2200C0A8-724E-47F8-8578-0C69526B8BFE}"/>
    <cellStyle name="40% - Accent4 5 2 2 6" xfId="10465" xr:uid="{00000000-0005-0000-0000-0000B4430000}"/>
    <cellStyle name="40% - Accent4 5 2 2 6 2" xfId="34315" xr:uid="{95EED8F2-6ACA-40D7-911C-A26D4BCAB477}"/>
    <cellStyle name="40% - Accent4 5 2 2 7" xfId="18420" xr:uid="{00000000-0005-0000-0000-0000B5430000}"/>
    <cellStyle name="40% - Accent4 5 2 2 7 2" xfId="42253" xr:uid="{09346E9F-60B8-4146-899B-54350401D814}"/>
    <cellStyle name="40% - Accent4 5 2 2 8" xfId="26373" xr:uid="{2359A658-5EA8-456E-87F6-EC7D838AC595}"/>
    <cellStyle name="40% - Accent4 5 2 2_Exh G" xfId="3135" xr:uid="{00000000-0005-0000-0000-0000B6430000}"/>
    <cellStyle name="40% - Accent4 5 2 3" xfId="1544" xr:uid="{00000000-0005-0000-0000-0000B7430000}"/>
    <cellStyle name="40% - Accent4 5 2 3 2" xfId="5074" xr:uid="{00000000-0005-0000-0000-0000B8430000}"/>
    <cellStyle name="40% - Accent4 5 2 3 2 2" xfId="8665" xr:uid="{00000000-0005-0000-0000-0000B9430000}"/>
    <cellStyle name="40% - Accent4 5 2 3 2 2 2" xfId="16636" xr:uid="{00000000-0005-0000-0000-0000BA430000}"/>
    <cellStyle name="40% - Accent4 5 2 3 2 2 2 2" xfId="40479" xr:uid="{366C0484-7AD0-41AD-8896-AABF8659B403}"/>
    <cellStyle name="40% - Accent4 5 2 3 2 2 3" xfId="24582" xr:uid="{00000000-0005-0000-0000-0000BB430000}"/>
    <cellStyle name="40% - Accent4 5 2 3 2 2 3 2" xfId="48415" xr:uid="{B81948E0-0430-41EB-80C0-1060F787C388}"/>
    <cellStyle name="40% - Accent4 5 2 3 2 2 4" xfId="32538" xr:uid="{26A9E966-652C-473A-80A5-B1B4A8827F54}"/>
    <cellStyle name="40% - Accent4 5 2 3 2 3" xfId="13098" xr:uid="{00000000-0005-0000-0000-0000BC430000}"/>
    <cellStyle name="40% - Accent4 5 2 3 2 3 2" xfId="36948" xr:uid="{7DA4C76F-AE3F-4E0F-8655-4F89F6BCEE69}"/>
    <cellStyle name="40% - Accent4 5 2 3 2 4" xfId="21053" xr:uid="{00000000-0005-0000-0000-0000BD430000}"/>
    <cellStyle name="40% - Accent4 5 2 3 2 4 2" xfId="44886" xr:uid="{87FC1A2D-EE5D-4097-8C5E-0019D64F59D2}"/>
    <cellStyle name="40% - Accent4 5 2 3 2 5" xfId="29007" xr:uid="{F736DA2D-84BB-4AA8-A42E-74A874DEF544}"/>
    <cellStyle name="40% - Accent4 5 2 3 3" xfId="6906" xr:uid="{00000000-0005-0000-0000-0000BE430000}"/>
    <cellStyle name="40% - Accent4 5 2 3 3 2" xfId="14878" xr:uid="{00000000-0005-0000-0000-0000BF430000}"/>
    <cellStyle name="40% - Accent4 5 2 3 3 2 2" xfId="38721" xr:uid="{2D7B43B5-EAB9-4655-B764-812F49E46188}"/>
    <cellStyle name="40% - Accent4 5 2 3 3 3" xfId="22825" xr:uid="{00000000-0005-0000-0000-0000C0430000}"/>
    <cellStyle name="40% - Accent4 5 2 3 3 3 2" xfId="46658" xr:uid="{A000AAFA-30FB-46C0-B619-7ECBACF4167C}"/>
    <cellStyle name="40% - Accent4 5 2 3 3 4" xfId="30780" xr:uid="{E6F0ABDC-B5AD-4CE9-AA02-E7F3751027F3}"/>
    <cellStyle name="40% - Accent4 5 2 3 4" xfId="11342" xr:uid="{00000000-0005-0000-0000-0000C1430000}"/>
    <cellStyle name="40% - Accent4 5 2 3 4 2" xfId="35192" xr:uid="{5F701DA5-F05E-4BD2-B078-CCE595BEE870}"/>
    <cellStyle name="40% - Accent4 5 2 3 5" xfId="19297" xr:uid="{00000000-0005-0000-0000-0000C2430000}"/>
    <cellStyle name="40% - Accent4 5 2 3 5 2" xfId="43130" xr:uid="{11C0E031-C2B8-47EC-85D6-323B06D9EC87}"/>
    <cellStyle name="40% - Accent4 5 2 3 6" xfId="27250" xr:uid="{2B75F477-B372-4BA2-9A4D-99047010E8DA}"/>
    <cellStyle name="40% - Accent4 5 2 3_Exh G" xfId="3137" xr:uid="{00000000-0005-0000-0000-0000C3430000}"/>
    <cellStyle name="40% - Accent4 5 2 4" xfId="4195" xr:uid="{00000000-0005-0000-0000-0000C4430000}"/>
    <cellStyle name="40% - Accent4 5 2 4 2" xfId="7787" xr:uid="{00000000-0005-0000-0000-0000C5430000}"/>
    <cellStyle name="40% - Accent4 5 2 4 2 2" xfId="15758" xr:uid="{00000000-0005-0000-0000-0000C6430000}"/>
    <cellStyle name="40% - Accent4 5 2 4 2 2 2" xfId="39601" xr:uid="{D99DB429-6E8F-4F76-9A9A-D159CE645FD4}"/>
    <cellStyle name="40% - Accent4 5 2 4 2 3" xfId="23704" xr:uid="{00000000-0005-0000-0000-0000C7430000}"/>
    <cellStyle name="40% - Accent4 5 2 4 2 3 2" xfId="47537" xr:uid="{BF205A9F-4C8E-4505-88E6-042E046737FA}"/>
    <cellStyle name="40% - Accent4 5 2 4 2 4" xfId="31660" xr:uid="{7EE452ED-89D1-4363-9E0F-3C1CACCD91B2}"/>
    <cellStyle name="40% - Accent4 5 2 4 3" xfId="12220" xr:uid="{00000000-0005-0000-0000-0000C8430000}"/>
    <cellStyle name="40% - Accent4 5 2 4 3 2" xfId="36070" xr:uid="{7CFBDB1D-0588-46EC-BF17-7482A39188B9}"/>
    <cellStyle name="40% - Accent4 5 2 4 4" xfId="20175" xr:uid="{00000000-0005-0000-0000-0000C9430000}"/>
    <cellStyle name="40% - Accent4 5 2 4 4 2" xfId="44008" xr:uid="{42C2D527-BE20-4B21-8406-B4608E4C8BCD}"/>
    <cellStyle name="40% - Accent4 5 2 4 5" xfId="28129" xr:uid="{12E32CC6-D015-4955-948D-6FF406EAA7E0}"/>
    <cellStyle name="40% - Accent4 5 2 5" xfId="6015" xr:uid="{00000000-0005-0000-0000-0000CA430000}"/>
    <cellStyle name="40% - Accent4 5 2 5 2" xfId="13999" xr:uid="{00000000-0005-0000-0000-0000CB430000}"/>
    <cellStyle name="40% - Accent4 5 2 5 2 2" xfId="37843" xr:uid="{1733AA71-F2B4-40AB-9FF7-BD09F1C19F94}"/>
    <cellStyle name="40% - Accent4 5 2 5 3" xfId="21947" xr:uid="{00000000-0005-0000-0000-0000CC430000}"/>
    <cellStyle name="40% - Accent4 5 2 5 3 2" xfId="45780" xr:uid="{68B02DB7-1733-4CC5-96E2-E0EAD2AD4F16}"/>
    <cellStyle name="40% - Accent4 5 2 5 4" xfId="29902" xr:uid="{9E469063-6829-496A-A68C-D336BC4C5369}"/>
    <cellStyle name="40% - Accent4 5 2 6" xfId="9568" xr:uid="{00000000-0005-0000-0000-0000CD430000}"/>
    <cellStyle name="40% - Accent4 5 2 6 2" xfId="17526" xr:uid="{00000000-0005-0000-0000-0000CE430000}"/>
    <cellStyle name="40% - Accent4 5 2 6 2 2" xfId="41367" xr:uid="{4CDFA218-8402-42A8-B575-77CB580D14A5}"/>
    <cellStyle name="40% - Accent4 5 2 6 3" xfId="25470" xr:uid="{00000000-0005-0000-0000-0000CF430000}"/>
    <cellStyle name="40% - Accent4 5 2 6 3 2" xfId="49303" xr:uid="{8D18BBAD-C4C6-401C-8C50-5BFF7EFE4E66}"/>
    <cellStyle name="40% - Accent4 5 2 6 4" xfId="33426" xr:uid="{B275E251-CF04-4C94-A502-E257A99C6901}"/>
    <cellStyle name="40% - Accent4 5 2 7" xfId="10464" xr:uid="{00000000-0005-0000-0000-0000D0430000}"/>
    <cellStyle name="40% - Accent4 5 2 7 2" xfId="34314" xr:uid="{2417F9CF-4B76-46A6-BC16-016CC3FF94D2}"/>
    <cellStyle name="40% - Accent4 5 2 8" xfId="18419" xr:uid="{00000000-0005-0000-0000-0000D1430000}"/>
    <cellStyle name="40% - Accent4 5 2 8 2" xfId="42252" xr:uid="{4026BCF2-C958-40BE-8CF1-BF3FACB2D20E}"/>
    <cellStyle name="40% - Accent4 5 2 9" xfId="26372" xr:uid="{F7F6495A-028E-4D49-8C4E-7A4674048A10}"/>
    <cellStyle name="40% - Accent4 5 2_Exh G" xfId="3134" xr:uid="{00000000-0005-0000-0000-0000D2430000}"/>
    <cellStyle name="40% - Accent4 5 3" xfId="518" xr:uid="{00000000-0005-0000-0000-0000D3430000}"/>
    <cellStyle name="40% - Accent4 5 3 2" xfId="1546" xr:uid="{00000000-0005-0000-0000-0000D4430000}"/>
    <cellStyle name="40% - Accent4 5 3 2 2" xfId="5076" xr:uid="{00000000-0005-0000-0000-0000D5430000}"/>
    <cellStyle name="40% - Accent4 5 3 2 2 2" xfId="8667" xr:uid="{00000000-0005-0000-0000-0000D6430000}"/>
    <cellStyle name="40% - Accent4 5 3 2 2 2 2" xfId="16638" xr:uid="{00000000-0005-0000-0000-0000D7430000}"/>
    <cellStyle name="40% - Accent4 5 3 2 2 2 2 2" xfId="40481" xr:uid="{016AD8A3-D28B-41D6-8F47-2C96767A7F10}"/>
    <cellStyle name="40% - Accent4 5 3 2 2 2 3" xfId="24584" xr:uid="{00000000-0005-0000-0000-0000D8430000}"/>
    <cellStyle name="40% - Accent4 5 3 2 2 2 3 2" xfId="48417" xr:uid="{B3AC8E0B-FDC8-47F3-892F-20D4AF7F6E46}"/>
    <cellStyle name="40% - Accent4 5 3 2 2 2 4" xfId="32540" xr:uid="{9548C680-9B17-4E18-A88E-E60302F32034}"/>
    <cellStyle name="40% - Accent4 5 3 2 2 3" xfId="13100" xr:uid="{00000000-0005-0000-0000-0000D9430000}"/>
    <cellStyle name="40% - Accent4 5 3 2 2 3 2" xfId="36950" xr:uid="{6B91F2CC-6EC8-493F-935E-748F499BCBCC}"/>
    <cellStyle name="40% - Accent4 5 3 2 2 4" xfId="21055" xr:uid="{00000000-0005-0000-0000-0000DA430000}"/>
    <cellStyle name="40% - Accent4 5 3 2 2 4 2" xfId="44888" xr:uid="{138D1A57-6F45-49D3-ABE4-B6440666EBE5}"/>
    <cellStyle name="40% - Accent4 5 3 2 2 5" xfId="29009" xr:uid="{7CC5EFA9-CE3B-43B9-A8DD-9C670E52E62C}"/>
    <cellStyle name="40% - Accent4 5 3 2 3" xfId="6908" xr:uid="{00000000-0005-0000-0000-0000DB430000}"/>
    <cellStyle name="40% - Accent4 5 3 2 3 2" xfId="14880" xr:uid="{00000000-0005-0000-0000-0000DC430000}"/>
    <cellStyle name="40% - Accent4 5 3 2 3 2 2" xfId="38723" xr:uid="{DD307113-F336-4334-A0FA-2DBAA56D1A9D}"/>
    <cellStyle name="40% - Accent4 5 3 2 3 3" xfId="22827" xr:uid="{00000000-0005-0000-0000-0000DD430000}"/>
    <cellStyle name="40% - Accent4 5 3 2 3 3 2" xfId="46660" xr:uid="{C1F4D3B0-7748-4CB8-A24B-3A26792EB85B}"/>
    <cellStyle name="40% - Accent4 5 3 2 3 4" xfId="30782" xr:uid="{AD24DB93-A281-4DC4-A2A8-59CB25E6B9E6}"/>
    <cellStyle name="40% - Accent4 5 3 2 4" xfId="11344" xr:uid="{00000000-0005-0000-0000-0000DE430000}"/>
    <cellStyle name="40% - Accent4 5 3 2 4 2" xfId="35194" xr:uid="{14F8A69D-45E0-4B57-BEA0-F23E5944B2D4}"/>
    <cellStyle name="40% - Accent4 5 3 2 5" xfId="19299" xr:uid="{00000000-0005-0000-0000-0000DF430000}"/>
    <cellStyle name="40% - Accent4 5 3 2 5 2" xfId="43132" xr:uid="{8108251F-F119-413F-B8D1-71238D1FE923}"/>
    <cellStyle name="40% - Accent4 5 3 2 6" xfId="27252" xr:uid="{95F3FA36-6506-4A55-877F-C5CD1B2529D3}"/>
    <cellStyle name="40% - Accent4 5 3 2_Exh G" xfId="3139" xr:uid="{00000000-0005-0000-0000-0000E0430000}"/>
    <cellStyle name="40% - Accent4 5 3 3" xfId="4197" xr:uid="{00000000-0005-0000-0000-0000E1430000}"/>
    <cellStyle name="40% - Accent4 5 3 3 2" xfId="7789" xr:uid="{00000000-0005-0000-0000-0000E2430000}"/>
    <cellStyle name="40% - Accent4 5 3 3 2 2" xfId="15760" xr:uid="{00000000-0005-0000-0000-0000E3430000}"/>
    <cellStyle name="40% - Accent4 5 3 3 2 2 2" xfId="39603" xr:uid="{C2BE2395-72E8-4E5B-A691-AFE08422119F}"/>
    <cellStyle name="40% - Accent4 5 3 3 2 3" xfId="23706" xr:uid="{00000000-0005-0000-0000-0000E4430000}"/>
    <cellStyle name="40% - Accent4 5 3 3 2 3 2" xfId="47539" xr:uid="{7B33B3C4-F6C3-415B-8D67-E41AD174EDEC}"/>
    <cellStyle name="40% - Accent4 5 3 3 2 4" xfId="31662" xr:uid="{B5A3D209-E1C9-4ADC-8C4A-A44471DE505A}"/>
    <cellStyle name="40% - Accent4 5 3 3 3" xfId="12222" xr:uid="{00000000-0005-0000-0000-0000E5430000}"/>
    <cellStyle name="40% - Accent4 5 3 3 3 2" xfId="36072" xr:uid="{32E3F9B4-554E-4566-8FCD-C43181639881}"/>
    <cellStyle name="40% - Accent4 5 3 3 4" xfId="20177" xr:uid="{00000000-0005-0000-0000-0000E6430000}"/>
    <cellStyle name="40% - Accent4 5 3 3 4 2" xfId="44010" xr:uid="{BC7034D1-321C-4B29-B962-F478C5B68121}"/>
    <cellStyle name="40% - Accent4 5 3 3 5" xfId="28131" xr:uid="{446F288A-73C8-4202-B8FE-A07A69907953}"/>
    <cellStyle name="40% - Accent4 5 3 4" xfId="6017" xr:uid="{00000000-0005-0000-0000-0000E7430000}"/>
    <cellStyle name="40% - Accent4 5 3 4 2" xfId="14001" xr:uid="{00000000-0005-0000-0000-0000E8430000}"/>
    <cellStyle name="40% - Accent4 5 3 4 2 2" xfId="37845" xr:uid="{C23ABD26-3420-44FA-AD83-A74986BBF623}"/>
    <cellStyle name="40% - Accent4 5 3 4 3" xfId="21949" xr:uid="{00000000-0005-0000-0000-0000E9430000}"/>
    <cellStyle name="40% - Accent4 5 3 4 3 2" xfId="45782" xr:uid="{2DE10990-247C-46B7-B690-92C0715B6F2E}"/>
    <cellStyle name="40% - Accent4 5 3 4 4" xfId="29904" xr:uid="{976B1C17-6881-40B5-B343-E88C453AD149}"/>
    <cellStyle name="40% - Accent4 5 3 5" xfId="9570" xr:uid="{00000000-0005-0000-0000-0000EA430000}"/>
    <cellStyle name="40% - Accent4 5 3 5 2" xfId="17528" xr:uid="{00000000-0005-0000-0000-0000EB430000}"/>
    <cellStyle name="40% - Accent4 5 3 5 2 2" xfId="41369" xr:uid="{41B3CA5D-8BC4-4252-8780-3501D3A21F8D}"/>
    <cellStyle name="40% - Accent4 5 3 5 3" xfId="25472" xr:uid="{00000000-0005-0000-0000-0000EC430000}"/>
    <cellStyle name="40% - Accent4 5 3 5 3 2" xfId="49305" xr:uid="{FBDC073E-BE45-4AED-BD86-A4058C6E5223}"/>
    <cellStyle name="40% - Accent4 5 3 5 4" xfId="33428" xr:uid="{13B9F04C-DBC5-486E-883B-D5FAB47F7185}"/>
    <cellStyle name="40% - Accent4 5 3 6" xfId="10466" xr:uid="{00000000-0005-0000-0000-0000ED430000}"/>
    <cellStyle name="40% - Accent4 5 3 6 2" xfId="34316" xr:uid="{5CA07A1B-4150-4AFB-B0A5-CC9CD151CE40}"/>
    <cellStyle name="40% - Accent4 5 3 7" xfId="18421" xr:uid="{00000000-0005-0000-0000-0000EE430000}"/>
    <cellStyle name="40% - Accent4 5 3 7 2" xfId="42254" xr:uid="{A52079A5-B731-46CE-9EE6-3A03C195C096}"/>
    <cellStyle name="40% - Accent4 5 3 8" xfId="26374" xr:uid="{52EFC276-2834-4800-BA2D-5719F0E5D5B8}"/>
    <cellStyle name="40% - Accent4 5 3_Exh G" xfId="3138" xr:uid="{00000000-0005-0000-0000-0000EF430000}"/>
    <cellStyle name="40% - Accent4 5 4" xfId="977" xr:uid="{00000000-0005-0000-0000-0000F0430000}"/>
    <cellStyle name="40% - Accent4 5 5" xfId="1543" xr:uid="{00000000-0005-0000-0000-0000F1430000}"/>
    <cellStyle name="40% - Accent4 5 5 2" xfId="5073" xr:uid="{00000000-0005-0000-0000-0000F2430000}"/>
    <cellStyle name="40% - Accent4 5 5 2 2" xfId="8664" xr:uid="{00000000-0005-0000-0000-0000F3430000}"/>
    <cellStyle name="40% - Accent4 5 5 2 2 2" xfId="16635" xr:uid="{00000000-0005-0000-0000-0000F4430000}"/>
    <cellStyle name="40% - Accent4 5 5 2 2 2 2" xfId="40478" xr:uid="{D739D11D-3E58-46E2-8D4A-D4386DC03D17}"/>
    <cellStyle name="40% - Accent4 5 5 2 2 3" xfId="24581" xr:uid="{00000000-0005-0000-0000-0000F5430000}"/>
    <cellStyle name="40% - Accent4 5 5 2 2 3 2" xfId="48414" xr:uid="{A6B1A34F-155F-4230-A426-8B8E8AECE176}"/>
    <cellStyle name="40% - Accent4 5 5 2 2 4" xfId="32537" xr:uid="{C4C0C5F5-99BD-467F-ABE6-FEE486DD3C76}"/>
    <cellStyle name="40% - Accent4 5 5 2 3" xfId="13097" xr:uid="{00000000-0005-0000-0000-0000F6430000}"/>
    <cellStyle name="40% - Accent4 5 5 2 3 2" xfId="36947" xr:uid="{49D4B5CF-23DA-4136-BF82-021089A57981}"/>
    <cellStyle name="40% - Accent4 5 5 2 4" xfId="21052" xr:uid="{00000000-0005-0000-0000-0000F7430000}"/>
    <cellStyle name="40% - Accent4 5 5 2 4 2" xfId="44885" xr:uid="{750A29DB-D666-4C95-A705-F48C2510A235}"/>
    <cellStyle name="40% - Accent4 5 5 2 5" xfId="29006" xr:uid="{748F9732-796C-4632-9D48-D2F644AFE32C}"/>
    <cellStyle name="40% - Accent4 5 5 3" xfId="6905" xr:uid="{00000000-0005-0000-0000-0000F8430000}"/>
    <cellStyle name="40% - Accent4 5 5 3 2" xfId="14877" xr:uid="{00000000-0005-0000-0000-0000F9430000}"/>
    <cellStyle name="40% - Accent4 5 5 3 2 2" xfId="38720" xr:uid="{C93A1728-5528-4B03-8E64-899E6536CD0F}"/>
    <cellStyle name="40% - Accent4 5 5 3 3" xfId="22824" xr:uid="{00000000-0005-0000-0000-0000FA430000}"/>
    <cellStyle name="40% - Accent4 5 5 3 3 2" xfId="46657" xr:uid="{D82AC054-22AC-46AB-8E0C-455ADFFE263E}"/>
    <cellStyle name="40% - Accent4 5 5 3 4" xfId="30779" xr:uid="{7AA26CBC-CCC1-4529-A3D9-78ACCB984EA9}"/>
    <cellStyle name="40% - Accent4 5 5 4" xfId="11341" xr:uid="{00000000-0005-0000-0000-0000FB430000}"/>
    <cellStyle name="40% - Accent4 5 5 4 2" xfId="35191" xr:uid="{8C628DF8-5976-41CE-AAE7-DEE8C5C2E617}"/>
    <cellStyle name="40% - Accent4 5 5 5" xfId="19296" xr:uid="{00000000-0005-0000-0000-0000FC430000}"/>
    <cellStyle name="40% - Accent4 5 5 5 2" xfId="43129" xr:uid="{D8E671A6-9E95-45D8-9D95-4C853AE9AB5F}"/>
    <cellStyle name="40% - Accent4 5 5 6" xfId="27249" xr:uid="{57CA02EB-61B7-4364-97DA-DFC45003BF6F}"/>
    <cellStyle name="40% - Accent4 5 5_Exh G" xfId="3140" xr:uid="{00000000-0005-0000-0000-0000FD430000}"/>
    <cellStyle name="40% - Accent4 5 6" xfId="4194" xr:uid="{00000000-0005-0000-0000-0000FE430000}"/>
    <cellStyle name="40% - Accent4 5 6 2" xfId="7786" xr:uid="{00000000-0005-0000-0000-0000FF430000}"/>
    <cellStyle name="40% - Accent4 5 6 2 2" xfId="15757" xr:uid="{00000000-0005-0000-0000-000000440000}"/>
    <cellStyle name="40% - Accent4 5 6 2 2 2" xfId="39600" xr:uid="{64163782-DBA3-4E5E-9F49-AD81565064BB}"/>
    <cellStyle name="40% - Accent4 5 6 2 3" xfId="23703" xr:uid="{00000000-0005-0000-0000-000001440000}"/>
    <cellStyle name="40% - Accent4 5 6 2 3 2" xfId="47536" xr:uid="{F311DF7A-F4DB-46D8-BE33-D9D91B117BA5}"/>
    <cellStyle name="40% - Accent4 5 6 2 4" xfId="31659" xr:uid="{96CEA652-354D-4F6E-9774-75E07B34DEB8}"/>
    <cellStyle name="40% - Accent4 5 6 3" xfId="12219" xr:uid="{00000000-0005-0000-0000-000002440000}"/>
    <cellStyle name="40% - Accent4 5 6 3 2" xfId="36069" xr:uid="{6B47EB5C-72DF-45D4-A6F1-04D37C0D1705}"/>
    <cellStyle name="40% - Accent4 5 6 4" xfId="20174" xr:uid="{00000000-0005-0000-0000-000003440000}"/>
    <cellStyle name="40% - Accent4 5 6 4 2" xfId="44007" xr:uid="{FCCF9856-6347-488B-B572-E5EEF97E8C7E}"/>
    <cellStyle name="40% - Accent4 5 6 5" xfId="28128" xr:uid="{FD13C5D7-03BB-411D-A2DE-D9C4E627ED1D}"/>
    <cellStyle name="40% - Accent4 5 7" xfId="6014" xr:uid="{00000000-0005-0000-0000-000004440000}"/>
    <cellStyle name="40% - Accent4 5 7 2" xfId="13998" xr:uid="{00000000-0005-0000-0000-000005440000}"/>
    <cellStyle name="40% - Accent4 5 7 2 2" xfId="37842" xr:uid="{509632C0-1ECC-43FA-BB12-B9BA5ED30E35}"/>
    <cellStyle name="40% - Accent4 5 7 3" xfId="21946" xr:uid="{00000000-0005-0000-0000-000006440000}"/>
    <cellStyle name="40% - Accent4 5 7 3 2" xfId="45779" xr:uid="{9425075A-1390-40A3-B8B3-9085933AE1F8}"/>
    <cellStyle name="40% - Accent4 5 7 4" xfId="29901" xr:uid="{4B8560B0-25F5-4CB9-BE72-744E193A6CE1}"/>
    <cellStyle name="40% - Accent4 5 8" xfId="9567" xr:uid="{00000000-0005-0000-0000-000007440000}"/>
    <cellStyle name="40% - Accent4 5 8 2" xfId="17525" xr:uid="{00000000-0005-0000-0000-000008440000}"/>
    <cellStyle name="40% - Accent4 5 8 2 2" xfId="41366" xr:uid="{FDF79948-AFC2-4A50-B333-3D720D98C26A}"/>
    <cellStyle name="40% - Accent4 5 8 3" xfId="25469" xr:uid="{00000000-0005-0000-0000-000009440000}"/>
    <cellStyle name="40% - Accent4 5 8 3 2" xfId="49302" xr:uid="{62DDAE1C-9A6B-4B38-8A50-F13DB4640FD4}"/>
    <cellStyle name="40% - Accent4 5 8 4" xfId="33425" xr:uid="{09876AB9-D3DE-4AB6-A543-34CA38CB332E}"/>
    <cellStyle name="40% - Accent4 5 9" xfId="10463" xr:uid="{00000000-0005-0000-0000-00000A440000}"/>
    <cellStyle name="40% - Accent4 5 9 2" xfId="34313" xr:uid="{3D40DC91-EE6E-481D-BE83-138CE9E3C009}"/>
    <cellStyle name="40% - Accent4 5_Exh G" xfId="3133" xr:uid="{00000000-0005-0000-0000-00000B440000}"/>
    <cellStyle name="40% - Accent4 6" xfId="519" xr:uid="{00000000-0005-0000-0000-00000C440000}"/>
    <cellStyle name="40% - Accent4 6 10" xfId="18422" xr:uid="{00000000-0005-0000-0000-00000D440000}"/>
    <cellStyle name="40% - Accent4 6 10 2" xfId="42255" xr:uid="{36896209-307F-41A3-A8D8-37D8D6041F37}"/>
    <cellStyle name="40% - Accent4 6 11" xfId="26375" xr:uid="{F94A08EE-26B3-476F-A26B-5BDD189927DA}"/>
    <cellStyle name="40% - Accent4 6 2" xfId="520" xr:uid="{00000000-0005-0000-0000-00000E440000}"/>
    <cellStyle name="40% - Accent4 6 2 2" xfId="521" xr:uid="{00000000-0005-0000-0000-00000F440000}"/>
    <cellStyle name="40% - Accent4 6 2 2 2" xfId="1549" xr:uid="{00000000-0005-0000-0000-000010440000}"/>
    <cellStyle name="40% - Accent4 6 2 2 2 2" xfId="5079" xr:uid="{00000000-0005-0000-0000-000011440000}"/>
    <cellStyle name="40% - Accent4 6 2 2 2 2 2" xfId="8670" xr:uid="{00000000-0005-0000-0000-000012440000}"/>
    <cellStyle name="40% - Accent4 6 2 2 2 2 2 2" xfId="16641" xr:uid="{00000000-0005-0000-0000-000013440000}"/>
    <cellStyle name="40% - Accent4 6 2 2 2 2 2 2 2" xfId="40484" xr:uid="{335AC1AA-6EC9-45FB-8CC2-55107701D950}"/>
    <cellStyle name="40% - Accent4 6 2 2 2 2 2 3" xfId="24587" xr:uid="{00000000-0005-0000-0000-000014440000}"/>
    <cellStyle name="40% - Accent4 6 2 2 2 2 2 3 2" xfId="48420" xr:uid="{6DD36B7F-53FA-444E-88C8-F5D0D329F81C}"/>
    <cellStyle name="40% - Accent4 6 2 2 2 2 2 4" xfId="32543" xr:uid="{E79C8354-8D6D-4897-8EBB-1DC0484313B5}"/>
    <cellStyle name="40% - Accent4 6 2 2 2 2 3" xfId="13103" xr:uid="{00000000-0005-0000-0000-000015440000}"/>
    <cellStyle name="40% - Accent4 6 2 2 2 2 3 2" xfId="36953" xr:uid="{8694BD90-6428-4ACE-81D4-6E53422269D4}"/>
    <cellStyle name="40% - Accent4 6 2 2 2 2 4" xfId="21058" xr:uid="{00000000-0005-0000-0000-000016440000}"/>
    <cellStyle name="40% - Accent4 6 2 2 2 2 4 2" xfId="44891" xr:uid="{7F658B65-5D94-4AA7-B198-7379537036A1}"/>
    <cellStyle name="40% - Accent4 6 2 2 2 2 5" xfId="29012" xr:uid="{AF4969E2-768F-4671-BB95-9CD6970A24B2}"/>
    <cellStyle name="40% - Accent4 6 2 2 2 3" xfId="6911" xr:uid="{00000000-0005-0000-0000-000017440000}"/>
    <cellStyle name="40% - Accent4 6 2 2 2 3 2" xfId="14883" xr:uid="{00000000-0005-0000-0000-000018440000}"/>
    <cellStyle name="40% - Accent4 6 2 2 2 3 2 2" xfId="38726" xr:uid="{E127F8E3-6053-40E7-93F7-99830FEE5103}"/>
    <cellStyle name="40% - Accent4 6 2 2 2 3 3" xfId="22830" xr:uid="{00000000-0005-0000-0000-000019440000}"/>
    <cellStyle name="40% - Accent4 6 2 2 2 3 3 2" xfId="46663" xr:uid="{D15EF857-9A32-4428-8FE9-B0A87A919C72}"/>
    <cellStyle name="40% - Accent4 6 2 2 2 3 4" xfId="30785" xr:uid="{FDFC0990-4809-4045-AC96-C75E9D724297}"/>
    <cellStyle name="40% - Accent4 6 2 2 2 4" xfId="11347" xr:uid="{00000000-0005-0000-0000-00001A440000}"/>
    <cellStyle name="40% - Accent4 6 2 2 2 4 2" xfId="35197" xr:uid="{5E48E342-3D8F-44F3-9C10-C97671142618}"/>
    <cellStyle name="40% - Accent4 6 2 2 2 5" xfId="19302" xr:uid="{00000000-0005-0000-0000-00001B440000}"/>
    <cellStyle name="40% - Accent4 6 2 2 2 5 2" xfId="43135" xr:uid="{0897C516-C91C-4B1E-88F0-0CCEBE16843B}"/>
    <cellStyle name="40% - Accent4 6 2 2 2 6" xfId="27255" xr:uid="{941A14C8-9D8A-4629-953A-63DCF930D06A}"/>
    <cellStyle name="40% - Accent4 6 2 2 2_Exh G" xfId="3144" xr:uid="{00000000-0005-0000-0000-00001C440000}"/>
    <cellStyle name="40% - Accent4 6 2 2 3" xfId="4200" xr:uid="{00000000-0005-0000-0000-00001D440000}"/>
    <cellStyle name="40% - Accent4 6 2 2 3 2" xfId="7792" xr:uid="{00000000-0005-0000-0000-00001E440000}"/>
    <cellStyle name="40% - Accent4 6 2 2 3 2 2" xfId="15763" xr:uid="{00000000-0005-0000-0000-00001F440000}"/>
    <cellStyle name="40% - Accent4 6 2 2 3 2 2 2" xfId="39606" xr:uid="{26CBD372-0B37-44A6-B2C3-5A6B24E46F22}"/>
    <cellStyle name="40% - Accent4 6 2 2 3 2 3" xfId="23709" xr:uid="{00000000-0005-0000-0000-000020440000}"/>
    <cellStyle name="40% - Accent4 6 2 2 3 2 3 2" xfId="47542" xr:uid="{B1078D16-90FE-46C2-A50C-CC0CC06B7EE8}"/>
    <cellStyle name="40% - Accent4 6 2 2 3 2 4" xfId="31665" xr:uid="{EC80333E-B229-494B-B903-ED8D2224E909}"/>
    <cellStyle name="40% - Accent4 6 2 2 3 3" xfId="12225" xr:uid="{00000000-0005-0000-0000-000021440000}"/>
    <cellStyle name="40% - Accent4 6 2 2 3 3 2" xfId="36075" xr:uid="{F1D37ACA-7212-4A1D-B903-8A4A596A640A}"/>
    <cellStyle name="40% - Accent4 6 2 2 3 4" xfId="20180" xr:uid="{00000000-0005-0000-0000-000022440000}"/>
    <cellStyle name="40% - Accent4 6 2 2 3 4 2" xfId="44013" xr:uid="{CF0C1153-F8D7-4455-8A16-408280430D46}"/>
    <cellStyle name="40% - Accent4 6 2 2 3 5" xfId="28134" xr:uid="{BAAA2BAE-ACF8-4A28-BBD6-CAB2848C932E}"/>
    <cellStyle name="40% - Accent4 6 2 2 4" xfId="6020" xr:uid="{00000000-0005-0000-0000-000023440000}"/>
    <cellStyle name="40% - Accent4 6 2 2 4 2" xfId="14004" xr:uid="{00000000-0005-0000-0000-000024440000}"/>
    <cellStyle name="40% - Accent4 6 2 2 4 2 2" xfId="37848" xr:uid="{8B5FCEB8-C501-47A6-BF68-85EF4FF6ACA1}"/>
    <cellStyle name="40% - Accent4 6 2 2 4 3" xfId="21952" xr:uid="{00000000-0005-0000-0000-000025440000}"/>
    <cellStyle name="40% - Accent4 6 2 2 4 3 2" xfId="45785" xr:uid="{AFD010E5-80C0-4C47-BD27-5DEE565A4993}"/>
    <cellStyle name="40% - Accent4 6 2 2 4 4" xfId="29907" xr:uid="{D27564A0-9853-4A0F-88C1-3B7D01CCD801}"/>
    <cellStyle name="40% - Accent4 6 2 2 5" xfId="9573" xr:uid="{00000000-0005-0000-0000-000026440000}"/>
    <cellStyle name="40% - Accent4 6 2 2 5 2" xfId="17531" xr:uid="{00000000-0005-0000-0000-000027440000}"/>
    <cellStyle name="40% - Accent4 6 2 2 5 2 2" xfId="41372" xr:uid="{F5232822-77E1-4B61-AB18-86C33A04BCFC}"/>
    <cellStyle name="40% - Accent4 6 2 2 5 3" xfId="25475" xr:uid="{00000000-0005-0000-0000-000028440000}"/>
    <cellStyle name="40% - Accent4 6 2 2 5 3 2" xfId="49308" xr:uid="{AA62FB88-F604-470B-9FE4-CFA9F037A718}"/>
    <cellStyle name="40% - Accent4 6 2 2 5 4" xfId="33431" xr:uid="{B934F80C-6CE8-460C-BBE8-196E01522BFB}"/>
    <cellStyle name="40% - Accent4 6 2 2 6" xfId="10469" xr:uid="{00000000-0005-0000-0000-000029440000}"/>
    <cellStyle name="40% - Accent4 6 2 2 6 2" xfId="34319" xr:uid="{71D30F94-20E2-45D4-B969-9BBE8599D3D8}"/>
    <cellStyle name="40% - Accent4 6 2 2 7" xfId="18424" xr:uid="{00000000-0005-0000-0000-00002A440000}"/>
    <cellStyle name="40% - Accent4 6 2 2 7 2" xfId="42257" xr:uid="{8FFF0B0D-BFE9-40B1-AF3A-A679B32462BE}"/>
    <cellStyle name="40% - Accent4 6 2 2 8" xfId="26377" xr:uid="{3627350C-95C5-47DE-B3E5-32002B6AA95A}"/>
    <cellStyle name="40% - Accent4 6 2 2_Exh G" xfId="3143" xr:uid="{00000000-0005-0000-0000-00002B440000}"/>
    <cellStyle name="40% - Accent4 6 2 3" xfId="1548" xr:uid="{00000000-0005-0000-0000-00002C440000}"/>
    <cellStyle name="40% - Accent4 6 2 3 2" xfId="5078" xr:uid="{00000000-0005-0000-0000-00002D440000}"/>
    <cellStyle name="40% - Accent4 6 2 3 2 2" xfId="8669" xr:uid="{00000000-0005-0000-0000-00002E440000}"/>
    <cellStyle name="40% - Accent4 6 2 3 2 2 2" xfId="16640" xr:uid="{00000000-0005-0000-0000-00002F440000}"/>
    <cellStyle name="40% - Accent4 6 2 3 2 2 2 2" xfId="40483" xr:uid="{C81338E3-B386-4D55-8C3F-CFCEC7E9A025}"/>
    <cellStyle name="40% - Accent4 6 2 3 2 2 3" xfId="24586" xr:uid="{00000000-0005-0000-0000-000030440000}"/>
    <cellStyle name="40% - Accent4 6 2 3 2 2 3 2" xfId="48419" xr:uid="{3D2FCCB4-FC42-4DC1-92E7-2390A0BC3835}"/>
    <cellStyle name="40% - Accent4 6 2 3 2 2 4" xfId="32542" xr:uid="{9C65C242-B057-45F9-9834-0D49474E2CFD}"/>
    <cellStyle name="40% - Accent4 6 2 3 2 3" xfId="13102" xr:uid="{00000000-0005-0000-0000-000031440000}"/>
    <cellStyle name="40% - Accent4 6 2 3 2 3 2" xfId="36952" xr:uid="{AE43EF56-F88F-4455-9C75-57BB0DF937EF}"/>
    <cellStyle name="40% - Accent4 6 2 3 2 4" xfId="21057" xr:uid="{00000000-0005-0000-0000-000032440000}"/>
    <cellStyle name="40% - Accent4 6 2 3 2 4 2" xfId="44890" xr:uid="{978B9730-96E6-455A-AE63-3A3930FA275D}"/>
    <cellStyle name="40% - Accent4 6 2 3 2 5" xfId="29011" xr:uid="{BB1FD1AB-5442-4DB5-9D7D-EC96479D5C8F}"/>
    <cellStyle name="40% - Accent4 6 2 3 3" xfId="6910" xr:uid="{00000000-0005-0000-0000-000033440000}"/>
    <cellStyle name="40% - Accent4 6 2 3 3 2" xfId="14882" xr:uid="{00000000-0005-0000-0000-000034440000}"/>
    <cellStyle name="40% - Accent4 6 2 3 3 2 2" xfId="38725" xr:uid="{7ABBD1C9-D754-45DA-B7A0-728131E04237}"/>
    <cellStyle name="40% - Accent4 6 2 3 3 3" xfId="22829" xr:uid="{00000000-0005-0000-0000-000035440000}"/>
    <cellStyle name="40% - Accent4 6 2 3 3 3 2" xfId="46662" xr:uid="{250AB40B-5507-4FB7-A7FE-26E7877C9F9C}"/>
    <cellStyle name="40% - Accent4 6 2 3 3 4" xfId="30784" xr:uid="{4E26E436-0F7E-4379-978C-B41696877040}"/>
    <cellStyle name="40% - Accent4 6 2 3 4" xfId="11346" xr:uid="{00000000-0005-0000-0000-000036440000}"/>
    <cellStyle name="40% - Accent4 6 2 3 4 2" xfId="35196" xr:uid="{976038F2-CBB7-45C7-AA6F-2A008A08B3B2}"/>
    <cellStyle name="40% - Accent4 6 2 3 5" xfId="19301" xr:uid="{00000000-0005-0000-0000-000037440000}"/>
    <cellStyle name="40% - Accent4 6 2 3 5 2" xfId="43134" xr:uid="{D78D4AE6-5AAA-4C0A-8E1A-AA776A4C773F}"/>
    <cellStyle name="40% - Accent4 6 2 3 6" xfId="27254" xr:uid="{D11CBAF3-BF45-4A15-BFD8-680AC3EC414C}"/>
    <cellStyle name="40% - Accent4 6 2 3_Exh G" xfId="3145" xr:uid="{00000000-0005-0000-0000-000038440000}"/>
    <cellStyle name="40% - Accent4 6 2 4" xfId="4199" xr:uid="{00000000-0005-0000-0000-000039440000}"/>
    <cellStyle name="40% - Accent4 6 2 4 2" xfId="7791" xr:uid="{00000000-0005-0000-0000-00003A440000}"/>
    <cellStyle name="40% - Accent4 6 2 4 2 2" xfId="15762" xr:uid="{00000000-0005-0000-0000-00003B440000}"/>
    <cellStyle name="40% - Accent4 6 2 4 2 2 2" xfId="39605" xr:uid="{8E3FA1AF-C2CA-4FD6-B6EF-5A5AE9C920DB}"/>
    <cellStyle name="40% - Accent4 6 2 4 2 3" xfId="23708" xr:uid="{00000000-0005-0000-0000-00003C440000}"/>
    <cellStyle name="40% - Accent4 6 2 4 2 3 2" xfId="47541" xr:uid="{37B65D50-8859-429C-B445-5A0E4D7BCE00}"/>
    <cellStyle name="40% - Accent4 6 2 4 2 4" xfId="31664" xr:uid="{7A0D4C8A-DFAC-4284-9E01-F4CA55910B05}"/>
    <cellStyle name="40% - Accent4 6 2 4 3" xfId="12224" xr:uid="{00000000-0005-0000-0000-00003D440000}"/>
    <cellStyle name="40% - Accent4 6 2 4 3 2" xfId="36074" xr:uid="{E74678AB-C20E-4FF5-B26A-4FA23B88D64D}"/>
    <cellStyle name="40% - Accent4 6 2 4 4" xfId="20179" xr:uid="{00000000-0005-0000-0000-00003E440000}"/>
    <cellStyle name="40% - Accent4 6 2 4 4 2" xfId="44012" xr:uid="{C0F75FF2-57D6-4C23-820A-7467B08B604A}"/>
    <cellStyle name="40% - Accent4 6 2 4 5" xfId="28133" xr:uid="{6FE68E6E-F92D-4E73-8A80-291693B2FE4D}"/>
    <cellStyle name="40% - Accent4 6 2 5" xfId="6019" xr:uid="{00000000-0005-0000-0000-00003F440000}"/>
    <cellStyle name="40% - Accent4 6 2 5 2" xfId="14003" xr:uid="{00000000-0005-0000-0000-000040440000}"/>
    <cellStyle name="40% - Accent4 6 2 5 2 2" xfId="37847" xr:uid="{EA3BE73D-2FD7-46E1-AEB2-A941AFC130C9}"/>
    <cellStyle name="40% - Accent4 6 2 5 3" xfId="21951" xr:uid="{00000000-0005-0000-0000-000041440000}"/>
    <cellStyle name="40% - Accent4 6 2 5 3 2" xfId="45784" xr:uid="{A92B7A11-A827-412D-AAD6-D6AFCC6E4359}"/>
    <cellStyle name="40% - Accent4 6 2 5 4" xfId="29906" xr:uid="{75EA3434-3EA1-477D-A179-3848ECAAAF5F}"/>
    <cellStyle name="40% - Accent4 6 2 6" xfId="9572" xr:uid="{00000000-0005-0000-0000-000042440000}"/>
    <cellStyle name="40% - Accent4 6 2 6 2" xfId="17530" xr:uid="{00000000-0005-0000-0000-000043440000}"/>
    <cellStyle name="40% - Accent4 6 2 6 2 2" xfId="41371" xr:uid="{15A30379-502D-40D4-956D-DD83F1ADF502}"/>
    <cellStyle name="40% - Accent4 6 2 6 3" xfId="25474" xr:uid="{00000000-0005-0000-0000-000044440000}"/>
    <cellStyle name="40% - Accent4 6 2 6 3 2" xfId="49307" xr:uid="{3621FA04-CC3D-46D6-9A7C-A1F2309BD7CE}"/>
    <cellStyle name="40% - Accent4 6 2 6 4" xfId="33430" xr:uid="{5F50FF8A-5320-42B3-8AAA-18AAE1FDCF03}"/>
    <cellStyle name="40% - Accent4 6 2 7" xfId="10468" xr:uid="{00000000-0005-0000-0000-000045440000}"/>
    <cellStyle name="40% - Accent4 6 2 7 2" xfId="34318" xr:uid="{85EFB796-53D8-40FC-BAFC-29A64961F3B5}"/>
    <cellStyle name="40% - Accent4 6 2 8" xfId="18423" xr:uid="{00000000-0005-0000-0000-000046440000}"/>
    <cellStyle name="40% - Accent4 6 2 8 2" xfId="42256" xr:uid="{8D3303B2-6F44-4113-AACD-8BAFC142EC0D}"/>
    <cellStyle name="40% - Accent4 6 2 9" xfId="26376" xr:uid="{91883701-A989-4ADC-8C90-DEDF29E6A884}"/>
    <cellStyle name="40% - Accent4 6 2_Exh G" xfId="3142" xr:uid="{00000000-0005-0000-0000-000047440000}"/>
    <cellStyle name="40% - Accent4 6 3" xfId="522" xr:uid="{00000000-0005-0000-0000-000048440000}"/>
    <cellStyle name="40% - Accent4 6 3 2" xfId="1550" xr:uid="{00000000-0005-0000-0000-000049440000}"/>
    <cellStyle name="40% - Accent4 6 3 2 2" xfId="5080" xr:uid="{00000000-0005-0000-0000-00004A440000}"/>
    <cellStyle name="40% - Accent4 6 3 2 2 2" xfId="8671" xr:uid="{00000000-0005-0000-0000-00004B440000}"/>
    <cellStyle name="40% - Accent4 6 3 2 2 2 2" xfId="16642" xr:uid="{00000000-0005-0000-0000-00004C440000}"/>
    <cellStyle name="40% - Accent4 6 3 2 2 2 2 2" xfId="40485" xr:uid="{3C464F1C-BEFD-4B37-88BD-2D53EE18B46D}"/>
    <cellStyle name="40% - Accent4 6 3 2 2 2 3" xfId="24588" xr:uid="{00000000-0005-0000-0000-00004D440000}"/>
    <cellStyle name="40% - Accent4 6 3 2 2 2 3 2" xfId="48421" xr:uid="{8FCF2804-63BB-4FC7-8DD6-FC116DC0D278}"/>
    <cellStyle name="40% - Accent4 6 3 2 2 2 4" xfId="32544" xr:uid="{D7C7432C-2BDA-4879-8749-E6918D46BEF3}"/>
    <cellStyle name="40% - Accent4 6 3 2 2 3" xfId="13104" xr:uid="{00000000-0005-0000-0000-00004E440000}"/>
    <cellStyle name="40% - Accent4 6 3 2 2 3 2" xfId="36954" xr:uid="{A6937A29-F9C7-447B-9BC7-0BBAC7D0B5F8}"/>
    <cellStyle name="40% - Accent4 6 3 2 2 4" xfId="21059" xr:uid="{00000000-0005-0000-0000-00004F440000}"/>
    <cellStyle name="40% - Accent4 6 3 2 2 4 2" xfId="44892" xr:uid="{9AD0C85A-D017-4E41-B35C-3F8ADE9B7FB2}"/>
    <cellStyle name="40% - Accent4 6 3 2 2 5" xfId="29013" xr:uid="{61BDA20E-7D8F-4C8C-B492-5AA1FAA778E4}"/>
    <cellStyle name="40% - Accent4 6 3 2 3" xfId="6912" xr:uid="{00000000-0005-0000-0000-000050440000}"/>
    <cellStyle name="40% - Accent4 6 3 2 3 2" xfId="14884" xr:uid="{00000000-0005-0000-0000-000051440000}"/>
    <cellStyle name="40% - Accent4 6 3 2 3 2 2" xfId="38727" xr:uid="{91554448-CEEA-4A6F-91AF-08CA68B94F91}"/>
    <cellStyle name="40% - Accent4 6 3 2 3 3" xfId="22831" xr:uid="{00000000-0005-0000-0000-000052440000}"/>
    <cellStyle name="40% - Accent4 6 3 2 3 3 2" xfId="46664" xr:uid="{F6104E2E-9162-4CAC-8B76-648C34C85EF4}"/>
    <cellStyle name="40% - Accent4 6 3 2 3 4" xfId="30786" xr:uid="{F90ED860-61FE-49F3-9CB2-5606E91B4D01}"/>
    <cellStyle name="40% - Accent4 6 3 2 4" xfId="11348" xr:uid="{00000000-0005-0000-0000-000053440000}"/>
    <cellStyle name="40% - Accent4 6 3 2 4 2" xfId="35198" xr:uid="{848DEEBC-11CE-4A38-9CE6-62245642CEE1}"/>
    <cellStyle name="40% - Accent4 6 3 2 5" xfId="19303" xr:uid="{00000000-0005-0000-0000-000054440000}"/>
    <cellStyle name="40% - Accent4 6 3 2 5 2" xfId="43136" xr:uid="{F45C579D-B7BE-4926-B566-70FFA1A894DA}"/>
    <cellStyle name="40% - Accent4 6 3 2 6" xfId="27256" xr:uid="{7D0AF433-0EB5-4898-A32A-FB56CC4EBA19}"/>
    <cellStyle name="40% - Accent4 6 3 2_Exh G" xfId="3147" xr:uid="{00000000-0005-0000-0000-000055440000}"/>
    <cellStyle name="40% - Accent4 6 3 3" xfId="4201" xr:uid="{00000000-0005-0000-0000-000056440000}"/>
    <cellStyle name="40% - Accent4 6 3 3 2" xfId="7793" xr:uid="{00000000-0005-0000-0000-000057440000}"/>
    <cellStyle name="40% - Accent4 6 3 3 2 2" xfId="15764" xr:uid="{00000000-0005-0000-0000-000058440000}"/>
    <cellStyle name="40% - Accent4 6 3 3 2 2 2" xfId="39607" xr:uid="{FB072F8A-1BC8-4E5A-8D8F-AD267056B7A6}"/>
    <cellStyle name="40% - Accent4 6 3 3 2 3" xfId="23710" xr:uid="{00000000-0005-0000-0000-000059440000}"/>
    <cellStyle name="40% - Accent4 6 3 3 2 3 2" xfId="47543" xr:uid="{19515DF9-9DF0-4049-9F83-2C46B7F4A6FA}"/>
    <cellStyle name="40% - Accent4 6 3 3 2 4" xfId="31666" xr:uid="{72EB74A6-37F4-4D4D-916F-7EC5E2986E40}"/>
    <cellStyle name="40% - Accent4 6 3 3 3" xfId="12226" xr:uid="{00000000-0005-0000-0000-00005A440000}"/>
    <cellStyle name="40% - Accent4 6 3 3 3 2" xfId="36076" xr:uid="{59380E2F-50F5-4623-B62E-1DD60BD40733}"/>
    <cellStyle name="40% - Accent4 6 3 3 4" xfId="20181" xr:uid="{00000000-0005-0000-0000-00005B440000}"/>
    <cellStyle name="40% - Accent4 6 3 3 4 2" xfId="44014" xr:uid="{76682BB6-4A8D-419C-B2E9-EB4E5FCD0218}"/>
    <cellStyle name="40% - Accent4 6 3 3 5" xfId="28135" xr:uid="{0337BA4A-FAEB-431F-A076-9A2813589AFA}"/>
    <cellStyle name="40% - Accent4 6 3 4" xfId="6021" xr:uid="{00000000-0005-0000-0000-00005C440000}"/>
    <cellStyle name="40% - Accent4 6 3 4 2" xfId="14005" xr:uid="{00000000-0005-0000-0000-00005D440000}"/>
    <cellStyle name="40% - Accent4 6 3 4 2 2" xfId="37849" xr:uid="{A7EAD118-6E75-4C47-BA0C-84CA3AD96E60}"/>
    <cellStyle name="40% - Accent4 6 3 4 3" xfId="21953" xr:uid="{00000000-0005-0000-0000-00005E440000}"/>
    <cellStyle name="40% - Accent4 6 3 4 3 2" xfId="45786" xr:uid="{340A6D39-DE72-46F0-91DF-253B6C3D8E22}"/>
    <cellStyle name="40% - Accent4 6 3 4 4" xfId="29908" xr:uid="{0816E6AC-E640-4BED-99B1-89675442A21C}"/>
    <cellStyle name="40% - Accent4 6 3 5" xfId="9574" xr:uid="{00000000-0005-0000-0000-00005F440000}"/>
    <cellStyle name="40% - Accent4 6 3 5 2" xfId="17532" xr:uid="{00000000-0005-0000-0000-000060440000}"/>
    <cellStyle name="40% - Accent4 6 3 5 2 2" xfId="41373" xr:uid="{28940197-81CC-421B-9AFF-E9B54C219070}"/>
    <cellStyle name="40% - Accent4 6 3 5 3" xfId="25476" xr:uid="{00000000-0005-0000-0000-000061440000}"/>
    <cellStyle name="40% - Accent4 6 3 5 3 2" xfId="49309" xr:uid="{3063DCC6-CD82-4C3A-8C4A-7AE854413BEA}"/>
    <cellStyle name="40% - Accent4 6 3 5 4" xfId="33432" xr:uid="{9CEF7156-AAFB-46C7-A66E-5F55EFF509B1}"/>
    <cellStyle name="40% - Accent4 6 3 6" xfId="10470" xr:uid="{00000000-0005-0000-0000-000062440000}"/>
    <cellStyle name="40% - Accent4 6 3 6 2" xfId="34320" xr:uid="{FC8EF790-8605-4A2A-B2AE-3494CB654D2A}"/>
    <cellStyle name="40% - Accent4 6 3 7" xfId="18425" xr:uid="{00000000-0005-0000-0000-000063440000}"/>
    <cellStyle name="40% - Accent4 6 3 7 2" xfId="42258" xr:uid="{9E8F5136-69BD-4FB9-AEC4-788D80FE6322}"/>
    <cellStyle name="40% - Accent4 6 3 8" xfId="26378" xr:uid="{6D242AE4-815E-4A06-A19E-15A4F7F6E63E}"/>
    <cellStyle name="40% - Accent4 6 3_Exh G" xfId="3146" xr:uid="{00000000-0005-0000-0000-000064440000}"/>
    <cellStyle name="40% - Accent4 6 4" xfId="978" xr:uid="{00000000-0005-0000-0000-000065440000}"/>
    <cellStyle name="40% - Accent4 6 4 2" xfId="1895" xr:uid="{00000000-0005-0000-0000-000066440000}"/>
    <cellStyle name="40% - Accent4 6 4 2 2" xfId="5413" xr:uid="{00000000-0005-0000-0000-000067440000}"/>
    <cellStyle name="40% - Accent4 6 4 2 2 2" xfId="9004" xr:uid="{00000000-0005-0000-0000-000068440000}"/>
    <cellStyle name="40% - Accent4 6 4 2 2 2 2" xfId="16975" xr:uid="{00000000-0005-0000-0000-000069440000}"/>
    <cellStyle name="40% - Accent4 6 4 2 2 2 2 2" xfId="40818" xr:uid="{1FA67933-1BF3-43C7-B2B7-D62C11068451}"/>
    <cellStyle name="40% - Accent4 6 4 2 2 2 3" xfId="24921" xr:uid="{00000000-0005-0000-0000-00006A440000}"/>
    <cellStyle name="40% - Accent4 6 4 2 2 2 3 2" xfId="48754" xr:uid="{D0D2B7C8-EB81-440C-921F-7EE7443E9FFA}"/>
    <cellStyle name="40% - Accent4 6 4 2 2 2 4" xfId="32877" xr:uid="{071E32CB-99C5-4FCD-A044-0A62CFD97707}"/>
    <cellStyle name="40% - Accent4 6 4 2 2 3" xfId="13437" xr:uid="{00000000-0005-0000-0000-00006B440000}"/>
    <cellStyle name="40% - Accent4 6 4 2 2 3 2" xfId="37287" xr:uid="{813DD8A5-7436-4457-BBCB-F52EB7EA3A4D}"/>
    <cellStyle name="40% - Accent4 6 4 2 2 4" xfId="21392" xr:uid="{00000000-0005-0000-0000-00006C440000}"/>
    <cellStyle name="40% - Accent4 6 4 2 2 4 2" xfId="45225" xr:uid="{5336BE54-CB39-4C94-9A2D-A1CCA9F267FB}"/>
    <cellStyle name="40% - Accent4 6 4 2 2 5" xfId="29346" xr:uid="{215BBC47-2545-4576-ADC5-A89FE784B431}"/>
    <cellStyle name="40% - Accent4 6 4 2 3" xfId="7245" xr:uid="{00000000-0005-0000-0000-00006D440000}"/>
    <cellStyle name="40% - Accent4 6 4 2 3 2" xfId="15217" xr:uid="{00000000-0005-0000-0000-00006E440000}"/>
    <cellStyle name="40% - Accent4 6 4 2 3 2 2" xfId="39060" xr:uid="{6E766A23-2334-49B2-A133-53B8673B5DF7}"/>
    <cellStyle name="40% - Accent4 6 4 2 3 3" xfId="23164" xr:uid="{00000000-0005-0000-0000-00006F440000}"/>
    <cellStyle name="40% - Accent4 6 4 2 3 3 2" xfId="46997" xr:uid="{7A268F09-B42A-43D1-B742-573F5C3D6247}"/>
    <cellStyle name="40% - Accent4 6 4 2 3 4" xfId="31119" xr:uid="{DA05723D-A198-48CE-A9CB-858A07C8759F}"/>
    <cellStyle name="40% - Accent4 6 4 2 4" xfId="11681" xr:uid="{00000000-0005-0000-0000-000070440000}"/>
    <cellStyle name="40% - Accent4 6 4 2 4 2" xfId="35531" xr:uid="{C9888AE9-AAAC-4892-B7E3-4B81E6380711}"/>
    <cellStyle name="40% - Accent4 6 4 2 5" xfId="19636" xr:uid="{00000000-0005-0000-0000-000071440000}"/>
    <cellStyle name="40% - Accent4 6 4 2 5 2" xfId="43469" xr:uid="{93937DC8-D04F-4B3D-9476-CB19583BFBC7}"/>
    <cellStyle name="40% - Accent4 6 4 2 6" xfId="27589" xr:uid="{3ED2A1CB-23ED-4018-967F-195889C62BDE}"/>
    <cellStyle name="40% - Accent4 6 4 2_Exh G" xfId="3149" xr:uid="{00000000-0005-0000-0000-000072440000}"/>
    <cellStyle name="40% - Accent4 6 4 3" xfId="4534" xr:uid="{00000000-0005-0000-0000-000073440000}"/>
    <cellStyle name="40% - Accent4 6 4 3 2" xfId="8126" xr:uid="{00000000-0005-0000-0000-000074440000}"/>
    <cellStyle name="40% - Accent4 6 4 3 2 2" xfId="16097" xr:uid="{00000000-0005-0000-0000-000075440000}"/>
    <cellStyle name="40% - Accent4 6 4 3 2 2 2" xfId="39940" xr:uid="{3A95E963-C3E0-46C7-9AA6-192DAC11CB86}"/>
    <cellStyle name="40% - Accent4 6 4 3 2 3" xfId="24043" xr:uid="{00000000-0005-0000-0000-000076440000}"/>
    <cellStyle name="40% - Accent4 6 4 3 2 3 2" xfId="47876" xr:uid="{6911D841-C38F-4029-8312-FC74F5C86A10}"/>
    <cellStyle name="40% - Accent4 6 4 3 2 4" xfId="31999" xr:uid="{F27D14ED-BF58-45E0-A0AE-93440EBC666E}"/>
    <cellStyle name="40% - Accent4 6 4 3 3" xfId="12559" xr:uid="{00000000-0005-0000-0000-000077440000}"/>
    <cellStyle name="40% - Accent4 6 4 3 3 2" xfId="36409" xr:uid="{32D61DA6-E5EC-42D4-A2CD-F3FB03DC3B09}"/>
    <cellStyle name="40% - Accent4 6 4 3 4" xfId="20514" xr:uid="{00000000-0005-0000-0000-000078440000}"/>
    <cellStyle name="40% - Accent4 6 4 3 4 2" xfId="44347" xr:uid="{DBF104E2-21AD-4BCA-A884-5C71EE06CFB6}"/>
    <cellStyle name="40% - Accent4 6 4 3 5" xfId="28468" xr:uid="{D2827329-4B80-46BF-AEB7-332D961A3DD9}"/>
    <cellStyle name="40% - Accent4 6 4 4" xfId="6364" xr:uid="{00000000-0005-0000-0000-000079440000}"/>
    <cellStyle name="40% - Accent4 6 4 4 2" xfId="14339" xr:uid="{00000000-0005-0000-0000-00007A440000}"/>
    <cellStyle name="40% - Accent4 6 4 4 2 2" xfId="38182" xr:uid="{E05B3BC8-BC03-49AB-BD74-76C48CCE88D5}"/>
    <cellStyle name="40% - Accent4 6 4 4 3" xfId="22286" xr:uid="{00000000-0005-0000-0000-00007B440000}"/>
    <cellStyle name="40% - Accent4 6 4 4 3 2" xfId="46119" xr:uid="{787B3824-72B4-48D4-B7D1-4BFD8E62B0E3}"/>
    <cellStyle name="40% - Accent4 6 4 4 4" xfId="30241" xr:uid="{3CB6EC13-7F48-43C3-A22A-DEC23E81B31C}"/>
    <cellStyle name="40% - Accent4 6 4 5" xfId="9907" xr:uid="{00000000-0005-0000-0000-00007C440000}"/>
    <cellStyle name="40% - Accent4 6 4 5 2" xfId="17865" xr:uid="{00000000-0005-0000-0000-00007D440000}"/>
    <cellStyle name="40% - Accent4 6 4 5 2 2" xfId="41706" xr:uid="{4B583BFD-8792-4908-8B15-4708320CB623}"/>
    <cellStyle name="40% - Accent4 6 4 5 3" xfId="25809" xr:uid="{00000000-0005-0000-0000-00007E440000}"/>
    <cellStyle name="40% - Accent4 6 4 5 3 2" xfId="49642" xr:uid="{7CE6D335-FF77-4A29-916C-05D180EAED0C}"/>
    <cellStyle name="40% - Accent4 6 4 5 4" xfId="33765" xr:uid="{DCA46960-35C1-4378-BAB2-57F303BD9DFC}"/>
    <cellStyle name="40% - Accent4 6 4 6" xfId="10803" xr:uid="{00000000-0005-0000-0000-00007F440000}"/>
    <cellStyle name="40% - Accent4 6 4 6 2" xfId="34653" xr:uid="{7F1E2787-B598-4DC5-BAFA-2324DCF3B485}"/>
    <cellStyle name="40% - Accent4 6 4 7" xfId="18758" xr:uid="{00000000-0005-0000-0000-000080440000}"/>
    <cellStyle name="40% - Accent4 6 4 7 2" xfId="42591" xr:uid="{3A6F6349-B75C-4866-A2AB-A5C261FF70E1}"/>
    <cellStyle name="40% - Accent4 6 4 8" xfId="26711" xr:uid="{7AEC7C84-88E9-4CA1-9570-B850FA10E8EB}"/>
    <cellStyle name="40% - Accent4 6 4_Exh G" xfId="3148" xr:uid="{00000000-0005-0000-0000-000081440000}"/>
    <cellStyle name="40% - Accent4 6 5" xfId="1547" xr:uid="{00000000-0005-0000-0000-000082440000}"/>
    <cellStyle name="40% - Accent4 6 5 2" xfId="5077" xr:uid="{00000000-0005-0000-0000-000083440000}"/>
    <cellStyle name="40% - Accent4 6 5 2 2" xfId="8668" xr:uid="{00000000-0005-0000-0000-000084440000}"/>
    <cellStyle name="40% - Accent4 6 5 2 2 2" xfId="16639" xr:uid="{00000000-0005-0000-0000-000085440000}"/>
    <cellStyle name="40% - Accent4 6 5 2 2 2 2" xfId="40482" xr:uid="{8068635C-FE17-4E10-9F87-B61730FDCAC7}"/>
    <cellStyle name="40% - Accent4 6 5 2 2 3" xfId="24585" xr:uid="{00000000-0005-0000-0000-000086440000}"/>
    <cellStyle name="40% - Accent4 6 5 2 2 3 2" xfId="48418" xr:uid="{672E24E6-F559-48D3-B62A-CECFEEC5DD73}"/>
    <cellStyle name="40% - Accent4 6 5 2 2 4" xfId="32541" xr:uid="{37A2E1A4-9FA7-4006-A71D-C46E0B78E8BF}"/>
    <cellStyle name="40% - Accent4 6 5 2 3" xfId="13101" xr:uid="{00000000-0005-0000-0000-000087440000}"/>
    <cellStyle name="40% - Accent4 6 5 2 3 2" xfId="36951" xr:uid="{C5C5285C-A0A3-44ED-BF5B-96B43E808ADB}"/>
    <cellStyle name="40% - Accent4 6 5 2 4" xfId="21056" xr:uid="{00000000-0005-0000-0000-000088440000}"/>
    <cellStyle name="40% - Accent4 6 5 2 4 2" xfId="44889" xr:uid="{AA9F2A50-232C-415A-82BD-C539885E306A}"/>
    <cellStyle name="40% - Accent4 6 5 2 5" xfId="29010" xr:uid="{EE41775E-9E3C-4423-BD06-0245736611C6}"/>
    <cellStyle name="40% - Accent4 6 5 3" xfId="6909" xr:uid="{00000000-0005-0000-0000-000089440000}"/>
    <cellStyle name="40% - Accent4 6 5 3 2" xfId="14881" xr:uid="{00000000-0005-0000-0000-00008A440000}"/>
    <cellStyle name="40% - Accent4 6 5 3 2 2" xfId="38724" xr:uid="{CBD063E1-F903-44DC-A047-21A34D4D6347}"/>
    <cellStyle name="40% - Accent4 6 5 3 3" xfId="22828" xr:uid="{00000000-0005-0000-0000-00008B440000}"/>
    <cellStyle name="40% - Accent4 6 5 3 3 2" xfId="46661" xr:uid="{32EECC12-6F84-4684-862A-ADEDBE5628EC}"/>
    <cellStyle name="40% - Accent4 6 5 3 4" xfId="30783" xr:uid="{C3B4B747-0F23-43C9-BB74-92FE4F226D71}"/>
    <cellStyle name="40% - Accent4 6 5 4" xfId="11345" xr:uid="{00000000-0005-0000-0000-00008C440000}"/>
    <cellStyle name="40% - Accent4 6 5 4 2" xfId="35195" xr:uid="{8102BADF-49DA-4270-91D1-EA045C864ABE}"/>
    <cellStyle name="40% - Accent4 6 5 5" xfId="19300" xr:uid="{00000000-0005-0000-0000-00008D440000}"/>
    <cellStyle name="40% - Accent4 6 5 5 2" xfId="43133" xr:uid="{95C80E9B-5BD2-4753-91AD-F6CC23832B30}"/>
    <cellStyle name="40% - Accent4 6 5 6" xfId="27253" xr:uid="{2B24E22D-5595-4AB3-9FB4-D0272599873A}"/>
    <cellStyle name="40% - Accent4 6 5_Exh G" xfId="3150" xr:uid="{00000000-0005-0000-0000-00008E440000}"/>
    <cellStyle name="40% - Accent4 6 6" xfId="4198" xr:uid="{00000000-0005-0000-0000-00008F440000}"/>
    <cellStyle name="40% - Accent4 6 6 2" xfId="7790" xr:uid="{00000000-0005-0000-0000-000090440000}"/>
    <cellStyle name="40% - Accent4 6 6 2 2" xfId="15761" xr:uid="{00000000-0005-0000-0000-000091440000}"/>
    <cellStyle name="40% - Accent4 6 6 2 2 2" xfId="39604" xr:uid="{6B28AD83-10AF-43CA-95AC-30C1DD189953}"/>
    <cellStyle name="40% - Accent4 6 6 2 3" xfId="23707" xr:uid="{00000000-0005-0000-0000-000092440000}"/>
    <cellStyle name="40% - Accent4 6 6 2 3 2" xfId="47540" xr:uid="{B5590BC1-F74C-4017-B3C6-FCDCE8C5F511}"/>
    <cellStyle name="40% - Accent4 6 6 2 4" xfId="31663" xr:uid="{78D6F4D9-F0F0-41E4-B66D-5A1DC5EA1B40}"/>
    <cellStyle name="40% - Accent4 6 6 3" xfId="12223" xr:uid="{00000000-0005-0000-0000-000093440000}"/>
    <cellStyle name="40% - Accent4 6 6 3 2" xfId="36073" xr:uid="{1F03F50C-7D9F-400F-ACEE-826AE0416436}"/>
    <cellStyle name="40% - Accent4 6 6 4" xfId="20178" xr:uid="{00000000-0005-0000-0000-000094440000}"/>
    <cellStyle name="40% - Accent4 6 6 4 2" xfId="44011" xr:uid="{97285A1E-6DC4-4ACF-BB2E-9785D3DBAAEF}"/>
    <cellStyle name="40% - Accent4 6 6 5" xfId="28132" xr:uid="{C29583EB-48B4-4E4E-8A8C-59267EBA9FC3}"/>
    <cellStyle name="40% - Accent4 6 7" xfId="6018" xr:uid="{00000000-0005-0000-0000-000095440000}"/>
    <cellStyle name="40% - Accent4 6 7 2" xfId="14002" xr:uid="{00000000-0005-0000-0000-000096440000}"/>
    <cellStyle name="40% - Accent4 6 7 2 2" xfId="37846" xr:uid="{03A17957-E599-4AC2-953E-D08912565D99}"/>
    <cellStyle name="40% - Accent4 6 7 3" xfId="21950" xr:uid="{00000000-0005-0000-0000-000097440000}"/>
    <cellStyle name="40% - Accent4 6 7 3 2" xfId="45783" xr:uid="{301C95DA-7FFA-4C33-B8CE-F25360B24A7F}"/>
    <cellStyle name="40% - Accent4 6 7 4" xfId="29905" xr:uid="{A11D6AD1-3446-4AD5-BB5C-946C7EA65F5D}"/>
    <cellStyle name="40% - Accent4 6 8" xfId="9571" xr:uid="{00000000-0005-0000-0000-000098440000}"/>
    <cellStyle name="40% - Accent4 6 8 2" xfId="17529" xr:uid="{00000000-0005-0000-0000-000099440000}"/>
    <cellStyle name="40% - Accent4 6 8 2 2" xfId="41370" xr:uid="{FD17B9FE-88AC-4FA4-802A-AF44BB618BD9}"/>
    <cellStyle name="40% - Accent4 6 8 3" xfId="25473" xr:uid="{00000000-0005-0000-0000-00009A440000}"/>
    <cellStyle name="40% - Accent4 6 8 3 2" xfId="49306" xr:uid="{F2CBAE79-AE65-4C43-AD70-B6F9097CC6A5}"/>
    <cellStyle name="40% - Accent4 6 8 4" xfId="33429" xr:uid="{D16216FB-5703-48AF-B497-DF94442F5D63}"/>
    <cellStyle name="40% - Accent4 6 9" xfId="10467" xr:uid="{00000000-0005-0000-0000-00009B440000}"/>
    <cellStyle name="40% - Accent4 6 9 2" xfId="34317" xr:uid="{E11CE9D1-96BC-4547-AADB-FD0E760E29E1}"/>
    <cellStyle name="40% - Accent4 6_Exh G" xfId="3141" xr:uid="{00000000-0005-0000-0000-00009C440000}"/>
    <cellStyle name="40% - Accent4 7" xfId="523" xr:uid="{00000000-0005-0000-0000-00009D440000}"/>
    <cellStyle name="40% - Accent4 7 10" xfId="18426" xr:uid="{00000000-0005-0000-0000-00009E440000}"/>
    <cellStyle name="40% - Accent4 7 10 2" xfId="42259" xr:uid="{181186F7-E648-46DC-85E0-259B05BEF7F4}"/>
    <cellStyle name="40% - Accent4 7 11" xfId="26379" xr:uid="{10669349-AD5E-46C9-A5CC-ADC3EE0A20E8}"/>
    <cellStyle name="40% - Accent4 7 2" xfId="524" xr:uid="{00000000-0005-0000-0000-00009F440000}"/>
    <cellStyle name="40% - Accent4 7 2 2" xfId="525" xr:uid="{00000000-0005-0000-0000-0000A0440000}"/>
    <cellStyle name="40% - Accent4 7 2 2 2" xfId="1553" xr:uid="{00000000-0005-0000-0000-0000A1440000}"/>
    <cellStyle name="40% - Accent4 7 2 2 2 2" xfId="5083" xr:uid="{00000000-0005-0000-0000-0000A2440000}"/>
    <cellStyle name="40% - Accent4 7 2 2 2 2 2" xfId="8674" xr:uid="{00000000-0005-0000-0000-0000A3440000}"/>
    <cellStyle name="40% - Accent4 7 2 2 2 2 2 2" xfId="16645" xr:uid="{00000000-0005-0000-0000-0000A4440000}"/>
    <cellStyle name="40% - Accent4 7 2 2 2 2 2 2 2" xfId="40488" xr:uid="{78738BF2-1B27-41C9-9628-51F76E746863}"/>
    <cellStyle name="40% - Accent4 7 2 2 2 2 2 3" xfId="24591" xr:uid="{00000000-0005-0000-0000-0000A5440000}"/>
    <cellStyle name="40% - Accent4 7 2 2 2 2 2 3 2" xfId="48424" xr:uid="{C121BF44-1D94-4013-90A1-5385C5D05CD2}"/>
    <cellStyle name="40% - Accent4 7 2 2 2 2 2 4" xfId="32547" xr:uid="{5E83D68C-0E9E-4ED9-930C-666B9873CA75}"/>
    <cellStyle name="40% - Accent4 7 2 2 2 2 3" xfId="13107" xr:uid="{00000000-0005-0000-0000-0000A6440000}"/>
    <cellStyle name="40% - Accent4 7 2 2 2 2 3 2" xfId="36957" xr:uid="{22A243A6-1B64-4017-8622-E5D9C0CB6B16}"/>
    <cellStyle name="40% - Accent4 7 2 2 2 2 4" xfId="21062" xr:uid="{00000000-0005-0000-0000-0000A7440000}"/>
    <cellStyle name="40% - Accent4 7 2 2 2 2 4 2" xfId="44895" xr:uid="{9AEB9F3B-AC97-4977-97D6-EB00EBB97864}"/>
    <cellStyle name="40% - Accent4 7 2 2 2 2 5" xfId="29016" xr:uid="{9006BF6D-FD8D-408B-8D21-F2334F809E80}"/>
    <cellStyle name="40% - Accent4 7 2 2 2 3" xfId="6915" xr:uid="{00000000-0005-0000-0000-0000A8440000}"/>
    <cellStyle name="40% - Accent4 7 2 2 2 3 2" xfId="14887" xr:uid="{00000000-0005-0000-0000-0000A9440000}"/>
    <cellStyle name="40% - Accent4 7 2 2 2 3 2 2" xfId="38730" xr:uid="{8216530F-FAEC-4315-BFEF-653B7F9E202B}"/>
    <cellStyle name="40% - Accent4 7 2 2 2 3 3" xfId="22834" xr:uid="{00000000-0005-0000-0000-0000AA440000}"/>
    <cellStyle name="40% - Accent4 7 2 2 2 3 3 2" xfId="46667" xr:uid="{BCD248E0-E311-4968-B699-269836332230}"/>
    <cellStyle name="40% - Accent4 7 2 2 2 3 4" xfId="30789" xr:uid="{1CD46203-7B3D-440C-A2D1-3C5C067AA87D}"/>
    <cellStyle name="40% - Accent4 7 2 2 2 4" xfId="11351" xr:uid="{00000000-0005-0000-0000-0000AB440000}"/>
    <cellStyle name="40% - Accent4 7 2 2 2 4 2" xfId="35201" xr:uid="{936013C7-19CB-4524-9387-D5E8C39D7824}"/>
    <cellStyle name="40% - Accent4 7 2 2 2 5" xfId="19306" xr:uid="{00000000-0005-0000-0000-0000AC440000}"/>
    <cellStyle name="40% - Accent4 7 2 2 2 5 2" xfId="43139" xr:uid="{9D5609DC-C1C0-4D5A-B23D-FFAFF07FCB5F}"/>
    <cellStyle name="40% - Accent4 7 2 2 2 6" xfId="27259" xr:uid="{C21A1C2A-16B1-4AE2-8FD8-447F3A835581}"/>
    <cellStyle name="40% - Accent4 7 2 2 2_Exh G" xfId="3154" xr:uid="{00000000-0005-0000-0000-0000AD440000}"/>
    <cellStyle name="40% - Accent4 7 2 2 3" xfId="4204" xr:uid="{00000000-0005-0000-0000-0000AE440000}"/>
    <cellStyle name="40% - Accent4 7 2 2 3 2" xfId="7796" xr:uid="{00000000-0005-0000-0000-0000AF440000}"/>
    <cellStyle name="40% - Accent4 7 2 2 3 2 2" xfId="15767" xr:uid="{00000000-0005-0000-0000-0000B0440000}"/>
    <cellStyle name="40% - Accent4 7 2 2 3 2 2 2" xfId="39610" xr:uid="{B7F92FB2-083B-4F6D-9AD7-25EA85D3F56C}"/>
    <cellStyle name="40% - Accent4 7 2 2 3 2 3" xfId="23713" xr:uid="{00000000-0005-0000-0000-0000B1440000}"/>
    <cellStyle name="40% - Accent4 7 2 2 3 2 3 2" xfId="47546" xr:uid="{B185625E-2B99-4FC5-A5BF-6A1AF013D516}"/>
    <cellStyle name="40% - Accent4 7 2 2 3 2 4" xfId="31669" xr:uid="{3ACDF731-E077-426D-908A-2F6072802DFE}"/>
    <cellStyle name="40% - Accent4 7 2 2 3 3" xfId="12229" xr:uid="{00000000-0005-0000-0000-0000B2440000}"/>
    <cellStyle name="40% - Accent4 7 2 2 3 3 2" xfId="36079" xr:uid="{94884705-5578-436A-97C6-EA692FEA54A4}"/>
    <cellStyle name="40% - Accent4 7 2 2 3 4" xfId="20184" xr:uid="{00000000-0005-0000-0000-0000B3440000}"/>
    <cellStyle name="40% - Accent4 7 2 2 3 4 2" xfId="44017" xr:uid="{77A709A9-75FC-4AE6-A69E-C3650902965C}"/>
    <cellStyle name="40% - Accent4 7 2 2 3 5" xfId="28138" xr:uid="{1CD4C898-B9B3-4FFD-8AB3-4EADCC12950B}"/>
    <cellStyle name="40% - Accent4 7 2 2 4" xfId="6024" xr:uid="{00000000-0005-0000-0000-0000B4440000}"/>
    <cellStyle name="40% - Accent4 7 2 2 4 2" xfId="14008" xr:uid="{00000000-0005-0000-0000-0000B5440000}"/>
    <cellStyle name="40% - Accent4 7 2 2 4 2 2" xfId="37852" xr:uid="{ACAE7F40-657A-48AB-A153-752772A82B70}"/>
    <cellStyle name="40% - Accent4 7 2 2 4 3" xfId="21956" xr:uid="{00000000-0005-0000-0000-0000B6440000}"/>
    <cellStyle name="40% - Accent4 7 2 2 4 3 2" xfId="45789" xr:uid="{F69EC1D3-CEC1-4B63-9E2A-07E378AC2A91}"/>
    <cellStyle name="40% - Accent4 7 2 2 4 4" xfId="29911" xr:uid="{7B897C17-BA12-4D1D-9878-2724CC1177FA}"/>
    <cellStyle name="40% - Accent4 7 2 2 5" xfId="9577" xr:uid="{00000000-0005-0000-0000-0000B7440000}"/>
    <cellStyle name="40% - Accent4 7 2 2 5 2" xfId="17535" xr:uid="{00000000-0005-0000-0000-0000B8440000}"/>
    <cellStyle name="40% - Accent4 7 2 2 5 2 2" xfId="41376" xr:uid="{FF894BDF-5689-4F94-BB3A-E9E1C11B5B91}"/>
    <cellStyle name="40% - Accent4 7 2 2 5 3" xfId="25479" xr:uid="{00000000-0005-0000-0000-0000B9440000}"/>
    <cellStyle name="40% - Accent4 7 2 2 5 3 2" xfId="49312" xr:uid="{499E9E72-96C0-43E6-A213-1B9C15CE1A43}"/>
    <cellStyle name="40% - Accent4 7 2 2 5 4" xfId="33435" xr:uid="{515CBBB5-D416-42E0-9244-932D6433A2B9}"/>
    <cellStyle name="40% - Accent4 7 2 2 6" xfId="10473" xr:uid="{00000000-0005-0000-0000-0000BA440000}"/>
    <cellStyle name="40% - Accent4 7 2 2 6 2" xfId="34323" xr:uid="{43F28E8B-A267-457B-8624-1B80FFA53B03}"/>
    <cellStyle name="40% - Accent4 7 2 2 7" xfId="18428" xr:uid="{00000000-0005-0000-0000-0000BB440000}"/>
    <cellStyle name="40% - Accent4 7 2 2 7 2" xfId="42261" xr:uid="{8CB33AC3-DC56-4A52-8810-CC09BE9BB35E}"/>
    <cellStyle name="40% - Accent4 7 2 2 8" xfId="26381" xr:uid="{03963233-A642-4DE7-90A5-41BD9432796C}"/>
    <cellStyle name="40% - Accent4 7 2 2_Exh G" xfId="3153" xr:uid="{00000000-0005-0000-0000-0000BC440000}"/>
    <cellStyle name="40% - Accent4 7 2 3" xfId="1552" xr:uid="{00000000-0005-0000-0000-0000BD440000}"/>
    <cellStyle name="40% - Accent4 7 2 3 2" xfId="5082" xr:uid="{00000000-0005-0000-0000-0000BE440000}"/>
    <cellStyle name="40% - Accent4 7 2 3 2 2" xfId="8673" xr:uid="{00000000-0005-0000-0000-0000BF440000}"/>
    <cellStyle name="40% - Accent4 7 2 3 2 2 2" xfId="16644" xr:uid="{00000000-0005-0000-0000-0000C0440000}"/>
    <cellStyle name="40% - Accent4 7 2 3 2 2 2 2" xfId="40487" xr:uid="{3F32B61C-17D1-4FBF-B497-E735D2AAA629}"/>
    <cellStyle name="40% - Accent4 7 2 3 2 2 3" xfId="24590" xr:uid="{00000000-0005-0000-0000-0000C1440000}"/>
    <cellStyle name="40% - Accent4 7 2 3 2 2 3 2" xfId="48423" xr:uid="{A2C2FB47-D82E-4655-8276-1212EDAAC96B}"/>
    <cellStyle name="40% - Accent4 7 2 3 2 2 4" xfId="32546" xr:uid="{B964622D-072E-446F-BA28-8C3CC116D399}"/>
    <cellStyle name="40% - Accent4 7 2 3 2 3" xfId="13106" xr:uid="{00000000-0005-0000-0000-0000C2440000}"/>
    <cellStyle name="40% - Accent4 7 2 3 2 3 2" xfId="36956" xr:uid="{637E810F-5033-41FA-B3A3-35EE1FAD3606}"/>
    <cellStyle name="40% - Accent4 7 2 3 2 4" xfId="21061" xr:uid="{00000000-0005-0000-0000-0000C3440000}"/>
    <cellStyle name="40% - Accent4 7 2 3 2 4 2" xfId="44894" xr:uid="{1B753AD3-000F-4D63-A395-F2B4F9A37435}"/>
    <cellStyle name="40% - Accent4 7 2 3 2 5" xfId="29015" xr:uid="{72BDFD43-CE64-4AEF-BB84-A5B057840182}"/>
    <cellStyle name="40% - Accent4 7 2 3 3" xfId="6914" xr:uid="{00000000-0005-0000-0000-0000C4440000}"/>
    <cellStyle name="40% - Accent4 7 2 3 3 2" xfId="14886" xr:uid="{00000000-0005-0000-0000-0000C5440000}"/>
    <cellStyle name="40% - Accent4 7 2 3 3 2 2" xfId="38729" xr:uid="{324BECD4-DEC6-41BE-8D75-88B926E96B78}"/>
    <cellStyle name="40% - Accent4 7 2 3 3 3" xfId="22833" xr:uid="{00000000-0005-0000-0000-0000C6440000}"/>
    <cellStyle name="40% - Accent4 7 2 3 3 3 2" xfId="46666" xr:uid="{306E66C2-8EF9-4EB7-8290-DC408CC5D7B9}"/>
    <cellStyle name="40% - Accent4 7 2 3 3 4" xfId="30788" xr:uid="{1E0145CF-E636-42A8-99EA-A8D793FB60EB}"/>
    <cellStyle name="40% - Accent4 7 2 3 4" xfId="11350" xr:uid="{00000000-0005-0000-0000-0000C7440000}"/>
    <cellStyle name="40% - Accent4 7 2 3 4 2" xfId="35200" xr:uid="{14EBA090-8830-429D-A5FF-DFB866E9989B}"/>
    <cellStyle name="40% - Accent4 7 2 3 5" xfId="19305" xr:uid="{00000000-0005-0000-0000-0000C8440000}"/>
    <cellStyle name="40% - Accent4 7 2 3 5 2" xfId="43138" xr:uid="{C9F424DE-D4E4-4218-86F9-C56CF9A7DB01}"/>
    <cellStyle name="40% - Accent4 7 2 3 6" xfId="27258" xr:uid="{81A605D2-0804-4EE7-8218-C8933CDB7B23}"/>
    <cellStyle name="40% - Accent4 7 2 3_Exh G" xfId="3155" xr:uid="{00000000-0005-0000-0000-0000C9440000}"/>
    <cellStyle name="40% - Accent4 7 2 4" xfId="4203" xr:uid="{00000000-0005-0000-0000-0000CA440000}"/>
    <cellStyle name="40% - Accent4 7 2 4 2" xfId="7795" xr:uid="{00000000-0005-0000-0000-0000CB440000}"/>
    <cellStyle name="40% - Accent4 7 2 4 2 2" xfId="15766" xr:uid="{00000000-0005-0000-0000-0000CC440000}"/>
    <cellStyle name="40% - Accent4 7 2 4 2 2 2" xfId="39609" xr:uid="{05F71F83-924C-4E59-9CD0-451025EEB3BD}"/>
    <cellStyle name="40% - Accent4 7 2 4 2 3" xfId="23712" xr:uid="{00000000-0005-0000-0000-0000CD440000}"/>
    <cellStyle name="40% - Accent4 7 2 4 2 3 2" xfId="47545" xr:uid="{630E54EE-AA3D-4030-892E-756D3BA001AA}"/>
    <cellStyle name="40% - Accent4 7 2 4 2 4" xfId="31668" xr:uid="{2A588F2E-5A68-4359-A8F9-530652AAB0E9}"/>
    <cellStyle name="40% - Accent4 7 2 4 3" xfId="12228" xr:uid="{00000000-0005-0000-0000-0000CE440000}"/>
    <cellStyle name="40% - Accent4 7 2 4 3 2" xfId="36078" xr:uid="{8B93EAC8-A90E-4739-8629-3A87B816957E}"/>
    <cellStyle name="40% - Accent4 7 2 4 4" xfId="20183" xr:uid="{00000000-0005-0000-0000-0000CF440000}"/>
    <cellStyle name="40% - Accent4 7 2 4 4 2" xfId="44016" xr:uid="{48818BC7-16F5-4817-B786-D5405526A0DA}"/>
    <cellStyle name="40% - Accent4 7 2 4 5" xfId="28137" xr:uid="{5918F359-B727-47D3-BE99-AAC026941815}"/>
    <cellStyle name="40% - Accent4 7 2 5" xfId="6023" xr:uid="{00000000-0005-0000-0000-0000D0440000}"/>
    <cellStyle name="40% - Accent4 7 2 5 2" xfId="14007" xr:uid="{00000000-0005-0000-0000-0000D1440000}"/>
    <cellStyle name="40% - Accent4 7 2 5 2 2" xfId="37851" xr:uid="{903B78B8-FA4F-401B-ABA3-6A8B42BEF6DB}"/>
    <cellStyle name="40% - Accent4 7 2 5 3" xfId="21955" xr:uid="{00000000-0005-0000-0000-0000D2440000}"/>
    <cellStyle name="40% - Accent4 7 2 5 3 2" xfId="45788" xr:uid="{1CEA2657-DCF9-4E62-AB15-921A336F14F8}"/>
    <cellStyle name="40% - Accent4 7 2 5 4" xfId="29910" xr:uid="{C6D742C7-E6DE-4778-AEF2-6F57CB786A8C}"/>
    <cellStyle name="40% - Accent4 7 2 6" xfId="9576" xr:uid="{00000000-0005-0000-0000-0000D3440000}"/>
    <cellStyle name="40% - Accent4 7 2 6 2" xfId="17534" xr:uid="{00000000-0005-0000-0000-0000D4440000}"/>
    <cellStyle name="40% - Accent4 7 2 6 2 2" xfId="41375" xr:uid="{535BF431-AAFE-45BB-98DA-42CBD86BF9CB}"/>
    <cellStyle name="40% - Accent4 7 2 6 3" xfId="25478" xr:uid="{00000000-0005-0000-0000-0000D5440000}"/>
    <cellStyle name="40% - Accent4 7 2 6 3 2" xfId="49311" xr:uid="{8B7A1552-355B-4086-AF26-69D47CC92E72}"/>
    <cellStyle name="40% - Accent4 7 2 6 4" xfId="33434" xr:uid="{B7A2BC2D-B926-4543-83D4-D486866E4E3A}"/>
    <cellStyle name="40% - Accent4 7 2 7" xfId="10472" xr:uid="{00000000-0005-0000-0000-0000D6440000}"/>
    <cellStyle name="40% - Accent4 7 2 7 2" xfId="34322" xr:uid="{DD88411C-457E-4F01-BB69-F0EB269FB51B}"/>
    <cellStyle name="40% - Accent4 7 2 8" xfId="18427" xr:uid="{00000000-0005-0000-0000-0000D7440000}"/>
    <cellStyle name="40% - Accent4 7 2 8 2" xfId="42260" xr:uid="{7257FBAA-9084-4553-9513-2D0B05CDEA4B}"/>
    <cellStyle name="40% - Accent4 7 2 9" xfId="26380" xr:uid="{E6B4615F-E057-45C9-8077-1A3F5FA756F4}"/>
    <cellStyle name="40% - Accent4 7 2_Exh G" xfId="3152" xr:uid="{00000000-0005-0000-0000-0000D8440000}"/>
    <cellStyle name="40% - Accent4 7 3" xfId="526" xr:uid="{00000000-0005-0000-0000-0000D9440000}"/>
    <cellStyle name="40% - Accent4 7 3 2" xfId="1554" xr:uid="{00000000-0005-0000-0000-0000DA440000}"/>
    <cellStyle name="40% - Accent4 7 3 2 2" xfId="5084" xr:uid="{00000000-0005-0000-0000-0000DB440000}"/>
    <cellStyle name="40% - Accent4 7 3 2 2 2" xfId="8675" xr:uid="{00000000-0005-0000-0000-0000DC440000}"/>
    <cellStyle name="40% - Accent4 7 3 2 2 2 2" xfId="16646" xr:uid="{00000000-0005-0000-0000-0000DD440000}"/>
    <cellStyle name="40% - Accent4 7 3 2 2 2 2 2" xfId="40489" xr:uid="{1F34163A-7370-4A5B-8294-C51698B619DF}"/>
    <cellStyle name="40% - Accent4 7 3 2 2 2 3" xfId="24592" xr:uid="{00000000-0005-0000-0000-0000DE440000}"/>
    <cellStyle name="40% - Accent4 7 3 2 2 2 3 2" xfId="48425" xr:uid="{A7076570-44EA-4FB2-9494-6164B6893591}"/>
    <cellStyle name="40% - Accent4 7 3 2 2 2 4" xfId="32548" xr:uid="{BCA16429-1905-4D71-90E9-86EC02A20A38}"/>
    <cellStyle name="40% - Accent4 7 3 2 2 3" xfId="13108" xr:uid="{00000000-0005-0000-0000-0000DF440000}"/>
    <cellStyle name="40% - Accent4 7 3 2 2 3 2" xfId="36958" xr:uid="{F56B142E-F404-4117-9FFF-B52CB577E45B}"/>
    <cellStyle name="40% - Accent4 7 3 2 2 4" xfId="21063" xr:uid="{00000000-0005-0000-0000-0000E0440000}"/>
    <cellStyle name="40% - Accent4 7 3 2 2 4 2" xfId="44896" xr:uid="{45850ABA-EC3B-427D-BEC9-2C4E77CDF082}"/>
    <cellStyle name="40% - Accent4 7 3 2 2 5" xfId="29017" xr:uid="{A20634D2-4989-4704-95D8-B8D7D418806E}"/>
    <cellStyle name="40% - Accent4 7 3 2 3" xfId="6916" xr:uid="{00000000-0005-0000-0000-0000E1440000}"/>
    <cellStyle name="40% - Accent4 7 3 2 3 2" xfId="14888" xr:uid="{00000000-0005-0000-0000-0000E2440000}"/>
    <cellStyle name="40% - Accent4 7 3 2 3 2 2" xfId="38731" xr:uid="{ACF99A37-19E4-4EEC-A82A-89BD0466D69E}"/>
    <cellStyle name="40% - Accent4 7 3 2 3 3" xfId="22835" xr:uid="{00000000-0005-0000-0000-0000E3440000}"/>
    <cellStyle name="40% - Accent4 7 3 2 3 3 2" xfId="46668" xr:uid="{FEEA1DB9-CA10-4533-88FE-0F7137BB19B3}"/>
    <cellStyle name="40% - Accent4 7 3 2 3 4" xfId="30790" xr:uid="{F57AFD0D-610E-44FA-B16F-EA4A571A8F8E}"/>
    <cellStyle name="40% - Accent4 7 3 2 4" xfId="11352" xr:uid="{00000000-0005-0000-0000-0000E4440000}"/>
    <cellStyle name="40% - Accent4 7 3 2 4 2" xfId="35202" xr:uid="{B775BA84-BB2D-4C28-B3D6-3D9FADB6A910}"/>
    <cellStyle name="40% - Accent4 7 3 2 5" xfId="19307" xr:uid="{00000000-0005-0000-0000-0000E5440000}"/>
    <cellStyle name="40% - Accent4 7 3 2 5 2" xfId="43140" xr:uid="{6A9133DA-34A9-4087-8E76-B60075038A9C}"/>
    <cellStyle name="40% - Accent4 7 3 2 6" xfId="27260" xr:uid="{AFD9FCCA-3930-4290-A66D-05756600E8EF}"/>
    <cellStyle name="40% - Accent4 7 3 2_Exh G" xfId="3157" xr:uid="{00000000-0005-0000-0000-0000E6440000}"/>
    <cellStyle name="40% - Accent4 7 3 3" xfId="4205" xr:uid="{00000000-0005-0000-0000-0000E7440000}"/>
    <cellStyle name="40% - Accent4 7 3 3 2" xfId="7797" xr:uid="{00000000-0005-0000-0000-0000E8440000}"/>
    <cellStyle name="40% - Accent4 7 3 3 2 2" xfId="15768" xr:uid="{00000000-0005-0000-0000-0000E9440000}"/>
    <cellStyle name="40% - Accent4 7 3 3 2 2 2" xfId="39611" xr:uid="{CCEF495C-DB60-478D-98DA-6F537D687C09}"/>
    <cellStyle name="40% - Accent4 7 3 3 2 3" xfId="23714" xr:uid="{00000000-0005-0000-0000-0000EA440000}"/>
    <cellStyle name="40% - Accent4 7 3 3 2 3 2" xfId="47547" xr:uid="{1ACB04E3-8D88-497A-8602-8BB0856449F1}"/>
    <cellStyle name="40% - Accent4 7 3 3 2 4" xfId="31670" xr:uid="{E2E25DBB-571A-4534-9CDD-3574B0C2558C}"/>
    <cellStyle name="40% - Accent4 7 3 3 3" xfId="12230" xr:uid="{00000000-0005-0000-0000-0000EB440000}"/>
    <cellStyle name="40% - Accent4 7 3 3 3 2" xfId="36080" xr:uid="{3C18EE62-A4CC-4BDA-86F7-27CAD9BA774D}"/>
    <cellStyle name="40% - Accent4 7 3 3 4" xfId="20185" xr:uid="{00000000-0005-0000-0000-0000EC440000}"/>
    <cellStyle name="40% - Accent4 7 3 3 4 2" xfId="44018" xr:uid="{BA1E3C00-8CBD-429D-9DAE-0F5AA358A2F1}"/>
    <cellStyle name="40% - Accent4 7 3 3 5" xfId="28139" xr:uid="{5B8481C0-5A76-454F-992F-689D984A1F39}"/>
    <cellStyle name="40% - Accent4 7 3 4" xfId="6025" xr:uid="{00000000-0005-0000-0000-0000ED440000}"/>
    <cellStyle name="40% - Accent4 7 3 4 2" xfId="14009" xr:uid="{00000000-0005-0000-0000-0000EE440000}"/>
    <cellStyle name="40% - Accent4 7 3 4 2 2" xfId="37853" xr:uid="{16C05B18-9655-41BA-95E3-643292A8CC12}"/>
    <cellStyle name="40% - Accent4 7 3 4 3" xfId="21957" xr:uid="{00000000-0005-0000-0000-0000EF440000}"/>
    <cellStyle name="40% - Accent4 7 3 4 3 2" xfId="45790" xr:uid="{F26BC79F-5FFA-4AB0-8221-EE717A5BA7E4}"/>
    <cellStyle name="40% - Accent4 7 3 4 4" xfId="29912" xr:uid="{47F4CA82-A38E-4D62-A7BF-17C08C91890B}"/>
    <cellStyle name="40% - Accent4 7 3 5" xfId="9578" xr:uid="{00000000-0005-0000-0000-0000F0440000}"/>
    <cellStyle name="40% - Accent4 7 3 5 2" xfId="17536" xr:uid="{00000000-0005-0000-0000-0000F1440000}"/>
    <cellStyle name="40% - Accent4 7 3 5 2 2" xfId="41377" xr:uid="{39F115F2-D5D2-4AAA-A822-334319096515}"/>
    <cellStyle name="40% - Accent4 7 3 5 3" xfId="25480" xr:uid="{00000000-0005-0000-0000-0000F2440000}"/>
    <cellStyle name="40% - Accent4 7 3 5 3 2" xfId="49313" xr:uid="{FCB68351-3D45-4E6B-ACAB-BB385A5B7C6A}"/>
    <cellStyle name="40% - Accent4 7 3 5 4" xfId="33436" xr:uid="{CCFCC340-CECC-430F-9384-437DFF95D791}"/>
    <cellStyle name="40% - Accent4 7 3 6" xfId="10474" xr:uid="{00000000-0005-0000-0000-0000F3440000}"/>
    <cellStyle name="40% - Accent4 7 3 6 2" xfId="34324" xr:uid="{F9F0C394-E283-4E8A-B7BD-BB63DA844CB6}"/>
    <cellStyle name="40% - Accent4 7 3 7" xfId="18429" xr:uid="{00000000-0005-0000-0000-0000F4440000}"/>
    <cellStyle name="40% - Accent4 7 3 7 2" xfId="42262" xr:uid="{BDA34652-F32B-4624-810A-269ACA66F893}"/>
    <cellStyle name="40% - Accent4 7 3 8" xfId="26382" xr:uid="{1F1153D6-9119-4821-9B3B-D8E7B552A763}"/>
    <cellStyle name="40% - Accent4 7 3_Exh G" xfId="3156" xr:uid="{00000000-0005-0000-0000-0000F5440000}"/>
    <cellStyle name="40% - Accent4 7 4" xfId="979" xr:uid="{00000000-0005-0000-0000-0000F6440000}"/>
    <cellStyle name="40% - Accent4 7 4 2" xfId="1896" xr:uid="{00000000-0005-0000-0000-0000F7440000}"/>
    <cellStyle name="40% - Accent4 7 4 2 2" xfId="5414" xr:uid="{00000000-0005-0000-0000-0000F8440000}"/>
    <cellStyle name="40% - Accent4 7 4 2 2 2" xfId="9005" xr:uid="{00000000-0005-0000-0000-0000F9440000}"/>
    <cellStyle name="40% - Accent4 7 4 2 2 2 2" xfId="16976" xr:uid="{00000000-0005-0000-0000-0000FA440000}"/>
    <cellStyle name="40% - Accent4 7 4 2 2 2 2 2" xfId="40819" xr:uid="{30E25EF6-A0B1-4E91-8D08-C5B2FA315925}"/>
    <cellStyle name="40% - Accent4 7 4 2 2 2 3" xfId="24922" xr:uid="{00000000-0005-0000-0000-0000FB440000}"/>
    <cellStyle name="40% - Accent4 7 4 2 2 2 3 2" xfId="48755" xr:uid="{9EAA10DA-2CCA-454D-A043-BE1EE48942B0}"/>
    <cellStyle name="40% - Accent4 7 4 2 2 2 4" xfId="32878" xr:uid="{D73B834E-F621-4D81-9850-ED02FC940A17}"/>
    <cellStyle name="40% - Accent4 7 4 2 2 3" xfId="13438" xr:uid="{00000000-0005-0000-0000-0000FC440000}"/>
    <cellStyle name="40% - Accent4 7 4 2 2 3 2" xfId="37288" xr:uid="{A7A37F58-945E-4D83-AC25-94076F1AEDFC}"/>
    <cellStyle name="40% - Accent4 7 4 2 2 4" xfId="21393" xr:uid="{00000000-0005-0000-0000-0000FD440000}"/>
    <cellStyle name="40% - Accent4 7 4 2 2 4 2" xfId="45226" xr:uid="{621163F7-36FD-4446-A96C-BD8EFF6B7CF6}"/>
    <cellStyle name="40% - Accent4 7 4 2 2 5" xfId="29347" xr:uid="{F1FF9D4B-7BA2-4ABC-8F92-831E860FA6F7}"/>
    <cellStyle name="40% - Accent4 7 4 2 3" xfId="7246" xr:uid="{00000000-0005-0000-0000-0000FE440000}"/>
    <cellStyle name="40% - Accent4 7 4 2 3 2" xfId="15218" xr:uid="{00000000-0005-0000-0000-0000FF440000}"/>
    <cellStyle name="40% - Accent4 7 4 2 3 2 2" xfId="39061" xr:uid="{F6A7AC5C-03D8-4573-804D-276FD1FD7152}"/>
    <cellStyle name="40% - Accent4 7 4 2 3 3" xfId="23165" xr:uid="{00000000-0005-0000-0000-000000450000}"/>
    <cellStyle name="40% - Accent4 7 4 2 3 3 2" xfId="46998" xr:uid="{AB391F9E-429E-45C3-8F7B-D8B609357ADD}"/>
    <cellStyle name="40% - Accent4 7 4 2 3 4" xfId="31120" xr:uid="{6ED25A3D-944F-4D8F-A5FC-6487BCBE04AE}"/>
    <cellStyle name="40% - Accent4 7 4 2 4" xfId="11682" xr:uid="{00000000-0005-0000-0000-000001450000}"/>
    <cellStyle name="40% - Accent4 7 4 2 4 2" xfId="35532" xr:uid="{8AE8824D-AE1E-4755-8DD7-C6ED4FA9AA5D}"/>
    <cellStyle name="40% - Accent4 7 4 2 5" xfId="19637" xr:uid="{00000000-0005-0000-0000-000002450000}"/>
    <cellStyle name="40% - Accent4 7 4 2 5 2" xfId="43470" xr:uid="{6825D47B-6BB6-4A85-8D09-DF30D2CB6996}"/>
    <cellStyle name="40% - Accent4 7 4 2 6" xfId="27590" xr:uid="{5DD7DB6D-7AC1-44A1-928C-E3A1D024DE2C}"/>
    <cellStyle name="40% - Accent4 7 4 2_Exh G" xfId="3159" xr:uid="{00000000-0005-0000-0000-000003450000}"/>
    <cellStyle name="40% - Accent4 7 4 3" xfId="4535" xr:uid="{00000000-0005-0000-0000-000004450000}"/>
    <cellStyle name="40% - Accent4 7 4 3 2" xfId="8127" xr:uid="{00000000-0005-0000-0000-000005450000}"/>
    <cellStyle name="40% - Accent4 7 4 3 2 2" xfId="16098" xr:uid="{00000000-0005-0000-0000-000006450000}"/>
    <cellStyle name="40% - Accent4 7 4 3 2 2 2" xfId="39941" xr:uid="{57897011-4DD4-4921-83E0-13748C922595}"/>
    <cellStyle name="40% - Accent4 7 4 3 2 3" xfId="24044" xr:uid="{00000000-0005-0000-0000-000007450000}"/>
    <cellStyle name="40% - Accent4 7 4 3 2 3 2" xfId="47877" xr:uid="{B237659C-FB24-4F90-B653-27314D279D6F}"/>
    <cellStyle name="40% - Accent4 7 4 3 2 4" xfId="32000" xr:uid="{0CBCA2F0-5D6F-446A-AFC6-345AA20AA474}"/>
    <cellStyle name="40% - Accent4 7 4 3 3" xfId="12560" xr:uid="{00000000-0005-0000-0000-000008450000}"/>
    <cellStyle name="40% - Accent4 7 4 3 3 2" xfId="36410" xr:uid="{F9160AF7-C297-4B93-8B2C-B3436B48A478}"/>
    <cellStyle name="40% - Accent4 7 4 3 4" xfId="20515" xr:uid="{00000000-0005-0000-0000-000009450000}"/>
    <cellStyle name="40% - Accent4 7 4 3 4 2" xfId="44348" xr:uid="{DDD78EEF-B2CF-4B0E-9C89-56AF6F3AC198}"/>
    <cellStyle name="40% - Accent4 7 4 3 5" xfId="28469" xr:uid="{1B6EE19F-9CFE-43E6-9803-3942004EF687}"/>
    <cellStyle name="40% - Accent4 7 4 4" xfId="6365" xr:uid="{00000000-0005-0000-0000-00000A450000}"/>
    <cellStyle name="40% - Accent4 7 4 4 2" xfId="14340" xr:uid="{00000000-0005-0000-0000-00000B450000}"/>
    <cellStyle name="40% - Accent4 7 4 4 2 2" xfId="38183" xr:uid="{93BC73D6-CE7A-4DDE-A74F-A2BB7A6F1710}"/>
    <cellStyle name="40% - Accent4 7 4 4 3" xfId="22287" xr:uid="{00000000-0005-0000-0000-00000C450000}"/>
    <cellStyle name="40% - Accent4 7 4 4 3 2" xfId="46120" xr:uid="{F43EDE7E-5390-4413-A4C9-3BB856195153}"/>
    <cellStyle name="40% - Accent4 7 4 4 4" xfId="30242" xr:uid="{E2C84244-1277-40DD-9E7A-F4E90B043C4B}"/>
    <cellStyle name="40% - Accent4 7 4 5" xfId="9908" xr:uid="{00000000-0005-0000-0000-00000D450000}"/>
    <cellStyle name="40% - Accent4 7 4 5 2" xfId="17866" xr:uid="{00000000-0005-0000-0000-00000E450000}"/>
    <cellStyle name="40% - Accent4 7 4 5 2 2" xfId="41707" xr:uid="{FBBE29A1-C9E2-4D23-AE07-C0FB32E6FEDF}"/>
    <cellStyle name="40% - Accent4 7 4 5 3" xfId="25810" xr:uid="{00000000-0005-0000-0000-00000F450000}"/>
    <cellStyle name="40% - Accent4 7 4 5 3 2" xfId="49643" xr:uid="{893A8FC1-6D66-4EC2-9DAE-C3418FC7C5F8}"/>
    <cellStyle name="40% - Accent4 7 4 5 4" xfId="33766" xr:uid="{0C8ABF42-D439-4D14-B74D-200BEFE1FB8E}"/>
    <cellStyle name="40% - Accent4 7 4 6" xfId="10804" xr:uid="{00000000-0005-0000-0000-000010450000}"/>
    <cellStyle name="40% - Accent4 7 4 6 2" xfId="34654" xr:uid="{CE71DFCC-636C-4C01-B422-09509E0CAB47}"/>
    <cellStyle name="40% - Accent4 7 4 7" xfId="18759" xr:uid="{00000000-0005-0000-0000-000011450000}"/>
    <cellStyle name="40% - Accent4 7 4 7 2" xfId="42592" xr:uid="{2F765B7D-01D5-46C6-8BB7-C4FC890A1D0B}"/>
    <cellStyle name="40% - Accent4 7 4 8" xfId="26712" xr:uid="{C4334632-9242-422C-A4B2-C290D4F56A19}"/>
    <cellStyle name="40% - Accent4 7 4_Exh G" xfId="3158" xr:uid="{00000000-0005-0000-0000-000012450000}"/>
    <cellStyle name="40% - Accent4 7 5" xfId="1551" xr:uid="{00000000-0005-0000-0000-000013450000}"/>
    <cellStyle name="40% - Accent4 7 5 2" xfId="5081" xr:uid="{00000000-0005-0000-0000-000014450000}"/>
    <cellStyle name="40% - Accent4 7 5 2 2" xfId="8672" xr:uid="{00000000-0005-0000-0000-000015450000}"/>
    <cellStyle name="40% - Accent4 7 5 2 2 2" xfId="16643" xr:uid="{00000000-0005-0000-0000-000016450000}"/>
    <cellStyle name="40% - Accent4 7 5 2 2 2 2" xfId="40486" xr:uid="{A7EA6E84-B5E9-49F7-B4A9-56DF1979EF56}"/>
    <cellStyle name="40% - Accent4 7 5 2 2 3" xfId="24589" xr:uid="{00000000-0005-0000-0000-000017450000}"/>
    <cellStyle name="40% - Accent4 7 5 2 2 3 2" xfId="48422" xr:uid="{53242AE7-1A0D-49A7-9FA0-876B1FC7E638}"/>
    <cellStyle name="40% - Accent4 7 5 2 2 4" xfId="32545" xr:uid="{88321372-6621-426D-BCE3-13F84E74737F}"/>
    <cellStyle name="40% - Accent4 7 5 2 3" xfId="13105" xr:uid="{00000000-0005-0000-0000-000018450000}"/>
    <cellStyle name="40% - Accent4 7 5 2 3 2" xfId="36955" xr:uid="{77C05630-F43A-496A-9785-3BAACF2785E6}"/>
    <cellStyle name="40% - Accent4 7 5 2 4" xfId="21060" xr:uid="{00000000-0005-0000-0000-000019450000}"/>
    <cellStyle name="40% - Accent4 7 5 2 4 2" xfId="44893" xr:uid="{10840705-489B-49B8-A8F3-63EDE4AF11EA}"/>
    <cellStyle name="40% - Accent4 7 5 2 5" xfId="29014" xr:uid="{E1BB7656-539B-41FD-A621-649D9CC4B03F}"/>
    <cellStyle name="40% - Accent4 7 5 3" xfId="6913" xr:uid="{00000000-0005-0000-0000-00001A450000}"/>
    <cellStyle name="40% - Accent4 7 5 3 2" xfId="14885" xr:uid="{00000000-0005-0000-0000-00001B450000}"/>
    <cellStyle name="40% - Accent4 7 5 3 2 2" xfId="38728" xr:uid="{CD76E7D6-8F08-480A-9F7D-6EED3D0A24E3}"/>
    <cellStyle name="40% - Accent4 7 5 3 3" xfId="22832" xr:uid="{00000000-0005-0000-0000-00001C450000}"/>
    <cellStyle name="40% - Accent4 7 5 3 3 2" xfId="46665" xr:uid="{4ACFFD89-AFE6-4207-8B66-7B690E7519A0}"/>
    <cellStyle name="40% - Accent4 7 5 3 4" xfId="30787" xr:uid="{C3CA6B56-A5C6-48CC-AAC8-A749ACFF0CE8}"/>
    <cellStyle name="40% - Accent4 7 5 4" xfId="11349" xr:uid="{00000000-0005-0000-0000-00001D450000}"/>
    <cellStyle name="40% - Accent4 7 5 4 2" xfId="35199" xr:uid="{6F9BD711-5616-454A-B1EB-C39C90D29610}"/>
    <cellStyle name="40% - Accent4 7 5 5" xfId="19304" xr:uid="{00000000-0005-0000-0000-00001E450000}"/>
    <cellStyle name="40% - Accent4 7 5 5 2" xfId="43137" xr:uid="{8CBD8CA1-509C-455B-9131-2B51456B05E7}"/>
    <cellStyle name="40% - Accent4 7 5 6" xfId="27257" xr:uid="{DEB8A4F2-4B19-4700-A989-FA6AB4A4FFCE}"/>
    <cellStyle name="40% - Accent4 7 5_Exh G" xfId="3160" xr:uid="{00000000-0005-0000-0000-00001F450000}"/>
    <cellStyle name="40% - Accent4 7 6" xfId="4202" xr:uid="{00000000-0005-0000-0000-000020450000}"/>
    <cellStyle name="40% - Accent4 7 6 2" xfId="7794" xr:uid="{00000000-0005-0000-0000-000021450000}"/>
    <cellStyle name="40% - Accent4 7 6 2 2" xfId="15765" xr:uid="{00000000-0005-0000-0000-000022450000}"/>
    <cellStyle name="40% - Accent4 7 6 2 2 2" xfId="39608" xr:uid="{44235C29-CE16-40A6-88AC-E407660902DF}"/>
    <cellStyle name="40% - Accent4 7 6 2 3" xfId="23711" xr:uid="{00000000-0005-0000-0000-000023450000}"/>
    <cellStyle name="40% - Accent4 7 6 2 3 2" xfId="47544" xr:uid="{9E752D64-C301-448C-8587-90129DE25056}"/>
    <cellStyle name="40% - Accent4 7 6 2 4" xfId="31667" xr:uid="{64057A58-9B61-4BBA-922E-C889EAE282C6}"/>
    <cellStyle name="40% - Accent4 7 6 3" xfId="12227" xr:uid="{00000000-0005-0000-0000-000024450000}"/>
    <cellStyle name="40% - Accent4 7 6 3 2" xfId="36077" xr:uid="{3B4CB3BB-5F86-40BF-B590-96C7BF040C32}"/>
    <cellStyle name="40% - Accent4 7 6 4" xfId="20182" xr:uid="{00000000-0005-0000-0000-000025450000}"/>
    <cellStyle name="40% - Accent4 7 6 4 2" xfId="44015" xr:uid="{B6F9A740-8EA7-4FD5-A2F6-CFB094D51302}"/>
    <cellStyle name="40% - Accent4 7 6 5" xfId="28136" xr:uid="{64D9D2C4-A207-41DA-904B-2B05DC770974}"/>
    <cellStyle name="40% - Accent4 7 7" xfId="6022" xr:uid="{00000000-0005-0000-0000-000026450000}"/>
    <cellStyle name="40% - Accent4 7 7 2" xfId="14006" xr:uid="{00000000-0005-0000-0000-000027450000}"/>
    <cellStyle name="40% - Accent4 7 7 2 2" xfId="37850" xr:uid="{484C6968-FC62-479A-925A-1F193FF6A68F}"/>
    <cellStyle name="40% - Accent4 7 7 3" xfId="21954" xr:uid="{00000000-0005-0000-0000-000028450000}"/>
    <cellStyle name="40% - Accent4 7 7 3 2" xfId="45787" xr:uid="{8BFD0CAF-2B08-4A3E-B9A7-F9A3F888F04D}"/>
    <cellStyle name="40% - Accent4 7 7 4" xfId="29909" xr:uid="{42D20EA9-9B18-4618-B460-40F7E34AE74A}"/>
    <cellStyle name="40% - Accent4 7 8" xfId="9575" xr:uid="{00000000-0005-0000-0000-000029450000}"/>
    <cellStyle name="40% - Accent4 7 8 2" xfId="17533" xr:uid="{00000000-0005-0000-0000-00002A450000}"/>
    <cellStyle name="40% - Accent4 7 8 2 2" xfId="41374" xr:uid="{C3ACF85E-41A7-4944-86CA-16D7BE001BB0}"/>
    <cellStyle name="40% - Accent4 7 8 3" xfId="25477" xr:uid="{00000000-0005-0000-0000-00002B450000}"/>
    <cellStyle name="40% - Accent4 7 8 3 2" xfId="49310" xr:uid="{DD484BF3-C2A2-4064-A45B-024DE2CBC62B}"/>
    <cellStyle name="40% - Accent4 7 8 4" xfId="33433" xr:uid="{1D047588-EDD5-4A29-A9C9-BC35FF828E72}"/>
    <cellStyle name="40% - Accent4 7 9" xfId="10471" xr:uid="{00000000-0005-0000-0000-00002C450000}"/>
    <cellStyle name="40% - Accent4 7 9 2" xfId="34321" xr:uid="{BD9AD9C5-764E-4202-9817-B98B744282BE}"/>
    <cellStyle name="40% - Accent4 7_Exh G" xfId="3151" xr:uid="{00000000-0005-0000-0000-00002D450000}"/>
    <cellStyle name="40% - Accent4 8" xfId="527" xr:uid="{00000000-0005-0000-0000-00002E450000}"/>
    <cellStyle name="40% - Accent4 8 10" xfId="18430" xr:uid="{00000000-0005-0000-0000-00002F450000}"/>
    <cellStyle name="40% - Accent4 8 10 2" xfId="42263" xr:uid="{8803EBE9-7491-4789-92FF-F25409032808}"/>
    <cellStyle name="40% - Accent4 8 11" xfId="26383" xr:uid="{A60B7714-AE75-4620-AE51-07611C201507}"/>
    <cellStyle name="40% - Accent4 8 2" xfId="528" xr:uid="{00000000-0005-0000-0000-000030450000}"/>
    <cellStyle name="40% - Accent4 8 2 2" xfId="529" xr:uid="{00000000-0005-0000-0000-000031450000}"/>
    <cellStyle name="40% - Accent4 8 2 2 2" xfId="1557" xr:uid="{00000000-0005-0000-0000-000032450000}"/>
    <cellStyle name="40% - Accent4 8 2 2 2 2" xfId="5087" xr:uid="{00000000-0005-0000-0000-000033450000}"/>
    <cellStyle name="40% - Accent4 8 2 2 2 2 2" xfId="8678" xr:uid="{00000000-0005-0000-0000-000034450000}"/>
    <cellStyle name="40% - Accent4 8 2 2 2 2 2 2" xfId="16649" xr:uid="{00000000-0005-0000-0000-000035450000}"/>
    <cellStyle name="40% - Accent4 8 2 2 2 2 2 2 2" xfId="40492" xr:uid="{4D78317C-D643-4144-A0EA-ABF866485817}"/>
    <cellStyle name="40% - Accent4 8 2 2 2 2 2 3" xfId="24595" xr:uid="{00000000-0005-0000-0000-000036450000}"/>
    <cellStyle name="40% - Accent4 8 2 2 2 2 2 3 2" xfId="48428" xr:uid="{D7FDBEFC-BE20-4E6F-BC2E-7402C82961F7}"/>
    <cellStyle name="40% - Accent4 8 2 2 2 2 2 4" xfId="32551" xr:uid="{D1E97EFD-EC3F-4A81-89A4-5488847D4076}"/>
    <cellStyle name="40% - Accent4 8 2 2 2 2 3" xfId="13111" xr:uid="{00000000-0005-0000-0000-000037450000}"/>
    <cellStyle name="40% - Accent4 8 2 2 2 2 3 2" xfId="36961" xr:uid="{8357202C-ADF5-4051-8463-100C93E12571}"/>
    <cellStyle name="40% - Accent4 8 2 2 2 2 4" xfId="21066" xr:uid="{00000000-0005-0000-0000-000038450000}"/>
    <cellStyle name="40% - Accent4 8 2 2 2 2 4 2" xfId="44899" xr:uid="{5D2C6E07-D0C6-49FB-9C92-2BCA85368BBC}"/>
    <cellStyle name="40% - Accent4 8 2 2 2 2 5" xfId="29020" xr:uid="{5AAD2F1A-06CC-4B1C-B131-6D908F71788D}"/>
    <cellStyle name="40% - Accent4 8 2 2 2 3" xfId="6919" xr:uid="{00000000-0005-0000-0000-000039450000}"/>
    <cellStyle name="40% - Accent4 8 2 2 2 3 2" xfId="14891" xr:uid="{00000000-0005-0000-0000-00003A450000}"/>
    <cellStyle name="40% - Accent4 8 2 2 2 3 2 2" xfId="38734" xr:uid="{0216D527-F387-462E-BDEB-1F6088F9935C}"/>
    <cellStyle name="40% - Accent4 8 2 2 2 3 3" xfId="22838" xr:uid="{00000000-0005-0000-0000-00003B450000}"/>
    <cellStyle name="40% - Accent4 8 2 2 2 3 3 2" xfId="46671" xr:uid="{8C8FAEF4-70A0-4141-93EB-D1B123125257}"/>
    <cellStyle name="40% - Accent4 8 2 2 2 3 4" xfId="30793" xr:uid="{034392ED-B537-45AE-9862-FDAC44442647}"/>
    <cellStyle name="40% - Accent4 8 2 2 2 4" xfId="11355" xr:uid="{00000000-0005-0000-0000-00003C450000}"/>
    <cellStyle name="40% - Accent4 8 2 2 2 4 2" xfId="35205" xr:uid="{96EC0BCF-0AE4-4366-94B0-9CF2068EDBAB}"/>
    <cellStyle name="40% - Accent4 8 2 2 2 5" xfId="19310" xr:uid="{00000000-0005-0000-0000-00003D450000}"/>
    <cellStyle name="40% - Accent4 8 2 2 2 5 2" xfId="43143" xr:uid="{8A673428-B6A0-430B-9928-E0EE4C079F41}"/>
    <cellStyle name="40% - Accent4 8 2 2 2 6" xfId="27263" xr:uid="{0C869BDB-03B5-4D66-9990-747210FD744B}"/>
    <cellStyle name="40% - Accent4 8 2 2 2_Exh G" xfId="3164" xr:uid="{00000000-0005-0000-0000-00003E450000}"/>
    <cellStyle name="40% - Accent4 8 2 2 3" xfId="4208" xr:uid="{00000000-0005-0000-0000-00003F450000}"/>
    <cellStyle name="40% - Accent4 8 2 2 3 2" xfId="7800" xr:uid="{00000000-0005-0000-0000-000040450000}"/>
    <cellStyle name="40% - Accent4 8 2 2 3 2 2" xfId="15771" xr:uid="{00000000-0005-0000-0000-000041450000}"/>
    <cellStyle name="40% - Accent4 8 2 2 3 2 2 2" xfId="39614" xr:uid="{B81AB00A-29B9-40AD-B6EC-D005EBA3D2E6}"/>
    <cellStyle name="40% - Accent4 8 2 2 3 2 3" xfId="23717" xr:uid="{00000000-0005-0000-0000-000042450000}"/>
    <cellStyle name="40% - Accent4 8 2 2 3 2 3 2" xfId="47550" xr:uid="{A6626A31-58EA-4717-BF82-1B46ECC563E1}"/>
    <cellStyle name="40% - Accent4 8 2 2 3 2 4" xfId="31673" xr:uid="{96CB422E-7A79-489F-A3D4-AFC04B024C5B}"/>
    <cellStyle name="40% - Accent4 8 2 2 3 3" xfId="12233" xr:uid="{00000000-0005-0000-0000-000043450000}"/>
    <cellStyle name="40% - Accent4 8 2 2 3 3 2" xfId="36083" xr:uid="{13BAC058-5257-4C84-AD73-D326015E6E47}"/>
    <cellStyle name="40% - Accent4 8 2 2 3 4" xfId="20188" xr:uid="{00000000-0005-0000-0000-000044450000}"/>
    <cellStyle name="40% - Accent4 8 2 2 3 4 2" xfId="44021" xr:uid="{F50AC872-A1D4-4648-9723-6FC5A14FA68E}"/>
    <cellStyle name="40% - Accent4 8 2 2 3 5" xfId="28142" xr:uid="{701EB015-BA10-4046-A388-DAE2561D0CCF}"/>
    <cellStyle name="40% - Accent4 8 2 2 4" xfId="6028" xr:uid="{00000000-0005-0000-0000-000045450000}"/>
    <cellStyle name="40% - Accent4 8 2 2 4 2" xfId="14012" xr:uid="{00000000-0005-0000-0000-000046450000}"/>
    <cellStyle name="40% - Accent4 8 2 2 4 2 2" xfId="37856" xr:uid="{6388F98F-B305-4125-AFA0-2692934EC610}"/>
    <cellStyle name="40% - Accent4 8 2 2 4 3" xfId="21960" xr:uid="{00000000-0005-0000-0000-000047450000}"/>
    <cellStyle name="40% - Accent4 8 2 2 4 3 2" xfId="45793" xr:uid="{27888740-CA7E-4865-97B2-06D3B90F8179}"/>
    <cellStyle name="40% - Accent4 8 2 2 4 4" xfId="29915" xr:uid="{55E08951-9050-4EA5-8793-9DF22FC8133F}"/>
    <cellStyle name="40% - Accent4 8 2 2 5" xfId="9581" xr:uid="{00000000-0005-0000-0000-000048450000}"/>
    <cellStyle name="40% - Accent4 8 2 2 5 2" xfId="17539" xr:uid="{00000000-0005-0000-0000-000049450000}"/>
    <cellStyle name="40% - Accent4 8 2 2 5 2 2" xfId="41380" xr:uid="{9550600E-AF88-4840-A424-BABA5B568A98}"/>
    <cellStyle name="40% - Accent4 8 2 2 5 3" xfId="25483" xr:uid="{00000000-0005-0000-0000-00004A450000}"/>
    <cellStyle name="40% - Accent4 8 2 2 5 3 2" xfId="49316" xr:uid="{F1732DD0-603B-4849-8CB3-510EBFE587F7}"/>
    <cellStyle name="40% - Accent4 8 2 2 5 4" xfId="33439" xr:uid="{FB727978-6D2A-4ADF-8440-F9B4A6EC3972}"/>
    <cellStyle name="40% - Accent4 8 2 2 6" xfId="10477" xr:uid="{00000000-0005-0000-0000-00004B450000}"/>
    <cellStyle name="40% - Accent4 8 2 2 6 2" xfId="34327" xr:uid="{9DBDBF71-7FD1-4680-8A22-8DE537B34267}"/>
    <cellStyle name="40% - Accent4 8 2 2 7" xfId="18432" xr:uid="{00000000-0005-0000-0000-00004C450000}"/>
    <cellStyle name="40% - Accent4 8 2 2 7 2" xfId="42265" xr:uid="{BBD24A1F-4983-4597-82BB-DA72A07CABFD}"/>
    <cellStyle name="40% - Accent4 8 2 2 8" xfId="26385" xr:uid="{BE9353DE-FAE6-4852-B451-76D6EB2F716E}"/>
    <cellStyle name="40% - Accent4 8 2 2_Exh G" xfId="3163" xr:uid="{00000000-0005-0000-0000-00004D450000}"/>
    <cellStyle name="40% - Accent4 8 2 3" xfId="1556" xr:uid="{00000000-0005-0000-0000-00004E450000}"/>
    <cellStyle name="40% - Accent4 8 2 3 2" xfId="5086" xr:uid="{00000000-0005-0000-0000-00004F450000}"/>
    <cellStyle name="40% - Accent4 8 2 3 2 2" xfId="8677" xr:uid="{00000000-0005-0000-0000-000050450000}"/>
    <cellStyle name="40% - Accent4 8 2 3 2 2 2" xfId="16648" xr:uid="{00000000-0005-0000-0000-000051450000}"/>
    <cellStyle name="40% - Accent4 8 2 3 2 2 2 2" xfId="40491" xr:uid="{399012DB-A097-426E-8744-E81968FDFA3A}"/>
    <cellStyle name="40% - Accent4 8 2 3 2 2 3" xfId="24594" xr:uid="{00000000-0005-0000-0000-000052450000}"/>
    <cellStyle name="40% - Accent4 8 2 3 2 2 3 2" xfId="48427" xr:uid="{8F934FC3-8103-4FB5-A028-96517112D793}"/>
    <cellStyle name="40% - Accent4 8 2 3 2 2 4" xfId="32550" xr:uid="{9C4589EF-2166-4731-8031-5FA8B7686797}"/>
    <cellStyle name="40% - Accent4 8 2 3 2 3" xfId="13110" xr:uid="{00000000-0005-0000-0000-000053450000}"/>
    <cellStyle name="40% - Accent4 8 2 3 2 3 2" xfId="36960" xr:uid="{329A1390-AAE0-4AEF-9135-369277307E21}"/>
    <cellStyle name="40% - Accent4 8 2 3 2 4" xfId="21065" xr:uid="{00000000-0005-0000-0000-000054450000}"/>
    <cellStyle name="40% - Accent4 8 2 3 2 4 2" xfId="44898" xr:uid="{DA172A7E-ECDF-4CEF-BC4F-746604229D9F}"/>
    <cellStyle name="40% - Accent4 8 2 3 2 5" xfId="29019" xr:uid="{72F0DB2E-0DB1-4DC7-BB8F-46DAE0AAEB4B}"/>
    <cellStyle name="40% - Accent4 8 2 3 3" xfId="6918" xr:uid="{00000000-0005-0000-0000-000055450000}"/>
    <cellStyle name="40% - Accent4 8 2 3 3 2" xfId="14890" xr:uid="{00000000-0005-0000-0000-000056450000}"/>
    <cellStyle name="40% - Accent4 8 2 3 3 2 2" xfId="38733" xr:uid="{829D2012-0CF2-45FF-952B-D6550F9A9BF6}"/>
    <cellStyle name="40% - Accent4 8 2 3 3 3" xfId="22837" xr:uid="{00000000-0005-0000-0000-000057450000}"/>
    <cellStyle name="40% - Accent4 8 2 3 3 3 2" xfId="46670" xr:uid="{C35D2DC6-7255-4600-BF6B-F1BFB3072320}"/>
    <cellStyle name="40% - Accent4 8 2 3 3 4" xfId="30792" xr:uid="{2B4CD907-0103-4ECB-95A9-870A72B1FDC4}"/>
    <cellStyle name="40% - Accent4 8 2 3 4" xfId="11354" xr:uid="{00000000-0005-0000-0000-000058450000}"/>
    <cellStyle name="40% - Accent4 8 2 3 4 2" xfId="35204" xr:uid="{46F891A6-EE04-409B-8C6F-24883517FF20}"/>
    <cellStyle name="40% - Accent4 8 2 3 5" xfId="19309" xr:uid="{00000000-0005-0000-0000-000059450000}"/>
    <cellStyle name="40% - Accent4 8 2 3 5 2" xfId="43142" xr:uid="{7DF1225E-86B9-4028-A82D-7C432E938F0F}"/>
    <cellStyle name="40% - Accent4 8 2 3 6" xfId="27262" xr:uid="{A1A0F2A3-E4E2-432A-B060-549726544829}"/>
    <cellStyle name="40% - Accent4 8 2 3_Exh G" xfId="3165" xr:uid="{00000000-0005-0000-0000-00005A450000}"/>
    <cellStyle name="40% - Accent4 8 2 4" xfId="4207" xr:uid="{00000000-0005-0000-0000-00005B450000}"/>
    <cellStyle name="40% - Accent4 8 2 4 2" xfId="7799" xr:uid="{00000000-0005-0000-0000-00005C450000}"/>
    <cellStyle name="40% - Accent4 8 2 4 2 2" xfId="15770" xr:uid="{00000000-0005-0000-0000-00005D450000}"/>
    <cellStyle name="40% - Accent4 8 2 4 2 2 2" xfId="39613" xr:uid="{88CF437D-E0A4-42AC-9DA5-3A15C69244AA}"/>
    <cellStyle name="40% - Accent4 8 2 4 2 3" xfId="23716" xr:uid="{00000000-0005-0000-0000-00005E450000}"/>
    <cellStyle name="40% - Accent4 8 2 4 2 3 2" xfId="47549" xr:uid="{9B6E1727-0708-4954-9A62-89DCB09F63D1}"/>
    <cellStyle name="40% - Accent4 8 2 4 2 4" xfId="31672" xr:uid="{C4199A37-1C8C-43CA-A370-131984CD6441}"/>
    <cellStyle name="40% - Accent4 8 2 4 3" xfId="12232" xr:uid="{00000000-0005-0000-0000-00005F450000}"/>
    <cellStyle name="40% - Accent4 8 2 4 3 2" xfId="36082" xr:uid="{4AA5766C-ABDE-4670-ACB9-D84275C541EB}"/>
    <cellStyle name="40% - Accent4 8 2 4 4" xfId="20187" xr:uid="{00000000-0005-0000-0000-000060450000}"/>
    <cellStyle name="40% - Accent4 8 2 4 4 2" xfId="44020" xr:uid="{583CAB19-09E6-4D95-A65A-F9A7D1BD5F35}"/>
    <cellStyle name="40% - Accent4 8 2 4 5" xfId="28141" xr:uid="{18DB7927-E3DC-4125-8E07-2407BD283054}"/>
    <cellStyle name="40% - Accent4 8 2 5" xfId="6027" xr:uid="{00000000-0005-0000-0000-000061450000}"/>
    <cellStyle name="40% - Accent4 8 2 5 2" xfId="14011" xr:uid="{00000000-0005-0000-0000-000062450000}"/>
    <cellStyle name="40% - Accent4 8 2 5 2 2" xfId="37855" xr:uid="{EA74B6A7-0895-4E60-981F-E058A91452B4}"/>
    <cellStyle name="40% - Accent4 8 2 5 3" xfId="21959" xr:uid="{00000000-0005-0000-0000-000063450000}"/>
    <cellStyle name="40% - Accent4 8 2 5 3 2" xfId="45792" xr:uid="{33216E81-C266-4FBC-99A5-3D7D3528F47F}"/>
    <cellStyle name="40% - Accent4 8 2 5 4" xfId="29914" xr:uid="{313AD963-8AD8-48BF-AC93-E9545EEA492C}"/>
    <cellStyle name="40% - Accent4 8 2 6" xfId="9580" xr:uid="{00000000-0005-0000-0000-000064450000}"/>
    <cellStyle name="40% - Accent4 8 2 6 2" xfId="17538" xr:uid="{00000000-0005-0000-0000-000065450000}"/>
    <cellStyle name="40% - Accent4 8 2 6 2 2" xfId="41379" xr:uid="{F1AB66BA-674D-423D-AA3B-1FC7D78021A4}"/>
    <cellStyle name="40% - Accent4 8 2 6 3" xfId="25482" xr:uid="{00000000-0005-0000-0000-000066450000}"/>
    <cellStyle name="40% - Accent4 8 2 6 3 2" xfId="49315" xr:uid="{B83E857F-E98C-4817-95D9-2071449913EB}"/>
    <cellStyle name="40% - Accent4 8 2 6 4" xfId="33438" xr:uid="{AA571A04-63CA-4796-89A1-E8AC73EF7E3E}"/>
    <cellStyle name="40% - Accent4 8 2 7" xfId="10476" xr:uid="{00000000-0005-0000-0000-000067450000}"/>
    <cellStyle name="40% - Accent4 8 2 7 2" xfId="34326" xr:uid="{8B83EC6B-04B9-4D81-8482-556417904E54}"/>
    <cellStyle name="40% - Accent4 8 2 8" xfId="18431" xr:uid="{00000000-0005-0000-0000-000068450000}"/>
    <cellStyle name="40% - Accent4 8 2 8 2" xfId="42264" xr:uid="{796D857C-1C1E-4477-A4D7-6AD8AA77D73D}"/>
    <cellStyle name="40% - Accent4 8 2 9" xfId="26384" xr:uid="{7326000A-2C70-4960-97CF-8B2C65F85286}"/>
    <cellStyle name="40% - Accent4 8 2_Exh G" xfId="3162" xr:uid="{00000000-0005-0000-0000-000069450000}"/>
    <cellStyle name="40% - Accent4 8 3" xfId="530" xr:uid="{00000000-0005-0000-0000-00006A450000}"/>
    <cellStyle name="40% - Accent4 8 3 2" xfId="1558" xr:uid="{00000000-0005-0000-0000-00006B450000}"/>
    <cellStyle name="40% - Accent4 8 3 2 2" xfId="5088" xr:uid="{00000000-0005-0000-0000-00006C450000}"/>
    <cellStyle name="40% - Accent4 8 3 2 2 2" xfId="8679" xr:uid="{00000000-0005-0000-0000-00006D450000}"/>
    <cellStyle name="40% - Accent4 8 3 2 2 2 2" xfId="16650" xr:uid="{00000000-0005-0000-0000-00006E450000}"/>
    <cellStyle name="40% - Accent4 8 3 2 2 2 2 2" xfId="40493" xr:uid="{FBD69633-2C10-4495-8D80-8A0B3DBDFDFD}"/>
    <cellStyle name="40% - Accent4 8 3 2 2 2 3" xfId="24596" xr:uid="{00000000-0005-0000-0000-00006F450000}"/>
    <cellStyle name="40% - Accent4 8 3 2 2 2 3 2" xfId="48429" xr:uid="{95649342-0427-4E28-AE58-D2A9E034FB1B}"/>
    <cellStyle name="40% - Accent4 8 3 2 2 2 4" xfId="32552" xr:uid="{868B0A72-4A81-4900-9520-B615258B81FC}"/>
    <cellStyle name="40% - Accent4 8 3 2 2 3" xfId="13112" xr:uid="{00000000-0005-0000-0000-000070450000}"/>
    <cellStyle name="40% - Accent4 8 3 2 2 3 2" xfId="36962" xr:uid="{C67B5DEF-E348-4A41-8BBE-8F7D3E83DD6A}"/>
    <cellStyle name="40% - Accent4 8 3 2 2 4" xfId="21067" xr:uid="{00000000-0005-0000-0000-000071450000}"/>
    <cellStyle name="40% - Accent4 8 3 2 2 4 2" xfId="44900" xr:uid="{1690399B-B7FA-4FA0-A341-83332F530A59}"/>
    <cellStyle name="40% - Accent4 8 3 2 2 5" xfId="29021" xr:uid="{57D815CB-9446-4F1B-A802-071F7022752D}"/>
    <cellStyle name="40% - Accent4 8 3 2 3" xfId="6920" xr:uid="{00000000-0005-0000-0000-000072450000}"/>
    <cellStyle name="40% - Accent4 8 3 2 3 2" xfId="14892" xr:uid="{00000000-0005-0000-0000-000073450000}"/>
    <cellStyle name="40% - Accent4 8 3 2 3 2 2" xfId="38735" xr:uid="{9B50040F-ADC0-4836-9789-063A5ABD90F5}"/>
    <cellStyle name="40% - Accent4 8 3 2 3 3" xfId="22839" xr:uid="{00000000-0005-0000-0000-000074450000}"/>
    <cellStyle name="40% - Accent4 8 3 2 3 3 2" xfId="46672" xr:uid="{3FB33248-A9EC-4663-B6C0-1E225B2D4FD0}"/>
    <cellStyle name="40% - Accent4 8 3 2 3 4" xfId="30794" xr:uid="{F9071BD6-0949-4336-A270-809824B514BD}"/>
    <cellStyle name="40% - Accent4 8 3 2 4" xfId="11356" xr:uid="{00000000-0005-0000-0000-000075450000}"/>
    <cellStyle name="40% - Accent4 8 3 2 4 2" xfId="35206" xr:uid="{B51E7D07-8C18-42A6-BA86-B8C3446605BB}"/>
    <cellStyle name="40% - Accent4 8 3 2 5" xfId="19311" xr:uid="{00000000-0005-0000-0000-000076450000}"/>
    <cellStyle name="40% - Accent4 8 3 2 5 2" xfId="43144" xr:uid="{86E730A0-6BA5-41D7-A7A9-0BAB8C3FD96A}"/>
    <cellStyle name="40% - Accent4 8 3 2 6" xfId="27264" xr:uid="{092CF5E0-136B-4AA7-8F7D-7DFCB491C82C}"/>
    <cellStyle name="40% - Accent4 8 3 2_Exh G" xfId="3167" xr:uid="{00000000-0005-0000-0000-000077450000}"/>
    <cellStyle name="40% - Accent4 8 3 3" xfId="4209" xr:uid="{00000000-0005-0000-0000-000078450000}"/>
    <cellStyle name="40% - Accent4 8 3 3 2" xfId="7801" xr:uid="{00000000-0005-0000-0000-000079450000}"/>
    <cellStyle name="40% - Accent4 8 3 3 2 2" xfId="15772" xr:uid="{00000000-0005-0000-0000-00007A450000}"/>
    <cellStyle name="40% - Accent4 8 3 3 2 2 2" xfId="39615" xr:uid="{CEB54ED2-42F4-4F52-83D5-7CE50EEADBCB}"/>
    <cellStyle name="40% - Accent4 8 3 3 2 3" xfId="23718" xr:uid="{00000000-0005-0000-0000-00007B450000}"/>
    <cellStyle name="40% - Accent4 8 3 3 2 3 2" xfId="47551" xr:uid="{BD45AAB1-3030-4A7C-B24D-77B12C6E62E1}"/>
    <cellStyle name="40% - Accent4 8 3 3 2 4" xfId="31674" xr:uid="{FDC6ACFC-82F1-4BF4-9B1E-E5BBC79FDE5F}"/>
    <cellStyle name="40% - Accent4 8 3 3 3" xfId="12234" xr:uid="{00000000-0005-0000-0000-00007C450000}"/>
    <cellStyle name="40% - Accent4 8 3 3 3 2" xfId="36084" xr:uid="{8DDC9AB6-543A-466B-BD04-F299477DE516}"/>
    <cellStyle name="40% - Accent4 8 3 3 4" xfId="20189" xr:uid="{00000000-0005-0000-0000-00007D450000}"/>
    <cellStyle name="40% - Accent4 8 3 3 4 2" xfId="44022" xr:uid="{10F396F8-08D2-4E2C-AAF6-EA2A3F465C16}"/>
    <cellStyle name="40% - Accent4 8 3 3 5" xfId="28143" xr:uid="{5161F491-0A22-42FF-AAD9-DCE54661E633}"/>
    <cellStyle name="40% - Accent4 8 3 4" xfId="6029" xr:uid="{00000000-0005-0000-0000-00007E450000}"/>
    <cellStyle name="40% - Accent4 8 3 4 2" xfId="14013" xr:uid="{00000000-0005-0000-0000-00007F450000}"/>
    <cellStyle name="40% - Accent4 8 3 4 2 2" xfId="37857" xr:uid="{4F4E9D0F-88FC-4067-B043-FFC6A6E11DD9}"/>
    <cellStyle name="40% - Accent4 8 3 4 3" xfId="21961" xr:uid="{00000000-0005-0000-0000-000080450000}"/>
    <cellStyle name="40% - Accent4 8 3 4 3 2" xfId="45794" xr:uid="{10506705-B473-4B00-BF15-2D47B05144B2}"/>
    <cellStyle name="40% - Accent4 8 3 4 4" xfId="29916" xr:uid="{38DAA50E-47F7-439E-9F4E-E431312B5E20}"/>
    <cellStyle name="40% - Accent4 8 3 5" xfId="9582" xr:uid="{00000000-0005-0000-0000-000081450000}"/>
    <cellStyle name="40% - Accent4 8 3 5 2" xfId="17540" xr:uid="{00000000-0005-0000-0000-000082450000}"/>
    <cellStyle name="40% - Accent4 8 3 5 2 2" xfId="41381" xr:uid="{A002BB49-949D-455B-814D-C02F879E5899}"/>
    <cellStyle name="40% - Accent4 8 3 5 3" xfId="25484" xr:uid="{00000000-0005-0000-0000-000083450000}"/>
    <cellStyle name="40% - Accent4 8 3 5 3 2" xfId="49317" xr:uid="{852FF7F3-9651-43E7-BAF4-731DDBDD14A6}"/>
    <cellStyle name="40% - Accent4 8 3 5 4" xfId="33440" xr:uid="{A9B5DEF9-7656-4022-80DC-48769DD9DED0}"/>
    <cellStyle name="40% - Accent4 8 3 6" xfId="10478" xr:uid="{00000000-0005-0000-0000-000084450000}"/>
    <cellStyle name="40% - Accent4 8 3 6 2" xfId="34328" xr:uid="{E35AEEF3-57A7-4CE3-B6D7-CAF32C07244F}"/>
    <cellStyle name="40% - Accent4 8 3 7" xfId="18433" xr:uid="{00000000-0005-0000-0000-000085450000}"/>
    <cellStyle name="40% - Accent4 8 3 7 2" xfId="42266" xr:uid="{0A277DDF-5AC8-4342-92AF-4B01AED67FD8}"/>
    <cellStyle name="40% - Accent4 8 3 8" xfId="26386" xr:uid="{17462490-49E1-424E-B5C4-076DDB7B289B}"/>
    <cellStyle name="40% - Accent4 8 3_Exh G" xfId="3166" xr:uid="{00000000-0005-0000-0000-000086450000}"/>
    <cellStyle name="40% - Accent4 8 4" xfId="980" xr:uid="{00000000-0005-0000-0000-000087450000}"/>
    <cellStyle name="40% - Accent4 8 4 2" xfId="1897" xr:uid="{00000000-0005-0000-0000-000088450000}"/>
    <cellStyle name="40% - Accent4 8 4 2 2" xfId="5415" xr:uid="{00000000-0005-0000-0000-000089450000}"/>
    <cellStyle name="40% - Accent4 8 4 2 2 2" xfId="9006" xr:uid="{00000000-0005-0000-0000-00008A450000}"/>
    <cellStyle name="40% - Accent4 8 4 2 2 2 2" xfId="16977" xr:uid="{00000000-0005-0000-0000-00008B450000}"/>
    <cellStyle name="40% - Accent4 8 4 2 2 2 2 2" xfId="40820" xr:uid="{717C31E8-56C2-4BDA-A6B6-10C10638F355}"/>
    <cellStyle name="40% - Accent4 8 4 2 2 2 3" xfId="24923" xr:uid="{00000000-0005-0000-0000-00008C450000}"/>
    <cellStyle name="40% - Accent4 8 4 2 2 2 3 2" xfId="48756" xr:uid="{478037FB-AD5A-4DFF-AF82-B3495010F48A}"/>
    <cellStyle name="40% - Accent4 8 4 2 2 2 4" xfId="32879" xr:uid="{16F42D22-0F60-411D-87F0-02A7775CC6F3}"/>
    <cellStyle name="40% - Accent4 8 4 2 2 3" xfId="13439" xr:uid="{00000000-0005-0000-0000-00008D450000}"/>
    <cellStyle name="40% - Accent4 8 4 2 2 3 2" xfId="37289" xr:uid="{1DBC161B-1599-4F38-AC8A-03C98F77BDC7}"/>
    <cellStyle name="40% - Accent4 8 4 2 2 4" xfId="21394" xr:uid="{00000000-0005-0000-0000-00008E450000}"/>
    <cellStyle name="40% - Accent4 8 4 2 2 4 2" xfId="45227" xr:uid="{4B2C2F58-9044-4AE7-8980-55814E3279AE}"/>
    <cellStyle name="40% - Accent4 8 4 2 2 5" xfId="29348" xr:uid="{B527B74C-F0D5-4F57-81EC-2D8FB50A2224}"/>
    <cellStyle name="40% - Accent4 8 4 2 3" xfId="7247" xr:uid="{00000000-0005-0000-0000-00008F450000}"/>
    <cellStyle name="40% - Accent4 8 4 2 3 2" xfId="15219" xr:uid="{00000000-0005-0000-0000-000090450000}"/>
    <cellStyle name="40% - Accent4 8 4 2 3 2 2" xfId="39062" xr:uid="{4AC0C00E-5E63-4701-8098-012CD119DDDD}"/>
    <cellStyle name="40% - Accent4 8 4 2 3 3" xfId="23166" xr:uid="{00000000-0005-0000-0000-000091450000}"/>
    <cellStyle name="40% - Accent4 8 4 2 3 3 2" xfId="46999" xr:uid="{0DD164EA-9B04-4769-BD07-3464405D83CE}"/>
    <cellStyle name="40% - Accent4 8 4 2 3 4" xfId="31121" xr:uid="{F23AAD85-2AAB-4EA5-B372-75BD0F18D89A}"/>
    <cellStyle name="40% - Accent4 8 4 2 4" xfId="11683" xr:uid="{00000000-0005-0000-0000-000092450000}"/>
    <cellStyle name="40% - Accent4 8 4 2 4 2" xfId="35533" xr:uid="{8537C769-65BC-4D2F-BBF1-2754222D8600}"/>
    <cellStyle name="40% - Accent4 8 4 2 5" xfId="19638" xr:uid="{00000000-0005-0000-0000-000093450000}"/>
    <cellStyle name="40% - Accent4 8 4 2 5 2" xfId="43471" xr:uid="{3F7A2DE1-03C6-4A99-8E42-9AD9C06115E4}"/>
    <cellStyle name="40% - Accent4 8 4 2 6" xfId="27591" xr:uid="{1D8CC4AF-95CF-443A-8BC8-E4BCE95ECF95}"/>
    <cellStyle name="40% - Accent4 8 4 2_Exh G" xfId="3169" xr:uid="{00000000-0005-0000-0000-000094450000}"/>
    <cellStyle name="40% - Accent4 8 4 3" xfId="4536" xr:uid="{00000000-0005-0000-0000-000095450000}"/>
    <cellStyle name="40% - Accent4 8 4 3 2" xfId="8128" xr:uid="{00000000-0005-0000-0000-000096450000}"/>
    <cellStyle name="40% - Accent4 8 4 3 2 2" xfId="16099" xr:uid="{00000000-0005-0000-0000-000097450000}"/>
    <cellStyle name="40% - Accent4 8 4 3 2 2 2" xfId="39942" xr:uid="{3AE964E8-2C59-4C82-8B43-601E086D82BB}"/>
    <cellStyle name="40% - Accent4 8 4 3 2 3" xfId="24045" xr:uid="{00000000-0005-0000-0000-000098450000}"/>
    <cellStyle name="40% - Accent4 8 4 3 2 3 2" xfId="47878" xr:uid="{4DB4C03B-1E1B-4617-8136-C02D971EC6A7}"/>
    <cellStyle name="40% - Accent4 8 4 3 2 4" xfId="32001" xr:uid="{3CF140E9-0615-4179-924A-16AB2C7265A4}"/>
    <cellStyle name="40% - Accent4 8 4 3 3" xfId="12561" xr:uid="{00000000-0005-0000-0000-000099450000}"/>
    <cellStyle name="40% - Accent4 8 4 3 3 2" xfId="36411" xr:uid="{5DB9A37C-A8D8-4A70-B0DC-57DCE843C990}"/>
    <cellStyle name="40% - Accent4 8 4 3 4" xfId="20516" xr:uid="{00000000-0005-0000-0000-00009A450000}"/>
    <cellStyle name="40% - Accent4 8 4 3 4 2" xfId="44349" xr:uid="{71D29605-2E73-4844-8F09-D9C08F226AAE}"/>
    <cellStyle name="40% - Accent4 8 4 3 5" xfId="28470" xr:uid="{87F8708E-3A8D-4DCD-A34F-A3FF40D96169}"/>
    <cellStyle name="40% - Accent4 8 4 4" xfId="6366" xr:uid="{00000000-0005-0000-0000-00009B450000}"/>
    <cellStyle name="40% - Accent4 8 4 4 2" xfId="14341" xr:uid="{00000000-0005-0000-0000-00009C450000}"/>
    <cellStyle name="40% - Accent4 8 4 4 2 2" xfId="38184" xr:uid="{12184297-C4CD-4CF7-94A3-E29863D8A886}"/>
    <cellStyle name="40% - Accent4 8 4 4 3" xfId="22288" xr:uid="{00000000-0005-0000-0000-00009D450000}"/>
    <cellStyle name="40% - Accent4 8 4 4 3 2" xfId="46121" xr:uid="{D1354448-F2F9-4404-82FA-A64EFA6EAF9F}"/>
    <cellStyle name="40% - Accent4 8 4 4 4" xfId="30243" xr:uid="{0471B6B9-C9E1-4F5D-B349-21E85429D15D}"/>
    <cellStyle name="40% - Accent4 8 4 5" xfId="9909" xr:uid="{00000000-0005-0000-0000-00009E450000}"/>
    <cellStyle name="40% - Accent4 8 4 5 2" xfId="17867" xr:uid="{00000000-0005-0000-0000-00009F450000}"/>
    <cellStyle name="40% - Accent4 8 4 5 2 2" xfId="41708" xr:uid="{0A563557-A0D5-45D4-A95B-98094EC13E99}"/>
    <cellStyle name="40% - Accent4 8 4 5 3" xfId="25811" xr:uid="{00000000-0005-0000-0000-0000A0450000}"/>
    <cellStyle name="40% - Accent4 8 4 5 3 2" xfId="49644" xr:uid="{1DF0B3A2-1B14-4E35-9D6F-6C2E2A1DA8D5}"/>
    <cellStyle name="40% - Accent4 8 4 5 4" xfId="33767" xr:uid="{49DAAB0E-258C-4972-A78B-41A6C404CA9C}"/>
    <cellStyle name="40% - Accent4 8 4 6" xfId="10805" xr:uid="{00000000-0005-0000-0000-0000A1450000}"/>
    <cellStyle name="40% - Accent4 8 4 6 2" xfId="34655" xr:uid="{6DDD8FF0-0226-49C3-8290-C7F4CEEE8CA3}"/>
    <cellStyle name="40% - Accent4 8 4 7" xfId="18760" xr:uid="{00000000-0005-0000-0000-0000A2450000}"/>
    <cellStyle name="40% - Accent4 8 4 7 2" xfId="42593" xr:uid="{73AD43FA-C832-450E-972B-93B34192D2CE}"/>
    <cellStyle name="40% - Accent4 8 4 8" xfId="26713" xr:uid="{CCB9DFF0-4A98-4A8F-A3CA-E89094D93AAA}"/>
    <cellStyle name="40% - Accent4 8 4_Exh G" xfId="3168" xr:uid="{00000000-0005-0000-0000-0000A3450000}"/>
    <cellStyle name="40% - Accent4 8 5" xfId="1555" xr:uid="{00000000-0005-0000-0000-0000A4450000}"/>
    <cellStyle name="40% - Accent4 8 5 2" xfId="5085" xr:uid="{00000000-0005-0000-0000-0000A5450000}"/>
    <cellStyle name="40% - Accent4 8 5 2 2" xfId="8676" xr:uid="{00000000-0005-0000-0000-0000A6450000}"/>
    <cellStyle name="40% - Accent4 8 5 2 2 2" xfId="16647" xr:uid="{00000000-0005-0000-0000-0000A7450000}"/>
    <cellStyle name="40% - Accent4 8 5 2 2 2 2" xfId="40490" xr:uid="{A1B8E0C8-8CC5-43B4-9069-B45DCF13C5A1}"/>
    <cellStyle name="40% - Accent4 8 5 2 2 3" xfId="24593" xr:uid="{00000000-0005-0000-0000-0000A8450000}"/>
    <cellStyle name="40% - Accent4 8 5 2 2 3 2" xfId="48426" xr:uid="{3463EAAF-E29D-4517-AD74-E316184BF2B0}"/>
    <cellStyle name="40% - Accent4 8 5 2 2 4" xfId="32549" xr:uid="{8360C986-F3E3-4EFD-8E59-60B60CF50BD4}"/>
    <cellStyle name="40% - Accent4 8 5 2 3" xfId="13109" xr:uid="{00000000-0005-0000-0000-0000A9450000}"/>
    <cellStyle name="40% - Accent4 8 5 2 3 2" xfId="36959" xr:uid="{686A9B9A-4B3A-4B6B-A90B-7F8164F64009}"/>
    <cellStyle name="40% - Accent4 8 5 2 4" xfId="21064" xr:uid="{00000000-0005-0000-0000-0000AA450000}"/>
    <cellStyle name="40% - Accent4 8 5 2 4 2" xfId="44897" xr:uid="{7B1EFDCE-0DB0-46D8-BC8A-4F523DCCE1B3}"/>
    <cellStyle name="40% - Accent4 8 5 2 5" xfId="29018" xr:uid="{DE134D48-DCA3-43D4-B7AB-373DE87A07B2}"/>
    <cellStyle name="40% - Accent4 8 5 3" xfId="6917" xr:uid="{00000000-0005-0000-0000-0000AB450000}"/>
    <cellStyle name="40% - Accent4 8 5 3 2" xfId="14889" xr:uid="{00000000-0005-0000-0000-0000AC450000}"/>
    <cellStyle name="40% - Accent4 8 5 3 2 2" xfId="38732" xr:uid="{1E0EECB8-4C40-4CE8-BFE6-6DF92B5A7D7F}"/>
    <cellStyle name="40% - Accent4 8 5 3 3" xfId="22836" xr:uid="{00000000-0005-0000-0000-0000AD450000}"/>
    <cellStyle name="40% - Accent4 8 5 3 3 2" xfId="46669" xr:uid="{72CC70BF-2D38-418B-8201-140C2AE2FAAF}"/>
    <cellStyle name="40% - Accent4 8 5 3 4" xfId="30791" xr:uid="{C83D2A2B-653E-4689-BC00-2E48D80B3A05}"/>
    <cellStyle name="40% - Accent4 8 5 4" xfId="11353" xr:uid="{00000000-0005-0000-0000-0000AE450000}"/>
    <cellStyle name="40% - Accent4 8 5 4 2" xfId="35203" xr:uid="{436FDCAD-BB36-466B-BACA-0ECB13961DE7}"/>
    <cellStyle name="40% - Accent4 8 5 5" xfId="19308" xr:uid="{00000000-0005-0000-0000-0000AF450000}"/>
    <cellStyle name="40% - Accent4 8 5 5 2" xfId="43141" xr:uid="{603C77B6-DC2E-4258-9376-66CB9A175A29}"/>
    <cellStyle name="40% - Accent4 8 5 6" xfId="27261" xr:uid="{F70A87E6-2CAB-47DA-AC36-EF687F3F6D3D}"/>
    <cellStyle name="40% - Accent4 8 5_Exh G" xfId="3170" xr:uid="{00000000-0005-0000-0000-0000B0450000}"/>
    <cellStyle name="40% - Accent4 8 6" xfId="4206" xr:uid="{00000000-0005-0000-0000-0000B1450000}"/>
    <cellStyle name="40% - Accent4 8 6 2" xfId="7798" xr:uid="{00000000-0005-0000-0000-0000B2450000}"/>
    <cellStyle name="40% - Accent4 8 6 2 2" xfId="15769" xr:uid="{00000000-0005-0000-0000-0000B3450000}"/>
    <cellStyle name="40% - Accent4 8 6 2 2 2" xfId="39612" xr:uid="{312D6232-C1CA-4489-A180-22B549BECFE8}"/>
    <cellStyle name="40% - Accent4 8 6 2 3" xfId="23715" xr:uid="{00000000-0005-0000-0000-0000B4450000}"/>
    <cellStyle name="40% - Accent4 8 6 2 3 2" xfId="47548" xr:uid="{3A805146-F215-4DC1-842D-FF01F43C0230}"/>
    <cellStyle name="40% - Accent4 8 6 2 4" xfId="31671" xr:uid="{422D4F9A-7301-4B46-8039-2DBE4C7FA040}"/>
    <cellStyle name="40% - Accent4 8 6 3" xfId="12231" xr:uid="{00000000-0005-0000-0000-0000B5450000}"/>
    <cellStyle name="40% - Accent4 8 6 3 2" xfId="36081" xr:uid="{C3CDF426-5DBE-4075-AC3D-63D4B28A3A54}"/>
    <cellStyle name="40% - Accent4 8 6 4" xfId="20186" xr:uid="{00000000-0005-0000-0000-0000B6450000}"/>
    <cellStyle name="40% - Accent4 8 6 4 2" xfId="44019" xr:uid="{43B86B56-AFFF-4F07-A00D-898C6FCAB479}"/>
    <cellStyle name="40% - Accent4 8 6 5" xfId="28140" xr:uid="{D867B786-3D88-41EB-AEA7-C5B005B0830E}"/>
    <cellStyle name="40% - Accent4 8 7" xfId="6026" xr:uid="{00000000-0005-0000-0000-0000B7450000}"/>
    <cellStyle name="40% - Accent4 8 7 2" xfId="14010" xr:uid="{00000000-0005-0000-0000-0000B8450000}"/>
    <cellStyle name="40% - Accent4 8 7 2 2" xfId="37854" xr:uid="{B5530241-9564-4ECE-B2F3-E6FC82E62733}"/>
    <cellStyle name="40% - Accent4 8 7 3" xfId="21958" xr:uid="{00000000-0005-0000-0000-0000B9450000}"/>
    <cellStyle name="40% - Accent4 8 7 3 2" xfId="45791" xr:uid="{C6D96F88-1CA3-4D41-816E-63CE7E6AD5D8}"/>
    <cellStyle name="40% - Accent4 8 7 4" xfId="29913" xr:uid="{EADB8E71-3D98-4C51-80DD-FABDFF776313}"/>
    <cellStyle name="40% - Accent4 8 8" xfId="9579" xr:uid="{00000000-0005-0000-0000-0000BA450000}"/>
    <cellStyle name="40% - Accent4 8 8 2" xfId="17537" xr:uid="{00000000-0005-0000-0000-0000BB450000}"/>
    <cellStyle name="40% - Accent4 8 8 2 2" xfId="41378" xr:uid="{9462839D-8033-4B69-9C8B-9C14DA0C3757}"/>
    <cellStyle name="40% - Accent4 8 8 3" xfId="25481" xr:uid="{00000000-0005-0000-0000-0000BC450000}"/>
    <cellStyle name="40% - Accent4 8 8 3 2" xfId="49314" xr:uid="{C12869DE-B763-48CE-9DB3-3A41A3E6E104}"/>
    <cellStyle name="40% - Accent4 8 8 4" xfId="33437" xr:uid="{CEB03480-1497-469B-963A-E6E29B893B24}"/>
    <cellStyle name="40% - Accent4 8 9" xfId="10475" xr:uid="{00000000-0005-0000-0000-0000BD450000}"/>
    <cellStyle name="40% - Accent4 8 9 2" xfId="34325" xr:uid="{EDBB1430-1C79-4D12-B18E-9293A1B57366}"/>
    <cellStyle name="40% - Accent4 8_Exh G" xfId="3161" xr:uid="{00000000-0005-0000-0000-0000BE450000}"/>
    <cellStyle name="40% - Accent4 9" xfId="531" xr:uid="{00000000-0005-0000-0000-0000BF450000}"/>
    <cellStyle name="40% - Accent4 9 10" xfId="18434" xr:uid="{00000000-0005-0000-0000-0000C0450000}"/>
    <cellStyle name="40% - Accent4 9 10 2" xfId="42267" xr:uid="{F9ACD835-D801-4C53-87B9-F08240D108D1}"/>
    <cellStyle name="40% - Accent4 9 11" xfId="26387" xr:uid="{A16D65C6-DFDF-40AA-8DB8-CE9284A2FCAC}"/>
    <cellStyle name="40% - Accent4 9 2" xfId="532" xr:uid="{00000000-0005-0000-0000-0000C1450000}"/>
    <cellStyle name="40% - Accent4 9 2 2" xfId="533" xr:uid="{00000000-0005-0000-0000-0000C2450000}"/>
    <cellStyle name="40% - Accent4 9 2 2 2" xfId="1561" xr:uid="{00000000-0005-0000-0000-0000C3450000}"/>
    <cellStyle name="40% - Accent4 9 2 2 2 2" xfId="5091" xr:uid="{00000000-0005-0000-0000-0000C4450000}"/>
    <cellStyle name="40% - Accent4 9 2 2 2 2 2" xfId="8682" xr:uid="{00000000-0005-0000-0000-0000C5450000}"/>
    <cellStyle name="40% - Accent4 9 2 2 2 2 2 2" xfId="16653" xr:uid="{00000000-0005-0000-0000-0000C6450000}"/>
    <cellStyle name="40% - Accent4 9 2 2 2 2 2 2 2" xfId="40496" xr:uid="{F3DC5868-1C23-42B6-9682-ED69D4D10B13}"/>
    <cellStyle name="40% - Accent4 9 2 2 2 2 2 3" xfId="24599" xr:uid="{00000000-0005-0000-0000-0000C7450000}"/>
    <cellStyle name="40% - Accent4 9 2 2 2 2 2 3 2" xfId="48432" xr:uid="{52057548-0C53-4B87-A3E3-9ECA5E5628A7}"/>
    <cellStyle name="40% - Accent4 9 2 2 2 2 2 4" xfId="32555" xr:uid="{1364FCB9-C5F7-426B-B206-9F38AA33C240}"/>
    <cellStyle name="40% - Accent4 9 2 2 2 2 3" xfId="13115" xr:uid="{00000000-0005-0000-0000-0000C8450000}"/>
    <cellStyle name="40% - Accent4 9 2 2 2 2 3 2" xfId="36965" xr:uid="{7E515DAF-CEDE-45FD-BDC3-91F0CC768528}"/>
    <cellStyle name="40% - Accent4 9 2 2 2 2 4" xfId="21070" xr:uid="{00000000-0005-0000-0000-0000C9450000}"/>
    <cellStyle name="40% - Accent4 9 2 2 2 2 4 2" xfId="44903" xr:uid="{03149A34-15B5-46BF-A313-4CE2B6444D07}"/>
    <cellStyle name="40% - Accent4 9 2 2 2 2 5" xfId="29024" xr:uid="{32A0C035-C4AA-48B9-8DAB-04EDAB8E622E}"/>
    <cellStyle name="40% - Accent4 9 2 2 2 3" xfId="6923" xr:uid="{00000000-0005-0000-0000-0000CA450000}"/>
    <cellStyle name="40% - Accent4 9 2 2 2 3 2" xfId="14895" xr:uid="{00000000-0005-0000-0000-0000CB450000}"/>
    <cellStyle name="40% - Accent4 9 2 2 2 3 2 2" xfId="38738" xr:uid="{51A118D4-4173-43FC-97AA-83AD2D128BB1}"/>
    <cellStyle name="40% - Accent4 9 2 2 2 3 3" xfId="22842" xr:uid="{00000000-0005-0000-0000-0000CC450000}"/>
    <cellStyle name="40% - Accent4 9 2 2 2 3 3 2" xfId="46675" xr:uid="{3EB6F56B-D8EB-410D-A681-996D52942B52}"/>
    <cellStyle name="40% - Accent4 9 2 2 2 3 4" xfId="30797" xr:uid="{4D27049E-179E-4F6E-A9EC-FD5CE457FCD4}"/>
    <cellStyle name="40% - Accent4 9 2 2 2 4" xfId="11359" xr:uid="{00000000-0005-0000-0000-0000CD450000}"/>
    <cellStyle name="40% - Accent4 9 2 2 2 4 2" xfId="35209" xr:uid="{686BD776-C2AF-4E01-95B2-D95868CFC264}"/>
    <cellStyle name="40% - Accent4 9 2 2 2 5" xfId="19314" xr:uid="{00000000-0005-0000-0000-0000CE450000}"/>
    <cellStyle name="40% - Accent4 9 2 2 2 5 2" xfId="43147" xr:uid="{9D2D9A84-39D1-4F0F-859F-3BB631554739}"/>
    <cellStyle name="40% - Accent4 9 2 2 2 6" xfId="27267" xr:uid="{A459E301-9D59-406D-ADB0-664DE46B415C}"/>
    <cellStyle name="40% - Accent4 9 2 2 2_Exh G" xfId="3174" xr:uid="{00000000-0005-0000-0000-0000CF450000}"/>
    <cellStyle name="40% - Accent4 9 2 2 3" xfId="4212" xr:uid="{00000000-0005-0000-0000-0000D0450000}"/>
    <cellStyle name="40% - Accent4 9 2 2 3 2" xfId="7804" xr:uid="{00000000-0005-0000-0000-0000D1450000}"/>
    <cellStyle name="40% - Accent4 9 2 2 3 2 2" xfId="15775" xr:uid="{00000000-0005-0000-0000-0000D2450000}"/>
    <cellStyle name="40% - Accent4 9 2 2 3 2 2 2" xfId="39618" xr:uid="{6B25C532-23F5-4DA4-BF84-A2CEB10F19C5}"/>
    <cellStyle name="40% - Accent4 9 2 2 3 2 3" xfId="23721" xr:uid="{00000000-0005-0000-0000-0000D3450000}"/>
    <cellStyle name="40% - Accent4 9 2 2 3 2 3 2" xfId="47554" xr:uid="{E50F7716-BF59-4155-B724-9E23E8853293}"/>
    <cellStyle name="40% - Accent4 9 2 2 3 2 4" xfId="31677" xr:uid="{68857DD4-63CC-4A57-B4E9-FD02DC8DBF07}"/>
    <cellStyle name="40% - Accent4 9 2 2 3 3" xfId="12237" xr:uid="{00000000-0005-0000-0000-0000D4450000}"/>
    <cellStyle name="40% - Accent4 9 2 2 3 3 2" xfId="36087" xr:uid="{C4566F31-EE48-4F16-8D70-7B9087052BBE}"/>
    <cellStyle name="40% - Accent4 9 2 2 3 4" xfId="20192" xr:uid="{00000000-0005-0000-0000-0000D5450000}"/>
    <cellStyle name="40% - Accent4 9 2 2 3 4 2" xfId="44025" xr:uid="{DAFDE464-F1D1-4392-98E1-BF42128C0B83}"/>
    <cellStyle name="40% - Accent4 9 2 2 3 5" xfId="28146" xr:uid="{7728DDE6-4467-47A7-BB78-8126880B66DA}"/>
    <cellStyle name="40% - Accent4 9 2 2 4" xfId="6032" xr:uid="{00000000-0005-0000-0000-0000D6450000}"/>
    <cellStyle name="40% - Accent4 9 2 2 4 2" xfId="14016" xr:uid="{00000000-0005-0000-0000-0000D7450000}"/>
    <cellStyle name="40% - Accent4 9 2 2 4 2 2" xfId="37860" xr:uid="{EB1B98A8-4F4F-480B-A801-551A5782762C}"/>
    <cellStyle name="40% - Accent4 9 2 2 4 3" xfId="21964" xr:uid="{00000000-0005-0000-0000-0000D8450000}"/>
    <cellStyle name="40% - Accent4 9 2 2 4 3 2" xfId="45797" xr:uid="{391EEBF4-B1F3-430E-B788-CF311F304DEA}"/>
    <cellStyle name="40% - Accent4 9 2 2 4 4" xfId="29919" xr:uid="{ED86455C-EAE4-4E42-9881-7031E74C1CBC}"/>
    <cellStyle name="40% - Accent4 9 2 2 5" xfId="9585" xr:uid="{00000000-0005-0000-0000-0000D9450000}"/>
    <cellStyle name="40% - Accent4 9 2 2 5 2" xfId="17543" xr:uid="{00000000-0005-0000-0000-0000DA450000}"/>
    <cellStyle name="40% - Accent4 9 2 2 5 2 2" xfId="41384" xr:uid="{AE2B174A-1528-4AA2-A6A8-417BBA36A2D9}"/>
    <cellStyle name="40% - Accent4 9 2 2 5 3" xfId="25487" xr:uid="{00000000-0005-0000-0000-0000DB450000}"/>
    <cellStyle name="40% - Accent4 9 2 2 5 3 2" xfId="49320" xr:uid="{BECC102F-9B34-4184-957F-18586887D3FA}"/>
    <cellStyle name="40% - Accent4 9 2 2 5 4" xfId="33443" xr:uid="{6E195903-3C59-4B93-A7FD-B4F6E9791AB5}"/>
    <cellStyle name="40% - Accent4 9 2 2 6" xfId="10481" xr:uid="{00000000-0005-0000-0000-0000DC450000}"/>
    <cellStyle name="40% - Accent4 9 2 2 6 2" xfId="34331" xr:uid="{B69A2EB7-1812-496F-AC42-6ADBBEFFA713}"/>
    <cellStyle name="40% - Accent4 9 2 2 7" xfId="18436" xr:uid="{00000000-0005-0000-0000-0000DD450000}"/>
    <cellStyle name="40% - Accent4 9 2 2 7 2" xfId="42269" xr:uid="{A5F23778-3DA0-4FFE-8A83-FB80EF596FFF}"/>
    <cellStyle name="40% - Accent4 9 2 2 8" xfId="26389" xr:uid="{205551B2-8674-4AAB-9B7A-CD7FCABBC13B}"/>
    <cellStyle name="40% - Accent4 9 2 2_Exh G" xfId="3173" xr:uid="{00000000-0005-0000-0000-0000DE450000}"/>
    <cellStyle name="40% - Accent4 9 2 3" xfId="1560" xr:uid="{00000000-0005-0000-0000-0000DF450000}"/>
    <cellStyle name="40% - Accent4 9 2 3 2" xfId="5090" xr:uid="{00000000-0005-0000-0000-0000E0450000}"/>
    <cellStyle name="40% - Accent4 9 2 3 2 2" xfId="8681" xr:uid="{00000000-0005-0000-0000-0000E1450000}"/>
    <cellStyle name="40% - Accent4 9 2 3 2 2 2" xfId="16652" xr:uid="{00000000-0005-0000-0000-0000E2450000}"/>
    <cellStyle name="40% - Accent4 9 2 3 2 2 2 2" xfId="40495" xr:uid="{A49AD422-00EE-478C-A68C-E296C11A90E6}"/>
    <cellStyle name="40% - Accent4 9 2 3 2 2 3" xfId="24598" xr:uid="{00000000-0005-0000-0000-0000E3450000}"/>
    <cellStyle name="40% - Accent4 9 2 3 2 2 3 2" xfId="48431" xr:uid="{8A54A110-DE04-4D5C-A9EA-6F261BABA999}"/>
    <cellStyle name="40% - Accent4 9 2 3 2 2 4" xfId="32554" xr:uid="{977B4B48-C20C-418C-BE92-0FA68C5A1289}"/>
    <cellStyle name="40% - Accent4 9 2 3 2 3" xfId="13114" xr:uid="{00000000-0005-0000-0000-0000E4450000}"/>
    <cellStyle name="40% - Accent4 9 2 3 2 3 2" xfId="36964" xr:uid="{A0854B80-B779-463D-9DC5-0E630C4578DC}"/>
    <cellStyle name="40% - Accent4 9 2 3 2 4" xfId="21069" xr:uid="{00000000-0005-0000-0000-0000E5450000}"/>
    <cellStyle name="40% - Accent4 9 2 3 2 4 2" xfId="44902" xr:uid="{A1A56C77-9205-4496-9A1A-3127469602ED}"/>
    <cellStyle name="40% - Accent4 9 2 3 2 5" xfId="29023" xr:uid="{7F84FB0C-4F9D-4284-85A1-DEF84A50A853}"/>
    <cellStyle name="40% - Accent4 9 2 3 3" xfId="6922" xr:uid="{00000000-0005-0000-0000-0000E6450000}"/>
    <cellStyle name="40% - Accent4 9 2 3 3 2" xfId="14894" xr:uid="{00000000-0005-0000-0000-0000E7450000}"/>
    <cellStyle name="40% - Accent4 9 2 3 3 2 2" xfId="38737" xr:uid="{908829F0-DD82-44BE-9C6C-1A4E80EE612F}"/>
    <cellStyle name="40% - Accent4 9 2 3 3 3" xfId="22841" xr:uid="{00000000-0005-0000-0000-0000E8450000}"/>
    <cellStyle name="40% - Accent4 9 2 3 3 3 2" xfId="46674" xr:uid="{4877084F-7078-40A0-A0F2-6748439BB995}"/>
    <cellStyle name="40% - Accent4 9 2 3 3 4" xfId="30796" xr:uid="{6BCE5470-8855-4413-9596-934E771F5CC1}"/>
    <cellStyle name="40% - Accent4 9 2 3 4" xfId="11358" xr:uid="{00000000-0005-0000-0000-0000E9450000}"/>
    <cellStyle name="40% - Accent4 9 2 3 4 2" xfId="35208" xr:uid="{ED5B5398-5364-4540-8BFE-5337FED02C16}"/>
    <cellStyle name="40% - Accent4 9 2 3 5" xfId="19313" xr:uid="{00000000-0005-0000-0000-0000EA450000}"/>
    <cellStyle name="40% - Accent4 9 2 3 5 2" xfId="43146" xr:uid="{DDE14DB2-2FA1-46CF-A4BD-B894EDFE6B81}"/>
    <cellStyle name="40% - Accent4 9 2 3 6" xfId="27266" xr:uid="{9C78C028-D751-425B-81CE-2D13704CC7B7}"/>
    <cellStyle name="40% - Accent4 9 2 3_Exh G" xfId="3175" xr:uid="{00000000-0005-0000-0000-0000EB450000}"/>
    <cellStyle name="40% - Accent4 9 2 4" xfId="4211" xr:uid="{00000000-0005-0000-0000-0000EC450000}"/>
    <cellStyle name="40% - Accent4 9 2 4 2" xfId="7803" xr:uid="{00000000-0005-0000-0000-0000ED450000}"/>
    <cellStyle name="40% - Accent4 9 2 4 2 2" xfId="15774" xr:uid="{00000000-0005-0000-0000-0000EE450000}"/>
    <cellStyle name="40% - Accent4 9 2 4 2 2 2" xfId="39617" xr:uid="{7A27B800-8F7C-4E2B-A8F0-8A808825038B}"/>
    <cellStyle name="40% - Accent4 9 2 4 2 3" xfId="23720" xr:uid="{00000000-0005-0000-0000-0000EF450000}"/>
    <cellStyle name="40% - Accent4 9 2 4 2 3 2" xfId="47553" xr:uid="{CC43ACAA-4F62-4CA4-8E63-55530E320B56}"/>
    <cellStyle name="40% - Accent4 9 2 4 2 4" xfId="31676" xr:uid="{511E5712-C39B-4870-9FF6-F35F4651419E}"/>
    <cellStyle name="40% - Accent4 9 2 4 3" xfId="12236" xr:uid="{00000000-0005-0000-0000-0000F0450000}"/>
    <cellStyle name="40% - Accent4 9 2 4 3 2" xfId="36086" xr:uid="{1EE9D85B-924D-435A-A4BE-CDBFFC2C4610}"/>
    <cellStyle name="40% - Accent4 9 2 4 4" xfId="20191" xr:uid="{00000000-0005-0000-0000-0000F1450000}"/>
    <cellStyle name="40% - Accent4 9 2 4 4 2" xfId="44024" xr:uid="{C8CB06CE-3B1F-4FB9-8244-CCB377231304}"/>
    <cellStyle name="40% - Accent4 9 2 4 5" xfId="28145" xr:uid="{7EAF76C0-1F7F-4EF3-B90B-F4C047D35A19}"/>
    <cellStyle name="40% - Accent4 9 2 5" xfId="6031" xr:uid="{00000000-0005-0000-0000-0000F2450000}"/>
    <cellStyle name="40% - Accent4 9 2 5 2" xfId="14015" xr:uid="{00000000-0005-0000-0000-0000F3450000}"/>
    <cellStyle name="40% - Accent4 9 2 5 2 2" xfId="37859" xr:uid="{95F68D56-A4A0-459E-B0B7-DE38B6908D34}"/>
    <cellStyle name="40% - Accent4 9 2 5 3" xfId="21963" xr:uid="{00000000-0005-0000-0000-0000F4450000}"/>
    <cellStyle name="40% - Accent4 9 2 5 3 2" xfId="45796" xr:uid="{5B97E927-4635-41E8-B803-6F9303FF4193}"/>
    <cellStyle name="40% - Accent4 9 2 5 4" xfId="29918" xr:uid="{256331E3-BB61-4E1A-A963-F3D40C7DFD3C}"/>
    <cellStyle name="40% - Accent4 9 2 6" xfId="9584" xr:uid="{00000000-0005-0000-0000-0000F5450000}"/>
    <cellStyle name="40% - Accent4 9 2 6 2" xfId="17542" xr:uid="{00000000-0005-0000-0000-0000F6450000}"/>
    <cellStyle name="40% - Accent4 9 2 6 2 2" xfId="41383" xr:uid="{DCEDD45B-6F05-4F6B-B486-483765B7FD24}"/>
    <cellStyle name="40% - Accent4 9 2 6 3" xfId="25486" xr:uid="{00000000-0005-0000-0000-0000F7450000}"/>
    <cellStyle name="40% - Accent4 9 2 6 3 2" xfId="49319" xr:uid="{AE6986C2-41DE-4DC0-9E87-F04DCBB3FD7A}"/>
    <cellStyle name="40% - Accent4 9 2 6 4" xfId="33442" xr:uid="{4C95A074-5CE8-4683-8CCF-DE3901133EBD}"/>
    <cellStyle name="40% - Accent4 9 2 7" xfId="10480" xr:uid="{00000000-0005-0000-0000-0000F8450000}"/>
    <cellStyle name="40% - Accent4 9 2 7 2" xfId="34330" xr:uid="{00D14DF5-FEDB-466C-BCF5-1B778578BCC7}"/>
    <cellStyle name="40% - Accent4 9 2 8" xfId="18435" xr:uid="{00000000-0005-0000-0000-0000F9450000}"/>
    <cellStyle name="40% - Accent4 9 2 8 2" xfId="42268" xr:uid="{24AFB4DD-AC10-431F-BB5D-9F3AB254B093}"/>
    <cellStyle name="40% - Accent4 9 2 9" xfId="26388" xr:uid="{55D12E52-096E-46A7-9C0A-5E31A5FADFBA}"/>
    <cellStyle name="40% - Accent4 9 2_Exh G" xfId="3172" xr:uid="{00000000-0005-0000-0000-0000FA450000}"/>
    <cellStyle name="40% - Accent4 9 3" xfId="534" xr:uid="{00000000-0005-0000-0000-0000FB450000}"/>
    <cellStyle name="40% - Accent4 9 3 2" xfId="1562" xr:uid="{00000000-0005-0000-0000-0000FC450000}"/>
    <cellStyle name="40% - Accent4 9 3 2 2" xfId="5092" xr:uid="{00000000-0005-0000-0000-0000FD450000}"/>
    <cellStyle name="40% - Accent4 9 3 2 2 2" xfId="8683" xr:uid="{00000000-0005-0000-0000-0000FE450000}"/>
    <cellStyle name="40% - Accent4 9 3 2 2 2 2" xfId="16654" xr:uid="{00000000-0005-0000-0000-0000FF450000}"/>
    <cellStyle name="40% - Accent4 9 3 2 2 2 2 2" xfId="40497" xr:uid="{F6E4C7D8-2CBB-4D33-9FEF-2B7404F177AC}"/>
    <cellStyle name="40% - Accent4 9 3 2 2 2 3" xfId="24600" xr:uid="{00000000-0005-0000-0000-000000460000}"/>
    <cellStyle name="40% - Accent4 9 3 2 2 2 3 2" xfId="48433" xr:uid="{863C73CB-E910-4E3B-8D10-E0F65C278726}"/>
    <cellStyle name="40% - Accent4 9 3 2 2 2 4" xfId="32556" xr:uid="{4A93B51B-CB82-474D-95E9-FE1FB5BDC67D}"/>
    <cellStyle name="40% - Accent4 9 3 2 2 3" xfId="13116" xr:uid="{00000000-0005-0000-0000-000001460000}"/>
    <cellStyle name="40% - Accent4 9 3 2 2 3 2" xfId="36966" xr:uid="{BE7A8458-C342-4EB6-94FC-779891703E6A}"/>
    <cellStyle name="40% - Accent4 9 3 2 2 4" xfId="21071" xr:uid="{00000000-0005-0000-0000-000002460000}"/>
    <cellStyle name="40% - Accent4 9 3 2 2 4 2" xfId="44904" xr:uid="{6E588575-2405-4962-BF5C-F4AA972F596E}"/>
    <cellStyle name="40% - Accent4 9 3 2 2 5" xfId="29025" xr:uid="{477D7B3C-0944-425C-85F3-144CBF6A4904}"/>
    <cellStyle name="40% - Accent4 9 3 2 3" xfId="6924" xr:uid="{00000000-0005-0000-0000-000003460000}"/>
    <cellStyle name="40% - Accent4 9 3 2 3 2" xfId="14896" xr:uid="{00000000-0005-0000-0000-000004460000}"/>
    <cellStyle name="40% - Accent4 9 3 2 3 2 2" xfId="38739" xr:uid="{5CE99865-F603-47F5-9F04-0BBFDF457E1F}"/>
    <cellStyle name="40% - Accent4 9 3 2 3 3" xfId="22843" xr:uid="{00000000-0005-0000-0000-000005460000}"/>
    <cellStyle name="40% - Accent4 9 3 2 3 3 2" xfId="46676" xr:uid="{1901E70E-4C49-4F54-A3C5-1B202527A810}"/>
    <cellStyle name="40% - Accent4 9 3 2 3 4" xfId="30798" xr:uid="{7B38994B-0706-4170-AD24-157D3BC2D2EB}"/>
    <cellStyle name="40% - Accent4 9 3 2 4" xfId="11360" xr:uid="{00000000-0005-0000-0000-000006460000}"/>
    <cellStyle name="40% - Accent4 9 3 2 4 2" xfId="35210" xr:uid="{DAD9C4FD-F23F-44A1-A904-F7E8B462D76B}"/>
    <cellStyle name="40% - Accent4 9 3 2 5" xfId="19315" xr:uid="{00000000-0005-0000-0000-000007460000}"/>
    <cellStyle name="40% - Accent4 9 3 2 5 2" xfId="43148" xr:uid="{38C33DC3-0D46-4036-81A7-D231FFB43D20}"/>
    <cellStyle name="40% - Accent4 9 3 2 6" xfId="27268" xr:uid="{4E343AC9-0ACC-48DE-A4C8-75B23663D857}"/>
    <cellStyle name="40% - Accent4 9 3 2_Exh G" xfId="3177" xr:uid="{00000000-0005-0000-0000-000008460000}"/>
    <cellStyle name="40% - Accent4 9 3 3" xfId="4213" xr:uid="{00000000-0005-0000-0000-000009460000}"/>
    <cellStyle name="40% - Accent4 9 3 3 2" xfId="7805" xr:uid="{00000000-0005-0000-0000-00000A460000}"/>
    <cellStyle name="40% - Accent4 9 3 3 2 2" xfId="15776" xr:uid="{00000000-0005-0000-0000-00000B460000}"/>
    <cellStyle name="40% - Accent4 9 3 3 2 2 2" xfId="39619" xr:uid="{CEFBEC0F-D27F-44D3-8438-E560D7BE948C}"/>
    <cellStyle name="40% - Accent4 9 3 3 2 3" xfId="23722" xr:uid="{00000000-0005-0000-0000-00000C460000}"/>
    <cellStyle name="40% - Accent4 9 3 3 2 3 2" xfId="47555" xr:uid="{4C37F22F-A508-4904-B4CB-6AA25844B7F3}"/>
    <cellStyle name="40% - Accent4 9 3 3 2 4" xfId="31678" xr:uid="{2DE8BC41-605C-4C51-910C-34A46536A8C8}"/>
    <cellStyle name="40% - Accent4 9 3 3 3" xfId="12238" xr:uid="{00000000-0005-0000-0000-00000D460000}"/>
    <cellStyle name="40% - Accent4 9 3 3 3 2" xfId="36088" xr:uid="{40C1D963-23C8-4C13-B5DD-36864A11450E}"/>
    <cellStyle name="40% - Accent4 9 3 3 4" xfId="20193" xr:uid="{00000000-0005-0000-0000-00000E460000}"/>
    <cellStyle name="40% - Accent4 9 3 3 4 2" xfId="44026" xr:uid="{0E3946AD-65D3-4672-8108-E16EC935FC39}"/>
    <cellStyle name="40% - Accent4 9 3 3 5" xfId="28147" xr:uid="{2A0D454D-2E66-4137-A644-8A644D55F203}"/>
    <cellStyle name="40% - Accent4 9 3 4" xfId="6033" xr:uid="{00000000-0005-0000-0000-00000F460000}"/>
    <cellStyle name="40% - Accent4 9 3 4 2" xfId="14017" xr:uid="{00000000-0005-0000-0000-000010460000}"/>
    <cellStyle name="40% - Accent4 9 3 4 2 2" xfId="37861" xr:uid="{39EDEAB2-4EE3-4A27-B80D-F8B111262EC0}"/>
    <cellStyle name="40% - Accent4 9 3 4 3" xfId="21965" xr:uid="{00000000-0005-0000-0000-000011460000}"/>
    <cellStyle name="40% - Accent4 9 3 4 3 2" xfId="45798" xr:uid="{368BCEE7-96AB-4012-B095-F07E15CA1846}"/>
    <cellStyle name="40% - Accent4 9 3 4 4" xfId="29920" xr:uid="{76DAF6B3-9478-4B51-8523-8123B19C4A8D}"/>
    <cellStyle name="40% - Accent4 9 3 5" xfId="9586" xr:uid="{00000000-0005-0000-0000-000012460000}"/>
    <cellStyle name="40% - Accent4 9 3 5 2" xfId="17544" xr:uid="{00000000-0005-0000-0000-000013460000}"/>
    <cellStyle name="40% - Accent4 9 3 5 2 2" xfId="41385" xr:uid="{40558A74-8AA2-497D-AF60-5062F1161762}"/>
    <cellStyle name="40% - Accent4 9 3 5 3" xfId="25488" xr:uid="{00000000-0005-0000-0000-000014460000}"/>
    <cellStyle name="40% - Accent4 9 3 5 3 2" xfId="49321" xr:uid="{B9F39794-189F-4214-B509-6B7B7E8F4EBD}"/>
    <cellStyle name="40% - Accent4 9 3 5 4" xfId="33444" xr:uid="{30A4F888-7C78-4D75-819E-F030D6737B99}"/>
    <cellStyle name="40% - Accent4 9 3 6" xfId="10482" xr:uid="{00000000-0005-0000-0000-000015460000}"/>
    <cellStyle name="40% - Accent4 9 3 6 2" xfId="34332" xr:uid="{41EA65EB-6715-4AB1-8C86-E4D85596E042}"/>
    <cellStyle name="40% - Accent4 9 3 7" xfId="18437" xr:uid="{00000000-0005-0000-0000-000016460000}"/>
    <cellStyle name="40% - Accent4 9 3 7 2" xfId="42270" xr:uid="{66B7F4B1-481C-4D45-95F1-55D7B9E1096F}"/>
    <cellStyle name="40% - Accent4 9 3 8" xfId="26390" xr:uid="{B4F57FD9-0E3E-4A09-A52E-3C6571B06F8E}"/>
    <cellStyle name="40% - Accent4 9 3_Exh G" xfId="3176" xr:uid="{00000000-0005-0000-0000-000017460000}"/>
    <cellStyle name="40% - Accent4 9 4" xfId="981" xr:uid="{00000000-0005-0000-0000-000018460000}"/>
    <cellStyle name="40% - Accent4 9 4 2" xfId="1898" xr:uid="{00000000-0005-0000-0000-000019460000}"/>
    <cellStyle name="40% - Accent4 9 4 2 2" xfId="5416" xr:uid="{00000000-0005-0000-0000-00001A460000}"/>
    <cellStyle name="40% - Accent4 9 4 2 2 2" xfId="9007" xr:uid="{00000000-0005-0000-0000-00001B460000}"/>
    <cellStyle name="40% - Accent4 9 4 2 2 2 2" xfId="16978" xr:uid="{00000000-0005-0000-0000-00001C460000}"/>
    <cellStyle name="40% - Accent4 9 4 2 2 2 2 2" xfId="40821" xr:uid="{F81B094A-70C0-408E-8CD1-E04FE93121AF}"/>
    <cellStyle name="40% - Accent4 9 4 2 2 2 3" xfId="24924" xr:uid="{00000000-0005-0000-0000-00001D460000}"/>
    <cellStyle name="40% - Accent4 9 4 2 2 2 3 2" xfId="48757" xr:uid="{51261670-318B-4150-9446-0A44DCBC96AB}"/>
    <cellStyle name="40% - Accent4 9 4 2 2 2 4" xfId="32880" xr:uid="{498E7726-EA7A-431E-8873-624E7B660C23}"/>
    <cellStyle name="40% - Accent4 9 4 2 2 3" xfId="13440" xr:uid="{00000000-0005-0000-0000-00001E460000}"/>
    <cellStyle name="40% - Accent4 9 4 2 2 3 2" xfId="37290" xr:uid="{96F42CF8-05BD-4B39-8C11-32B933866BC2}"/>
    <cellStyle name="40% - Accent4 9 4 2 2 4" xfId="21395" xr:uid="{00000000-0005-0000-0000-00001F460000}"/>
    <cellStyle name="40% - Accent4 9 4 2 2 4 2" xfId="45228" xr:uid="{511C3B9A-8CE4-468D-A684-6DB1FA9C7E97}"/>
    <cellStyle name="40% - Accent4 9 4 2 2 5" xfId="29349" xr:uid="{269409D8-BB32-485C-BE1C-32B75A49E04F}"/>
    <cellStyle name="40% - Accent4 9 4 2 3" xfId="7248" xr:uid="{00000000-0005-0000-0000-000020460000}"/>
    <cellStyle name="40% - Accent4 9 4 2 3 2" xfId="15220" xr:uid="{00000000-0005-0000-0000-000021460000}"/>
    <cellStyle name="40% - Accent4 9 4 2 3 2 2" xfId="39063" xr:uid="{31D35961-80B7-4B59-865F-292728A9C336}"/>
    <cellStyle name="40% - Accent4 9 4 2 3 3" xfId="23167" xr:uid="{00000000-0005-0000-0000-000022460000}"/>
    <cellStyle name="40% - Accent4 9 4 2 3 3 2" xfId="47000" xr:uid="{A98414D3-D47F-4679-A2C5-FFC4B9959BD4}"/>
    <cellStyle name="40% - Accent4 9 4 2 3 4" xfId="31122" xr:uid="{3958832A-DBA6-43AC-BDCB-9359A4C72518}"/>
    <cellStyle name="40% - Accent4 9 4 2 4" xfId="11684" xr:uid="{00000000-0005-0000-0000-000023460000}"/>
    <cellStyle name="40% - Accent4 9 4 2 4 2" xfId="35534" xr:uid="{DF75770D-2E1C-48ED-B251-45FE34BB0292}"/>
    <cellStyle name="40% - Accent4 9 4 2 5" xfId="19639" xr:uid="{00000000-0005-0000-0000-000024460000}"/>
    <cellStyle name="40% - Accent4 9 4 2 5 2" xfId="43472" xr:uid="{7C0CC221-4A37-42BE-A8D2-4FC822465B79}"/>
    <cellStyle name="40% - Accent4 9 4 2 6" xfId="27592" xr:uid="{69EBCF3A-9BCA-46D8-9012-FB88B07D5D98}"/>
    <cellStyle name="40% - Accent4 9 4 2_Exh G" xfId="3179" xr:uid="{00000000-0005-0000-0000-000025460000}"/>
    <cellStyle name="40% - Accent4 9 4 3" xfId="4537" xr:uid="{00000000-0005-0000-0000-000026460000}"/>
    <cellStyle name="40% - Accent4 9 4 3 2" xfId="8129" xr:uid="{00000000-0005-0000-0000-000027460000}"/>
    <cellStyle name="40% - Accent4 9 4 3 2 2" xfId="16100" xr:uid="{00000000-0005-0000-0000-000028460000}"/>
    <cellStyle name="40% - Accent4 9 4 3 2 2 2" xfId="39943" xr:uid="{414EB6E4-7C42-48D2-B811-87E6CE1CF8ED}"/>
    <cellStyle name="40% - Accent4 9 4 3 2 3" xfId="24046" xr:uid="{00000000-0005-0000-0000-000029460000}"/>
    <cellStyle name="40% - Accent4 9 4 3 2 3 2" xfId="47879" xr:uid="{3A12DC10-6AC7-45DE-876A-5A32421415BF}"/>
    <cellStyle name="40% - Accent4 9 4 3 2 4" xfId="32002" xr:uid="{CCDFB54F-D3E7-4B27-BBD5-54A2E6CFFA97}"/>
    <cellStyle name="40% - Accent4 9 4 3 3" xfId="12562" xr:uid="{00000000-0005-0000-0000-00002A460000}"/>
    <cellStyle name="40% - Accent4 9 4 3 3 2" xfId="36412" xr:uid="{C9918D3A-F789-4E98-B69A-0FBC4EA6A9BF}"/>
    <cellStyle name="40% - Accent4 9 4 3 4" xfId="20517" xr:uid="{00000000-0005-0000-0000-00002B460000}"/>
    <cellStyle name="40% - Accent4 9 4 3 4 2" xfId="44350" xr:uid="{209B5AB2-C186-4C15-840C-B86D77089BF9}"/>
    <cellStyle name="40% - Accent4 9 4 3 5" xfId="28471" xr:uid="{A5C09C57-1655-49EF-9A0E-FC60373F89C6}"/>
    <cellStyle name="40% - Accent4 9 4 4" xfId="6367" xr:uid="{00000000-0005-0000-0000-00002C460000}"/>
    <cellStyle name="40% - Accent4 9 4 4 2" xfId="14342" xr:uid="{00000000-0005-0000-0000-00002D460000}"/>
    <cellStyle name="40% - Accent4 9 4 4 2 2" xfId="38185" xr:uid="{223A9117-62A0-46D5-9D0F-751C7DDA89C7}"/>
    <cellStyle name="40% - Accent4 9 4 4 3" xfId="22289" xr:uid="{00000000-0005-0000-0000-00002E460000}"/>
    <cellStyle name="40% - Accent4 9 4 4 3 2" xfId="46122" xr:uid="{0625CD5A-47FD-44AB-9EB2-B799544354C8}"/>
    <cellStyle name="40% - Accent4 9 4 4 4" xfId="30244" xr:uid="{CB3924FE-18BD-4CE3-A54D-D4F00E1D618F}"/>
    <cellStyle name="40% - Accent4 9 4 5" xfId="9910" xr:uid="{00000000-0005-0000-0000-00002F460000}"/>
    <cellStyle name="40% - Accent4 9 4 5 2" xfId="17868" xr:uid="{00000000-0005-0000-0000-000030460000}"/>
    <cellStyle name="40% - Accent4 9 4 5 2 2" xfId="41709" xr:uid="{DD16FFCA-E63D-4525-9536-3F8A1B8D10F5}"/>
    <cellStyle name="40% - Accent4 9 4 5 3" xfId="25812" xr:uid="{00000000-0005-0000-0000-000031460000}"/>
    <cellStyle name="40% - Accent4 9 4 5 3 2" xfId="49645" xr:uid="{7C4FFC26-064F-4497-9F6D-9DBE59643D56}"/>
    <cellStyle name="40% - Accent4 9 4 5 4" xfId="33768" xr:uid="{639A7245-AA5E-4765-BB9D-076B6FE61C5D}"/>
    <cellStyle name="40% - Accent4 9 4 6" xfId="10806" xr:uid="{00000000-0005-0000-0000-000032460000}"/>
    <cellStyle name="40% - Accent4 9 4 6 2" xfId="34656" xr:uid="{1A0D6687-95DB-4AA5-9DEA-C57CFE01B107}"/>
    <cellStyle name="40% - Accent4 9 4 7" xfId="18761" xr:uid="{00000000-0005-0000-0000-000033460000}"/>
    <cellStyle name="40% - Accent4 9 4 7 2" xfId="42594" xr:uid="{D39A76B0-8916-458B-BA3E-32C5D9762B75}"/>
    <cellStyle name="40% - Accent4 9 4 8" xfId="26714" xr:uid="{A84994A0-C489-4E3B-9F04-0D203F350F85}"/>
    <cellStyle name="40% - Accent4 9 4_Exh G" xfId="3178" xr:uid="{00000000-0005-0000-0000-000034460000}"/>
    <cellStyle name="40% - Accent4 9 5" xfId="1559" xr:uid="{00000000-0005-0000-0000-000035460000}"/>
    <cellStyle name="40% - Accent4 9 5 2" xfId="5089" xr:uid="{00000000-0005-0000-0000-000036460000}"/>
    <cellStyle name="40% - Accent4 9 5 2 2" xfId="8680" xr:uid="{00000000-0005-0000-0000-000037460000}"/>
    <cellStyle name="40% - Accent4 9 5 2 2 2" xfId="16651" xr:uid="{00000000-0005-0000-0000-000038460000}"/>
    <cellStyle name="40% - Accent4 9 5 2 2 2 2" xfId="40494" xr:uid="{52BB24A3-B974-4B75-8C7D-C5D47EC2F9ED}"/>
    <cellStyle name="40% - Accent4 9 5 2 2 3" xfId="24597" xr:uid="{00000000-0005-0000-0000-000039460000}"/>
    <cellStyle name="40% - Accent4 9 5 2 2 3 2" xfId="48430" xr:uid="{93A2858F-1EEB-4A35-9B57-CDD6B5456170}"/>
    <cellStyle name="40% - Accent4 9 5 2 2 4" xfId="32553" xr:uid="{3BF8DF36-8B1C-47D3-84EB-EA44BFF99163}"/>
    <cellStyle name="40% - Accent4 9 5 2 3" xfId="13113" xr:uid="{00000000-0005-0000-0000-00003A460000}"/>
    <cellStyle name="40% - Accent4 9 5 2 3 2" xfId="36963" xr:uid="{77AC53C1-D322-467A-91C6-70E8FA806471}"/>
    <cellStyle name="40% - Accent4 9 5 2 4" xfId="21068" xr:uid="{00000000-0005-0000-0000-00003B460000}"/>
    <cellStyle name="40% - Accent4 9 5 2 4 2" xfId="44901" xr:uid="{31FC8647-11F3-4CE2-A682-3C9DCE441B88}"/>
    <cellStyle name="40% - Accent4 9 5 2 5" xfId="29022" xr:uid="{B2BB409C-095C-48B9-AE80-AF7164EFEEC9}"/>
    <cellStyle name="40% - Accent4 9 5 3" xfId="6921" xr:uid="{00000000-0005-0000-0000-00003C460000}"/>
    <cellStyle name="40% - Accent4 9 5 3 2" xfId="14893" xr:uid="{00000000-0005-0000-0000-00003D460000}"/>
    <cellStyle name="40% - Accent4 9 5 3 2 2" xfId="38736" xr:uid="{0149FB87-530C-40D3-9A9F-5EA6E308AEB9}"/>
    <cellStyle name="40% - Accent4 9 5 3 3" xfId="22840" xr:uid="{00000000-0005-0000-0000-00003E460000}"/>
    <cellStyle name="40% - Accent4 9 5 3 3 2" xfId="46673" xr:uid="{B11B660D-E09A-4A99-B998-FEDCD110C2F8}"/>
    <cellStyle name="40% - Accent4 9 5 3 4" xfId="30795" xr:uid="{255613A0-7271-46D5-A266-81095E8152B8}"/>
    <cellStyle name="40% - Accent4 9 5 4" xfId="11357" xr:uid="{00000000-0005-0000-0000-00003F460000}"/>
    <cellStyle name="40% - Accent4 9 5 4 2" xfId="35207" xr:uid="{D5EA5B03-3246-43E4-8D47-FBB04846CF55}"/>
    <cellStyle name="40% - Accent4 9 5 5" xfId="19312" xr:uid="{00000000-0005-0000-0000-000040460000}"/>
    <cellStyle name="40% - Accent4 9 5 5 2" xfId="43145" xr:uid="{C5F31A89-899C-4058-8FD5-E8D044028165}"/>
    <cellStyle name="40% - Accent4 9 5 6" xfId="27265" xr:uid="{11022CE6-E959-44EF-8161-041FACBBE109}"/>
    <cellStyle name="40% - Accent4 9 5_Exh G" xfId="3180" xr:uid="{00000000-0005-0000-0000-000041460000}"/>
    <cellStyle name="40% - Accent4 9 6" xfId="4210" xr:uid="{00000000-0005-0000-0000-000042460000}"/>
    <cellStyle name="40% - Accent4 9 6 2" xfId="7802" xr:uid="{00000000-0005-0000-0000-000043460000}"/>
    <cellStyle name="40% - Accent4 9 6 2 2" xfId="15773" xr:uid="{00000000-0005-0000-0000-000044460000}"/>
    <cellStyle name="40% - Accent4 9 6 2 2 2" xfId="39616" xr:uid="{CC919A9E-1C0A-4B1C-BF44-54966C82564D}"/>
    <cellStyle name="40% - Accent4 9 6 2 3" xfId="23719" xr:uid="{00000000-0005-0000-0000-000045460000}"/>
    <cellStyle name="40% - Accent4 9 6 2 3 2" xfId="47552" xr:uid="{45ED0D18-8C1B-4E6C-8E1B-C63BAD19D1A0}"/>
    <cellStyle name="40% - Accent4 9 6 2 4" xfId="31675" xr:uid="{BE292ADE-9E94-4B0C-9236-E3A9E0D0F949}"/>
    <cellStyle name="40% - Accent4 9 6 3" xfId="12235" xr:uid="{00000000-0005-0000-0000-000046460000}"/>
    <cellStyle name="40% - Accent4 9 6 3 2" xfId="36085" xr:uid="{62FA1F96-C0E7-4765-B06E-F0A979A871EE}"/>
    <cellStyle name="40% - Accent4 9 6 4" xfId="20190" xr:uid="{00000000-0005-0000-0000-000047460000}"/>
    <cellStyle name="40% - Accent4 9 6 4 2" xfId="44023" xr:uid="{194F3556-24EE-46D3-A73C-EB6375303C3D}"/>
    <cellStyle name="40% - Accent4 9 6 5" xfId="28144" xr:uid="{CEDD5FB6-5F41-4BF4-964E-B64FB21F4F9D}"/>
    <cellStyle name="40% - Accent4 9 7" xfId="6030" xr:uid="{00000000-0005-0000-0000-000048460000}"/>
    <cellStyle name="40% - Accent4 9 7 2" xfId="14014" xr:uid="{00000000-0005-0000-0000-000049460000}"/>
    <cellStyle name="40% - Accent4 9 7 2 2" xfId="37858" xr:uid="{888F3AD7-7E9E-4BAC-AA52-371274A3B331}"/>
    <cellStyle name="40% - Accent4 9 7 3" xfId="21962" xr:uid="{00000000-0005-0000-0000-00004A460000}"/>
    <cellStyle name="40% - Accent4 9 7 3 2" xfId="45795" xr:uid="{51AC3365-1F57-4159-8DE0-83077351E805}"/>
    <cellStyle name="40% - Accent4 9 7 4" xfId="29917" xr:uid="{0E6F5862-ACBC-4AEB-9B90-629FEA8A9B53}"/>
    <cellStyle name="40% - Accent4 9 8" xfId="9583" xr:uid="{00000000-0005-0000-0000-00004B460000}"/>
    <cellStyle name="40% - Accent4 9 8 2" xfId="17541" xr:uid="{00000000-0005-0000-0000-00004C460000}"/>
    <cellStyle name="40% - Accent4 9 8 2 2" xfId="41382" xr:uid="{436FFC10-9E6D-4E45-9A22-F50FF86B4799}"/>
    <cellStyle name="40% - Accent4 9 8 3" xfId="25485" xr:uid="{00000000-0005-0000-0000-00004D460000}"/>
    <cellStyle name="40% - Accent4 9 8 3 2" xfId="49318" xr:uid="{07755CC3-872D-4CB8-9AF9-9B811D326683}"/>
    <cellStyle name="40% - Accent4 9 8 4" xfId="33441" xr:uid="{7B23DCC4-74BC-4651-9BF5-823E15048983}"/>
    <cellStyle name="40% - Accent4 9 9" xfId="10479" xr:uid="{00000000-0005-0000-0000-00004E460000}"/>
    <cellStyle name="40% - Accent4 9 9 2" xfId="34329" xr:uid="{9E6F37D5-133C-46E1-9926-52BC327410BD}"/>
    <cellStyle name="40% - Accent4 9_Exh G" xfId="3171" xr:uid="{00000000-0005-0000-0000-00004F460000}"/>
    <cellStyle name="40% - Accent5" xfId="49706" builtinId="47" customBuiltin="1"/>
    <cellStyle name="40% - Accent5 10" xfId="535" xr:uid="{00000000-0005-0000-0000-000050460000}"/>
    <cellStyle name="40% - Accent5 10 10" xfId="18438" xr:uid="{00000000-0005-0000-0000-000051460000}"/>
    <cellStyle name="40% - Accent5 10 10 2" xfId="42271" xr:uid="{BA838A2C-3A47-45FC-8E91-6A49EA69538C}"/>
    <cellStyle name="40% - Accent5 10 11" xfId="26391" xr:uid="{73FE6463-66FE-4152-9FD2-4A24BBAE8FD7}"/>
    <cellStyle name="40% - Accent5 10 2" xfId="536" xr:uid="{00000000-0005-0000-0000-000052460000}"/>
    <cellStyle name="40% - Accent5 10 2 2" xfId="537" xr:uid="{00000000-0005-0000-0000-000053460000}"/>
    <cellStyle name="40% - Accent5 10 2 2 2" xfId="1565" xr:uid="{00000000-0005-0000-0000-000054460000}"/>
    <cellStyle name="40% - Accent5 10 2 2 2 2" xfId="5095" xr:uid="{00000000-0005-0000-0000-000055460000}"/>
    <cellStyle name="40% - Accent5 10 2 2 2 2 2" xfId="8686" xr:uid="{00000000-0005-0000-0000-000056460000}"/>
    <cellStyle name="40% - Accent5 10 2 2 2 2 2 2" xfId="16657" xr:uid="{00000000-0005-0000-0000-000057460000}"/>
    <cellStyle name="40% - Accent5 10 2 2 2 2 2 2 2" xfId="40500" xr:uid="{2B5B945D-FEA2-4271-AF05-3C3FD823E52E}"/>
    <cellStyle name="40% - Accent5 10 2 2 2 2 2 3" xfId="24603" xr:uid="{00000000-0005-0000-0000-000058460000}"/>
    <cellStyle name="40% - Accent5 10 2 2 2 2 2 3 2" xfId="48436" xr:uid="{3C360ACF-92DE-4804-BBB2-8FA898E22783}"/>
    <cellStyle name="40% - Accent5 10 2 2 2 2 2 4" xfId="32559" xr:uid="{D06E4815-4457-4580-B4FA-45F2219D7B8D}"/>
    <cellStyle name="40% - Accent5 10 2 2 2 2 3" xfId="13119" xr:uid="{00000000-0005-0000-0000-000059460000}"/>
    <cellStyle name="40% - Accent5 10 2 2 2 2 3 2" xfId="36969" xr:uid="{A70F78BE-516E-442F-8DC3-4CDC51572ADD}"/>
    <cellStyle name="40% - Accent5 10 2 2 2 2 4" xfId="21074" xr:uid="{00000000-0005-0000-0000-00005A460000}"/>
    <cellStyle name="40% - Accent5 10 2 2 2 2 4 2" xfId="44907" xr:uid="{11A941E8-63F1-4F2B-8D9C-1EA6CD44CA23}"/>
    <cellStyle name="40% - Accent5 10 2 2 2 2 5" xfId="29028" xr:uid="{EB11D66F-4B29-48EF-AC9E-F680A853C9C8}"/>
    <cellStyle name="40% - Accent5 10 2 2 2 3" xfId="6927" xr:uid="{00000000-0005-0000-0000-00005B460000}"/>
    <cellStyle name="40% - Accent5 10 2 2 2 3 2" xfId="14899" xr:uid="{00000000-0005-0000-0000-00005C460000}"/>
    <cellStyle name="40% - Accent5 10 2 2 2 3 2 2" xfId="38742" xr:uid="{14030607-2415-442F-9F11-F97B19B1D306}"/>
    <cellStyle name="40% - Accent5 10 2 2 2 3 3" xfId="22846" xr:uid="{00000000-0005-0000-0000-00005D460000}"/>
    <cellStyle name="40% - Accent5 10 2 2 2 3 3 2" xfId="46679" xr:uid="{DE941C70-2761-456E-94E3-5617190E2DF3}"/>
    <cellStyle name="40% - Accent5 10 2 2 2 3 4" xfId="30801" xr:uid="{9D24A180-E443-41F5-9619-74A96E1C42A2}"/>
    <cellStyle name="40% - Accent5 10 2 2 2 4" xfId="11363" xr:uid="{00000000-0005-0000-0000-00005E460000}"/>
    <cellStyle name="40% - Accent5 10 2 2 2 4 2" xfId="35213" xr:uid="{C279D018-2D61-43F9-8AA8-DC216CDBEB8E}"/>
    <cellStyle name="40% - Accent5 10 2 2 2 5" xfId="19318" xr:uid="{00000000-0005-0000-0000-00005F460000}"/>
    <cellStyle name="40% - Accent5 10 2 2 2 5 2" xfId="43151" xr:uid="{D9F225BB-C2C5-49F5-98F2-C2C87093CA9B}"/>
    <cellStyle name="40% - Accent5 10 2 2 2 6" xfId="27271" xr:uid="{9B426F5A-F36C-4994-AC2B-A28A796880E8}"/>
    <cellStyle name="40% - Accent5 10 2 2 2_Exh G" xfId="3184" xr:uid="{00000000-0005-0000-0000-000060460000}"/>
    <cellStyle name="40% - Accent5 10 2 2 3" xfId="4216" xr:uid="{00000000-0005-0000-0000-000061460000}"/>
    <cellStyle name="40% - Accent5 10 2 2 3 2" xfId="7808" xr:uid="{00000000-0005-0000-0000-000062460000}"/>
    <cellStyle name="40% - Accent5 10 2 2 3 2 2" xfId="15779" xr:uid="{00000000-0005-0000-0000-000063460000}"/>
    <cellStyle name="40% - Accent5 10 2 2 3 2 2 2" xfId="39622" xr:uid="{E5B86D96-D93A-4CA8-AE1D-4106634D39F8}"/>
    <cellStyle name="40% - Accent5 10 2 2 3 2 3" xfId="23725" xr:uid="{00000000-0005-0000-0000-000064460000}"/>
    <cellStyle name="40% - Accent5 10 2 2 3 2 3 2" xfId="47558" xr:uid="{02B699E1-738F-4B46-BE17-AD6630F9470D}"/>
    <cellStyle name="40% - Accent5 10 2 2 3 2 4" xfId="31681" xr:uid="{A2B108D4-2C0D-496D-9316-E46C22A5D667}"/>
    <cellStyle name="40% - Accent5 10 2 2 3 3" xfId="12241" xr:uid="{00000000-0005-0000-0000-000065460000}"/>
    <cellStyle name="40% - Accent5 10 2 2 3 3 2" xfId="36091" xr:uid="{CD7B06D8-EB80-43AD-BB13-00081F6BE2D8}"/>
    <cellStyle name="40% - Accent5 10 2 2 3 4" xfId="20196" xr:uid="{00000000-0005-0000-0000-000066460000}"/>
    <cellStyle name="40% - Accent5 10 2 2 3 4 2" xfId="44029" xr:uid="{09BCD9B9-4CCF-4865-85CE-D65A3FD58576}"/>
    <cellStyle name="40% - Accent5 10 2 2 3 5" xfId="28150" xr:uid="{C87D8B93-BB0D-458C-99D6-E83FC021E72E}"/>
    <cellStyle name="40% - Accent5 10 2 2 4" xfId="6036" xr:uid="{00000000-0005-0000-0000-000067460000}"/>
    <cellStyle name="40% - Accent5 10 2 2 4 2" xfId="14020" xr:uid="{00000000-0005-0000-0000-000068460000}"/>
    <cellStyle name="40% - Accent5 10 2 2 4 2 2" xfId="37864" xr:uid="{2B5B717D-2E10-49FF-B706-26DD1566CA4C}"/>
    <cellStyle name="40% - Accent5 10 2 2 4 3" xfId="21968" xr:uid="{00000000-0005-0000-0000-000069460000}"/>
    <cellStyle name="40% - Accent5 10 2 2 4 3 2" xfId="45801" xr:uid="{9BE3C27A-DAA2-42AE-A31B-3AA4D194B651}"/>
    <cellStyle name="40% - Accent5 10 2 2 4 4" xfId="29923" xr:uid="{C021681E-C251-4170-B622-2C0C0F29EC7D}"/>
    <cellStyle name="40% - Accent5 10 2 2 5" xfId="9589" xr:uid="{00000000-0005-0000-0000-00006A460000}"/>
    <cellStyle name="40% - Accent5 10 2 2 5 2" xfId="17547" xr:uid="{00000000-0005-0000-0000-00006B460000}"/>
    <cellStyle name="40% - Accent5 10 2 2 5 2 2" xfId="41388" xr:uid="{25246432-D4BF-4526-9FE7-1E0646D31FC1}"/>
    <cellStyle name="40% - Accent5 10 2 2 5 3" xfId="25491" xr:uid="{00000000-0005-0000-0000-00006C460000}"/>
    <cellStyle name="40% - Accent5 10 2 2 5 3 2" xfId="49324" xr:uid="{218DED90-ADC5-4E82-B1E2-DB589A0A0289}"/>
    <cellStyle name="40% - Accent5 10 2 2 5 4" xfId="33447" xr:uid="{3352E44C-2B2D-42A0-9D5E-4AA703721BE6}"/>
    <cellStyle name="40% - Accent5 10 2 2 6" xfId="10485" xr:uid="{00000000-0005-0000-0000-00006D460000}"/>
    <cellStyle name="40% - Accent5 10 2 2 6 2" xfId="34335" xr:uid="{8FD1C79F-7942-4268-94C3-E0B7B5A21981}"/>
    <cellStyle name="40% - Accent5 10 2 2 7" xfId="18440" xr:uid="{00000000-0005-0000-0000-00006E460000}"/>
    <cellStyle name="40% - Accent5 10 2 2 7 2" xfId="42273" xr:uid="{0780C1B1-6D64-40A8-A46A-72B9E6285B83}"/>
    <cellStyle name="40% - Accent5 10 2 2 8" xfId="26393" xr:uid="{D84CAC2A-32A2-4470-965A-8AF115911B8E}"/>
    <cellStyle name="40% - Accent5 10 2 2_Exh G" xfId="3183" xr:uid="{00000000-0005-0000-0000-00006F460000}"/>
    <cellStyle name="40% - Accent5 10 2 3" xfId="1564" xr:uid="{00000000-0005-0000-0000-000070460000}"/>
    <cellStyle name="40% - Accent5 10 2 3 2" xfId="5094" xr:uid="{00000000-0005-0000-0000-000071460000}"/>
    <cellStyle name="40% - Accent5 10 2 3 2 2" xfId="8685" xr:uid="{00000000-0005-0000-0000-000072460000}"/>
    <cellStyle name="40% - Accent5 10 2 3 2 2 2" xfId="16656" xr:uid="{00000000-0005-0000-0000-000073460000}"/>
    <cellStyle name="40% - Accent5 10 2 3 2 2 2 2" xfId="40499" xr:uid="{9339E809-AD63-45EF-895C-BD7CDBBEA3A0}"/>
    <cellStyle name="40% - Accent5 10 2 3 2 2 3" xfId="24602" xr:uid="{00000000-0005-0000-0000-000074460000}"/>
    <cellStyle name="40% - Accent5 10 2 3 2 2 3 2" xfId="48435" xr:uid="{2DE2AD5F-0EA5-41A3-A978-4C8616025F47}"/>
    <cellStyle name="40% - Accent5 10 2 3 2 2 4" xfId="32558" xr:uid="{09891999-69DB-47A1-95EF-735621D56383}"/>
    <cellStyle name="40% - Accent5 10 2 3 2 3" xfId="13118" xr:uid="{00000000-0005-0000-0000-000075460000}"/>
    <cellStyle name="40% - Accent5 10 2 3 2 3 2" xfId="36968" xr:uid="{D34DFB48-A558-47B2-B2E5-E327459E99B0}"/>
    <cellStyle name="40% - Accent5 10 2 3 2 4" xfId="21073" xr:uid="{00000000-0005-0000-0000-000076460000}"/>
    <cellStyle name="40% - Accent5 10 2 3 2 4 2" xfId="44906" xr:uid="{2AC6A5D2-813A-4F6D-B726-83123AE787EF}"/>
    <cellStyle name="40% - Accent5 10 2 3 2 5" xfId="29027" xr:uid="{52F1263E-F4A6-475D-9EE5-1375FFC83263}"/>
    <cellStyle name="40% - Accent5 10 2 3 3" xfId="6926" xr:uid="{00000000-0005-0000-0000-000077460000}"/>
    <cellStyle name="40% - Accent5 10 2 3 3 2" xfId="14898" xr:uid="{00000000-0005-0000-0000-000078460000}"/>
    <cellStyle name="40% - Accent5 10 2 3 3 2 2" xfId="38741" xr:uid="{BAA072FF-9F1F-47F4-9094-FD9114C6FB33}"/>
    <cellStyle name="40% - Accent5 10 2 3 3 3" xfId="22845" xr:uid="{00000000-0005-0000-0000-000079460000}"/>
    <cellStyle name="40% - Accent5 10 2 3 3 3 2" xfId="46678" xr:uid="{565292EB-7E61-411C-AD86-D0ECCE99A9BE}"/>
    <cellStyle name="40% - Accent5 10 2 3 3 4" xfId="30800" xr:uid="{90ED16CA-5C58-4DB2-8359-898B65F0EFCA}"/>
    <cellStyle name="40% - Accent5 10 2 3 4" xfId="11362" xr:uid="{00000000-0005-0000-0000-00007A460000}"/>
    <cellStyle name="40% - Accent5 10 2 3 4 2" xfId="35212" xr:uid="{B2AB67C0-430D-4945-9798-B0B2FD177DC2}"/>
    <cellStyle name="40% - Accent5 10 2 3 5" xfId="19317" xr:uid="{00000000-0005-0000-0000-00007B460000}"/>
    <cellStyle name="40% - Accent5 10 2 3 5 2" xfId="43150" xr:uid="{8844FCFA-D8FD-4D58-A871-0A0880C3A494}"/>
    <cellStyle name="40% - Accent5 10 2 3 6" xfId="27270" xr:uid="{834EC497-4C61-47E8-98A2-9252D40A7527}"/>
    <cellStyle name="40% - Accent5 10 2 3_Exh G" xfId="3185" xr:uid="{00000000-0005-0000-0000-00007C460000}"/>
    <cellStyle name="40% - Accent5 10 2 4" xfId="4215" xr:uid="{00000000-0005-0000-0000-00007D460000}"/>
    <cellStyle name="40% - Accent5 10 2 4 2" xfId="7807" xr:uid="{00000000-0005-0000-0000-00007E460000}"/>
    <cellStyle name="40% - Accent5 10 2 4 2 2" xfId="15778" xr:uid="{00000000-0005-0000-0000-00007F460000}"/>
    <cellStyle name="40% - Accent5 10 2 4 2 2 2" xfId="39621" xr:uid="{1D2235C8-7FEE-4764-8E84-66C6E5A1F60E}"/>
    <cellStyle name="40% - Accent5 10 2 4 2 3" xfId="23724" xr:uid="{00000000-0005-0000-0000-000080460000}"/>
    <cellStyle name="40% - Accent5 10 2 4 2 3 2" xfId="47557" xr:uid="{AFEA1545-4886-4129-94C9-2CFAE8DA4196}"/>
    <cellStyle name="40% - Accent5 10 2 4 2 4" xfId="31680" xr:uid="{D7F3B4AC-53E2-4E15-9A5B-5D5BBF2FD5D2}"/>
    <cellStyle name="40% - Accent5 10 2 4 3" xfId="12240" xr:uid="{00000000-0005-0000-0000-000081460000}"/>
    <cellStyle name="40% - Accent5 10 2 4 3 2" xfId="36090" xr:uid="{6FD98329-BD3F-4FFB-8EE8-B83C5DD6EFC5}"/>
    <cellStyle name="40% - Accent5 10 2 4 4" xfId="20195" xr:uid="{00000000-0005-0000-0000-000082460000}"/>
    <cellStyle name="40% - Accent5 10 2 4 4 2" xfId="44028" xr:uid="{1BCECD69-F670-4F8A-9FC8-70325866AF11}"/>
    <cellStyle name="40% - Accent5 10 2 4 5" xfId="28149" xr:uid="{BC305112-D90C-489C-97BD-9ECA78B26042}"/>
    <cellStyle name="40% - Accent5 10 2 5" xfId="6035" xr:uid="{00000000-0005-0000-0000-000083460000}"/>
    <cellStyle name="40% - Accent5 10 2 5 2" xfId="14019" xr:uid="{00000000-0005-0000-0000-000084460000}"/>
    <cellStyle name="40% - Accent5 10 2 5 2 2" xfId="37863" xr:uid="{C338F710-DFC3-4BCA-8368-9EABE2C8BBE3}"/>
    <cellStyle name="40% - Accent5 10 2 5 3" xfId="21967" xr:uid="{00000000-0005-0000-0000-000085460000}"/>
    <cellStyle name="40% - Accent5 10 2 5 3 2" xfId="45800" xr:uid="{A7FD4110-292F-4757-8793-861949B1911C}"/>
    <cellStyle name="40% - Accent5 10 2 5 4" xfId="29922" xr:uid="{D57A0726-6C06-4681-A335-7F9171E8594A}"/>
    <cellStyle name="40% - Accent5 10 2 6" xfId="9588" xr:uid="{00000000-0005-0000-0000-000086460000}"/>
    <cellStyle name="40% - Accent5 10 2 6 2" xfId="17546" xr:uid="{00000000-0005-0000-0000-000087460000}"/>
    <cellStyle name="40% - Accent5 10 2 6 2 2" xfId="41387" xr:uid="{B4ACC24A-43E2-477E-AD14-CD08BE63D643}"/>
    <cellStyle name="40% - Accent5 10 2 6 3" xfId="25490" xr:uid="{00000000-0005-0000-0000-000088460000}"/>
    <cellStyle name="40% - Accent5 10 2 6 3 2" xfId="49323" xr:uid="{A23ED8BA-D4FE-4605-B61B-D330AD5311FA}"/>
    <cellStyle name="40% - Accent5 10 2 6 4" xfId="33446" xr:uid="{CE0294F0-5934-4170-A522-86FE90D353A6}"/>
    <cellStyle name="40% - Accent5 10 2 7" xfId="10484" xr:uid="{00000000-0005-0000-0000-000089460000}"/>
    <cellStyle name="40% - Accent5 10 2 7 2" xfId="34334" xr:uid="{5E0EE47C-CE96-433E-84F0-A01427813F48}"/>
    <cellStyle name="40% - Accent5 10 2 8" xfId="18439" xr:uid="{00000000-0005-0000-0000-00008A460000}"/>
    <cellStyle name="40% - Accent5 10 2 8 2" xfId="42272" xr:uid="{99AA2FF6-E2BF-4B7C-B2C9-D5B3006E3E39}"/>
    <cellStyle name="40% - Accent5 10 2 9" xfId="26392" xr:uid="{69188F28-5D65-4B37-A2A3-E09ED6B92AF8}"/>
    <cellStyle name="40% - Accent5 10 2_Exh G" xfId="3182" xr:uid="{00000000-0005-0000-0000-00008B460000}"/>
    <cellStyle name="40% - Accent5 10 3" xfId="538" xr:uid="{00000000-0005-0000-0000-00008C460000}"/>
    <cellStyle name="40% - Accent5 10 3 2" xfId="1566" xr:uid="{00000000-0005-0000-0000-00008D460000}"/>
    <cellStyle name="40% - Accent5 10 3 2 2" xfId="5096" xr:uid="{00000000-0005-0000-0000-00008E460000}"/>
    <cellStyle name="40% - Accent5 10 3 2 2 2" xfId="8687" xr:uid="{00000000-0005-0000-0000-00008F460000}"/>
    <cellStyle name="40% - Accent5 10 3 2 2 2 2" xfId="16658" xr:uid="{00000000-0005-0000-0000-000090460000}"/>
    <cellStyle name="40% - Accent5 10 3 2 2 2 2 2" xfId="40501" xr:uid="{EF3492DE-3B22-4944-B1CA-B814984DF19D}"/>
    <cellStyle name="40% - Accent5 10 3 2 2 2 3" xfId="24604" xr:uid="{00000000-0005-0000-0000-000091460000}"/>
    <cellStyle name="40% - Accent5 10 3 2 2 2 3 2" xfId="48437" xr:uid="{0EA950FE-FC2D-4122-B077-E14F20E0B2D9}"/>
    <cellStyle name="40% - Accent5 10 3 2 2 2 4" xfId="32560" xr:uid="{1E148BE1-CCAB-43F1-AAC7-2AC75A7CE7B0}"/>
    <cellStyle name="40% - Accent5 10 3 2 2 3" xfId="13120" xr:uid="{00000000-0005-0000-0000-000092460000}"/>
    <cellStyle name="40% - Accent5 10 3 2 2 3 2" xfId="36970" xr:uid="{B6EEF9C6-E881-4CB6-A892-B1ED5AFBBBCE}"/>
    <cellStyle name="40% - Accent5 10 3 2 2 4" xfId="21075" xr:uid="{00000000-0005-0000-0000-000093460000}"/>
    <cellStyle name="40% - Accent5 10 3 2 2 4 2" xfId="44908" xr:uid="{1A9842AF-F26D-4170-8175-B77D0C18913E}"/>
    <cellStyle name="40% - Accent5 10 3 2 2 5" xfId="29029" xr:uid="{6ED64B40-529F-4933-93AA-9748C37A7632}"/>
    <cellStyle name="40% - Accent5 10 3 2 3" xfId="6928" xr:uid="{00000000-0005-0000-0000-000094460000}"/>
    <cellStyle name="40% - Accent5 10 3 2 3 2" xfId="14900" xr:uid="{00000000-0005-0000-0000-000095460000}"/>
    <cellStyle name="40% - Accent5 10 3 2 3 2 2" xfId="38743" xr:uid="{F049826F-DBAC-46FD-96CD-F75972AA564A}"/>
    <cellStyle name="40% - Accent5 10 3 2 3 3" xfId="22847" xr:uid="{00000000-0005-0000-0000-000096460000}"/>
    <cellStyle name="40% - Accent5 10 3 2 3 3 2" xfId="46680" xr:uid="{54E908C8-7D2C-4A63-BF81-900D697CEF17}"/>
    <cellStyle name="40% - Accent5 10 3 2 3 4" xfId="30802" xr:uid="{4DE98BC5-EF48-46B1-BB39-7B3992386A3B}"/>
    <cellStyle name="40% - Accent5 10 3 2 4" xfId="11364" xr:uid="{00000000-0005-0000-0000-000097460000}"/>
    <cellStyle name="40% - Accent5 10 3 2 4 2" xfId="35214" xr:uid="{33658157-A43B-4C42-B9BE-F54BDA2D9CA6}"/>
    <cellStyle name="40% - Accent5 10 3 2 5" xfId="19319" xr:uid="{00000000-0005-0000-0000-000098460000}"/>
    <cellStyle name="40% - Accent5 10 3 2 5 2" xfId="43152" xr:uid="{7C5F9323-2F47-4D2B-AB8A-6A9FD1A2CACB}"/>
    <cellStyle name="40% - Accent5 10 3 2 6" xfId="27272" xr:uid="{11CF74C3-6BBD-4CC1-89EE-B246250505F6}"/>
    <cellStyle name="40% - Accent5 10 3 2_Exh G" xfId="3187" xr:uid="{00000000-0005-0000-0000-000099460000}"/>
    <cellStyle name="40% - Accent5 10 3 3" xfId="4217" xr:uid="{00000000-0005-0000-0000-00009A460000}"/>
    <cellStyle name="40% - Accent5 10 3 3 2" xfId="7809" xr:uid="{00000000-0005-0000-0000-00009B460000}"/>
    <cellStyle name="40% - Accent5 10 3 3 2 2" xfId="15780" xr:uid="{00000000-0005-0000-0000-00009C460000}"/>
    <cellStyle name="40% - Accent5 10 3 3 2 2 2" xfId="39623" xr:uid="{7F2B577C-2FC5-4C8C-A20C-1CF2495D485B}"/>
    <cellStyle name="40% - Accent5 10 3 3 2 3" xfId="23726" xr:uid="{00000000-0005-0000-0000-00009D460000}"/>
    <cellStyle name="40% - Accent5 10 3 3 2 3 2" xfId="47559" xr:uid="{E597007B-B62C-445F-8FD6-20B9C0CFCAD6}"/>
    <cellStyle name="40% - Accent5 10 3 3 2 4" xfId="31682" xr:uid="{224F9587-2AF8-4055-BDA4-26F514BE3703}"/>
    <cellStyle name="40% - Accent5 10 3 3 3" xfId="12242" xr:uid="{00000000-0005-0000-0000-00009E460000}"/>
    <cellStyle name="40% - Accent5 10 3 3 3 2" xfId="36092" xr:uid="{9F560C71-739C-414A-8946-E4A4D33968CC}"/>
    <cellStyle name="40% - Accent5 10 3 3 4" xfId="20197" xr:uid="{00000000-0005-0000-0000-00009F460000}"/>
    <cellStyle name="40% - Accent5 10 3 3 4 2" xfId="44030" xr:uid="{C3006F5C-7CA3-4D38-B390-E0ABCFE500D3}"/>
    <cellStyle name="40% - Accent5 10 3 3 5" xfId="28151" xr:uid="{072A9843-8F2F-424B-AB78-2717DDB48E7B}"/>
    <cellStyle name="40% - Accent5 10 3 4" xfId="6037" xr:uid="{00000000-0005-0000-0000-0000A0460000}"/>
    <cellStyle name="40% - Accent5 10 3 4 2" xfId="14021" xr:uid="{00000000-0005-0000-0000-0000A1460000}"/>
    <cellStyle name="40% - Accent5 10 3 4 2 2" xfId="37865" xr:uid="{AAD08CB7-0BEB-49BA-828B-2D6A567DB5AA}"/>
    <cellStyle name="40% - Accent5 10 3 4 3" xfId="21969" xr:uid="{00000000-0005-0000-0000-0000A2460000}"/>
    <cellStyle name="40% - Accent5 10 3 4 3 2" xfId="45802" xr:uid="{4C07C249-DE65-497D-8DED-409979596251}"/>
    <cellStyle name="40% - Accent5 10 3 4 4" xfId="29924" xr:uid="{CF9E6994-2EFB-4309-8BA4-CE49D7165896}"/>
    <cellStyle name="40% - Accent5 10 3 5" xfId="9590" xr:uid="{00000000-0005-0000-0000-0000A3460000}"/>
    <cellStyle name="40% - Accent5 10 3 5 2" xfId="17548" xr:uid="{00000000-0005-0000-0000-0000A4460000}"/>
    <cellStyle name="40% - Accent5 10 3 5 2 2" xfId="41389" xr:uid="{50232A1A-C5CE-40F0-9050-6B1FB73475C9}"/>
    <cellStyle name="40% - Accent5 10 3 5 3" xfId="25492" xr:uid="{00000000-0005-0000-0000-0000A5460000}"/>
    <cellStyle name="40% - Accent5 10 3 5 3 2" xfId="49325" xr:uid="{6915C1F4-F563-42EA-B64D-54CE6E718713}"/>
    <cellStyle name="40% - Accent5 10 3 5 4" xfId="33448" xr:uid="{0E916411-CF80-49BA-848F-74A79BB59315}"/>
    <cellStyle name="40% - Accent5 10 3 6" xfId="10486" xr:uid="{00000000-0005-0000-0000-0000A6460000}"/>
    <cellStyle name="40% - Accent5 10 3 6 2" xfId="34336" xr:uid="{E107B0AC-EFBB-48EF-8231-7819F50F305E}"/>
    <cellStyle name="40% - Accent5 10 3 7" xfId="18441" xr:uid="{00000000-0005-0000-0000-0000A7460000}"/>
    <cellStyle name="40% - Accent5 10 3 7 2" xfId="42274" xr:uid="{115A5D1C-75E5-4BA2-A438-9A2FAF6EC537}"/>
    <cellStyle name="40% - Accent5 10 3 8" xfId="26394" xr:uid="{87F37DDF-A042-4B70-8660-EBF117CF7BD6}"/>
    <cellStyle name="40% - Accent5 10 3_Exh G" xfId="3186" xr:uid="{00000000-0005-0000-0000-0000A8460000}"/>
    <cellStyle name="40% - Accent5 10 4" xfId="982" xr:uid="{00000000-0005-0000-0000-0000A9460000}"/>
    <cellStyle name="40% - Accent5 10 5" xfId="1563" xr:uid="{00000000-0005-0000-0000-0000AA460000}"/>
    <cellStyle name="40% - Accent5 10 5 2" xfId="5093" xr:uid="{00000000-0005-0000-0000-0000AB460000}"/>
    <cellStyle name="40% - Accent5 10 5 2 2" xfId="8684" xr:uid="{00000000-0005-0000-0000-0000AC460000}"/>
    <cellStyle name="40% - Accent5 10 5 2 2 2" xfId="16655" xr:uid="{00000000-0005-0000-0000-0000AD460000}"/>
    <cellStyle name="40% - Accent5 10 5 2 2 2 2" xfId="40498" xr:uid="{8965E675-5737-491B-8B5E-6633F2F40D2F}"/>
    <cellStyle name="40% - Accent5 10 5 2 2 3" xfId="24601" xr:uid="{00000000-0005-0000-0000-0000AE460000}"/>
    <cellStyle name="40% - Accent5 10 5 2 2 3 2" xfId="48434" xr:uid="{FCCCA224-7842-463D-895C-6BA08194F7A4}"/>
    <cellStyle name="40% - Accent5 10 5 2 2 4" xfId="32557" xr:uid="{54F3D839-6C14-4FD4-84BC-AAF40A88F2EA}"/>
    <cellStyle name="40% - Accent5 10 5 2 3" xfId="13117" xr:uid="{00000000-0005-0000-0000-0000AF460000}"/>
    <cellStyle name="40% - Accent5 10 5 2 3 2" xfId="36967" xr:uid="{F29F429C-EDB3-4DC1-A63B-48CA34CFB3DA}"/>
    <cellStyle name="40% - Accent5 10 5 2 4" xfId="21072" xr:uid="{00000000-0005-0000-0000-0000B0460000}"/>
    <cellStyle name="40% - Accent5 10 5 2 4 2" xfId="44905" xr:uid="{A8DD2A40-C222-45A0-B25D-9ABC2A79E946}"/>
    <cellStyle name="40% - Accent5 10 5 2 5" xfId="29026" xr:uid="{806F582C-14B5-4C23-B397-11BEA6C5B29A}"/>
    <cellStyle name="40% - Accent5 10 5 3" xfId="6925" xr:uid="{00000000-0005-0000-0000-0000B1460000}"/>
    <cellStyle name="40% - Accent5 10 5 3 2" xfId="14897" xr:uid="{00000000-0005-0000-0000-0000B2460000}"/>
    <cellStyle name="40% - Accent5 10 5 3 2 2" xfId="38740" xr:uid="{DF16DDDD-143E-421C-A19B-FB0A6E867583}"/>
    <cellStyle name="40% - Accent5 10 5 3 3" xfId="22844" xr:uid="{00000000-0005-0000-0000-0000B3460000}"/>
    <cellStyle name="40% - Accent5 10 5 3 3 2" xfId="46677" xr:uid="{E730B923-9EF1-49D9-8BB0-61CAD7CDFBBC}"/>
    <cellStyle name="40% - Accent5 10 5 3 4" xfId="30799" xr:uid="{F69B21A4-E215-4826-98D8-1706FC3DB5D0}"/>
    <cellStyle name="40% - Accent5 10 5 4" xfId="11361" xr:uid="{00000000-0005-0000-0000-0000B4460000}"/>
    <cellStyle name="40% - Accent5 10 5 4 2" xfId="35211" xr:uid="{5EA02C89-7107-4250-9C14-EEB1C503559D}"/>
    <cellStyle name="40% - Accent5 10 5 5" xfId="19316" xr:uid="{00000000-0005-0000-0000-0000B5460000}"/>
    <cellStyle name="40% - Accent5 10 5 5 2" xfId="43149" xr:uid="{D8043410-E94D-407B-90B1-1B075EAF18E7}"/>
    <cellStyle name="40% - Accent5 10 5 6" xfId="27269" xr:uid="{370A09A1-1D7A-4511-8112-5A3267C493D8}"/>
    <cellStyle name="40% - Accent5 10 5_Exh G" xfId="3188" xr:uid="{00000000-0005-0000-0000-0000B6460000}"/>
    <cellStyle name="40% - Accent5 10 6" xfId="4214" xr:uid="{00000000-0005-0000-0000-0000B7460000}"/>
    <cellStyle name="40% - Accent5 10 6 2" xfId="7806" xr:uid="{00000000-0005-0000-0000-0000B8460000}"/>
    <cellStyle name="40% - Accent5 10 6 2 2" xfId="15777" xr:uid="{00000000-0005-0000-0000-0000B9460000}"/>
    <cellStyle name="40% - Accent5 10 6 2 2 2" xfId="39620" xr:uid="{F0611331-89FB-4D0B-BA6C-909FD7E7FA26}"/>
    <cellStyle name="40% - Accent5 10 6 2 3" xfId="23723" xr:uid="{00000000-0005-0000-0000-0000BA460000}"/>
    <cellStyle name="40% - Accent5 10 6 2 3 2" xfId="47556" xr:uid="{501E14EE-E67B-4BC8-A884-28A8F1D94BAB}"/>
    <cellStyle name="40% - Accent5 10 6 2 4" xfId="31679" xr:uid="{86E5002C-4339-4E80-A8ED-18C365C312E1}"/>
    <cellStyle name="40% - Accent5 10 6 3" xfId="12239" xr:uid="{00000000-0005-0000-0000-0000BB460000}"/>
    <cellStyle name="40% - Accent5 10 6 3 2" xfId="36089" xr:uid="{059518C5-798B-49A1-AA06-4A3576DCD9C1}"/>
    <cellStyle name="40% - Accent5 10 6 4" xfId="20194" xr:uid="{00000000-0005-0000-0000-0000BC460000}"/>
    <cellStyle name="40% - Accent5 10 6 4 2" xfId="44027" xr:uid="{69773F4C-5618-4F0E-905D-FD4C8F17109D}"/>
    <cellStyle name="40% - Accent5 10 6 5" xfId="28148" xr:uid="{6B9F65A9-70E7-453C-AA6F-9551352FAD1E}"/>
    <cellStyle name="40% - Accent5 10 7" xfId="6034" xr:uid="{00000000-0005-0000-0000-0000BD460000}"/>
    <cellStyle name="40% - Accent5 10 7 2" xfId="14018" xr:uid="{00000000-0005-0000-0000-0000BE460000}"/>
    <cellStyle name="40% - Accent5 10 7 2 2" xfId="37862" xr:uid="{7BD1709C-5B24-40FA-B15F-E40870C84250}"/>
    <cellStyle name="40% - Accent5 10 7 3" xfId="21966" xr:uid="{00000000-0005-0000-0000-0000BF460000}"/>
    <cellStyle name="40% - Accent5 10 7 3 2" xfId="45799" xr:uid="{7D8B9CAB-E9BF-4F0D-AD99-AB76B4F6B7B3}"/>
    <cellStyle name="40% - Accent5 10 7 4" xfId="29921" xr:uid="{C75B79A4-9753-4E86-830C-D49BA8FDF4B2}"/>
    <cellStyle name="40% - Accent5 10 8" xfId="9587" xr:uid="{00000000-0005-0000-0000-0000C0460000}"/>
    <cellStyle name="40% - Accent5 10 8 2" xfId="17545" xr:uid="{00000000-0005-0000-0000-0000C1460000}"/>
    <cellStyle name="40% - Accent5 10 8 2 2" xfId="41386" xr:uid="{C5365C85-39E5-4EDD-A383-1059369D4506}"/>
    <cellStyle name="40% - Accent5 10 8 3" xfId="25489" xr:uid="{00000000-0005-0000-0000-0000C2460000}"/>
    <cellStyle name="40% - Accent5 10 8 3 2" xfId="49322" xr:uid="{14A9E215-D527-42EF-8D3B-80067AD16A61}"/>
    <cellStyle name="40% - Accent5 10 8 4" xfId="33445" xr:uid="{4D443645-C5A6-4FE6-BA53-F0DE3397AF13}"/>
    <cellStyle name="40% - Accent5 10 9" xfId="10483" xr:uid="{00000000-0005-0000-0000-0000C3460000}"/>
    <cellStyle name="40% - Accent5 10 9 2" xfId="34333" xr:uid="{46CF48D4-1599-400B-B815-75F45E31A9F1}"/>
    <cellStyle name="40% - Accent5 10_Exh G" xfId="3181" xr:uid="{00000000-0005-0000-0000-0000C4460000}"/>
    <cellStyle name="40% - Accent5 11" xfId="539" xr:uid="{00000000-0005-0000-0000-0000C5460000}"/>
    <cellStyle name="40% - Accent5 11 10" xfId="26395" xr:uid="{DF0395CA-27A9-4744-87FA-66BD3374EE84}"/>
    <cellStyle name="40% - Accent5 11 2" xfId="540" xr:uid="{00000000-0005-0000-0000-0000C6460000}"/>
    <cellStyle name="40% - Accent5 11 2 2" xfId="541" xr:uid="{00000000-0005-0000-0000-0000C7460000}"/>
    <cellStyle name="40% - Accent5 11 2 2 2" xfId="1569" xr:uid="{00000000-0005-0000-0000-0000C8460000}"/>
    <cellStyle name="40% - Accent5 11 2 2 2 2" xfId="5099" xr:uid="{00000000-0005-0000-0000-0000C9460000}"/>
    <cellStyle name="40% - Accent5 11 2 2 2 2 2" xfId="8690" xr:uid="{00000000-0005-0000-0000-0000CA460000}"/>
    <cellStyle name="40% - Accent5 11 2 2 2 2 2 2" xfId="16661" xr:uid="{00000000-0005-0000-0000-0000CB460000}"/>
    <cellStyle name="40% - Accent5 11 2 2 2 2 2 2 2" xfId="40504" xr:uid="{87D70DD4-CF8E-4CD1-BC29-67747864FC32}"/>
    <cellStyle name="40% - Accent5 11 2 2 2 2 2 3" xfId="24607" xr:uid="{00000000-0005-0000-0000-0000CC460000}"/>
    <cellStyle name="40% - Accent5 11 2 2 2 2 2 3 2" xfId="48440" xr:uid="{B3EEF002-F345-480E-AA12-2F4A109D12D8}"/>
    <cellStyle name="40% - Accent5 11 2 2 2 2 2 4" xfId="32563" xr:uid="{62932B58-9BC0-4E9A-8E2C-33F4DF4D412D}"/>
    <cellStyle name="40% - Accent5 11 2 2 2 2 3" xfId="13123" xr:uid="{00000000-0005-0000-0000-0000CD460000}"/>
    <cellStyle name="40% - Accent5 11 2 2 2 2 3 2" xfId="36973" xr:uid="{C084B9E3-8613-4396-837F-932EB443619C}"/>
    <cellStyle name="40% - Accent5 11 2 2 2 2 4" xfId="21078" xr:uid="{00000000-0005-0000-0000-0000CE460000}"/>
    <cellStyle name="40% - Accent5 11 2 2 2 2 4 2" xfId="44911" xr:uid="{C1CE1B98-1E4C-413E-AAFB-02AAF9547038}"/>
    <cellStyle name="40% - Accent5 11 2 2 2 2 5" xfId="29032" xr:uid="{94C7EAE2-32B5-4658-A1C5-F807EDDBBE4B}"/>
    <cellStyle name="40% - Accent5 11 2 2 2 3" xfId="6931" xr:uid="{00000000-0005-0000-0000-0000CF460000}"/>
    <cellStyle name="40% - Accent5 11 2 2 2 3 2" xfId="14903" xr:uid="{00000000-0005-0000-0000-0000D0460000}"/>
    <cellStyle name="40% - Accent5 11 2 2 2 3 2 2" xfId="38746" xr:uid="{D492234A-9D6C-4EE8-9B62-0345E292A516}"/>
    <cellStyle name="40% - Accent5 11 2 2 2 3 3" xfId="22850" xr:uid="{00000000-0005-0000-0000-0000D1460000}"/>
    <cellStyle name="40% - Accent5 11 2 2 2 3 3 2" xfId="46683" xr:uid="{5E516FDE-C89F-46A3-8B63-7BECCC5CEE20}"/>
    <cellStyle name="40% - Accent5 11 2 2 2 3 4" xfId="30805" xr:uid="{DC032245-38DE-45CA-8430-C7CEF9395633}"/>
    <cellStyle name="40% - Accent5 11 2 2 2 4" xfId="11367" xr:uid="{00000000-0005-0000-0000-0000D2460000}"/>
    <cellStyle name="40% - Accent5 11 2 2 2 4 2" xfId="35217" xr:uid="{A612D27F-60C6-4FEE-B366-2FCA83FF6814}"/>
    <cellStyle name="40% - Accent5 11 2 2 2 5" xfId="19322" xr:uid="{00000000-0005-0000-0000-0000D3460000}"/>
    <cellStyle name="40% - Accent5 11 2 2 2 5 2" xfId="43155" xr:uid="{6F411D75-924C-4235-A3E9-753B065BC727}"/>
    <cellStyle name="40% - Accent5 11 2 2 2 6" xfId="27275" xr:uid="{F2195153-21B2-4AC2-A8C0-9403462D1880}"/>
    <cellStyle name="40% - Accent5 11 2 2 2_Exh G" xfId="3192" xr:uid="{00000000-0005-0000-0000-0000D4460000}"/>
    <cellStyle name="40% - Accent5 11 2 2 3" xfId="4220" xr:uid="{00000000-0005-0000-0000-0000D5460000}"/>
    <cellStyle name="40% - Accent5 11 2 2 3 2" xfId="7812" xr:uid="{00000000-0005-0000-0000-0000D6460000}"/>
    <cellStyle name="40% - Accent5 11 2 2 3 2 2" xfId="15783" xr:uid="{00000000-0005-0000-0000-0000D7460000}"/>
    <cellStyle name="40% - Accent5 11 2 2 3 2 2 2" xfId="39626" xr:uid="{CDCA0FAB-F840-4379-A344-2332AE102C6B}"/>
    <cellStyle name="40% - Accent5 11 2 2 3 2 3" xfId="23729" xr:uid="{00000000-0005-0000-0000-0000D8460000}"/>
    <cellStyle name="40% - Accent5 11 2 2 3 2 3 2" xfId="47562" xr:uid="{9DD1DF54-C7C3-48E6-8404-36C227256ED8}"/>
    <cellStyle name="40% - Accent5 11 2 2 3 2 4" xfId="31685" xr:uid="{30BC121C-91D2-4422-A45A-A6FE8EB2438A}"/>
    <cellStyle name="40% - Accent5 11 2 2 3 3" xfId="12245" xr:uid="{00000000-0005-0000-0000-0000D9460000}"/>
    <cellStyle name="40% - Accent5 11 2 2 3 3 2" xfId="36095" xr:uid="{B9FAE286-30D0-4C91-96A3-94F2D71D2BB2}"/>
    <cellStyle name="40% - Accent5 11 2 2 3 4" xfId="20200" xr:uid="{00000000-0005-0000-0000-0000DA460000}"/>
    <cellStyle name="40% - Accent5 11 2 2 3 4 2" xfId="44033" xr:uid="{C38890E0-0CD1-4291-9886-57C19CD8F2F3}"/>
    <cellStyle name="40% - Accent5 11 2 2 3 5" xfId="28154" xr:uid="{67CB94F2-E27E-49F7-95C3-5CC40C2AEBC2}"/>
    <cellStyle name="40% - Accent5 11 2 2 4" xfId="6040" xr:uid="{00000000-0005-0000-0000-0000DB460000}"/>
    <cellStyle name="40% - Accent5 11 2 2 4 2" xfId="14024" xr:uid="{00000000-0005-0000-0000-0000DC460000}"/>
    <cellStyle name="40% - Accent5 11 2 2 4 2 2" xfId="37868" xr:uid="{7CAE8FC4-5323-45F7-900C-66CAFAF3B233}"/>
    <cellStyle name="40% - Accent5 11 2 2 4 3" xfId="21972" xr:uid="{00000000-0005-0000-0000-0000DD460000}"/>
    <cellStyle name="40% - Accent5 11 2 2 4 3 2" xfId="45805" xr:uid="{AE5EF0BF-7745-4219-BB68-C0648A1DE3CF}"/>
    <cellStyle name="40% - Accent5 11 2 2 4 4" xfId="29927" xr:uid="{2EE6D550-EBCB-4D54-9718-E503DB38F805}"/>
    <cellStyle name="40% - Accent5 11 2 2 5" xfId="9593" xr:uid="{00000000-0005-0000-0000-0000DE460000}"/>
    <cellStyle name="40% - Accent5 11 2 2 5 2" xfId="17551" xr:uid="{00000000-0005-0000-0000-0000DF460000}"/>
    <cellStyle name="40% - Accent5 11 2 2 5 2 2" xfId="41392" xr:uid="{4380FAB0-878C-421B-9929-2DCADA7B6DAD}"/>
    <cellStyle name="40% - Accent5 11 2 2 5 3" xfId="25495" xr:uid="{00000000-0005-0000-0000-0000E0460000}"/>
    <cellStyle name="40% - Accent5 11 2 2 5 3 2" xfId="49328" xr:uid="{0B766BED-4C8E-44A9-864A-377FA340C4B7}"/>
    <cellStyle name="40% - Accent5 11 2 2 5 4" xfId="33451" xr:uid="{503DBFCD-2B9D-4A2C-A88E-F6E983CE992C}"/>
    <cellStyle name="40% - Accent5 11 2 2 6" xfId="10489" xr:uid="{00000000-0005-0000-0000-0000E1460000}"/>
    <cellStyle name="40% - Accent5 11 2 2 6 2" xfId="34339" xr:uid="{FEFCB2AD-2174-4D58-B889-2C3B39244DAB}"/>
    <cellStyle name="40% - Accent5 11 2 2 7" xfId="18444" xr:uid="{00000000-0005-0000-0000-0000E2460000}"/>
    <cellStyle name="40% - Accent5 11 2 2 7 2" xfId="42277" xr:uid="{3E2C0B87-C366-4C61-B32A-FDBD12FEE886}"/>
    <cellStyle name="40% - Accent5 11 2 2 8" xfId="26397" xr:uid="{8155BA91-47F9-487E-A66A-08551E0EE97A}"/>
    <cellStyle name="40% - Accent5 11 2 2_Exh G" xfId="3191" xr:uid="{00000000-0005-0000-0000-0000E3460000}"/>
    <cellStyle name="40% - Accent5 11 2 3" xfId="1568" xr:uid="{00000000-0005-0000-0000-0000E4460000}"/>
    <cellStyle name="40% - Accent5 11 2 3 2" xfId="5098" xr:uid="{00000000-0005-0000-0000-0000E5460000}"/>
    <cellStyle name="40% - Accent5 11 2 3 2 2" xfId="8689" xr:uid="{00000000-0005-0000-0000-0000E6460000}"/>
    <cellStyle name="40% - Accent5 11 2 3 2 2 2" xfId="16660" xr:uid="{00000000-0005-0000-0000-0000E7460000}"/>
    <cellStyle name="40% - Accent5 11 2 3 2 2 2 2" xfId="40503" xr:uid="{5F122AFC-4CDA-4FE9-9E85-2D51BF765BA5}"/>
    <cellStyle name="40% - Accent5 11 2 3 2 2 3" xfId="24606" xr:uid="{00000000-0005-0000-0000-0000E8460000}"/>
    <cellStyle name="40% - Accent5 11 2 3 2 2 3 2" xfId="48439" xr:uid="{C027FDA2-6255-473E-92CC-1A45F960BF2C}"/>
    <cellStyle name="40% - Accent5 11 2 3 2 2 4" xfId="32562" xr:uid="{B3933FDE-31A6-4BA0-BAAD-57E9E74875E0}"/>
    <cellStyle name="40% - Accent5 11 2 3 2 3" xfId="13122" xr:uid="{00000000-0005-0000-0000-0000E9460000}"/>
    <cellStyle name="40% - Accent5 11 2 3 2 3 2" xfId="36972" xr:uid="{02D0E5FD-21E5-46F3-B58B-46D077950F7F}"/>
    <cellStyle name="40% - Accent5 11 2 3 2 4" xfId="21077" xr:uid="{00000000-0005-0000-0000-0000EA460000}"/>
    <cellStyle name="40% - Accent5 11 2 3 2 4 2" xfId="44910" xr:uid="{566DDE19-3828-4D17-8F86-09177B56A556}"/>
    <cellStyle name="40% - Accent5 11 2 3 2 5" xfId="29031" xr:uid="{17175C61-3416-43CB-8EB4-A7F73B38FCD4}"/>
    <cellStyle name="40% - Accent5 11 2 3 3" xfId="6930" xr:uid="{00000000-0005-0000-0000-0000EB460000}"/>
    <cellStyle name="40% - Accent5 11 2 3 3 2" xfId="14902" xr:uid="{00000000-0005-0000-0000-0000EC460000}"/>
    <cellStyle name="40% - Accent5 11 2 3 3 2 2" xfId="38745" xr:uid="{323A1E43-A662-4D6B-8875-E3F6388F9798}"/>
    <cellStyle name="40% - Accent5 11 2 3 3 3" xfId="22849" xr:uid="{00000000-0005-0000-0000-0000ED460000}"/>
    <cellStyle name="40% - Accent5 11 2 3 3 3 2" xfId="46682" xr:uid="{D08816BE-CAEB-4A6C-B56F-35AF69B9615F}"/>
    <cellStyle name="40% - Accent5 11 2 3 3 4" xfId="30804" xr:uid="{CAB80A9F-4EEC-46DD-BB77-801B09CD4F5E}"/>
    <cellStyle name="40% - Accent5 11 2 3 4" xfId="11366" xr:uid="{00000000-0005-0000-0000-0000EE460000}"/>
    <cellStyle name="40% - Accent5 11 2 3 4 2" xfId="35216" xr:uid="{76552331-98D7-4DFD-BD65-90098247E955}"/>
    <cellStyle name="40% - Accent5 11 2 3 5" xfId="19321" xr:uid="{00000000-0005-0000-0000-0000EF460000}"/>
    <cellStyle name="40% - Accent5 11 2 3 5 2" xfId="43154" xr:uid="{E678FE18-22CD-400B-8F2E-9F37CFC68260}"/>
    <cellStyle name="40% - Accent5 11 2 3 6" xfId="27274" xr:uid="{8CC546D6-C8AE-468C-900E-0484E55B959E}"/>
    <cellStyle name="40% - Accent5 11 2 3_Exh G" xfId="3193" xr:uid="{00000000-0005-0000-0000-0000F0460000}"/>
    <cellStyle name="40% - Accent5 11 2 4" xfId="4219" xr:uid="{00000000-0005-0000-0000-0000F1460000}"/>
    <cellStyle name="40% - Accent5 11 2 4 2" xfId="7811" xr:uid="{00000000-0005-0000-0000-0000F2460000}"/>
    <cellStyle name="40% - Accent5 11 2 4 2 2" xfId="15782" xr:uid="{00000000-0005-0000-0000-0000F3460000}"/>
    <cellStyle name="40% - Accent5 11 2 4 2 2 2" xfId="39625" xr:uid="{B4883671-DFA5-44DC-9890-8E198245C2AA}"/>
    <cellStyle name="40% - Accent5 11 2 4 2 3" xfId="23728" xr:uid="{00000000-0005-0000-0000-0000F4460000}"/>
    <cellStyle name="40% - Accent5 11 2 4 2 3 2" xfId="47561" xr:uid="{2FE12DA0-7F13-4BCD-AB2B-B0A3378686D5}"/>
    <cellStyle name="40% - Accent5 11 2 4 2 4" xfId="31684" xr:uid="{FAE8357F-C612-4745-B91F-9A686F9247D2}"/>
    <cellStyle name="40% - Accent5 11 2 4 3" xfId="12244" xr:uid="{00000000-0005-0000-0000-0000F5460000}"/>
    <cellStyle name="40% - Accent5 11 2 4 3 2" xfId="36094" xr:uid="{A4650AFA-B32E-4C88-B9D2-CEDD983F1282}"/>
    <cellStyle name="40% - Accent5 11 2 4 4" xfId="20199" xr:uid="{00000000-0005-0000-0000-0000F6460000}"/>
    <cellStyle name="40% - Accent5 11 2 4 4 2" xfId="44032" xr:uid="{1E6F66BB-E112-4810-9950-B512FCF2D968}"/>
    <cellStyle name="40% - Accent5 11 2 4 5" xfId="28153" xr:uid="{6A0C8578-A5FB-452B-AEFF-5A7A819504D6}"/>
    <cellStyle name="40% - Accent5 11 2 5" xfId="6039" xr:uid="{00000000-0005-0000-0000-0000F7460000}"/>
    <cellStyle name="40% - Accent5 11 2 5 2" xfId="14023" xr:uid="{00000000-0005-0000-0000-0000F8460000}"/>
    <cellStyle name="40% - Accent5 11 2 5 2 2" xfId="37867" xr:uid="{AA8A4B1F-21BF-4648-9AC9-70C9090AFC17}"/>
    <cellStyle name="40% - Accent5 11 2 5 3" xfId="21971" xr:uid="{00000000-0005-0000-0000-0000F9460000}"/>
    <cellStyle name="40% - Accent5 11 2 5 3 2" xfId="45804" xr:uid="{FA0DC221-21FB-4EA6-8041-1A3696A2D33D}"/>
    <cellStyle name="40% - Accent5 11 2 5 4" xfId="29926" xr:uid="{AD9DB1B1-514E-4E3A-B395-5B6E3DE9672A}"/>
    <cellStyle name="40% - Accent5 11 2 6" xfId="9592" xr:uid="{00000000-0005-0000-0000-0000FA460000}"/>
    <cellStyle name="40% - Accent5 11 2 6 2" xfId="17550" xr:uid="{00000000-0005-0000-0000-0000FB460000}"/>
    <cellStyle name="40% - Accent5 11 2 6 2 2" xfId="41391" xr:uid="{570377AE-8226-40EC-9515-1C4020699C68}"/>
    <cellStyle name="40% - Accent5 11 2 6 3" xfId="25494" xr:uid="{00000000-0005-0000-0000-0000FC460000}"/>
    <cellStyle name="40% - Accent5 11 2 6 3 2" xfId="49327" xr:uid="{DE49C795-817B-4A20-9DFA-A2BC69A5FDAB}"/>
    <cellStyle name="40% - Accent5 11 2 6 4" xfId="33450" xr:uid="{156011E4-8E41-4598-8EDC-6F1D61CCCF94}"/>
    <cellStyle name="40% - Accent5 11 2 7" xfId="10488" xr:uid="{00000000-0005-0000-0000-0000FD460000}"/>
    <cellStyle name="40% - Accent5 11 2 7 2" xfId="34338" xr:uid="{B75B79CE-0548-4827-B6E0-414CD8BD627C}"/>
    <cellStyle name="40% - Accent5 11 2 8" xfId="18443" xr:uid="{00000000-0005-0000-0000-0000FE460000}"/>
    <cellStyle name="40% - Accent5 11 2 8 2" xfId="42276" xr:uid="{8E81B319-04CB-4404-8282-58A5875F9E12}"/>
    <cellStyle name="40% - Accent5 11 2 9" xfId="26396" xr:uid="{DAC74C23-8153-49DA-A27E-485380919981}"/>
    <cellStyle name="40% - Accent5 11 2_Exh G" xfId="3190" xr:uid="{00000000-0005-0000-0000-0000FF460000}"/>
    <cellStyle name="40% - Accent5 11 3" xfId="542" xr:uid="{00000000-0005-0000-0000-000000470000}"/>
    <cellStyle name="40% - Accent5 11 3 2" xfId="1570" xr:uid="{00000000-0005-0000-0000-000001470000}"/>
    <cellStyle name="40% - Accent5 11 3 2 2" xfId="5100" xr:uid="{00000000-0005-0000-0000-000002470000}"/>
    <cellStyle name="40% - Accent5 11 3 2 2 2" xfId="8691" xr:uid="{00000000-0005-0000-0000-000003470000}"/>
    <cellStyle name="40% - Accent5 11 3 2 2 2 2" xfId="16662" xr:uid="{00000000-0005-0000-0000-000004470000}"/>
    <cellStyle name="40% - Accent5 11 3 2 2 2 2 2" xfId="40505" xr:uid="{FDEDE2AA-D4AD-41CB-80E9-6DF03ECEB170}"/>
    <cellStyle name="40% - Accent5 11 3 2 2 2 3" xfId="24608" xr:uid="{00000000-0005-0000-0000-000005470000}"/>
    <cellStyle name="40% - Accent5 11 3 2 2 2 3 2" xfId="48441" xr:uid="{C5770127-66C6-4AAC-9AF1-917F585C2139}"/>
    <cellStyle name="40% - Accent5 11 3 2 2 2 4" xfId="32564" xr:uid="{34BCFAD0-4DA7-40B4-8B5B-891065B9AF0F}"/>
    <cellStyle name="40% - Accent5 11 3 2 2 3" xfId="13124" xr:uid="{00000000-0005-0000-0000-000006470000}"/>
    <cellStyle name="40% - Accent5 11 3 2 2 3 2" xfId="36974" xr:uid="{1145F904-EAEE-407E-B2BC-4619DFCC83F3}"/>
    <cellStyle name="40% - Accent5 11 3 2 2 4" xfId="21079" xr:uid="{00000000-0005-0000-0000-000007470000}"/>
    <cellStyle name="40% - Accent5 11 3 2 2 4 2" xfId="44912" xr:uid="{5FFB294B-2028-491C-B3FF-F36178B2F569}"/>
    <cellStyle name="40% - Accent5 11 3 2 2 5" xfId="29033" xr:uid="{76DEDFA0-ECCE-4DB7-BF15-7E689C24D9E0}"/>
    <cellStyle name="40% - Accent5 11 3 2 3" xfId="6932" xr:uid="{00000000-0005-0000-0000-000008470000}"/>
    <cellStyle name="40% - Accent5 11 3 2 3 2" xfId="14904" xr:uid="{00000000-0005-0000-0000-000009470000}"/>
    <cellStyle name="40% - Accent5 11 3 2 3 2 2" xfId="38747" xr:uid="{B0C88987-3C30-499F-9370-2550E2536A63}"/>
    <cellStyle name="40% - Accent5 11 3 2 3 3" xfId="22851" xr:uid="{00000000-0005-0000-0000-00000A470000}"/>
    <cellStyle name="40% - Accent5 11 3 2 3 3 2" xfId="46684" xr:uid="{F2BEA498-A5FA-43E1-8F01-4F41D0785FBF}"/>
    <cellStyle name="40% - Accent5 11 3 2 3 4" xfId="30806" xr:uid="{4CA4FED5-AE92-4872-B455-6F43D81E8024}"/>
    <cellStyle name="40% - Accent5 11 3 2 4" xfId="11368" xr:uid="{00000000-0005-0000-0000-00000B470000}"/>
    <cellStyle name="40% - Accent5 11 3 2 4 2" xfId="35218" xr:uid="{833F77DA-1F4A-4276-A41C-F58D10FF7161}"/>
    <cellStyle name="40% - Accent5 11 3 2 5" xfId="19323" xr:uid="{00000000-0005-0000-0000-00000C470000}"/>
    <cellStyle name="40% - Accent5 11 3 2 5 2" xfId="43156" xr:uid="{5F2B6E82-F2D6-4B73-9C35-79882D9C2E5D}"/>
    <cellStyle name="40% - Accent5 11 3 2 6" xfId="27276" xr:uid="{3CC240E7-D9C6-4135-9C5C-A3FD28DF9C37}"/>
    <cellStyle name="40% - Accent5 11 3 2_Exh G" xfId="3195" xr:uid="{00000000-0005-0000-0000-00000D470000}"/>
    <cellStyle name="40% - Accent5 11 3 3" xfId="4221" xr:uid="{00000000-0005-0000-0000-00000E470000}"/>
    <cellStyle name="40% - Accent5 11 3 3 2" xfId="7813" xr:uid="{00000000-0005-0000-0000-00000F470000}"/>
    <cellStyle name="40% - Accent5 11 3 3 2 2" xfId="15784" xr:uid="{00000000-0005-0000-0000-000010470000}"/>
    <cellStyle name="40% - Accent5 11 3 3 2 2 2" xfId="39627" xr:uid="{3741CAA8-B161-4472-B915-2BC0E3928ED9}"/>
    <cellStyle name="40% - Accent5 11 3 3 2 3" xfId="23730" xr:uid="{00000000-0005-0000-0000-000011470000}"/>
    <cellStyle name="40% - Accent5 11 3 3 2 3 2" xfId="47563" xr:uid="{31E7207F-B9AB-4EDC-85A1-99DBAD5F913F}"/>
    <cellStyle name="40% - Accent5 11 3 3 2 4" xfId="31686" xr:uid="{E867CDCD-7E1E-4B6E-9C12-F3ED3BE73BEB}"/>
    <cellStyle name="40% - Accent5 11 3 3 3" xfId="12246" xr:uid="{00000000-0005-0000-0000-000012470000}"/>
    <cellStyle name="40% - Accent5 11 3 3 3 2" xfId="36096" xr:uid="{1B479749-DA7E-4473-AEC5-7022B43787A3}"/>
    <cellStyle name="40% - Accent5 11 3 3 4" xfId="20201" xr:uid="{00000000-0005-0000-0000-000013470000}"/>
    <cellStyle name="40% - Accent5 11 3 3 4 2" xfId="44034" xr:uid="{64606208-17EA-4015-A10E-2A59673BFDFC}"/>
    <cellStyle name="40% - Accent5 11 3 3 5" xfId="28155" xr:uid="{C85C0EF6-5208-4E07-9EF1-ED3FEB67DB66}"/>
    <cellStyle name="40% - Accent5 11 3 4" xfId="6041" xr:uid="{00000000-0005-0000-0000-000014470000}"/>
    <cellStyle name="40% - Accent5 11 3 4 2" xfId="14025" xr:uid="{00000000-0005-0000-0000-000015470000}"/>
    <cellStyle name="40% - Accent5 11 3 4 2 2" xfId="37869" xr:uid="{88393049-0F45-4D58-AB9E-4E50EFD4259F}"/>
    <cellStyle name="40% - Accent5 11 3 4 3" xfId="21973" xr:uid="{00000000-0005-0000-0000-000016470000}"/>
    <cellStyle name="40% - Accent5 11 3 4 3 2" xfId="45806" xr:uid="{AEE2259A-3995-4F26-A843-29093D4EF273}"/>
    <cellStyle name="40% - Accent5 11 3 4 4" xfId="29928" xr:uid="{1A1B2956-C148-4B0A-8667-4FCA3DF586CD}"/>
    <cellStyle name="40% - Accent5 11 3 5" xfId="9594" xr:uid="{00000000-0005-0000-0000-000017470000}"/>
    <cellStyle name="40% - Accent5 11 3 5 2" xfId="17552" xr:uid="{00000000-0005-0000-0000-000018470000}"/>
    <cellStyle name="40% - Accent5 11 3 5 2 2" xfId="41393" xr:uid="{9B87F03D-CA61-45EA-AC3F-5FFFEC39CE1C}"/>
    <cellStyle name="40% - Accent5 11 3 5 3" xfId="25496" xr:uid="{00000000-0005-0000-0000-000019470000}"/>
    <cellStyle name="40% - Accent5 11 3 5 3 2" xfId="49329" xr:uid="{98F270F3-CA36-4B27-A5D2-B3FFC2B77C52}"/>
    <cellStyle name="40% - Accent5 11 3 5 4" xfId="33452" xr:uid="{182D263A-1D9E-49AC-A446-201D34971779}"/>
    <cellStyle name="40% - Accent5 11 3 6" xfId="10490" xr:uid="{00000000-0005-0000-0000-00001A470000}"/>
    <cellStyle name="40% - Accent5 11 3 6 2" xfId="34340" xr:uid="{6B25B131-5281-428C-85F1-4C333711A2F9}"/>
    <cellStyle name="40% - Accent5 11 3 7" xfId="18445" xr:uid="{00000000-0005-0000-0000-00001B470000}"/>
    <cellStyle name="40% - Accent5 11 3 7 2" xfId="42278" xr:uid="{F391BCFF-240C-4887-8381-531D464DCEE9}"/>
    <cellStyle name="40% - Accent5 11 3 8" xfId="26398" xr:uid="{DCAB1E6A-55D3-464D-9C9B-161DEE7C3AF2}"/>
    <cellStyle name="40% - Accent5 11 3_Exh G" xfId="3194" xr:uid="{00000000-0005-0000-0000-00001C470000}"/>
    <cellStyle name="40% - Accent5 11 4" xfId="1567" xr:uid="{00000000-0005-0000-0000-00001D470000}"/>
    <cellStyle name="40% - Accent5 11 4 2" xfId="5097" xr:uid="{00000000-0005-0000-0000-00001E470000}"/>
    <cellStyle name="40% - Accent5 11 4 2 2" xfId="8688" xr:uid="{00000000-0005-0000-0000-00001F470000}"/>
    <cellStyle name="40% - Accent5 11 4 2 2 2" xfId="16659" xr:uid="{00000000-0005-0000-0000-000020470000}"/>
    <cellStyle name="40% - Accent5 11 4 2 2 2 2" xfId="40502" xr:uid="{58390E9A-5942-4A7B-ADC0-083C8A2E0E46}"/>
    <cellStyle name="40% - Accent5 11 4 2 2 3" xfId="24605" xr:uid="{00000000-0005-0000-0000-000021470000}"/>
    <cellStyle name="40% - Accent5 11 4 2 2 3 2" xfId="48438" xr:uid="{E581EC22-A9D6-48AF-BBEC-A299B7369A4E}"/>
    <cellStyle name="40% - Accent5 11 4 2 2 4" xfId="32561" xr:uid="{141E827A-9793-4787-9C07-200B01B2CD85}"/>
    <cellStyle name="40% - Accent5 11 4 2 3" xfId="13121" xr:uid="{00000000-0005-0000-0000-000022470000}"/>
    <cellStyle name="40% - Accent5 11 4 2 3 2" xfId="36971" xr:uid="{8E516D7D-B4AD-440F-9380-BF6EDBE030F6}"/>
    <cellStyle name="40% - Accent5 11 4 2 4" xfId="21076" xr:uid="{00000000-0005-0000-0000-000023470000}"/>
    <cellStyle name="40% - Accent5 11 4 2 4 2" xfId="44909" xr:uid="{6419478D-BC65-4BC1-B130-BD67E04986CC}"/>
    <cellStyle name="40% - Accent5 11 4 2 5" xfId="29030" xr:uid="{71071C57-E21E-4F0B-9A90-BB7F262CF748}"/>
    <cellStyle name="40% - Accent5 11 4 3" xfId="6929" xr:uid="{00000000-0005-0000-0000-000024470000}"/>
    <cellStyle name="40% - Accent5 11 4 3 2" xfId="14901" xr:uid="{00000000-0005-0000-0000-000025470000}"/>
    <cellStyle name="40% - Accent5 11 4 3 2 2" xfId="38744" xr:uid="{A4FB17E1-AE54-440D-9EEB-A40D6C1D44E7}"/>
    <cellStyle name="40% - Accent5 11 4 3 3" xfId="22848" xr:uid="{00000000-0005-0000-0000-000026470000}"/>
    <cellStyle name="40% - Accent5 11 4 3 3 2" xfId="46681" xr:uid="{14656D5A-B63B-450F-B248-CED1CC770172}"/>
    <cellStyle name="40% - Accent5 11 4 3 4" xfId="30803" xr:uid="{5BD25B87-5891-48A6-8299-D661F3647ED1}"/>
    <cellStyle name="40% - Accent5 11 4 4" xfId="11365" xr:uid="{00000000-0005-0000-0000-000027470000}"/>
    <cellStyle name="40% - Accent5 11 4 4 2" xfId="35215" xr:uid="{BFF585BC-A8E1-4E66-9E0D-8895BA888D08}"/>
    <cellStyle name="40% - Accent5 11 4 5" xfId="19320" xr:uid="{00000000-0005-0000-0000-000028470000}"/>
    <cellStyle name="40% - Accent5 11 4 5 2" xfId="43153" xr:uid="{2645EC8A-F274-4688-B964-2F3534F240C6}"/>
    <cellStyle name="40% - Accent5 11 4 6" xfId="27273" xr:uid="{55C3812B-4011-44D3-BC1B-3D4988B6AC45}"/>
    <cellStyle name="40% - Accent5 11 4_Exh G" xfId="3196" xr:uid="{00000000-0005-0000-0000-000029470000}"/>
    <cellStyle name="40% - Accent5 11 5" xfId="4218" xr:uid="{00000000-0005-0000-0000-00002A470000}"/>
    <cellStyle name="40% - Accent5 11 5 2" xfId="7810" xr:uid="{00000000-0005-0000-0000-00002B470000}"/>
    <cellStyle name="40% - Accent5 11 5 2 2" xfId="15781" xr:uid="{00000000-0005-0000-0000-00002C470000}"/>
    <cellStyle name="40% - Accent5 11 5 2 2 2" xfId="39624" xr:uid="{ADD26833-6BD5-43B0-86DA-30337FB713EF}"/>
    <cellStyle name="40% - Accent5 11 5 2 3" xfId="23727" xr:uid="{00000000-0005-0000-0000-00002D470000}"/>
    <cellStyle name="40% - Accent5 11 5 2 3 2" xfId="47560" xr:uid="{C8F485E7-7496-495E-BE79-0A89D0B91FFC}"/>
    <cellStyle name="40% - Accent5 11 5 2 4" xfId="31683" xr:uid="{7C767A0A-80A7-48CA-B913-C2B55257FD46}"/>
    <cellStyle name="40% - Accent5 11 5 3" xfId="12243" xr:uid="{00000000-0005-0000-0000-00002E470000}"/>
    <cellStyle name="40% - Accent5 11 5 3 2" xfId="36093" xr:uid="{0704F48C-3AAA-4F5E-8725-A7F7BC81305C}"/>
    <cellStyle name="40% - Accent5 11 5 4" xfId="20198" xr:uid="{00000000-0005-0000-0000-00002F470000}"/>
    <cellStyle name="40% - Accent5 11 5 4 2" xfId="44031" xr:uid="{B2757285-5FD0-455D-9709-3E870E59905C}"/>
    <cellStyle name="40% - Accent5 11 5 5" xfId="28152" xr:uid="{E429FDB7-7695-4040-89F4-D530414AE2F4}"/>
    <cellStyle name="40% - Accent5 11 6" xfId="6038" xr:uid="{00000000-0005-0000-0000-000030470000}"/>
    <cellStyle name="40% - Accent5 11 6 2" xfId="14022" xr:uid="{00000000-0005-0000-0000-000031470000}"/>
    <cellStyle name="40% - Accent5 11 6 2 2" xfId="37866" xr:uid="{CCEF83AF-B3D9-4865-A74F-860A027FE37A}"/>
    <cellStyle name="40% - Accent5 11 6 3" xfId="21970" xr:uid="{00000000-0005-0000-0000-000032470000}"/>
    <cellStyle name="40% - Accent5 11 6 3 2" xfId="45803" xr:uid="{3A65C9E2-E9A5-4DC4-9CD3-49F2FE5AFDBA}"/>
    <cellStyle name="40% - Accent5 11 6 4" xfId="29925" xr:uid="{8ED1A469-8EFA-486A-AD47-FD218263A4CD}"/>
    <cellStyle name="40% - Accent5 11 7" xfId="9591" xr:uid="{00000000-0005-0000-0000-000033470000}"/>
    <cellStyle name="40% - Accent5 11 7 2" xfId="17549" xr:uid="{00000000-0005-0000-0000-000034470000}"/>
    <cellStyle name="40% - Accent5 11 7 2 2" xfId="41390" xr:uid="{26D3DDBF-9396-424D-B0D0-CEDB3A94D859}"/>
    <cellStyle name="40% - Accent5 11 7 3" xfId="25493" xr:uid="{00000000-0005-0000-0000-000035470000}"/>
    <cellStyle name="40% - Accent5 11 7 3 2" xfId="49326" xr:uid="{6449B5B6-A968-4DBE-9555-AAFA24CD21DC}"/>
    <cellStyle name="40% - Accent5 11 7 4" xfId="33449" xr:uid="{47EC1EA6-CDC7-4DC6-916C-402B8E62614C}"/>
    <cellStyle name="40% - Accent5 11 8" xfId="10487" xr:uid="{00000000-0005-0000-0000-000036470000}"/>
    <cellStyle name="40% - Accent5 11 8 2" xfId="34337" xr:uid="{717EDED1-D6CA-4B6E-B310-00723BE4FCB4}"/>
    <cellStyle name="40% - Accent5 11 9" xfId="18442" xr:uid="{00000000-0005-0000-0000-000037470000}"/>
    <cellStyle name="40% - Accent5 11 9 2" xfId="42275" xr:uid="{FB7F5788-7C00-4029-AE29-5BE4D6AA981D}"/>
    <cellStyle name="40% - Accent5 11_Exh G" xfId="3189" xr:uid="{00000000-0005-0000-0000-000038470000}"/>
    <cellStyle name="40% - Accent5 12" xfId="543" xr:uid="{00000000-0005-0000-0000-000039470000}"/>
    <cellStyle name="40% - Accent5 12 10" xfId="26399" xr:uid="{336F495B-B830-4FA4-BA9D-DDFF4B2DBB29}"/>
    <cellStyle name="40% - Accent5 12 2" xfId="544" xr:uid="{00000000-0005-0000-0000-00003A470000}"/>
    <cellStyle name="40% - Accent5 12 2 2" xfId="545" xr:uid="{00000000-0005-0000-0000-00003B470000}"/>
    <cellStyle name="40% - Accent5 12 2 2 2" xfId="1573" xr:uid="{00000000-0005-0000-0000-00003C470000}"/>
    <cellStyle name="40% - Accent5 12 2 2 2 2" xfId="5103" xr:uid="{00000000-0005-0000-0000-00003D470000}"/>
    <cellStyle name="40% - Accent5 12 2 2 2 2 2" xfId="8694" xr:uid="{00000000-0005-0000-0000-00003E470000}"/>
    <cellStyle name="40% - Accent5 12 2 2 2 2 2 2" xfId="16665" xr:uid="{00000000-0005-0000-0000-00003F470000}"/>
    <cellStyle name="40% - Accent5 12 2 2 2 2 2 2 2" xfId="40508" xr:uid="{D51D16A8-68EB-48D4-A346-D7178E12973B}"/>
    <cellStyle name="40% - Accent5 12 2 2 2 2 2 3" xfId="24611" xr:uid="{00000000-0005-0000-0000-000040470000}"/>
    <cellStyle name="40% - Accent5 12 2 2 2 2 2 3 2" xfId="48444" xr:uid="{B84EEB26-BD8F-4159-89DB-9C865976D8C4}"/>
    <cellStyle name="40% - Accent5 12 2 2 2 2 2 4" xfId="32567" xr:uid="{ABE2E986-4CF0-410C-9C00-399DEE78C4E3}"/>
    <cellStyle name="40% - Accent5 12 2 2 2 2 3" xfId="13127" xr:uid="{00000000-0005-0000-0000-000041470000}"/>
    <cellStyle name="40% - Accent5 12 2 2 2 2 3 2" xfId="36977" xr:uid="{502BB000-B953-4B5A-98B9-CA997198FB91}"/>
    <cellStyle name="40% - Accent5 12 2 2 2 2 4" xfId="21082" xr:uid="{00000000-0005-0000-0000-000042470000}"/>
    <cellStyle name="40% - Accent5 12 2 2 2 2 4 2" xfId="44915" xr:uid="{F6275A40-801A-49FB-A60A-4DE0E21216D7}"/>
    <cellStyle name="40% - Accent5 12 2 2 2 2 5" xfId="29036" xr:uid="{500A0C2F-45BA-4B45-96AC-C37377066D79}"/>
    <cellStyle name="40% - Accent5 12 2 2 2 3" xfId="6935" xr:uid="{00000000-0005-0000-0000-000043470000}"/>
    <cellStyle name="40% - Accent5 12 2 2 2 3 2" xfId="14907" xr:uid="{00000000-0005-0000-0000-000044470000}"/>
    <cellStyle name="40% - Accent5 12 2 2 2 3 2 2" xfId="38750" xr:uid="{8A853357-77DA-435C-875D-344858D58A91}"/>
    <cellStyle name="40% - Accent5 12 2 2 2 3 3" xfId="22854" xr:uid="{00000000-0005-0000-0000-000045470000}"/>
    <cellStyle name="40% - Accent5 12 2 2 2 3 3 2" xfId="46687" xr:uid="{67AE4E57-0DE7-4105-9075-A16703A01879}"/>
    <cellStyle name="40% - Accent5 12 2 2 2 3 4" xfId="30809" xr:uid="{2E0FBCE2-FC53-4169-838A-B742D19F3732}"/>
    <cellStyle name="40% - Accent5 12 2 2 2 4" xfId="11371" xr:uid="{00000000-0005-0000-0000-000046470000}"/>
    <cellStyle name="40% - Accent5 12 2 2 2 4 2" xfId="35221" xr:uid="{92C1671C-100B-4DBE-9A7D-87CC7AA9EEB5}"/>
    <cellStyle name="40% - Accent5 12 2 2 2 5" xfId="19326" xr:uid="{00000000-0005-0000-0000-000047470000}"/>
    <cellStyle name="40% - Accent5 12 2 2 2 5 2" xfId="43159" xr:uid="{CB8C5966-6C54-45F7-8D35-608C0A82FDA9}"/>
    <cellStyle name="40% - Accent5 12 2 2 2 6" xfId="27279" xr:uid="{0A045DE5-EC0E-4105-BA02-8DC1F507AE50}"/>
    <cellStyle name="40% - Accent5 12 2 2 2_Exh G" xfId="3200" xr:uid="{00000000-0005-0000-0000-000048470000}"/>
    <cellStyle name="40% - Accent5 12 2 2 3" xfId="4224" xr:uid="{00000000-0005-0000-0000-000049470000}"/>
    <cellStyle name="40% - Accent5 12 2 2 3 2" xfId="7816" xr:uid="{00000000-0005-0000-0000-00004A470000}"/>
    <cellStyle name="40% - Accent5 12 2 2 3 2 2" xfId="15787" xr:uid="{00000000-0005-0000-0000-00004B470000}"/>
    <cellStyle name="40% - Accent5 12 2 2 3 2 2 2" xfId="39630" xr:uid="{0B6BE0EB-B0CA-4FA5-9AC0-CC7B30C4F824}"/>
    <cellStyle name="40% - Accent5 12 2 2 3 2 3" xfId="23733" xr:uid="{00000000-0005-0000-0000-00004C470000}"/>
    <cellStyle name="40% - Accent5 12 2 2 3 2 3 2" xfId="47566" xr:uid="{F8207240-6FCF-4CDB-BDAD-90E9477522FA}"/>
    <cellStyle name="40% - Accent5 12 2 2 3 2 4" xfId="31689" xr:uid="{69EF7EC1-0FE3-408C-8601-62A1FF8B8B95}"/>
    <cellStyle name="40% - Accent5 12 2 2 3 3" xfId="12249" xr:uid="{00000000-0005-0000-0000-00004D470000}"/>
    <cellStyle name="40% - Accent5 12 2 2 3 3 2" xfId="36099" xr:uid="{468AC5DE-F1EC-452A-BD4B-8B0ED06AF32C}"/>
    <cellStyle name="40% - Accent5 12 2 2 3 4" xfId="20204" xr:uid="{00000000-0005-0000-0000-00004E470000}"/>
    <cellStyle name="40% - Accent5 12 2 2 3 4 2" xfId="44037" xr:uid="{A42C8F9E-3228-421B-A1D4-CBAC8CA0EEC5}"/>
    <cellStyle name="40% - Accent5 12 2 2 3 5" xfId="28158" xr:uid="{5D60BC7F-B87E-4E82-9985-18C49FC71181}"/>
    <cellStyle name="40% - Accent5 12 2 2 4" xfId="6044" xr:uid="{00000000-0005-0000-0000-00004F470000}"/>
    <cellStyle name="40% - Accent5 12 2 2 4 2" xfId="14028" xr:uid="{00000000-0005-0000-0000-000050470000}"/>
    <cellStyle name="40% - Accent5 12 2 2 4 2 2" xfId="37872" xr:uid="{97E41C51-7C0E-4273-99E4-8541473A6331}"/>
    <cellStyle name="40% - Accent5 12 2 2 4 3" xfId="21976" xr:uid="{00000000-0005-0000-0000-000051470000}"/>
    <cellStyle name="40% - Accent5 12 2 2 4 3 2" xfId="45809" xr:uid="{D258CBA0-B1A6-42DF-B8D6-75D012348572}"/>
    <cellStyle name="40% - Accent5 12 2 2 4 4" xfId="29931" xr:uid="{DCD8D722-19CD-420A-9D3E-4F65792B864E}"/>
    <cellStyle name="40% - Accent5 12 2 2 5" xfId="9597" xr:uid="{00000000-0005-0000-0000-000052470000}"/>
    <cellStyle name="40% - Accent5 12 2 2 5 2" xfId="17555" xr:uid="{00000000-0005-0000-0000-000053470000}"/>
    <cellStyle name="40% - Accent5 12 2 2 5 2 2" xfId="41396" xr:uid="{85A2E381-F3D1-4557-A136-0B27FF1192DB}"/>
    <cellStyle name="40% - Accent5 12 2 2 5 3" xfId="25499" xr:uid="{00000000-0005-0000-0000-000054470000}"/>
    <cellStyle name="40% - Accent5 12 2 2 5 3 2" xfId="49332" xr:uid="{573DE9CF-17CC-411E-AE54-F4ADF8F751BD}"/>
    <cellStyle name="40% - Accent5 12 2 2 5 4" xfId="33455" xr:uid="{E6934644-DBD2-4D11-BC0B-86EF6C3C14DC}"/>
    <cellStyle name="40% - Accent5 12 2 2 6" xfId="10493" xr:uid="{00000000-0005-0000-0000-000055470000}"/>
    <cellStyle name="40% - Accent5 12 2 2 6 2" xfId="34343" xr:uid="{D7A6B891-3B9C-489A-9AC0-066C9A3815AC}"/>
    <cellStyle name="40% - Accent5 12 2 2 7" xfId="18448" xr:uid="{00000000-0005-0000-0000-000056470000}"/>
    <cellStyle name="40% - Accent5 12 2 2 7 2" xfId="42281" xr:uid="{7A0A7C1E-B8A3-4F96-AAB3-374038E5E30B}"/>
    <cellStyle name="40% - Accent5 12 2 2 8" xfId="26401" xr:uid="{C6EF4915-4228-4ACB-81DC-43A28BC40654}"/>
    <cellStyle name="40% - Accent5 12 2 2_Exh G" xfId="3199" xr:uid="{00000000-0005-0000-0000-000057470000}"/>
    <cellStyle name="40% - Accent5 12 2 3" xfId="1572" xr:uid="{00000000-0005-0000-0000-000058470000}"/>
    <cellStyle name="40% - Accent5 12 2 3 2" xfId="5102" xr:uid="{00000000-0005-0000-0000-000059470000}"/>
    <cellStyle name="40% - Accent5 12 2 3 2 2" xfId="8693" xr:uid="{00000000-0005-0000-0000-00005A470000}"/>
    <cellStyle name="40% - Accent5 12 2 3 2 2 2" xfId="16664" xr:uid="{00000000-0005-0000-0000-00005B470000}"/>
    <cellStyle name="40% - Accent5 12 2 3 2 2 2 2" xfId="40507" xr:uid="{0792DDF0-55B0-4F24-BD65-2902B1F82015}"/>
    <cellStyle name="40% - Accent5 12 2 3 2 2 3" xfId="24610" xr:uid="{00000000-0005-0000-0000-00005C470000}"/>
    <cellStyle name="40% - Accent5 12 2 3 2 2 3 2" xfId="48443" xr:uid="{4FAC2F7D-D396-4DB6-90BF-5A624C6DF763}"/>
    <cellStyle name="40% - Accent5 12 2 3 2 2 4" xfId="32566" xr:uid="{BA44A926-5DB6-472F-8246-0792F7048603}"/>
    <cellStyle name="40% - Accent5 12 2 3 2 3" xfId="13126" xr:uid="{00000000-0005-0000-0000-00005D470000}"/>
    <cellStyle name="40% - Accent5 12 2 3 2 3 2" xfId="36976" xr:uid="{9214EE4A-2D18-47BC-A082-306B631A5200}"/>
    <cellStyle name="40% - Accent5 12 2 3 2 4" xfId="21081" xr:uid="{00000000-0005-0000-0000-00005E470000}"/>
    <cellStyle name="40% - Accent5 12 2 3 2 4 2" xfId="44914" xr:uid="{F3F3E5D2-0CAD-42BF-B992-18BAE31DEA59}"/>
    <cellStyle name="40% - Accent5 12 2 3 2 5" xfId="29035" xr:uid="{953170EB-C500-492F-A5C7-7845207D203C}"/>
    <cellStyle name="40% - Accent5 12 2 3 3" xfId="6934" xr:uid="{00000000-0005-0000-0000-00005F470000}"/>
    <cellStyle name="40% - Accent5 12 2 3 3 2" xfId="14906" xr:uid="{00000000-0005-0000-0000-000060470000}"/>
    <cellStyle name="40% - Accent5 12 2 3 3 2 2" xfId="38749" xr:uid="{69099C34-549F-4735-B2C3-5A414B90567E}"/>
    <cellStyle name="40% - Accent5 12 2 3 3 3" xfId="22853" xr:uid="{00000000-0005-0000-0000-000061470000}"/>
    <cellStyle name="40% - Accent5 12 2 3 3 3 2" xfId="46686" xr:uid="{F75323A5-BCCD-46FA-9E86-DC73D6C4CB7E}"/>
    <cellStyle name="40% - Accent5 12 2 3 3 4" xfId="30808" xr:uid="{DED38CD4-E1B0-4FA5-9A52-4CA2692DC31E}"/>
    <cellStyle name="40% - Accent5 12 2 3 4" xfId="11370" xr:uid="{00000000-0005-0000-0000-000062470000}"/>
    <cellStyle name="40% - Accent5 12 2 3 4 2" xfId="35220" xr:uid="{10C93015-B7CE-4FC0-9829-8E1B0829A80A}"/>
    <cellStyle name="40% - Accent5 12 2 3 5" xfId="19325" xr:uid="{00000000-0005-0000-0000-000063470000}"/>
    <cellStyle name="40% - Accent5 12 2 3 5 2" xfId="43158" xr:uid="{ECDE2AEF-CF46-4C2E-81BC-CC0683E1B72A}"/>
    <cellStyle name="40% - Accent5 12 2 3 6" xfId="27278" xr:uid="{43AC6519-F919-4B3D-BDF1-9ED37A9D0C26}"/>
    <cellStyle name="40% - Accent5 12 2 3_Exh G" xfId="3201" xr:uid="{00000000-0005-0000-0000-000064470000}"/>
    <cellStyle name="40% - Accent5 12 2 4" xfId="4223" xr:uid="{00000000-0005-0000-0000-000065470000}"/>
    <cellStyle name="40% - Accent5 12 2 4 2" xfId="7815" xr:uid="{00000000-0005-0000-0000-000066470000}"/>
    <cellStyle name="40% - Accent5 12 2 4 2 2" xfId="15786" xr:uid="{00000000-0005-0000-0000-000067470000}"/>
    <cellStyle name="40% - Accent5 12 2 4 2 2 2" xfId="39629" xr:uid="{BF0A633C-76DA-427D-9F0A-C9903DD1A1A7}"/>
    <cellStyle name="40% - Accent5 12 2 4 2 3" xfId="23732" xr:uid="{00000000-0005-0000-0000-000068470000}"/>
    <cellStyle name="40% - Accent5 12 2 4 2 3 2" xfId="47565" xr:uid="{B65540F5-D654-401D-9FE9-A6C143C57576}"/>
    <cellStyle name="40% - Accent5 12 2 4 2 4" xfId="31688" xr:uid="{E6D70ECE-742A-40C9-9A09-96AA4A4148D2}"/>
    <cellStyle name="40% - Accent5 12 2 4 3" xfId="12248" xr:uid="{00000000-0005-0000-0000-000069470000}"/>
    <cellStyle name="40% - Accent5 12 2 4 3 2" xfId="36098" xr:uid="{C6BFBF13-3107-4282-BD9E-75C9EF27CB0D}"/>
    <cellStyle name="40% - Accent5 12 2 4 4" xfId="20203" xr:uid="{00000000-0005-0000-0000-00006A470000}"/>
    <cellStyle name="40% - Accent5 12 2 4 4 2" xfId="44036" xr:uid="{0E5F032D-6FD7-4B27-B94E-4606679ECED1}"/>
    <cellStyle name="40% - Accent5 12 2 4 5" xfId="28157" xr:uid="{D090F501-335C-4DF8-8EE6-BB8254577B56}"/>
    <cellStyle name="40% - Accent5 12 2 5" xfId="6043" xr:uid="{00000000-0005-0000-0000-00006B470000}"/>
    <cellStyle name="40% - Accent5 12 2 5 2" xfId="14027" xr:uid="{00000000-0005-0000-0000-00006C470000}"/>
    <cellStyle name="40% - Accent5 12 2 5 2 2" xfId="37871" xr:uid="{E6582BC2-0E9F-49A4-A3EC-FD8BA510158F}"/>
    <cellStyle name="40% - Accent5 12 2 5 3" xfId="21975" xr:uid="{00000000-0005-0000-0000-00006D470000}"/>
    <cellStyle name="40% - Accent5 12 2 5 3 2" xfId="45808" xr:uid="{3ABDE116-D41B-4935-A0BE-05E12E76D2A7}"/>
    <cellStyle name="40% - Accent5 12 2 5 4" xfId="29930" xr:uid="{D76E45EE-CBD8-4CC0-91B1-BBF47FC96F36}"/>
    <cellStyle name="40% - Accent5 12 2 6" xfId="9596" xr:uid="{00000000-0005-0000-0000-00006E470000}"/>
    <cellStyle name="40% - Accent5 12 2 6 2" xfId="17554" xr:uid="{00000000-0005-0000-0000-00006F470000}"/>
    <cellStyle name="40% - Accent5 12 2 6 2 2" xfId="41395" xr:uid="{6D3B59AF-0E89-4B6A-8120-3C30F040D334}"/>
    <cellStyle name="40% - Accent5 12 2 6 3" xfId="25498" xr:uid="{00000000-0005-0000-0000-000070470000}"/>
    <cellStyle name="40% - Accent5 12 2 6 3 2" xfId="49331" xr:uid="{4A87D718-962E-429E-84E9-144CE80BCB27}"/>
    <cellStyle name="40% - Accent5 12 2 6 4" xfId="33454" xr:uid="{424AF4FF-A234-402A-AA22-731C1D7C8E3A}"/>
    <cellStyle name="40% - Accent5 12 2 7" xfId="10492" xr:uid="{00000000-0005-0000-0000-000071470000}"/>
    <cellStyle name="40% - Accent5 12 2 7 2" xfId="34342" xr:uid="{315B3C34-37B2-485B-BD9C-24CE2A9EC38B}"/>
    <cellStyle name="40% - Accent5 12 2 8" xfId="18447" xr:uid="{00000000-0005-0000-0000-000072470000}"/>
    <cellStyle name="40% - Accent5 12 2 8 2" xfId="42280" xr:uid="{9C00E763-19D7-47BE-8BBB-52E0277FC1F6}"/>
    <cellStyle name="40% - Accent5 12 2 9" xfId="26400" xr:uid="{BB0BDDF1-65D8-482C-864B-0C981D86AFEE}"/>
    <cellStyle name="40% - Accent5 12 2_Exh G" xfId="3198" xr:uid="{00000000-0005-0000-0000-000073470000}"/>
    <cellStyle name="40% - Accent5 12 3" xfId="546" xr:uid="{00000000-0005-0000-0000-000074470000}"/>
    <cellStyle name="40% - Accent5 12 3 2" xfId="1574" xr:uid="{00000000-0005-0000-0000-000075470000}"/>
    <cellStyle name="40% - Accent5 12 3 2 2" xfId="5104" xr:uid="{00000000-0005-0000-0000-000076470000}"/>
    <cellStyle name="40% - Accent5 12 3 2 2 2" xfId="8695" xr:uid="{00000000-0005-0000-0000-000077470000}"/>
    <cellStyle name="40% - Accent5 12 3 2 2 2 2" xfId="16666" xr:uid="{00000000-0005-0000-0000-000078470000}"/>
    <cellStyle name="40% - Accent5 12 3 2 2 2 2 2" xfId="40509" xr:uid="{0EA3D574-CE89-42AA-9E1F-4EDE4745D1D3}"/>
    <cellStyle name="40% - Accent5 12 3 2 2 2 3" xfId="24612" xr:uid="{00000000-0005-0000-0000-000079470000}"/>
    <cellStyle name="40% - Accent5 12 3 2 2 2 3 2" xfId="48445" xr:uid="{0E3E7F5F-B280-473C-93D4-46DD0432FE84}"/>
    <cellStyle name="40% - Accent5 12 3 2 2 2 4" xfId="32568" xr:uid="{A3A77F75-563F-49D0-B370-7AA53A7F8C81}"/>
    <cellStyle name="40% - Accent5 12 3 2 2 3" xfId="13128" xr:uid="{00000000-0005-0000-0000-00007A470000}"/>
    <cellStyle name="40% - Accent5 12 3 2 2 3 2" xfId="36978" xr:uid="{6E47F1A6-0B3A-4D93-B148-9A93991FACF9}"/>
    <cellStyle name="40% - Accent5 12 3 2 2 4" xfId="21083" xr:uid="{00000000-0005-0000-0000-00007B470000}"/>
    <cellStyle name="40% - Accent5 12 3 2 2 4 2" xfId="44916" xr:uid="{8B23A816-FBC2-4472-8F73-7EAE240AFBAF}"/>
    <cellStyle name="40% - Accent5 12 3 2 2 5" xfId="29037" xr:uid="{19E705A6-A352-4FC0-88AE-443FB45F4841}"/>
    <cellStyle name="40% - Accent5 12 3 2 3" xfId="6936" xr:uid="{00000000-0005-0000-0000-00007C470000}"/>
    <cellStyle name="40% - Accent5 12 3 2 3 2" xfId="14908" xr:uid="{00000000-0005-0000-0000-00007D470000}"/>
    <cellStyle name="40% - Accent5 12 3 2 3 2 2" xfId="38751" xr:uid="{C8A0A92A-598F-42E4-BF7D-9C7DE3B260D5}"/>
    <cellStyle name="40% - Accent5 12 3 2 3 3" xfId="22855" xr:uid="{00000000-0005-0000-0000-00007E470000}"/>
    <cellStyle name="40% - Accent5 12 3 2 3 3 2" xfId="46688" xr:uid="{A431C93C-9BAC-43D5-A020-8524F77CB851}"/>
    <cellStyle name="40% - Accent5 12 3 2 3 4" xfId="30810" xr:uid="{6B7A844B-259C-4026-84C4-DECAC554DB3E}"/>
    <cellStyle name="40% - Accent5 12 3 2 4" xfId="11372" xr:uid="{00000000-0005-0000-0000-00007F470000}"/>
    <cellStyle name="40% - Accent5 12 3 2 4 2" xfId="35222" xr:uid="{F679B4B3-9095-4962-9FDF-6C82231CD66E}"/>
    <cellStyle name="40% - Accent5 12 3 2 5" xfId="19327" xr:uid="{00000000-0005-0000-0000-000080470000}"/>
    <cellStyle name="40% - Accent5 12 3 2 5 2" xfId="43160" xr:uid="{04543A9A-F238-4DFB-B0B3-312052385D14}"/>
    <cellStyle name="40% - Accent5 12 3 2 6" xfId="27280" xr:uid="{4C10A618-4F66-4A28-A3FA-03C3C00DA598}"/>
    <cellStyle name="40% - Accent5 12 3 2_Exh G" xfId="3203" xr:uid="{00000000-0005-0000-0000-000081470000}"/>
    <cellStyle name="40% - Accent5 12 3 3" xfId="4225" xr:uid="{00000000-0005-0000-0000-000082470000}"/>
    <cellStyle name="40% - Accent5 12 3 3 2" xfId="7817" xr:uid="{00000000-0005-0000-0000-000083470000}"/>
    <cellStyle name="40% - Accent5 12 3 3 2 2" xfId="15788" xr:uid="{00000000-0005-0000-0000-000084470000}"/>
    <cellStyle name="40% - Accent5 12 3 3 2 2 2" xfId="39631" xr:uid="{1D8181FB-6361-4F78-8F63-35B4849DF9F4}"/>
    <cellStyle name="40% - Accent5 12 3 3 2 3" xfId="23734" xr:uid="{00000000-0005-0000-0000-000085470000}"/>
    <cellStyle name="40% - Accent5 12 3 3 2 3 2" xfId="47567" xr:uid="{E41B5C8E-4742-4722-8C7D-A8A4B72B0E7D}"/>
    <cellStyle name="40% - Accent5 12 3 3 2 4" xfId="31690" xr:uid="{7AAA5E02-6BA5-48BF-A291-5392066584AE}"/>
    <cellStyle name="40% - Accent5 12 3 3 3" xfId="12250" xr:uid="{00000000-0005-0000-0000-000086470000}"/>
    <cellStyle name="40% - Accent5 12 3 3 3 2" xfId="36100" xr:uid="{66BE07DC-D9E6-4710-A6AD-CED0986CBE21}"/>
    <cellStyle name="40% - Accent5 12 3 3 4" xfId="20205" xr:uid="{00000000-0005-0000-0000-000087470000}"/>
    <cellStyle name="40% - Accent5 12 3 3 4 2" xfId="44038" xr:uid="{068F7D37-5A53-436A-896A-09813C8E156A}"/>
    <cellStyle name="40% - Accent5 12 3 3 5" xfId="28159" xr:uid="{EDD4B5D5-3509-43CB-B860-A898364D7696}"/>
    <cellStyle name="40% - Accent5 12 3 4" xfId="6045" xr:uid="{00000000-0005-0000-0000-000088470000}"/>
    <cellStyle name="40% - Accent5 12 3 4 2" xfId="14029" xr:uid="{00000000-0005-0000-0000-000089470000}"/>
    <cellStyle name="40% - Accent5 12 3 4 2 2" xfId="37873" xr:uid="{AF273667-4EB3-4CDC-956D-BA3803663794}"/>
    <cellStyle name="40% - Accent5 12 3 4 3" xfId="21977" xr:uid="{00000000-0005-0000-0000-00008A470000}"/>
    <cellStyle name="40% - Accent5 12 3 4 3 2" xfId="45810" xr:uid="{0E8CEBA6-A290-4E3F-B546-1E9900E8BC31}"/>
    <cellStyle name="40% - Accent5 12 3 4 4" xfId="29932" xr:uid="{F26AEAFA-0814-407E-9562-1BFA72FF0474}"/>
    <cellStyle name="40% - Accent5 12 3 5" xfId="9598" xr:uid="{00000000-0005-0000-0000-00008B470000}"/>
    <cellStyle name="40% - Accent5 12 3 5 2" xfId="17556" xr:uid="{00000000-0005-0000-0000-00008C470000}"/>
    <cellStyle name="40% - Accent5 12 3 5 2 2" xfId="41397" xr:uid="{54232B7B-FDEB-4877-A234-679DCD473239}"/>
    <cellStyle name="40% - Accent5 12 3 5 3" xfId="25500" xr:uid="{00000000-0005-0000-0000-00008D470000}"/>
    <cellStyle name="40% - Accent5 12 3 5 3 2" xfId="49333" xr:uid="{62F8C9D0-7EBC-4CF3-9421-E6EFD62A1557}"/>
    <cellStyle name="40% - Accent5 12 3 5 4" xfId="33456" xr:uid="{F18C3CB2-A22B-44A1-8187-8D73C1A760FA}"/>
    <cellStyle name="40% - Accent5 12 3 6" xfId="10494" xr:uid="{00000000-0005-0000-0000-00008E470000}"/>
    <cellStyle name="40% - Accent5 12 3 6 2" xfId="34344" xr:uid="{50D86A82-46FC-4C3E-8227-F12DADB9F73B}"/>
    <cellStyle name="40% - Accent5 12 3 7" xfId="18449" xr:uid="{00000000-0005-0000-0000-00008F470000}"/>
    <cellStyle name="40% - Accent5 12 3 7 2" xfId="42282" xr:uid="{66B7871A-29FA-441F-92CD-8723D09B3F7D}"/>
    <cellStyle name="40% - Accent5 12 3 8" xfId="26402" xr:uid="{CAAA6FA9-90B3-466F-8BBD-A70D2DE99B01}"/>
    <cellStyle name="40% - Accent5 12 3_Exh G" xfId="3202" xr:uid="{00000000-0005-0000-0000-000090470000}"/>
    <cellStyle name="40% - Accent5 12 4" xfId="1571" xr:uid="{00000000-0005-0000-0000-000091470000}"/>
    <cellStyle name="40% - Accent5 12 4 2" xfId="5101" xr:uid="{00000000-0005-0000-0000-000092470000}"/>
    <cellStyle name="40% - Accent5 12 4 2 2" xfId="8692" xr:uid="{00000000-0005-0000-0000-000093470000}"/>
    <cellStyle name="40% - Accent5 12 4 2 2 2" xfId="16663" xr:uid="{00000000-0005-0000-0000-000094470000}"/>
    <cellStyle name="40% - Accent5 12 4 2 2 2 2" xfId="40506" xr:uid="{43EB4B10-6615-4B29-A8AD-B1501BDDA3F4}"/>
    <cellStyle name="40% - Accent5 12 4 2 2 3" xfId="24609" xr:uid="{00000000-0005-0000-0000-000095470000}"/>
    <cellStyle name="40% - Accent5 12 4 2 2 3 2" xfId="48442" xr:uid="{5570FDEF-BE17-4662-B12B-81435FA694CD}"/>
    <cellStyle name="40% - Accent5 12 4 2 2 4" xfId="32565" xr:uid="{123E9076-8BD1-4302-8874-E1C847E1366D}"/>
    <cellStyle name="40% - Accent5 12 4 2 3" xfId="13125" xr:uid="{00000000-0005-0000-0000-000096470000}"/>
    <cellStyle name="40% - Accent5 12 4 2 3 2" xfId="36975" xr:uid="{E3B753DA-DF11-4AB9-BAB2-1FEA73E5D447}"/>
    <cellStyle name="40% - Accent5 12 4 2 4" xfId="21080" xr:uid="{00000000-0005-0000-0000-000097470000}"/>
    <cellStyle name="40% - Accent5 12 4 2 4 2" xfId="44913" xr:uid="{15C49184-5D19-4441-8967-43B9DD662562}"/>
    <cellStyle name="40% - Accent5 12 4 2 5" xfId="29034" xr:uid="{AF805FA0-82FA-4BA6-AF5C-E8E00C766666}"/>
    <cellStyle name="40% - Accent5 12 4 3" xfId="6933" xr:uid="{00000000-0005-0000-0000-000098470000}"/>
    <cellStyle name="40% - Accent5 12 4 3 2" xfId="14905" xr:uid="{00000000-0005-0000-0000-000099470000}"/>
    <cellStyle name="40% - Accent5 12 4 3 2 2" xfId="38748" xr:uid="{FDA672E6-A245-4844-9E05-71553DBF7D6E}"/>
    <cellStyle name="40% - Accent5 12 4 3 3" xfId="22852" xr:uid="{00000000-0005-0000-0000-00009A470000}"/>
    <cellStyle name="40% - Accent5 12 4 3 3 2" xfId="46685" xr:uid="{83A29DAE-B116-4917-8E42-D1AAEA513B32}"/>
    <cellStyle name="40% - Accent5 12 4 3 4" xfId="30807" xr:uid="{63019CA6-086E-4582-84B2-B2BA9D63D9E2}"/>
    <cellStyle name="40% - Accent5 12 4 4" xfId="11369" xr:uid="{00000000-0005-0000-0000-00009B470000}"/>
    <cellStyle name="40% - Accent5 12 4 4 2" xfId="35219" xr:uid="{E93D12BF-5150-4729-BC66-BBF9DE566F2B}"/>
    <cellStyle name="40% - Accent5 12 4 5" xfId="19324" xr:uid="{00000000-0005-0000-0000-00009C470000}"/>
    <cellStyle name="40% - Accent5 12 4 5 2" xfId="43157" xr:uid="{E6C52364-ACEA-4AC2-9552-D795EFC4FE4E}"/>
    <cellStyle name="40% - Accent5 12 4 6" xfId="27277" xr:uid="{44A25FE6-FBFC-45FD-B0C8-C73B53FF9AE0}"/>
    <cellStyle name="40% - Accent5 12 4_Exh G" xfId="3204" xr:uid="{00000000-0005-0000-0000-00009D470000}"/>
    <cellStyle name="40% - Accent5 12 5" xfId="4222" xr:uid="{00000000-0005-0000-0000-00009E470000}"/>
    <cellStyle name="40% - Accent5 12 5 2" xfId="7814" xr:uid="{00000000-0005-0000-0000-00009F470000}"/>
    <cellStyle name="40% - Accent5 12 5 2 2" xfId="15785" xr:uid="{00000000-0005-0000-0000-0000A0470000}"/>
    <cellStyle name="40% - Accent5 12 5 2 2 2" xfId="39628" xr:uid="{C0620690-1B84-4E16-9034-2B2127059F98}"/>
    <cellStyle name="40% - Accent5 12 5 2 3" xfId="23731" xr:uid="{00000000-0005-0000-0000-0000A1470000}"/>
    <cellStyle name="40% - Accent5 12 5 2 3 2" xfId="47564" xr:uid="{E80EFABE-2502-48E5-9E09-E52E098468A8}"/>
    <cellStyle name="40% - Accent5 12 5 2 4" xfId="31687" xr:uid="{FDF800AF-3EF8-4182-A948-C7696B3D9321}"/>
    <cellStyle name="40% - Accent5 12 5 3" xfId="12247" xr:uid="{00000000-0005-0000-0000-0000A2470000}"/>
    <cellStyle name="40% - Accent5 12 5 3 2" xfId="36097" xr:uid="{1575D0D9-9395-4DBB-A178-1D46E4957F79}"/>
    <cellStyle name="40% - Accent5 12 5 4" xfId="20202" xr:uid="{00000000-0005-0000-0000-0000A3470000}"/>
    <cellStyle name="40% - Accent5 12 5 4 2" xfId="44035" xr:uid="{071CC15F-DA8B-4B48-9489-58E12F1EF830}"/>
    <cellStyle name="40% - Accent5 12 5 5" xfId="28156" xr:uid="{0851DB4A-FF5E-4B81-B609-86518CC87D24}"/>
    <cellStyle name="40% - Accent5 12 6" xfId="6042" xr:uid="{00000000-0005-0000-0000-0000A4470000}"/>
    <cellStyle name="40% - Accent5 12 6 2" xfId="14026" xr:uid="{00000000-0005-0000-0000-0000A5470000}"/>
    <cellStyle name="40% - Accent5 12 6 2 2" xfId="37870" xr:uid="{817CA95F-BA25-43F4-9FD3-ED7A880F2562}"/>
    <cellStyle name="40% - Accent5 12 6 3" xfId="21974" xr:uid="{00000000-0005-0000-0000-0000A6470000}"/>
    <cellStyle name="40% - Accent5 12 6 3 2" xfId="45807" xr:uid="{FBC757FA-121C-4D9D-BE66-E6DF28E6397C}"/>
    <cellStyle name="40% - Accent5 12 6 4" xfId="29929" xr:uid="{57342FE7-93A6-4BBA-96A4-5E596EC7D513}"/>
    <cellStyle name="40% - Accent5 12 7" xfId="9595" xr:uid="{00000000-0005-0000-0000-0000A7470000}"/>
    <cellStyle name="40% - Accent5 12 7 2" xfId="17553" xr:uid="{00000000-0005-0000-0000-0000A8470000}"/>
    <cellStyle name="40% - Accent5 12 7 2 2" xfId="41394" xr:uid="{8CE20386-1087-42C1-AECD-28F78149D916}"/>
    <cellStyle name="40% - Accent5 12 7 3" xfId="25497" xr:uid="{00000000-0005-0000-0000-0000A9470000}"/>
    <cellStyle name="40% - Accent5 12 7 3 2" xfId="49330" xr:uid="{8186C7DD-E8FC-48C6-B5AF-6B0B1A764939}"/>
    <cellStyle name="40% - Accent5 12 7 4" xfId="33453" xr:uid="{44CF69A7-E870-4A60-BD3A-AABB83332537}"/>
    <cellStyle name="40% - Accent5 12 8" xfId="10491" xr:uid="{00000000-0005-0000-0000-0000AA470000}"/>
    <cellStyle name="40% - Accent5 12 8 2" xfId="34341" xr:uid="{F707B20E-D59F-4DBA-9EEB-50D5C76CC917}"/>
    <cellStyle name="40% - Accent5 12 9" xfId="18446" xr:uid="{00000000-0005-0000-0000-0000AB470000}"/>
    <cellStyle name="40% - Accent5 12 9 2" xfId="42279" xr:uid="{781823E9-23B2-4B70-ADE7-FC7FC3FC32E1}"/>
    <cellStyle name="40% - Accent5 12_Exh G" xfId="3197" xr:uid="{00000000-0005-0000-0000-0000AC470000}"/>
    <cellStyle name="40% - Accent5 13" xfId="547" xr:uid="{00000000-0005-0000-0000-0000AD470000}"/>
    <cellStyle name="40% - Accent5 13 10" xfId="26403" xr:uid="{BFB301D9-84D3-49E2-AA84-A89CFB907F53}"/>
    <cellStyle name="40% - Accent5 13 2" xfId="548" xr:uid="{00000000-0005-0000-0000-0000AE470000}"/>
    <cellStyle name="40% - Accent5 13 2 2" xfId="549" xr:uid="{00000000-0005-0000-0000-0000AF470000}"/>
    <cellStyle name="40% - Accent5 13 2 2 2" xfId="1577" xr:uid="{00000000-0005-0000-0000-0000B0470000}"/>
    <cellStyle name="40% - Accent5 13 2 2 2 2" xfId="5107" xr:uid="{00000000-0005-0000-0000-0000B1470000}"/>
    <cellStyle name="40% - Accent5 13 2 2 2 2 2" xfId="8698" xr:uid="{00000000-0005-0000-0000-0000B2470000}"/>
    <cellStyle name="40% - Accent5 13 2 2 2 2 2 2" xfId="16669" xr:uid="{00000000-0005-0000-0000-0000B3470000}"/>
    <cellStyle name="40% - Accent5 13 2 2 2 2 2 2 2" xfId="40512" xr:uid="{ADD99BE3-4417-4558-BF14-3C69B12CFA0C}"/>
    <cellStyle name="40% - Accent5 13 2 2 2 2 2 3" xfId="24615" xr:uid="{00000000-0005-0000-0000-0000B4470000}"/>
    <cellStyle name="40% - Accent5 13 2 2 2 2 2 3 2" xfId="48448" xr:uid="{06ED0A8B-DBF2-468C-AF42-5EFA471104DA}"/>
    <cellStyle name="40% - Accent5 13 2 2 2 2 2 4" xfId="32571" xr:uid="{8CEF3F59-55B6-4BF3-BD03-ABC9CAC0E524}"/>
    <cellStyle name="40% - Accent5 13 2 2 2 2 3" xfId="13131" xr:uid="{00000000-0005-0000-0000-0000B5470000}"/>
    <cellStyle name="40% - Accent5 13 2 2 2 2 3 2" xfId="36981" xr:uid="{486EFBD5-D674-4079-A87D-2E5020EE72F4}"/>
    <cellStyle name="40% - Accent5 13 2 2 2 2 4" xfId="21086" xr:uid="{00000000-0005-0000-0000-0000B6470000}"/>
    <cellStyle name="40% - Accent5 13 2 2 2 2 4 2" xfId="44919" xr:uid="{BCFFEDB4-B936-46C1-AE1A-86701D1B3ADF}"/>
    <cellStyle name="40% - Accent5 13 2 2 2 2 5" xfId="29040" xr:uid="{A0DC2768-17F4-4B5A-848C-C56A53A30F97}"/>
    <cellStyle name="40% - Accent5 13 2 2 2 3" xfId="6939" xr:uid="{00000000-0005-0000-0000-0000B7470000}"/>
    <cellStyle name="40% - Accent5 13 2 2 2 3 2" xfId="14911" xr:uid="{00000000-0005-0000-0000-0000B8470000}"/>
    <cellStyle name="40% - Accent5 13 2 2 2 3 2 2" xfId="38754" xr:uid="{6F09708C-BC92-4045-9C3A-39F064AAAEE9}"/>
    <cellStyle name="40% - Accent5 13 2 2 2 3 3" xfId="22858" xr:uid="{00000000-0005-0000-0000-0000B9470000}"/>
    <cellStyle name="40% - Accent5 13 2 2 2 3 3 2" xfId="46691" xr:uid="{C603E46C-C56F-4639-BF83-35F0BAEECDA5}"/>
    <cellStyle name="40% - Accent5 13 2 2 2 3 4" xfId="30813" xr:uid="{90DA003A-F8B2-4E11-AF47-ABEEE0D9317A}"/>
    <cellStyle name="40% - Accent5 13 2 2 2 4" xfId="11375" xr:uid="{00000000-0005-0000-0000-0000BA470000}"/>
    <cellStyle name="40% - Accent5 13 2 2 2 4 2" xfId="35225" xr:uid="{5F4C4FE9-60D7-4A39-A644-20812BFB013D}"/>
    <cellStyle name="40% - Accent5 13 2 2 2 5" xfId="19330" xr:uid="{00000000-0005-0000-0000-0000BB470000}"/>
    <cellStyle name="40% - Accent5 13 2 2 2 5 2" xfId="43163" xr:uid="{FF028250-AEC2-41A7-AA36-7D447EAA1372}"/>
    <cellStyle name="40% - Accent5 13 2 2 2 6" xfId="27283" xr:uid="{B187467A-EF16-4D6E-B7BA-72048B9F8252}"/>
    <cellStyle name="40% - Accent5 13 2 2 2_Exh G" xfId="3208" xr:uid="{00000000-0005-0000-0000-0000BC470000}"/>
    <cellStyle name="40% - Accent5 13 2 2 3" xfId="4228" xr:uid="{00000000-0005-0000-0000-0000BD470000}"/>
    <cellStyle name="40% - Accent5 13 2 2 3 2" xfId="7820" xr:uid="{00000000-0005-0000-0000-0000BE470000}"/>
    <cellStyle name="40% - Accent5 13 2 2 3 2 2" xfId="15791" xr:uid="{00000000-0005-0000-0000-0000BF470000}"/>
    <cellStyle name="40% - Accent5 13 2 2 3 2 2 2" xfId="39634" xr:uid="{2961AF7C-DF08-44C6-BFDB-1EC9C1909EB9}"/>
    <cellStyle name="40% - Accent5 13 2 2 3 2 3" xfId="23737" xr:uid="{00000000-0005-0000-0000-0000C0470000}"/>
    <cellStyle name="40% - Accent5 13 2 2 3 2 3 2" xfId="47570" xr:uid="{656475EF-B078-4F10-A58B-3C6AF88C2B69}"/>
    <cellStyle name="40% - Accent5 13 2 2 3 2 4" xfId="31693" xr:uid="{C025F7FC-C4B1-497E-95D7-8E7312ED8005}"/>
    <cellStyle name="40% - Accent5 13 2 2 3 3" xfId="12253" xr:uid="{00000000-0005-0000-0000-0000C1470000}"/>
    <cellStyle name="40% - Accent5 13 2 2 3 3 2" xfId="36103" xr:uid="{352B227D-7B44-4E6B-B3B8-52CDA1118DD6}"/>
    <cellStyle name="40% - Accent5 13 2 2 3 4" xfId="20208" xr:uid="{00000000-0005-0000-0000-0000C2470000}"/>
    <cellStyle name="40% - Accent5 13 2 2 3 4 2" xfId="44041" xr:uid="{C64DAFA0-C849-40A1-A939-82772CCF0019}"/>
    <cellStyle name="40% - Accent5 13 2 2 3 5" xfId="28162" xr:uid="{19B2F137-324C-41B4-884C-EFE4377932EF}"/>
    <cellStyle name="40% - Accent5 13 2 2 4" xfId="6048" xr:uid="{00000000-0005-0000-0000-0000C3470000}"/>
    <cellStyle name="40% - Accent5 13 2 2 4 2" xfId="14032" xr:uid="{00000000-0005-0000-0000-0000C4470000}"/>
    <cellStyle name="40% - Accent5 13 2 2 4 2 2" xfId="37876" xr:uid="{D7902EC4-8930-4047-83EB-204769C45F81}"/>
    <cellStyle name="40% - Accent5 13 2 2 4 3" xfId="21980" xr:uid="{00000000-0005-0000-0000-0000C5470000}"/>
    <cellStyle name="40% - Accent5 13 2 2 4 3 2" xfId="45813" xr:uid="{0F01B63D-1D86-4081-A61D-D8E472367AB5}"/>
    <cellStyle name="40% - Accent5 13 2 2 4 4" xfId="29935" xr:uid="{4A3A4C49-510F-47A0-8A07-B4D2A5FD7250}"/>
    <cellStyle name="40% - Accent5 13 2 2 5" xfId="9601" xr:uid="{00000000-0005-0000-0000-0000C6470000}"/>
    <cellStyle name="40% - Accent5 13 2 2 5 2" xfId="17559" xr:uid="{00000000-0005-0000-0000-0000C7470000}"/>
    <cellStyle name="40% - Accent5 13 2 2 5 2 2" xfId="41400" xr:uid="{5621A833-15F4-4B3D-8A23-B056BF50A8F5}"/>
    <cellStyle name="40% - Accent5 13 2 2 5 3" xfId="25503" xr:uid="{00000000-0005-0000-0000-0000C8470000}"/>
    <cellStyle name="40% - Accent5 13 2 2 5 3 2" xfId="49336" xr:uid="{5FE13412-2CD3-4E83-A852-17F72496A0AC}"/>
    <cellStyle name="40% - Accent5 13 2 2 5 4" xfId="33459" xr:uid="{D3BF3740-6E51-4255-8E3E-4BC38D89472D}"/>
    <cellStyle name="40% - Accent5 13 2 2 6" xfId="10497" xr:uid="{00000000-0005-0000-0000-0000C9470000}"/>
    <cellStyle name="40% - Accent5 13 2 2 6 2" xfId="34347" xr:uid="{598B8187-1FE7-4A87-A3B6-3FCEFAA600FD}"/>
    <cellStyle name="40% - Accent5 13 2 2 7" xfId="18452" xr:uid="{00000000-0005-0000-0000-0000CA470000}"/>
    <cellStyle name="40% - Accent5 13 2 2 7 2" xfId="42285" xr:uid="{D6617115-EBCF-44D8-9314-BF32A0FBCB29}"/>
    <cellStyle name="40% - Accent5 13 2 2 8" xfId="26405" xr:uid="{548F97CB-13D7-4F3B-A7BE-CE3296C80AF3}"/>
    <cellStyle name="40% - Accent5 13 2 2_Exh G" xfId="3207" xr:uid="{00000000-0005-0000-0000-0000CB470000}"/>
    <cellStyle name="40% - Accent5 13 2 3" xfId="1576" xr:uid="{00000000-0005-0000-0000-0000CC470000}"/>
    <cellStyle name="40% - Accent5 13 2 3 2" xfId="5106" xr:uid="{00000000-0005-0000-0000-0000CD470000}"/>
    <cellStyle name="40% - Accent5 13 2 3 2 2" xfId="8697" xr:uid="{00000000-0005-0000-0000-0000CE470000}"/>
    <cellStyle name="40% - Accent5 13 2 3 2 2 2" xfId="16668" xr:uid="{00000000-0005-0000-0000-0000CF470000}"/>
    <cellStyle name="40% - Accent5 13 2 3 2 2 2 2" xfId="40511" xr:uid="{D11BB89F-B79A-4496-AAF4-FA950DE53675}"/>
    <cellStyle name="40% - Accent5 13 2 3 2 2 3" xfId="24614" xr:uid="{00000000-0005-0000-0000-0000D0470000}"/>
    <cellStyle name="40% - Accent5 13 2 3 2 2 3 2" xfId="48447" xr:uid="{EFB148E1-ACCB-4C7D-A7A4-39A5C5F54231}"/>
    <cellStyle name="40% - Accent5 13 2 3 2 2 4" xfId="32570" xr:uid="{C939BB9E-8706-40F1-938E-0FB881A8DAF7}"/>
    <cellStyle name="40% - Accent5 13 2 3 2 3" xfId="13130" xr:uid="{00000000-0005-0000-0000-0000D1470000}"/>
    <cellStyle name="40% - Accent5 13 2 3 2 3 2" xfId="36980" xr:uid="{1D8A46C4-53F6-435F-BD2B-945E813BE6DE}"/>
    <cellStyle name="40% - Accent5 13 2 3 2 4" xfId="21085" xr:uid="{00000000-0005-0000-0000-0000D2470000}"/>
    <cellStyle name="40% - Accent5 13 2 3 2 4 2" xfId="44918" xr:uid="{2E145F5F-A099-4859-931E-D9E273C6659E}"/>
    <cellStyle name="40% - Accent5 13 2 3 2 5" xfId="29039" xr:uid="{15438D8A-9786-40D5-8FF2-DD6E133B45D2}"/>
    <cellStyle name="40% - Accent5 13 2 3 3" xfId="6938" xr:uid="{00000000-0005-0000-0000-0000D3470000}"/>
    <cellStyle name="40% - Accent5 13 2 3 3 2" xfId="14910" xr:uid="{00000000-0005-0000-0000-0000D4470000}"/>
    <cellStyle name="40% - Accent5 13 2 3 3 2 2" xfId="38753" xr:uid="{9D41F908-6334-4FC7-98E6-9FA02B95E22A}"/>
    <cellStyle name="40% - Accent5 13 2 3 3 3" xfId="22857" xr:uid="{00000000-0005-0000-0000-0000D5470000}"/>
    <cellStyle name="40% - Accent5 13 2 3 3 3 2" xfId="46690" xr:uid="{4A85D395-1EDC-40A3-A180-5D1BB28060F8}"/>
    <cellStyle name="40% - Accent5 13 2 3 3 4" xfId="30812" xr:uid="{1165B577-B527-4A42-9982-D3727AC333A4}"/>
    <cellStyle name="40% - Accent5 13 2 3 4" xfId="11374" xr:uid="{00000000-0005-0000-0000-0000D6470000}"/>
    <cellStyle name="40% - Accent5 13 2 3 4 2" xfId="35224" xr:uid="{5368B034-111D-4EEF-A751-1C5BEACD0BF8}"/>
    <cellStyle name="40% - Accent5 13 2 3 5" xfId="19329" xr:uid="{00000000-0005-0000-0000-0000D7470000}"/>
    <cellStyle name="40% - Accent5 13 2 3 5 2" xfId="43162" xr:uid="{78F11AB5-EFCD-4FB2-88BC-3522C2B29641}"/>
    <cellStyle name="40% - Accent5 13 2 3 6" xfId="27282" xr:uid="{1AB7B175-5585-4011-BB3F-209C22BB0D0E}"/>
    <cellStyle name="40% - Accent5 13 2 3_Exh G" xfId="3209" xr:uid="{00000000-0005-0000-0000-0000D8470000}"/>
    <cellStyle name="40% - Accent5 13 2 4" xfId="4227" xr:uid="{00000000-0005-0000-0000-0000D9470000}"/>
    <cellStyle name="40% - Accent5 13 2 4 2" xfId="7819" xr:uid="{00000000-0005-0000-0000-0000DA470000}"/>
    <cellStyle name="40% - Accent5 13 2 4 2 2" xfId="15790" xr:uid="{00000000-0005-0000-0000-0000DB470000}"/>
    <cellStyle name="40% - Accent5 13 2 4 2 2 2" xfId="39633" xr:uid="{3DF3C94D-D70C-4ADD-9EAE-EA80A41E7EF6}"/>
    <cellStyle name="40% - Accent5 13 2 4 2 3" xfId="23736" xr:uid="{00000000-0005-0000-0000-0000DC470000}"/>
    <cellStyle name="40% - Accent5 13 2 4 2 3 2" xfId="47569" xr:uid="{CB18DCB1-E1CF-4B24-8F64-9296357B5868}"/>
    <cellStyle name="40% - Accent5 13 2 4 2 4" xfId="31692" xr:uid="{B06901F6-74E7-4198-8E3E-E2B2BE74273B}"/>
    <cellStyle name="40% - Accent5 13 2 4 3" xfId="12252" xr:uid="{00000000-0005-0000-0000-0000DD470000}"/>
    <cellStyle name="40% - Accent5 13 2 4 3 2" xfId="36102" xr:uid="{F7E53F64-FB34-45E3-8CFE-BFDBF24F2ABA}"/>
    <cellStyle name="40% - Accent5 13 2 4 4" xfId="20207" xr:uid="{00000000-0005-0000-0000-0000DE470000}"/>
    <cellStyle name="40% - Accent5 13 2 4 4 2" xfId="44040" xr:uid="{7B841145-33D6-476D-ACA5-AF85CC213532}"/>
    <cellStyle name="40% - Accent5 13 2 4 5" xfId="28161" xr:uid="{9DA3E369-7B99-46EE-9D8E-5908ABF57F56}"/>
    <cellStyle name="40% - Accent5 13 2 5" xfId="6047" xr:uid="{00000000-0005-0000-0000-0000DF470000}"/>
    <cellStyle name="40% - Accent5 13 2 5 2" xfId="14031" xr:uid="{00000000-0005-0000-0000-0000E0470000}"/>
    <cellStyle name="40% - Accent5 13 2 5 2 2" xfId="37875" xr:uid="{06080BC1-3529-4A87-90E8-28AAD4C9958D}"/>
    <cellStyle name="40% - Accent5 13 2 5 3" xfId="21979" xr:uid="{00000000-0005-0000-0000-0000E1470000}"/>
    <cellStyle name="40% - Accent5 13 2 5 3 2" xfId="45812" xr:uid="{7279CFB6-FB6B-4C63-9C31-A9E7BAD6B9D0}"/>
    <cellStyle name="40% - Accent5 13 2 5 4" xfId="29934" xr:uid="{085E9E05-1659-4FFA-94A7-347F89A7D304}"/>
    <cellStyle name="40% - Accent5 13 2 6" xfId="9600" xr:uid="{00000000-0005-0000-0000-0000E2470000}"/>
    <cellStyle name="40% - Accent5 13 2 6 2" xfId="17558" xr:uid="{00000000-0005-0000-0000-0000E3470000}"/>
    <cellStyle name="40% - Accent5 13 2 6 2 2" xfId="41399" xr:uid="{6EC8A234-8CAC-4592-B14C-343D15C1A58A}"/>
    <cellStyle name="40% - Accent5 13 2 6 3" xfId="25502" xr:uid="{00000000-0005-0000-0000-0000E4470000}"/>
    <cellStyle name="40% - Accent5 13 2 6 3 2" xfId="49335" xr:uid="{F66568D8-2016-4925-9A87-232D21E7C7D4}"/>
    <cellStyle name="40% - Accent5 13 2 6 4" xfId="33458" xr:uid="{254B46CC-098A-4893-B032-903897FB8B06}"/>
    <cellStyle name="40% - Accent5 13 2 7" xfId="10496" xr:uid="{00000000-0005-0000-0000-0000E5470000}"/>
    <cellStyle name="40% - Accent5 13 2 7 2" xfId="34346" xr:uid="{3F7DB59C-BE81-4723-B0FF-9B1C12453892}"/>
    <cellStyle name="40% - Accent5 13 2 8" xfId="18451" xr:uid="{00000000-0005-0000-0000-0000E6470000}"/>
    <cellStyle name="40% - Accent5 13 2 8 2" xfId="42284" xr:uid="{F7DCA92E-103F-45DF-9157-E89E99A70C3C}"/>
    <cellStyle name="40% - Accent5 13 2 9" xfId="26404" xr:uid="{B7EAC5AE-15BE-4127-B9DC-537891DA2852}"/>
    <cellStyle name="40% - Accent5 13 2_Exh G" xfId="3206" xr:uid="{00000000-0005-0000-0000-0000E7470000}"/>
    <cellStyle name="40% - Accent5 13 3" xfId="550" xr:uid="{00000000-0005-0000-0000-0000E8470000}"/>
    <cellStyle name="40% - Accent5 13 3 2" xfId="1578" xr:uid="{00000000-0005-0000-0000-0000E9470000}"/>
    <cellStyle name="40% - Accent5 13 3 2 2" xfId="5108" xr:uid="{00000000-0005-0000-0000-0000EA470000}"/>
    <cellStyle name="40% - Accent5 13 3 2 2 2" xfId="8699" xr:uid="{00000000-0005-0000-0000-0000EB470000}"/>
    <cellStyle name="40% - Accent5 13 3 2 2 2 2" xfId="16670" xr:uid="{00000000-0005-0000-0000-0000EC470000}"/>
    <cellStyle name="40% - Accent5 13 3 2 2 2 2 2" xfId="40513" xr:uid="{E33F46B7-B20C-442F-8AE1-83AA6B5A7372}"/>
    <cellStyle name="40% - Accent5 13 3 2 2 2 3" xfId="24616" xr:uid="{00000000-0005-0000-0000-0000ED470000}"/>
    <cellStyle name="40% - Accent5 13 3 2 2 2 3 2" xfId="48449" xr:uid="{0E6BCEF9-A5D3-499D-87D6-43F6EDB486C3}"/>
    <cellStyle name="40% - Accent5 13 3 2 2 2 4" xfId="32572" xr:uid="{FDACDFF1-F128-4B2F-8EFD-FE01E477591E}"/>
    <cellStyle name="40% - Accent5 13 3 2 2 3" xfId="13132" xr:uid="{00000000-0005-0000-0000-0000EE470000}"/>
    <cellStyle name="40% - Accent5 13 3 2 2 3 2" xfId="36982" xr:uid="{87AC4B9D-4315-4C23-B14C-BE7A6453DCF4}"/>
    <cellStyle name="40% - Accent5 13 3 2 2 4" xfId="21087" xr:uid="{00000000-0005-0000-0000-0000EF470000}"/>
    <cellStyle name="40% - Accent5 13 3 2 2 4 2" xfId="44920" xr:uid="{6D184E13-7C15-459E-9C84-65FBDAEE9208}"/>
    <cellStyle name="40% - Accent5 13 3 2 2 5" xfId="29041" xr:uid="{6BD4D913-8378-4298-B7E4-D3883A3E4B9D}"/>
    <cellStyle name="40% - Accent5 13 3 2 3" xfId="6940" xr:uid="{00000000-0005-0000-0000-0000F0470000}"/>
    <cellStyle name="40% - Accent5 13 3 2 3 2" xfId="14912" xr:uid="{00000000-0005-0000-0000-0000F1470000}"/>
    <cellStyle name="40% - Accent5 13 3 2 3 2 2" xfId="38755" xr:uid="{C7CC1FE3-F08E-4AF9-AF35-A27D0564B065}"/>
    <cellStyle name="40% - Accent5 13 3 2 3 3" xfId="22859" xr:uid="{00000000-0005-0000-0000-0000F2470000}"/>
    <cellStyle name="40% - Accent5 13 3 2 3 3 2" xfId="46692" xr:uid="{88E72F4B-A692-4895-B2C0-2F16108A0ED8}"/>
    <cellStyle name="40% - Accent5 13 3 2 3 4" xfId="30814" xr:uid="{C45C040C-EBC6-4D4C-B3ED-B97645E3B548}"/>
    <cellStyle name="40% - Accent5 13 3 2 4" xfId="11376" xr:uid="{00000000-0005-0000-0000-0000F3470000}"/>
    <cellStyle name="40% - Accent5 13 3 2 4 2" xfId="35226" xr:uid="{1E519BC6-5221-4A1A-B493-B3A1F681E561}"/>
    <cellStyle name="40% - Accent5 13 3 2 5" xfId="19331" xr:uid="{00000000-0005-0000-0000-0000F4470000}"/>
    <cellStyle name="40% - Accent5 13 3 2 5 2" xfId="43164" xr:uid="{8827940A-EF11-48F6-9A3B-831D5F62DB8B}"/>
    <cellStyle name="40% - Accent5 13 3 2 6" xfId="27284" xr:uid="{16CC7AD7-4C1C-4960-980E-F89D458ABE5B}"/>
    <cellStyle name="40% - Accent5 13 3 2_Exh G" xfId="3211" xr:uid="{00000000-0005-0000-0000-0000F5470000}"/>
    <cellStyle name="40% - Accent5 13 3 3" xfId="4229" xr:uid="{00000000-0005-0000-0000-0000F6470000}"/>
    <cellStyle name="40% - Accent5 13 3 3 2" xfId="7821" xr:uid="{00000000-0005-0000-0000-0000F7470000}"/>
    <cellStyle name="40% - Accent5 13 3 3 2 2" xfId="15792" xr:uid="{00000000-0005-0000-0000-0000F8470000}"/>
    <cellStyle name="40% - Accent5 13 3 3 2 2 2" xfId="39635" xr:uid="{12A07E43-D683-4617-9979-CB2E16F07D69}"/>
    <cellStyle name="40% - Accent5 13 3 3 2 3" xfId="23738" xr:uid="{00000000-0005-0000-0000-0000F9470000}"/>
    <cellStyle name="40% - Accent5 13 3 3 2 3 2" xfId="47571" xr:uid="{CE7C1DD7-788F-4CC5-90C7-550AA04BAB3C}"/>
    <cellStyle name="40% - Accent5 13 3 3 2 4" xfId="31694" xr:uid="{755C46B8-7FED-41C9-BC5F-7EAAE35FF261}"/>
    <cellStyle name="40% - Accent5 13 3 3 3" xfId="12254" xr:uid="{00000000-0005-0000-0000-0000FA470000}"/>
    <cellStyle name="40% - Accent5 13 3 3 3 2" xfId="36104" xr:uid="{F0309F37-FC9F-4FA9-BC52-7EE8E309CAD9}"/>
    <cellStyle name="40% - Accent5 13 3 3 4" xfId="20209" xr:uid="{00000000-0005-0000-0000-0000FB470000}"/>
    <cellStyle name="40% - Accent5 13 3 3 4 2" xfId="44042" xr:uid="{FDC16BD7-D62E-45FF-B1C0-66F6A2331CC6}"/>
    <cellStyle name="40% - Accent5 13 3 3 5" xfId="28163" xr:uid="{510BBAA8-C01B-4799-8B05-D3A17141481C}"/>
    <cellStyle name="40% - Accent5 13 3 4" xfId="6049" xr:uid="{00000000-0005-0000-0000-0000FC470000}"/>
    <cellStyle name="40% - Accent5 13 3 4 2" xfId="14033" xr:uid="{00000000-0005-0000-0000-0000FD470000}"/>
    <cellStyle name="40% - Accent5 13 3 4 2 2" xfId="37877" xr:uid="{C58DB04D-0DD6-4AC1-BFCF-21B250F529A3}"/>
    <cellStyle name="40% - Accent5 13 3 4 3" xfId="21981" xr:uid="{00000000-0005-0000-0000-0000FE470000}"/>
    <cellStyle name="40% - Accent5 13 3 4 3 2" xfId="45814" xr:uid="{E501C25C-771E-4540-8FE2-B8FEB6BF28EB}"/>
    <cellStyle name="40% - Accent5 13 3 4 4" xfId="29936" xr:uid="{2C00396C-6888-46A2-BD13-CBBFBCF58F9B}"/>
    <cellStyle name="40% - Accent5 13 3 5" xfId="9602" xr:uid="{00000000-0005-0000-0000-0000FF470000}"/>
    <cellStyle name="40% - Accent5 13 3 5 2" xfId="17560" xr:uid="{00000000-0005-0000-0000-000000480000}"/>
    <cellStyle name="40% - Accent5 13 3 5 2 2" xfId="41401" xr:uid="{A7B0B5AD-F666-4415-B469-B008F65550B7}"/>
    <cellStyle name="40% - Accent5 13 3 5 3" xfId="25504" xr:uid="{00000000-0005-0000-0000-000001480000}"/>
    <cellStyle name="40% - Accent5 13 3 5 3 2" xfId="49337" xr:uid="{0C2CFA7E-61BD-4AFA-9EF2-3551083455DB}"/>
    <cellStyle name="40% - Accent5 13 3 5 4" xfId="33460" xr:uid="{EA00F89A-3925-4CE7-84CC-542132AA7311}"/>
    <cellStyle name="40% - Accent5 13 3 6" xfId="10498" xr:uid="{00000000-0005-0000-0000-000002480000}"/>
    <cellStyle name="40% - Accent5 13 3 6 2" xfId="34348" xr:uid="{8C04ED57-BD05-4A34-B7EB-154715C27E81}"/>
    <cellStyle name="40% - Accent5 13 3 7" xfId="18453" xr:uid="{00000000-0005-0000-0000-000003480000}"/>
    <cellStyle name="40% - Accent5 13 3 7 2" xfId="42286" xr:uid="{68ADCD49-ED40-498F-BFDD-E9619CFDA3CF}"/>
    <cellStyle name="40% - Accent5 13 3 8" xfId="26406" xr:uid="{5F74B6ED-9755-40F1-8C59-2E1F45D93D1C}"/>
    <cellStyle name="40% - Accent5 13 3_Exh G" xfId="3210" xr:uid="{00000000-0005-0000-0000-000004480000}"/>
    <cellStyle name="40% - Accent5 13 4" xfId="1575" xr:uid="{00000000-0005-0000-0000-000005480000}"/>
    <cellStyle name="40% - Accent5 13 4 2" xfId="5105" xr:uid="{00000000-0005-0000-0000-000006480000}"/>
    <cellStyle name="40% - Accent5 13 4 2 2" xfId="8696" xr:uid="{00000000-0005-0000-0000-000007480000}"/>
    <cellStyle name="40% - Accent5 13 4 2 2 2" xfId="16667" xr:uid="{00000000-0005-0000-0000-000008480000}"/>
    <cellStyle name="40% - Accent5 13 4 2 2 2 2" xfId="40510" xr:uid="{6026485B-11D8-4260-812D-D950AF43F160}"/>
    <cellStyle name="40% - Accent5 13 4 2 2 3" xfId="24613" xr:uid="{00000000-0005-0000-0000-000009480000}"/>
    <cellStyle name="40% - Accent5 13 4 2 2 3 2" xfId="48446" xr:uid="{0D346858-43A5-4DB2-A08B-B35B7F496FEF}"/>
    <cellStyle name="40% - Accent5 13 4 2 2 4" xfId="32569" xr:uid="{381CF093-EC99-43FE-AAEF-4450EDDF3FCF}"/>
    <cellStyle name="40% - Accent5 13 4 2 3" xfId="13129" xr:uid="{00000000-0005-0000-0000-00000A480000}"/>
    <cellStyle name="40% - Accent5 13 4 2 3 2" xfId="36979" xr:uid="{B0D43B69-E60F-4BC6-92DF-6F7C505B6A47}"/>
    <cellStyle name="40% - Accent5 13 4 2 4" xfId="21084" xr:uid="{00000000-0005-0000-0000-00000B480000}"/>
    <cellStyle name="40% - Accent5 13 4 2 4 2" xfId="44917" xr:uid="{77A31E92-3872-4177-A2A3-1836D1043D93}"/>
    <cellStyle name="40% - Accent5 13 4 2 5" xfId="29038" xr:uid="{599EEA5B-FC48-46B9-9F4D-80271469FFCB}"/>
    <cellStyle name="40% - Accent5 13 4 3" xfId="6937" xr:uid="{00000000-0005-0000-0000-00000C480000}"/>
    <cellStyle name="40% - Accent5 13 4 3 2" xfId="14909" xr:uid="{00000000-0005-0000-0000-00000D480000}"/>
    <cellStyle name="40% - Accent5 13 4 3 2 2" xfId="38752" xr:uid="{EA628DBD-0D6D-417E-A536-5F88A8496FA0}"/>
    <cellStyle name="40% - Accent5 13 4 3 3" xfId="22856" xr:uid="{00000000-0005-0000-0000-00000E480000}"/>
    <cellStyle name="40% - Accent5 13 4 3 3 2" xfId="46689" xr:uid="{5A85FFF4-B580-46CE-AC82-979AF678E672}"/>
    <cellStyle name="40% - Accent5 13 4 3 4" xfId="30811" xr:uid="{532EE7FE-AC52-4184-8E01-1D81B9BEDEFB}"/>
    <cellStyle name="40% - Accent5 13 4 4" xfId="11373" xr:uid="{00000000-0005-0000-0000-00000F480000}"/>
    <cellStyle name="40% - Accent5 13 4 4 2" xfId="35223" xr:uid="{8657837F-F041-4D39-8461-E3DC4768D88E}"/>
    <cellStyle name="40% - Accent5 13 4 5" xfId="19328" xr:uid="{00000000-0005-0000-0000-000010480000}"/>
    <cellStyle name="40% - Accent5 13 4 5 2" xfId="43161" xr:uid="{6AFFD67B-DB67-4A66-B0C3-907124CB4723}"/>
    <cellStyle name="40% - Accent5 13 4 6" xfId="27281" xr:uid="{0D97A5A7-4B63-44DA-860E-2739D48FAE26}"/>
    <cellStyle name="40% - Accent5 13 4_Exh G" xfId="3212" xr:uid="{00000000-0005-0000-0000-000011480000}"/>
    <cellStyle name="40% - Accent5 13 5" xfId="4226" xr:uid="{00000000-0005-0000-0000-000012480000}"/>
    <cellStyle name="40% - Accent5 13 5 2" xfId="7818" xr:uid="{00000000-0005-0000-0000-000013480000}"/>
    <cellStyle name="40% - Accent5 13 5 2 2" xfId="15789" xr:uid="{00000000-0005-0000-0000-000014480000}"/>
    <cellStyle name="40% - Accent5 13 5 2 2 2" xfId="39632" xr:uid="{2F0EB797-71C4-472D-B3EB-9E607ECAB22F}"/>
    <cellStyle name="40% - Accent5 13 5 2 3" xfId="23735" xr:uid="{00000000-0005-0000-0000-000015480000}"/>
    <cellStyle name="40% - Accent5 13 5 2 3 2" xfId="47568" xr:uid="{9ECDF7B1-5AFC-4D52-8A53-5EB9C02AF5DC}"/>
    <cellStyle name="40% - Accent5 13 5 2 4" xfId="31691" xr:uid="{795F9026-2E26-40D7-AF90-EDD0B149F57B}"/>
    <cellStyle name="40% - Accent5 13 5 3" xfId="12251" xr:uid="{00000000-0005-0000-0000-000016480000}"/>
    <cellStyle name="40% - Accent5 13 5 3 2" xfId="36101" xr:uid="{BD107BCF-78EB-4A9C-855E-4B6965849B86}"/>
    <cellStyle name="40% - Accent5 13 5 4" xfId="20206" xr:uid="{00000000-0005-0000-0000-000017480000}"/>
    <cellStyle name="40% - Accent5 13 5 4 2" xfId="44039" xr:uid="{9D0D3D16-E100-437B-8EA2-CB59DD372DBA}"/>
    <cellStyle name="40% - Accent5 13 5 5" xfId="28160" xr:uid="{B9CCC364-0687-40A5-8237-185A7F9E5154}"/>
    <cellStyle name="40% - Accent5 13 6" xfId="6046" xr:uid="{00000000-0005-0000-0000-000018480000}"/>
    <cellStyle name="40% - Accent5 13 6 2" xfId="14030" xr:uid="{00000000-0005-0000-0000-000019480000}"/>
    <cellStyle name="40% - Accent5 13 6 2 2" xfId="37874" xr:uid="{507465C1-4B05-4DC6-A3AA-9983DC9309ED}"/>
    <cellStyle name="40% - Accent5 13 6 3" xfId="21978" xr:uid="{00000000-0005-0000-0000-00001A480000}"/>
    <cellStyle name="40% - Accent5 13 6 3 2" xfId="45811" xr:uid="{6FD98AF1-1140-45BD-908E-C4990F34756C}"/>
    <cellStyle name="40% - Accent5 13 6 4" xfId="29933" xr:uid="{84D79516-36DD-461D-9B48-7096C2E163DF}"/>
    <cellStyle name="40% - Accent5 13 7" xfId="9599" xr:uid="{00000000-0005-0000-0000-00001B480000}"/>
    <cellStyle name="40% - Accent5 13 7 2" xfId="17557" xr:uid="{00000000-0005-0000-0000-00001C480000}"/>
    <cellStyle name="40% - Accent5 13 7 2 2" xfId="41398" xr:uid="{9A6967E7-DC0F-47E9-A251-4432B997DA21}"/>
    <cellStyle name="40% - Accent5 13 7 3" xfId="25501" xr:uid="{00000000-0005-0000-0000-00001D480000}"/>
    <cellStyle name="40% - Accent5 13 7 3 2" xfId="49334" xr:uid="{3D90CEC4-618B-4BB4-9A13-438AA28A5D7E}"/>
    <cellStyle name="40% - Accent5 13 7 4" xfId="33457" xr:uid="{2EE329E5-9D49-4C5F-839D-46C9AC3DEAB8}"/>
    <cellStyle name="40% - Accent5 13 8" xfId="10495" xr:uid="{00000000-0005-0000-0000-00001E480000}"/>
    <cellStyle name="40% - Accent5 13 8 2" xfId="34345" xr:uid="{9A174B23-B4A5-4FB8-B59E-5B7CE3B66A6D}"/>
    <cellStyle name="40% - Accent5 13 9" xfId="18450" xr:uid="{00000000-0005-0000-0000-00001F480000}"/>
    <cellStyle name="40% - Accent5 13 9 2" xfId="42283" xr:uid="{54937CD3-2720-417F-BB62-6955966C69A6}"/>
    <cellStyle name="40% - Accent5 13_Exh G" xfId="3205" xr:uid="{00000000-0005-0000-0000-000020480000}"/>
    <cellStyle name="40% - Accent5 14" xfId="551" xr:uid="{00000000-0005-0000-0000-000021480000}"/>
    <cellStyle name="40% - Accent5 14 2" xfId="552" xr:uid="{00000000-0005-0000-0000-000022480000}"/>
    <cellStyle name="40% - Accent5 14 2 2" xfId="1580" xr:uid="{00000000-0005-0000-0000-000023480000}"/>
    <cellStyle name="40% - Accent5 14 2 2 2" xfId="5110" xr:uid="{00000000-0005-0000-0000-000024480000}"/>
    <cellStyle name="40% - Accent5 14 2 2 2 2" xfId="8701" xr:uid="{00000000-0005-0000-0000-000025480000}"/>
    <cellStyle name="40% - Accent5 14 2 2 2 2 2" xfId="16672" xr:uid="{00000000-0005-0000-0000-000026480000}"/>
    <cellStyle name="40% - Accent5 14 2 2 2 2 2 2" xfId="40515" xr:uid="{A87DA275-A6FD-477D-AA34-663F87A82386}"/>
    <cellStyle name="40% - Accent5 14 2 2 2 2 3" xfId="24618" xr:uid="{00000000-0005-0000-0000-000027480000}"/>
    <cellStyle name="40% - Accent5 14 2 2 2 2 3 2" xfId="48451" xr:uid="{86FF2831-04C1-491B-8579-E592E921A987}"/>
    <cellStyle name="40% - Accent5 14 2 2 2 2 4" xfId="32574" xr:uid="{B4624719-D5AE-495A-91E8-64D22B73AF10}"/>
    <cellStyle name="40% - Accent5 14 2 2 2 3" xfId="13134" xr:uid="{00000000-0005-0000-0000-000028480000}"/>
    <cellStyle name="40% - Accent5 14 2 2 2 3 2" xfId="36984" xr:uid="{24EA8D00-284C-4419-9FA5-9BB268D091F9}"/>
    <cellStyle name="40% - Accent5 14 2 2 2 4" xfId="21089" xr:uid="{00000000-0005-0000-0000-000029480000}"/>
    <cellStyle name="40% - Accent5 14 2 2 2 4 2" xfId="44922" xr:uid="{023EAF22-065C-45FA-A99E-EFEEF4A10E8E}"/>
    <cellStyle name="40% - Accent5 14 2 2 2 5" xfId="29043" xr:uid="{7CFEB8A0-3BBC-482A-AFB0-0CCE69476C79}"/>
    <cellStyle name="40% - Accent5 14 2 2 3" xfId="6942" xr:uid="{00000000-0005-0000-0000-00002A480000}"/>
    <cellStyle name="40% - Accent5 14 2 2 3 2" xfId="14914" xr:uid="{00000000-0005-0000-0000-00002B480000}"/>
    <cellStyle name="40% - Accent5 14 2 2 3 2 2" xfId="38757" xr:uid="{27CFACA1-9FA2-4E4F-85A0-0483161E1510}"/>
    <cellStyle name="40% - Accent5 14 2 2 3 3" xfId="22861" xr:uid="{00000000-0005-0000-0000-00002C480000}"/>
    <cellStyle name="40% - Accent5 14 2 2 3 3 2" xfId="46694" xr:uid="{1C9EA9AC-624E-46E5-BFC2-3F27B4F12718}"/>
    <cellStyle name="40% - Accent5 14 2 2 3 4" xfId="30816" xr:uid="{2BFC518A-506C-4471-98A2-C812551A99A9}"/>
    <cellStyle name="40% - Accent5 14 2 2 4" xfId="11378" xr:uid="{00000000-0005-0000-0000-00002D480000}"/>
    <cellStyle name="40% - Accent5 14 2 2 4 2" xfId="35228" xr:uid="{EE96FC44-908D-4051-B42E-BF26061DAB7B}"/>
    <cellStyle name="40% - Accent5 14 2 2 5" xfId="19333" xr:uid="{00000000-0005-0000-0000-00002E480000}"/>
    <cellStyle name="40% - Accent5 14 2 2 5 2" xfId="43166" xr:uid="{FBA24AE3-AB93-4502-B336-6ECFA87092F7}"/>
    <cellStyle name="40% - Accent5 14 2 2 6" xfId="27286" xr:uid="{B90FA1E4-9250-4342-8454-51BF83E5F4AA}"/>
    <cellStyle name="40% - Accent5 14 2 2_Exh G" xfId="3215" xr:uid="{00000000-0005-0000-0000-00002F480000}"/>
    <cellStyle name="40% - Accent5 14 2 3" xfId="4231" xr:uid="{00000000-0005-0000-0000-000030480000}"/>
    <cellStyle name="40% - Accent5 14 2 3 2" xfId="7823" xr:uid="{00000000-0005-0000-0000-000031480000}"/>
    <cellStyle name="40% - Accent5 14 2 3 2 2" xfId="15794" xr:uid="{00000000-0005-0000-0000-000032480000}"/>
    <cellStyle name="40% - Accent5 14 2 3 2 2 2" xfId="39637" xr:uid="{FD995432-4496-40D0-9177-85C0AEE114F4}"/>
    <cellStyle name="40% - Accent5 14 2 3 2 3" xfId="23740" xr:uid="{00000000-0005-0000-0000-000033480000}"/>
    <cellStyle name="40% - Accent5 14 2 3 2 3 2" xfId="47573" xr:uid="{615A4F72-A0CC-4190-80E2-C21F643289A3}"/>
    <cellStyle name="40% - Accent5 14 2 3 2 4" xfId="31696" xr:uid="{F9866643-7F58-43E4-B312-304E18D426C0}"/>
    <cellStyle name="40% - Accent5 14 2 3 3" xfId="12256" xr:uid="{00000000-0005-0000-0000-000034480000}"/>
    <cellStyle name="40% - Accent5 14 2 3 3 2" xfId="36106" xr:uid="{F40A3C03-0584-42F9-8A3A-9532A00C1F9E}"/>
    <cellStyle name="40% - Accent5 14 2 3 4" xfId="20211" xr:uid="{00000000-0005-0000-0000-000035480000}"/>
    <cellStyle name="40% - Accent5 14 2 3 4 2" xfId="44044" xr:uid="{05DC8586-A7A2-4263-8578-B4C7BD013ACE}"/>
    <cellStyle name="40% - Accent5 14 2 3 5" xfId="28165" xr:uid="{4AC21D15-F104-45B6-A153-640C02637F2D}"/>
    <cellStyle name="40% - Accent5 14 2 4" xfId="6051" xr:uid="{00000000-0005-0000-0000-000036480000}"/>
    <cellStyle name="40% - Accent5 14 2 4 2" xfId="14035" xr:uid="{00000000-0005-0000-0000-000037480000}"/>
    <cellStyle name="40% - Accent5 14 2 4 2 2" xfId="37879" xr:uid="{F9FA3D82-071B-4566-A5E7-EAE4AD6784CE}"/>
    <cellStyle name="40% - Accent5 14 2 4 3" xfId="21983" xr:uid="{00000000-0005-0000-0000-000038480000}"/>
    <cellStyle name="40% - Accent5 14 2 4 3 2" xfId="45816" xr:uid="{6E4BF537-6A6A-4559-B199-093F4D70E937}"/>
    <cellStyle name="40% - Accent5 14 2 4 4" xfId="29938" xr:uid="{D6E7F337-33FA-40CD-8483-A6325B859C6D}"/>
    <cellStyle name="40% - Accent5 14 2 5" xfId="9604" xr:uid="{00000000-0005-0000-0000-000039480000}"/>
    <cellStyle name="40% - Accent5 14 2 5 2" xfId="17562" xr:uid="{00000000-0005-0000-0000-00003A480000}"/>
    <cellStyle name="40% - Accent5 14 2 5 2 2" xfId="41403" xr:uid="{85CF1D77-AAE2-4EC6-ACE1-B3D5FCCF701D}"/>
    <cellStyle name="40% - Accent5 14 2 5 3" xfId="25506" xr:uid="{00000000-0005-0000-0000-00003B480000}"/>
    <cellStyle name="40% - Accent5 14 2 5 3 2" xfId="49339" xr:uid="{785B3C0F-D037-4713-8C60-4110BF1C12C3}"/>
    <cellStyle name="40% - Accent5 14 2 5 4" xfId="33462" xr:uid="{EE70ACF3-F9C4-489A-B2BA-3CA6D0878059}"/>
    <cellStyle name="40% - Accent5 14 2 6" xfId="10500" xr:uid="{00000000-0005-0000-0000-00003C480000}"/>
    <cellStyle name="40% - Accent5 14 2 6 2" xfId="34350" xr:uid="{5D97B6F2-C263-4ED5-AF26-5777CFA08C4E}"/>
    <cellStyle name="40% - Accent5 14 2 7" xfId="18455" xr:uid="{00000000-0005-0000-0000-00003D480000}"/>
    <cellStyle name="40% - Accent5 14 2 7 2" xfId="42288" xr:uid="{6368DA63-EFBD-4DB3-987F-D5B113DC0665}"/>
    <cellStyle name="40% - Accent5 14 2 8" xfId="26408" xr:uid="{7EDF2FC4-AFC9-4E87-AC98-90869DC3BAB2}"/>
    <cellStyle name="40% - Accent5 14 2_Exh G" xfId="3214" xr:uid="{00000000-0005-0000-0000-00003E480000}"/>
    <cellStyle name="40% - Accent5 14 3" xfId="1579" xr:uid="{00000000-0005-0000-0000-00003F480000}"/>
    <cellStyle name="40% - Accent5 14 3 2" xfId="5109" xr:uid="{00000000-0005-0000-0000-000040480000}"/>
    <cellStyle name="40% - Accent5 14 3 2 2" xfId="8700" xr:uid="{00000000-0005-0000-0000-000041480000}"/>
    <cellStyle name="40% - Accent5 14 3 2 2 2" xfId="16671" xr:uid="{00000000-0005-0000-0000-000042480000}"/>
    <cellStyle name="40% - Accent5 14 3 2 2 2 2" xfId="40514" xr:uid="{750095DA-3982-45E8-93D8-B454BD4290FF}"/>
    <cellStyle name="40% - Accent5 14 3 2 2 3" xfId="24617" xr:uid="{00000000-0005-0000-0000-000043480000}"/>
    <cellStyle name="40% - Accent5 14 3 2 2 3 2" xfId="48450" xr:uid="{FEF20280-883E-4942-B8FF-3D6D8D0A4DE3}"/>
    <cellStyle name="40% - Accent5 14 3 2 2 4" xfId="32573" xr:uid="{07CDACED-87C1-4696-BBE0-E6C405763BFA}"/>
    <cellStyle name="40% - Accent5 14 3 2 3" xfId="13133" xr:uid="{00000000-0005-0000-0000-000044480000}"/>
    <cellStyle name="40% - Accent5 14 3 2 3 2" xfId="36983" xr:uid="{4CCEAA05-DF26-418C-9FBC-F5D546F84BD1}"/>
    <cellStyle name="40% - Accent5 14 3 2 4" xfId="21088" xr:uid="{00000000-0005-0000-0000-000045480000}"/>
    <cellStyle name="40% - Accent5 14 3 2 4 2" xfId="44921" xr:uid="{19406633-C36F-4178-B1E6-2398F7E0EC01}"/>
    <cellStyle name="40% - Accent5 14 3 2 5" xfId="29042" xr:uid="{BD896F32-D481-4756-A234-615325C20067}"/>
    <cellStyle name="40% - Accent5 14 3 3" xfId="6941" xr:uid="{00000000-0005-0000-0000-000046480000}"/>
    <cellStyle name="40% - Accent5 14 3 3 2" xfId="14913" xr:uid="{00000000-0005-0000-0000-000047480000}"/>
    <cellStyle name="40% - Accent5 14 3 3 2 2" xfId="38756" xr:uid="{94A74396-FDB7-473E-89E9-03BF121F87CA}"/>
    <cellStyle name="40% - Accent5 14 3 3 3" xfId="22860" xr:uid="{00000000-0005-0000-0000-000048480000}"/>
    <cellStyle name="40% - Accent5 14 3 3 3 2" xfId="46693" xr:uid="{86D10B7E-A105-491C-9C87-688F677DBADA}"/>
    <cellStyle name="40% - Accent5 14 3 3 4" xfId="30815" xr:uid="{7FF8EA9D-F132-4D50-B07F-AD901800B79C}"/>
    <cellStyle name="40% - Accent5 14 3 4" xfId="11377" xr:uid="{00000000-0005-0000-0000-000049480000}"/>
    <cellStyle name="40% - Accent5 14 3 4 2" xfId="35227" xr:uid="{6EF648C2-D6FC-488C-BE3F-C779E187B160}"/>
    <cellStyle name="40% - Accent5 14 3 5" xfId="19332" xr:uid="{00000000-0005-0000-0000-00004A480000}"/>
    <cellStyle name="40% - Accent5 14 3 5 2" xfId="43165" xr:uid="{71FB03BA-7C7F-4A37-9EEF-4C385458F6C5}"/>
    <cellStyle name="40% - Accent5 14 3 6" xfId="27285" xr:uid="{C84D9CA0-F656-419C-8C57-BFC682313BD4}"/>
    <cellStyle name="40% - Accent5 14 3_Exh G" xfId="3216" xr:uid="{00000000-0005-0000-0000-00004B480000}"/>
    <cellStyle name="40% - Accent5 14 4" xfId="4230" xr:uid="{00000000-0005-0000-0000-00004C480000}"/>
    <cellStyle name="40% - Accent5 14 4 2" xfId="7822" xr:uid="{00000000-0005-0000-0000-00004D480000}"/>
    <cellStyle name="40% - Accent5 14 4 2 2" xfId="15793" xr:uid="{00000000-0005-0000-0000-00004E480000}"/>
    <cellStyle name="40% - Accent5 14 4 2 2 2" xfId="39636" xr:uid="{3DD39047-C37E-4FB9-8C23-E94F5515CA3E}"/>
    <cellStyle name="40% - Accent5 14 4 2 3" xfId="23739" xr:uid="{00000000-0005-0000-0000-00004F480000}"/>
    <cellStyle name="40% - Accent5 14 4 2 3 2" xfId="47572" xr:uid="{4D074174-2CBD-4783-A8C3-796BA4C93A34}"/>
    <cellStyle name="40% - Accent5 14 4 2 4" xfId="31695" xr:uid="{ED8F8004-8940-4A9A-8FE7-2CC0C5D3FB57}"/>
    <cellStyle name="40% - Accent5 14 4 3" xfId="12255" xr:uid="{00000000-0005-0000-0000-000050480000}"/>
    <cellStyle name="40% - Accent5 14 4 3 2" xfId="36105" xr:uid="{796C0E3A-0F30-462D-A9C9-BA19049FBE1D}"/>
    <cellStyle name="40% - Accent5 14 4 4" xfId="20210" xr:uid="{00000000-0005-0000-0000-000051480000}"/>
    <cellStyle name="40% - Accent5 14 4 4 2" xfId="44043" xr:uid="{85825F04-6F21-4E5D-9684-F9AD307EF14F}"/>
    <cellStyle name="40% - Accent5 14 4 5" xfId="28164" xr:uid="{E6D96C1F-FB9D-4FE4-9672-76301D705F6D}"/>
    <cellStyle name="40% - Accent5 14 5" xfId="6050" xr:uid="{00000000-0005-0000-0000-000052480000}"/>
    <cellStyle name="40% - Accent5 14 5 2" xfId="14034" xr:uid="{00000000-0005-0000-0000-000053480000}"/>
    <cellStyle name="40% - Accent5 14 5 2 2" xfId="37878" xr:uid="{D2C80E67-EC5B-4AF9-8180-6B6E125E960F}"/>
    <cellStyle name="40% - Accent5 14 5 3" xfId="21982" xr:uid="{00000000-0005-0000-0000-000054480000}"/>
    <cellStyle name="40% - Accent5 14 5 3 2" xfId="45815" xr:uid="{FF7E6320-4DE0-4358-8F76-86241937CEE4}"/>
    <cellStyle name="40% - Accent5 14 5 4" xfId="29937" xr:uid="{AE0785BA-AB09-43E8-B6EC-DEF97DD8F99F}"/>
    <cellStyle name="40% - Accent5 14 6" xfId="9603" xr:uid="{00000000-0005-0000-0000-000055480000}"/>
    <cellStyle name="40% - Accent5 14 6 2" xfId="17561" xr:uid="{00000000-0005-0000-0000-000056480000}"/>
    <cellStyle name="40% - Accent5 14 6 2 2" xfId="41402" xr:uid="{2822B855-01D6-4989-AF95-D9E9840F5D3B}"/>
    <cellStyle name="40% - Accent5 14 6 3" xfId="25505" xr:uid="{00000000-0005-0000-0000-000057480000}"/>
    <cellStyle name="40% - Accent5 14 6 3 2" xfId="49338" xr:uid="{5C6E1640-6CCE-4B64-81C1-2DD64F77FEDE}"/>
    <cellStyle name="40% - Accent5 14 6 4" xfId="33461" xr:uid="{3AC2138F-84A3-46E0-8340-B30448D473FD}"/>
    <cellStyle name="40% - Accent5 14 7" xfId="10499" xr:uid="{00000000-0005-0000-0000-000058480000}"/>
    <cellStyle name="40% - Accent5 14 7 2" xfId="34349" xr:uid="{B497E19D-7455-4419-AA92-B4B603197FB4}"/>
    <cellStyle name="40% - Accent5 14 8" xfId="18454" xr:uid="{00000000-0005-0000-0000-000059480000}"/>
    <cellStyle name="40% - Accent5 14 8 2" xfId="42287" xr:uid="{6AF802AF-1134-4E26-A0BB-E14CAA31328F}"/>
    <cellStyle name="40% - Accent5 14 9" xfId="26407" xr:uid="{D097E555-9A22-4B54-9571-174349FA46B4}"/>
    <cellStyle name="40% - Accent5 14_Exh G" xfId="3213" xr:uid="{00000000-0005-0000-0000-00005A480000}"/>
    <cellStyle name="40% - Accent5 15" xfId="553" xr:uid="{00000000-0005-0000-0000-00005B480000}"/>
    <cellStyle name="40% - Accent5 15 2" xfId="1581" xr:uid="{00000000-0005-0000-0000-00005C480000}"/>
    <cellStyle name="40% - Accent5 15 2 2" xfId="5111" xr:uid="{00000000-0005-0000-0000-00005D480000}"/>
    <cellStyle name="40% - Accent5 15 2 2 2" xfId="8702" xr:uid="{00000000-0005-0000-0000-00005E480000}"/>
    <cellStyle name="40% - Accent5 15 2 2 2 2" xfId="16673" xr:uid="{00000000-0005-0000-0000-00005F480000}"/>
    <cellStyle name="40% - Accent5 15 2 2 2 2 2" xfId="40516" xr:uid="{45B59297-50D7-49A9-82CA-CCA8BF1AAB22}"/>
    <cellStyle name="40% - Accent5 15 2 2 2 3" xfId="24619" xr:uid="{00000000-0005-0000-0000-000060480000}"/>
    <cellStyle name="40% - Accent5 15 2 2 2 3 2" xfId="48452" xr:uid="{AEC0F3B4-C6A3-4CB3-B499-C1DB4FAF5587}"/>
    <cellStyle name="40% - Accent5 15 2 2 2 4" xfId="32575" xr:uid="{D539FB9B-31D6-4641-954D-23435643E371}"/>
    <cellStyle name="40% - Accent5 15 2 2 3" xfId="13135" xr:uid="{00000000-0005-0000-0000-000061480000}"/>
    <cellStyle name="40% - Accent5 15 2 2 3 2" xfId="36985" xr:uid="{90C5664B-9C71-4FB3-8E00-08CB2D4CAB0F}"/>
    <cellStyle name="40% - Accent5 15 2 2 4" xfId="21090" xr:uid="{00000000-0005-0000-0000-000062480000}"/>
    <cellStyle name="40% - Accent5 15 2 2 4 2" xfId="44923" xr:uid="{AE150F2F-CE5B-4EF7-8BB7-58EA72BB1B2F}"/>
    <cellStyle name="40% - Accent5 15 2 2 5" xfId="29044" xr:uid="{C2B562DF-609A-4C46-AAC3-01A1D09A03AF}"/>
    <cellStyle name="40% - Accent5 15 2 3" xfId="6943" xr:uid="{00000000-0005-0000-0000-000063480000}"/>
    <cellStyle name="40% - Accent5 15 2 3 2" xfId="14915" xr:uid="{00000000-0005-0000-0000-000064480000}"/>
    <cellStyle name="40% - Accent5 15 2 3 2 2" xfId="38758" xr:uid="{6898D225-6453-48CC-9200-998C21204D52}"/>
    <cellStyle name="40% - Accent5 15 2 3 3" xfId="22862" xr:uid="{00000000-0005-0000-0000-000065480000}"/>
    <cellStyle name="40% - Accent5 15 2 3 3 2" xfId="46695" xr:uid="{162B9526-02DD-4573-B5DB-5C038F9A72A3}"/>
    <cellStyle name="40% - Accent5 15 2 3 4" xfId="30817" xr:uid="{7C90351E-44DF-49B6-B85E-DA50FFB8AA5A}"/>
    <cellStyle name="40% - Accent5 15 2 4" xfId="11379" xr:uid="{00000000-0005-0000-0000-000066480000}"/>
    <cellStyle name="40% - Accent5 15 2 4 2" xfId="35229" xr:uid="{D5607D04-167B-4A28-952B-ADE83B353874}"/>
    <cellStyle name="40% - Accent5 15 2 5" xfId="19334" xr:uid="{00000000-0005-0000-0000-000067480000}"/>
    <cellStyle name="40% - Accent5 15 2 5 2" xfId="43167" xr:uid="{9051E1E1-C070-46B1-9B20-02B8EB952050}"/>
    <cellStyle name="40% - Accent5 15 2 6" xfId="27287" xr:uid="{C294F8EF-D74A-4156-8822-E3A534A22A47}"/>
    <cellStyle name="40% - Accent5 15 2_Exh G" xfId="3218" xr:uid="{00000000-0005-0000-0000-000068480000}"/>
    <cellStyle name="40% - Accent5 15 3" xfId="4232" xr:uid="{00000000-0005-0000-0000-000069480000}"/>
    <cellStyle name="40% - Accent5 15 3 2" xfId="7824" xr:uid="{00000000-0005-0000-0000-00006A480000}"/>
    <cellStyle name="40% - Accent5 15 3 2 2" xfId="15795" xr:uid="{00000000-0005-0000-0000-00006B480000}"/>
    <cellStyle name="40% - Accent5 15 3 2 2 2" xfId="39638" xr:uid="{DC9CAE94-BE60-4BA1-AEAC-B891D63A237B}"/>
    <cellStyle name="40% - Accent5 15 3 2 3" xfId="23741" xr:uid="{00000000-0005-0000-0000-00006C480000}"/>
    <cellStyle name="40% - Accent5 15 3 2 3 2" xfId="47574" xr:uid="{8544B9FB-4A24-4788-B1D1-24689E0E1A59}"/>
    <cellStyle name="40% - Accent5 15 3 2 4" xfId="31697" xr:uid="{95D5525A-D4D5-4330-B10A-15446A041285}"/>
    <cellStyle name="40% - Accent5 15 3 3" xfId="12257" xr:uid="{00000000-0005-0000-0000-00006D480000}"/>
    <cellStyle name="40% - Accent5 15 3 3 2" xfId="36107" xr:uid="{5FF12F6D-5E52-47AE-9382-59AF093887F9}"/>
    <cellStyle name="40% - Accent5 15 3 4" xfId="20212" xr:uid="{00000000-0005-0000-0000-00006E480000}"/>
    <cellStyle name="40% - Accent5 15 3 4 2" xfId="44045" xr:uid="{B6183ECA-0A96-4397-9EB6-90CBF1375F7B}"/>
    <cellStyle name="40% - Accent5 15 3 5" xfId="28166" xr:uid="{B4E9B403-4BBC-4261-B951-090A88B71CE9}"/>
    <cellStyle name="40% - Accent5 15 4" xfId="6052" xr:uid="{00000000-0005-0000-0000-00006F480000}"/>
    <cellStyle name="40% - Accent5 15 4 2" xfId="14036" xr:uid="{00000000-0005-0000-0000-000070480000}"/>
    <cellStyle name="40% - Accent5 15 4 2 2" xfId="37880" xr:uid="{7FAE242B-1844-4972-B83B-43DCC4130ED9}"/>
    <cellStyle name="40% - Accent5 15 4 3" xfId="21984" xr:uid="{00000000-0005-0000-0000-000071480000}"/>
    <cellStyle name="40% - Accent5 15 4 3 2" xfId="45817" xr:uid="{73407971-4BBB-4EB9-AB5E-D283C3052321}"/>
    <cellStyle name="40% - Accent5 15 4 4" xfId="29939" xr:uid="{8808C4DA-A7FA-40DE-BD3C-10CB5D7D7E40}"/>
    <cellStyle name="40% - Accent5 15 5" xfId="9605" xr:uid="{00000000-0005-0000-0000-000072480000}"/>
    <cellStyle name="40% - Accent5 15 5 2" xfId="17563" xr:uid="{00000000-0005-0000-0000-000073480000}"/>
    <cellStyle name="40% - Accent5 15 5 2 2" xfId="41404" xr:uid="{18555CDD-3FF3-44A4-8372-FE5D914F4C5D}"/>
    <cellStyle name="40% - Accent5 15 5 3" xfId="25507" xr:uid="{00000000-0005-0000-0000-000074480000}"/>
    <cellStyle name="40% - Accent5 15 5 3 2" xfId="49340" xr:uid="{3EC61B75-FF6F-49F8-B00C-02060EE78D27}"/>
    <cellStyle name="40% - Accent5 15 5 4" xfId="33463" xr:uid="{CCF733DD-0ACC-4F1B-984F-F6C053CBD867}"/>
    <cellStyle name="40% - Accent5 15 6" xfId="10501" xr:uid="{00000000-0005-0000-0000-000075480000}"/>
    <cellStyle name="40% - Accent5 15 6 2" xfId="34351" xr:uid="{87F4ACC6-8A1C-4B7A-9770-4C49172EC9D3}"/>
    <cellStyle name="40% - Accent5 15 7" xfId="18456" xr:uid="{00000000-0005-0000-0000-000076480000}"/>
    <cellStyle name="40% - Accent5 15 7 2" xfId="42289" xr:uid="{64BECFFA-2B19-4B2B-AA3F-BF9023471057}"/>
    <cellStyle name="40% - Accent5 15 8" xfId="26409" xr:uid="{561C6C99-A82F-4A5B-8B13-DA1C554A364C}"/>
    <cellStyle name="40% - Accent5 15_Exh G" xfId="3217" xr:uid="{00000000-0005-0000-0000-000077480000}"/>
    <cellStyle name="40% - Accent5 16" xfId="853" xr:uid="{00000000-0005-0000-0000-000078480000}"/>
    <cellStyle name="40% - Accent5 16 2" xfId="1792" xr:uid="{00000000-0005-0000-0000-000079480000}"/>
    <cellStyle name="40% - Accent5 16 2 2" xfId="5313" xr:uid="{00000000-0005-0000-0000-00007A480000}"/>
    <cellStyle name="40% - Accent5 16 2 2 2" xfId="8904" xr:uid="{00000000-0005-0000-0000-00007B480000}"/>
    <cellStyle name="40% - Accent5 16 2 2 2 2" xfId="16875" xr:uid="{00000000-0005-0000-0000-00007C480000}"/>
    <cellStyle name="40% - Accent5 16 2 2 2 2 2" xfId="40718" xr:uid="{3A543201-E7B4-4AE1-AE09-B5572860F3B0}"/>
    <cellStyle name="40% - Accent5 16 2 2 2 3" xfId="24821" xr:uid="{00000000-0005-0000-0000-00007D480000}"/>
    <cellStyle name="40% - Accent5 16 2 2 2 3 2" xfId="48654" xr:uid="{B4BCD252-2B0E-4CEB-B8B6-9077BF7BE679}"/>
    <cellStyle name="40% - Accent5 16 2 2 2 4" xfId="32777" xr:uid="{6B70DB41-1BED-4BC3-BF82-76F3A247BAC9}"/>
    <cellStyle name="40% - Accent5 16 2 2 3" xfId="13337" xr:uid="{00000000-0005-0000-0000-00007E480000}"/>
    <cellStyle name="40% - Accent5 16 2 2 3 2" xfId="37187" xr:uid="{1DFF1A0B-0799-4D1A-A724-A830305DC6AA}"/>
    <cellStyle name="40% - Accent5 16 2 2 4" xfId="21292" xr:uid="{00000000-0005-0000-0000-00007F480000}"/>
    <cellStyle name="40% - Accent5 16 2 2 4 2" xfId="45125" xr:uid="{E2A0ED0C-BD0F-4BDC-BBB8-D1F7AD9BDA60}"/>
    <cellStyle name="40% - Accent5 16 2 2 5" xfId="29246" xr:uid="{9B21965A-0C7F-4F06-A33E-FB59FEA53644}"/>
    <cellStyle name="40% - Accent5 16 2 3" xfId="7145" xr:uid="{00000000-0005-0000-0000-000080480000}"/>
    <cellStyle name="40% - Accent5 16 2 3 2" xfId="15117" xr:uid="{00000000-0005-0000-0000-000081480000}"/>
    <cellStyle name="40% - Accent5 16 2 3 2 2" xfId="38960" xr:uid="{ED2F3203-EE32-41A1-8AFD-47C37014143B}"/>
    <cellStyle name="40% - Accent5 16 2 3 3" xfId="23064" xr:uid="{00000000-0005-0000-0000-000082480000}"/>
    <cellStyle name="40% - Accent5 16 2 3 3 2" xfId="46897" xr:uid="{483A81ED-277D-4EA1-A4FF-F00528E28D98}"/>
    <cellStyle name="40% - Accent5 16 2 3 4" xfId="31019" xr:uid="{D7009866-6D46-48B5-B7E0-335B856AAD64}"/>
    <cellStyle name="40% - Accent5 16 2 4" xfId="11581" xr:uid="{00000000-0005-0000-0000-000083480000}"/>
    <cellStyle name="40% - Accent5 16 2 4 2" xfId="35431" xr:uid="{947A51BC-71E0-4F90-B0B2-F6A389B42130}"/>
    <cellStyle name="40% - Accent5 16 2 5" xfId="19536" xr:uid="{00000000-0005-0000-0000-000084480000}"/>
    <cellStyle name="40% - Accent5 16 2 5 2" xfId="43369" xr:uid="{E8CADE72-9093-49CD-B862-27D4995105D0}"/>
    <cellStyle name="40% - Accent5 16 2 6" xfId="27489" xr:uid="{B75A51DF-84A0-4ED0-A0D3-253305B3572E}"/>
    <cellStyle name="40% - Accent5 16 2_Exh G" xfId="3220" xr:uid="{00000000-0005-0000-0000-000085480000}"/>
    <cellStyle name="40% - Accent5 16 3" xfId="4434" xr:uid="{00000000-0005-0000-0000-000086480000}"/>
    <cellStyle name="40% - Accent5 16 3 2" xfId="8026" xr:uid="{00000000-0005-0000-0000-000087480000}"/>
    <cellStyle name="40% - Accent5 16 3 2 2" xfId="15997" xr:uid="{00000000-0005-0000-0000-000088480000}"/>
    <cellStyle name="40% - Accent5 16 3 2 2 2" xfId="39840" xr:uid="{3222F8A7-7AB6-436A-B03B-233AE6C94E24}"/>
    <cellStyle name="40% - Accent5 16 3 2 3" xfId="23943" xr:uid="{00000000-0005-0000-0000-000089480000}"/>
    <cellStyle name="40% - Accent5 16 3 2 3 2" xfId="47776" xr:uid="{4E79650E-66BD-45F1-8376-5E23643AA111}"/>
    <cellStyle name="40% - Accent5 16 3 2 4" xfId="31899" xr:uid="{5A38635D-8A6E-4865-967E-E040F1415591}"/>
    <cellStyle name="40% - Accent5 16 3 3" xfId="12459" xr:uid="{00000000-0005-0000-0000-00008A480000}"/>
    <cellStyle name="40% - Accent5 16 3 3 2" xfId="36309" xr:uid="{BA18D0F4-90D0-409E-A4AF-D757AAB7BC95}"/>
    <cellStyle name="40% - Accent5 16 3 4" xfId="20414" xr:uid="{00000000-0005-0000-0000-00008B480000}"/>
    <cellStyle name="40% - Accent5 16 3 4 2" xfId="44247" xr:uid="{CF79851B-7D17-450E-B126-3CF6EC5D33C7}"/>
    <cellStyle name="40% - Accent5 16 3 5" xfId="28368" xr:uid="{4CCDD801-6BD0-453B-AEEF-EF58EF04E06C}"/>
    <cellStyle name="40% - Accent5 16 4" xfId="6264" xr:uid="{00000000-0005-0000-0000-00008C480000}"/>
    <cellStyle name="40% - Accent5 16 4 2" xfId="14239" xr:uid="{00000000-0005-0000-0000-00008D480000}"/>
    <cellStyle name="40% - Accent5 16 4 2 2" xfId="38082" xr:uid="{97C306EE-9BBF-47FF-9391-9BDE4F7371E9}"/>
    <cellStyle name="40% - Accent5 16 4 3" xfId="22186" xr:uid="{00000000-0005-0000-0000-00008E480000}"/>
    <cellStyle name="40% - Accent5 16 4 3 2" xfId="46019" xr:uid="{CC20F582-241D-42BC-8DA8-ACD6603483DB}"/>
    <cellStyle name="40% - Accent5 16 4 4" xfId="30141" xr:uid="{2E3B2E84-88CE-44EF-ACC9-5866309190C6}"/>
    <cellStyle name="40% - Accent5 16 5" xfId="9807" xr:uid="{00000000-0005-0000-0000-00008F480000}"/>
    <cellStyle name="40% - Accent5 16 5 2" xfId="17765" xr:uid="{00000000-0005-0000-0000-000090480000}"/>
    <cellStyle name="40% - Accent5 16 5 2 2" xfId="41606" xr:uid="{91F412A6-2C4A-45C5-B413-8CD43D495674}"/>
    <cellStyle name="40% - Accent5 16 5 3" xfId="25709" xr:uid="{00000000-0005-0000-0000-000091480000}"/>
    <cellStyle name="40% - Accent5 16 5 3 2" xfId="49542" xr:uid="{026C7D0F-08F0-4B01-BEB6-E13148599EC1}"/>
    <cellStyle name="40% - Accent5 16 5 4" xfId="33665" xr:uid="{5F67E43C-662E-4ABB-B343-6FB4A2045AEF}"/>
    <cellStyle name="40% - Accent5 16 6" xfId="10703" xr:uid="{00000000-0005-0000-0000-000092480000}"/>
    <cellStyle name="40% - Accent5 16 6 2" xfId="34553" xr:uid="{0CFA5871-4D49-43E0-B1A8-42F7F4690494}"/>
    <cellStyle name="40% - Accent5 16 7" xfId="18658" xr:uid="{00000000-0005-0000-0000-000093480000}"/>
    <cellStyle name="40% - Accent5 16 7 2" xfId="42491" xr:uid="{52124083-5C3A-4B56-A428-391342AAB3C4}"/>
    <cellStyle name="40% - Accent5 16 8" xfId="26611" xr:uid="{C0536E24-EAAB-43C4-A594-DD9AABCDB339}"/>
    <cellStyle name="40% - Accent5 16_Exh G" xfId="3219" xr:uid="{00000000-0005-0000-0000-000094480000}"/>
    <cellStyle name="40% - Accent5 17" xfId="49804" xr:uid="{99DE8CAF-EB84-4B39-9AD5-47FE7C321F29}"/>
    <cellStyle name="40% - Accent5 2" xfId="554" xr:uid="{00000000-0005-0000-0000-000095480000}"/>
    <cellStyle name="40% - Accent5 2 10" xfId="18457" xr:uid="{00000000-0005-0000-0000-000096480000}"/>
    <cellStyle name="40% - Accent5 2 10 2" xfId="42290" xr:uid="{A34EA5A1-7CE8-4D57-9EBD-D1E967452D74}"/>
    <cellStyle name="40% - Accent5 2 11" xfId="26410" xr:uid="{396EDF36-962F-4777-B011-EF85C564C412}"/>
    <cellStyle name="40% - Accent5 2 12" xfId="49789" xr:uid="{3FC80A06-80CE-4E62-B198-8C88D52433E7}"/>
    <cellStyle name="40% - Accent5 2 13" xfId="49817" xr:uid="{349A4023-ABC3-430F-A2CF-620CC5436BCF}"/>
    <cellStyle name="40% - Accent5 2 2" xfId="555" xr:uid="{00000000-0005-0000-0000-000097480000}"/>
    <cellStyle name="40% - Accent5 2 2 10" xfId="26411" xr:uid="{3588C593-35E6-43F0-AF21-20A253CC32D6}"/>
    <cellStyle name="40% - Accent5 2 2 2" xfId="556" xr:uid="{00000000-0005-0000-0000-000098480000}"/>
    <cellStyle name="40% - Accent5 2 2 2 2" xfId="1584" xr:uid="{00000000-0005-0000-0000-000099480000}"/>
    <cellStyle name="40% - Accent5 2 2 2 2 2" xfId="5114" xr:uid="{00000000-0005-0000-0000-00009A480000}"/>
    <cellStyle name="40% - Accent5 2 2 2 2 2 2" xfId="8705" xr:uid="{00000000-0005-0000-0000-00009B480000}"/>
    <cellStyle name="40% - Accent5 2 2 2 2 2 2 2" xfId="16676" xr:uid="{00000000-0005-0000-0000-00009C480000}"/>
    <cellStyle name="40% - Accent5 2 2 2 2 2 2 2 2" xfId="40519" xr:uid="{9C3DD8D3-0286-4EEC-B3DD-3E8213EDB12B}"/>
    <cellStyle name="40% - Accent5 2 2 2 2 2 2 3" xfId="24622" xr:uid="{00000000-0005-0000-0000-00009D480000}"/>
    <cellStyle name="40% - Accent5 2 2 2 2 2 2 3 2" xfId="48455" xr:uid="{D68BF65E-8655-488B-BA9B-CD7B093FC145}"/>
    <cellStyle name="40% - Accent5 2 2 2 2 2 2 4" xfId="32578" xr:uid="{6938FEEB-4861-4936-BEC7-A970C8C709BA}"/>
    <cellStyle name="40% - Accent5 2 2 2 2 2 3" xfId="13138" xr:uid="{00000000-0005-0000-0000-00009E480000}"/>
    <cellStyle name="40% - Accent5 2 2 2 2 2 3 2" xfId="36988" xr:uid="{A8C71695-0E3A-40FD-B6E5-AA2BE0285466}"/>
    <cellStyle name="40% - Accent5 2 2 2 2 2 4" xfId="21093" xr:uid="{00000000-0005-0000-0000-00009F480000}"/>
    <cellStyle name="40% - Accent5 2 2 2 2 2 4 2" xfId="44926" xr:uid="{A1B62697-58D4-4EA8-BC93-0269F4E3447C}"/>
    <cellStyle name="40% - Accent5 2 2 2 2 2 5" xfId="29047" xr:uid="{57A92F44-7991-40D6-8707-8F671BA18E9B}"/>
    <cellStyle name="40% - Accent5 2 2 2 2 3" xfId="6946" xr:uid="{00000000-0005-0000-0000-0000A0480000}"/>
    <cellStyle name="40% - Accent5 2 2 2 2 3 2" xfId="14918" xr:uid="{00000000-0005-0000-0000-0000A1480000}"/>
    <cellStyle name="40% - Accent5 2 2 2 2 3 2 2" xfId="38761" xr:uid="{AB915F0C-8E35-4F6C-A71D-58DD0438FADE}"/>
    <cellStyle name="40% - Accent5 2 2 2 2 3 3" xfId="22865" xr:uid="{00000000-0005-0000-0000-0000A2480000}"/>
    <cellStyle name="40% - Accent5 2 2 2 2 3 3 2" xfId="46698" xr:uid="{CF91C743-A9EA-4D1B-B7F8-CADF39B608C7}"/>
    <cellStyle name="40% - Accent5 2 2 2 2 3 4" xfId="30820" xr:uid="{2C531F78-0720-4A99-BD0F-A225510050AD}"/>
    <cellStyle name="40% - Accent5 2 2 2 2 4" xfId="11382" xr:uid="{00000000-0005-0000-0000-0000A3480000}"/>
    <cellStyle name="40% - Accent5 2 2 2 2 4 2" xfId="35232" xr:uid="{1E07348E-35B3-4A3B-8A3C-71FD835ECC45}"/>
    <cellStyle name="40% - Accent5 2 2 2 2 5" xfId="19337" xr:uid="{00000000-0005-0000-0000-0000A4480000}"/>
    <cellStyle name="40% - Accent5 2 2 2 2 5 2" xfId="43170" xr:uid="{12A0B604-CAB7-45B5-968E-3D4A8B664EFE}"/>
    <cellStyle name="40% - Accent5 2 2 2 2 6" xfId="27290" xr:uid="{E772B36C-8A9A-4D11-8CDA-3FA289BE2699}"/>
    <cellStyle name="40% - Accent5 2 2 2 2_Exh G" xfId="3224" xr:uid="{00000000-0005-0000-0000-0000A5480000}"/>
    <cellStyle name="40% - Accent5 2 2 2 3" xfId="4235" xr:uid="{00000000-0005-0000-0000-0000A6480000}"/>
    <cellStyle name="40% - Accent5 2 2 2 3 2" xfId="7827" xr:uid="{00000000-0005-0000-0000-0000A7480000}"/>
    <cellStyle name="40% - Accent5 2 2 2 3 2 2" xfId="15798" xr:uid="{00000000-0005-0000-0000-0000A8480000}"/>
    <cellStyle name="40% - Accent5 2 2 2 3 2 2 2" xfId="39641" xr:uid="{76AD2368-A125-49AA-8ABA-E75CD65514A5}"/>
    <cellStyle name="40% - Accent5 2 2 2 3 2 3" xfId="23744" xr:uid="{00000000-0005-0000-0000-0000A9480000}"/>
    <cellStyle name="40% - Accent5 2 2 2 3 2 3 2" xfId="47577" xr:uid="{DE4E5EB2-F67D-4742-A412-4175054E4B59}"/>
    <cellStyle name="40% - Accent5 2 2 2 3 2 4" xfId="31700" xr:uid="{011ACB49-798F-454A-8FA2-728DDE8AFA52}"/>
    <cellStyle name="40% - Accent5 2 2 2 3 3" xfId="12260" xr:uid="{00000000-0005-0000-0000-0000AA480000}"/>
    <cellStyle name="40% - Accent5 2 2 2 3 3 2" xfId="36110" xr:uid="{D8D4B208-40E5-4D51-9552-1210D0604EFA}"/>
    <cellStyle name="40% - Accent5 2 2 2 3 4" xfId="20215" xr:uid="{00000000-0005-0000-0000-0000AB480000}"/>
    <cellStyle name="40% - Accent5 2 2 2 3 4 2" xfId="44048" xr:uid="{4380C50E-A548-4191-B337-3BBD9BF9D72E}"/>
    <cellStyle name="40% - Accent5 2 2 2 3 5" xfId="28169" xr:uid="{E6E834E0-A3BB-467B-B1CD-158989B82DC2}"/>
    <cellStyle name="40% - Accent5 2 2 2 4" xfId="6055" xr:uid="{00000000-0005-0000-0000-0000AC480000}"/>
    <cellStyle name="40% - Accent5 2 2 2 4 2" xfId="14039" xr:uid="{00000000-0005-0000-0000-0000AD480000}"/>
    <cellStyle name="40% - Accent5 2 2 2 4 2 2" xfId="37883" xr:uid="{A268CAF4-BDBA-4000-B8D5-97B2DECC8579}"/>
    <cellStyle name="40% - Accent5 2 2 2 4 3" xfId="21987" xr:uid="{00000000-0005-0000-0000-0000AE480000}"/>
    <cellStyle name="40% - Accent5 2 2 2 4 3 2" xfId="45820" xr:uid="{17C9C45F-41B9-431F-AFDA-3D963C848621}"/>
    <cellStyle name="40% - Accent5 2 2 2 4 4" xfId="29942" xr:uid="{A9020FEE-9594-4C8A-A585-65867E9336DF}"/>
    <cellStyle name="40% - Accent5 2 2 2 5" xfId="9608" xr:uid="{00000000-0005-0000-0000-0000AF480000}"/>
    <cellStyle name="40% - Accent5 2 2 2 5 2" xfId="17566" xr:uid="{00000000-0005-0000-0000-0000B0480000}"/>
    <cellStyle name="40% - Accent5 2 2 2 5 2 2" xfId="41407" xr:uid="{E12FB27B-A397-4EA5-B960-6132F2396A40}"/>
    <cellStyle name="40% - Accent5 2 2 2 5 3" xfId="25510" xr:uid="{00000000-0005-0000-0000-0000B1480000}"/>
    <cellStyle name="40% - Accent5 2 2 2 5 3 2" xfId="49343" xr:uid="{026BA472-28CA-41B4-B720-E426439ED774}"/>
    <cellStyle name="40% - Accent5 2 2 2 5 4" xfId="33466" xr:uid="{56833549-F6E5-45D2-90B7-615AF506BB13}"/>
    <cellStyle name="40% - Accent5 2 2 2 6" xfId="10504" xr:uid="{00000000-0005-0000-0000-0000B2480000}"/>
    <cellStyle name="40% - Accent5 2 2 2 6 2" xfId="34354" xr:uid="{A2AEAAA2-C3BF-4EA1-A934-7C036EF175B4}"/>
    <cellStyle name="40% - Accent5 2 2 2 7" xfId="18459" xr:uid="{00000000-0005-0000-0000-0000B3480000}"/>
    <cellStyle name="40% - Accent5 2 2 2 7 2" xfId="42292" xr:uid="{CCD185D2-5D4F-4B2D-8E20-C52927D05608}"/>
    <cellStyle name="40% - Accent5 2 2 2 8" xfId="26412" xr:uid="{B904C3B7-66A5-4A60-A8FC-1378ABDCD16D}"/>
    <cellStyle name="40% - Accent5 2 2 2_Exh G" xfId="3223" xr:uid="{00000000-0005-0000-0000-0000B4480000}"/>
    <cellStyle name="40% - Accent5 2 2 3" xfId="984" xr:uid="{00000000-0005-0000-0000-0000B5480000}"/>
    <cellStyle name="40% - Accent5 2 2 3 2" xfId="1900" xr:uid="{00000000-0005-0000-0000-0000B6480000}"/>
    <cellStyle name="40% - Accent5 2 2 3 2 2" xfId="5418" xr:uid="{00000000-0005-0000-0000-0000B7480000}"/>
    <cellStyle name="40% - Accent5 2 2 3 2 2 2" xfId="9009" xr:uid="{00000000-0005-0000-0000-0000B8480000}"/>
    <cellStyle name="40% - Accent5 2 2 3 2 2 2 2" xfId="16980" xr:uid="{00000000-0005-0000-0000-0000B9480000}"/>
    <cellStyle name="40% - Accent5 2 2 3 2 2 2 2 2" xfId="40823" xr:uid="{DBB28B72-81AD-4D61-B9EE-3F65F3B6B3B1}"/>
    <cellStyle name="40% - Accent5 2 2 3 2 2 2 3" xfId="24926" xr:uid="{00000000-0005-0000-0000-0000BA480000}"/>
    <cellStyle name="40% - Accent5 2 2 3 2 2 2 3 2" xfId="48759" xr:uid="{322297E3-E1B3-4952-AEB8-F1985461739A}"/>
    <cellStyle name="40% - Accent5 2 2 3 2 2 2 4" xfId="32882" xr:uid="{46499BC7-8968-47E1-90EC-A38048BF7404}"/>
    <cellStyle name="40% - Accent5 2 2 3 2 2 3" xfId="13442" xr:uid="{00000000-0005-0000-0000-0000BB480000}"/>
    <cellStyle name="40% - Accent5 2 2 3 2 2 3 2" xfId="37292" xr:uid="{39DD4591-A161-46BD-83A9-F5D2FA99343C}"/>
    <cellStyle name="40% - Accent5 2 2 3 2 2 4" xfId="21397" xr:uid="{00000000-0005-0000-0000-0000BC480000}"/>
    <cellStyle name="40% - Accent5 2 2 3 2 2 4 2" xfId="45230" xr:uid="{A0D8E1B9-D02F-4137-B218-BCA1113EE08E}"/>
    <cellStyle name="40% - Accent5 2 2 3 2 2 5" xfId="29351" xr:uid="{156BC1A4-765E-4AA9-AE87-00368E29F34A}"/>
    <cellStyle name="40% - Accent5 2 2 3 2 3" xfId="7250" xr:uid="{00000000-0005-0000-0000-0000BD480000}"/>
    <cellStyle name="40% - Accent5 2 2 3 2 3 2" xfId="15222" xr:uid="{00000000-0005-0000-0000-0000BE480000}"/>
    <cellStyle name="40% - Accent5 2 2 3 2 3 2 2" xfId="39065" xr:uid="{01E36FD4-B13B-487C-900C-45397C42104A}"/>
    <cellStyle name="40% - Accent5 2 2 3 2 3 3" xfId="23169" xr:uid="{00000000-0005-0000-0000-0000BF480000}"/>
    <cellStyle name="40% - Accent5 2 2 3 2 3 3 2" xfId="47002" xr:uid="{58C511D1-C204-47A1-8A1A-0248D8B8EC7A}"/>
    <cellStyle name="40% - Accent5 2 2 3 2 3 4" xfId="31124" xr:uid="{B8F3C77E-0E70-4E53-AEF5-A6420FB6DAF1}"/>
    <cellStyle name="40% - Accent5 2 2 3 2 4" xfId="11686" xr:uid="{00000000-0005-0000-0000-0000C0480000}"/>
    <cellStyle name="40% - Accent5 2 2 3 2 4 2" xfId="35536" xr:uid="{D176C7D1-C2F1-4F08-BBB7-9C3CFC725060}"/>
    <cellStyle name="40% - Accent5 2 2 3 2 5" xfId="19641" xr:uid="{00000000-0005-0000-0000-0000C1480000}"/>
    <cellStyle name="40% - Accent5 2 2 3 2 5 2" xfId="43474" xr:uid="{629CFFD8-FA40-4660-A0F1-CD139B9B1509}"/>
    <cellStyle name="40% - Accent5 2 2 3 2 6" xfId="27594" xr:uid="{0902A8A4-B12C-48DA-B5E8-2C30A757E03B}"/>
    <cellStyle name="40% - Accent5 2 2 3 2_Exh G" xfId="3226" xr:uid="{00000000-0005-0000-0000-0000C2480000}"/>
    <cellStyle name="40% - Accent5 2 2 3 3" xfId="4539" xr:uid="{00000000-0005-0000-0000-0000C3480000}"/>
    <cellStyle name="40% - Accent5 2 2 3 3 2" xfId="8131" xr:uid="{00000000-0005-0000-0000-0000C4480000}"/>
    <cellStyle name="40% - Accent5 2 2 3 3 2 2" xfId="16102" xr:uid="{00000000-0005-0000-0000-0000C5480000}"/>
    <cellStyle name="40% - Accent5 2 2 3 3 2 2 2" xfId="39945" xr:uid="{EE099D0A-90E9-4F14-9812-A0817DBAC1C3}"/>
    <cellStyle name="40% - Accent5 2 2 3 3 2 3" xfId="24048" xr:uid="{00000000-0005-0000-0000-0000C6480000}"/>
    <cellStyle name="40% - Accent5 2 2 3 3 2 3 2" xfId="47881" xr:uid="{ECB6F151-1678-4071-B97E-726DA09A370F}"/>
    <cellStyle name="40% - Accent5 2 2 3 3 2 4" xfId="32004" xr:uid="{296A20F6-2FAB-452B-9E05-C767A1CF13E2}"/>
    <cellStyle name="40% - Accent5 2 2 3 3 3" xfId="12564" xr:uid="{00000000-0005-0000-0000-0000C7480000}"/>
    <cellStyle name="40% - Accent5 2 2 3 3 3 2" xfId="36414" xr:uid="{CAEB651B-3885-46BD-B368-FA0E5638907E}"/>
    <cellStyle name="40% - Accent5 2 2 3 3 4" xfId="20519" xr:uid="{00000000-0005-0000-0000-0000C8480000}"/>
    <cellStyle name="40% - Accent5 2 2 3 3 4 2" xfId="44352" xr:uid="{10BFC67F-1EF4-4F27-AFFC-B240B1D4A45C}"/>
    <cellStyle name="40% - Accent5 2 2 3 3 5" xfId="28473" xr:uid="{0E872EAF-DFB6-4CA0-B909-921C76F7CDB8}"/>
    <cellStyle name="40% - Accent5 2 2 3 4" xfId="6369" xr:uid="{00000000-0005-0000-0000-0000C9480000}"/>
    <cellStyle name="40% - Accent5 2 2 3 4 2" xfId="14344" xr:uid="{00000000-0005-0000-0000-0000CA480000}"/>
    <cellStyle name="40% - Accent5 2 2 3 4 2 2" xfId="38187" xr:uid="{3A05DD94-6D40-4E53-864D-FA74ED518B9A}"/>
    <cellStyle name="40% - Accent5 2 2 3 4 3" xfId="22291" xr:uid="{00000000-0005-0000-0000-0000CB480000}"/>
    <cellStyle name="40% - Accent5 2 2 3 4 3 2" xfId="46124" xr:uid="{3CC98061-761C-4FAE-B94F-2423AADB3B44}"/>
    <cellStyle name="40% - Accent5 2 2 3 4 4" xfId="30246" xr:uid="{628F9254-6E35-4608-8FBB-360A8F894FB1}"/>
    <cellStyle name="40% - Accent5 2 2 3 5" xfId="9912" xr:uid="{00000000-0005-0000-0000-0000CC480000}"/>
    <cellStyle name="40% - Accent5 2 2 3 5 2" xfId="17870" xr:uid="{00000000-0005-0000-0000-0000CD480000}"/>
    <cellStyle name="40% - Accent5 2 2 3 5 2 2" xfId="41711" xr:uid="{F87A266E-0F37-452B-BA41-6BB13AE77241}"/>
    <cellStyle name="40% - Accent5 2 2 3 5 3" xfId="25814" xr:uid="{00000000-0005-0000-0000-0000CE480000}"/>
    <cellStyle name="40% - Accent5 2 2 3 5 3 2" xfId="49647" xr:uid="{AAD086C0-F0F5-44C1-B3A8-365B8B68A1DD}"/>
    <cellStyle name="40% - Accent5 2 2 3 5 4" xfId="33770" xr:uid="{507EDED8-8BC4-47B4-B6A0-919C780A6CCD}"/>
    <cellStyle name="40% - Accent5 2 2 3 6" xfId="10808" xr:uid="{00000000-0005-0000-0000-0000CF480000}"/>
    <cellStyle name="40% - Accent5 2 2 3 6 2" xfId="34658" xr:uid="{FC503E6E-83FC-481A-A249-ADFDA098647C}"/>
    <cellStyle name="40% - Accent5 2 2 3 7" xfId="18763" xr:uid="{00000000-0005-0000-0000-0000D0480000}"/>
    <cellStyle name="40% - Accent5 2 2 3 7 2" xfId="42596" xr:uid="{0CD448B3-8AB3-481A-8989-68B7CFC59DBA}"/>
    <cellStyle name="40% - Accent5 2 2 3 8" xfId="26716" xr:uid="{AA260A63-0977-4E12-965B-E08806DBE3A6}"/>
    <cellStyle name="40% - Accent5 2 2 3_Exh G" xfId="3225" xr:uid="{00000000-0005-0000-0000-0000D1480000}"/>
    <cellStyle name="40% - Accent5 2 2 4" xfId="1583" xr:uid="{00000000-0005-0000-0000-0000D2480000}"/>
    <cellStyle name="40% - Accent5 2 2 4 2" xfId="5113" xr:uid="{00000000-0005-0000-0000-0000D3480000}"/>
    <cellStyle name="40% - Accent5 2 2 4 2 2" xfId="8704" xr:uid="{00000000-0005-0000-0000-0000D4480000}"/>
    <cellStyle name="40% - Accent5 2 2 4 2 2 2" xfId="16675" xr:uid="{00000000-0005-0000-0000-0000D5480000}"/>
    <cellStyle name="40% - Accent5 2 2 4 2 2 2 2" xfId="40518" xr:uid="{F75550CF-B7E4-4B7D-B2A2-B35CA19D1C8D}"/>
    <cellStyle name="40% - Accent5 2 2 4 2 2 3" xfId="24621" xr:uid="{00000000-0005-0000-0000-0000D6480000}"/>
    <cellStyle name="40% - Accent5 2 2 4 2 2 3 2" xfId="48454" xr:uid="{0ED22470-6836-4EB4-AC63-2AEEE5970006}"/>
    <cellStyle name="40% - Accent5 2 2 4 2 2 4" xfId="32577" xr:uid="{FE5C75A0-2E65-4D06-8ECF-087789F30D97}"/>
    <cellStyle name="40% - Accent5 2 2 4 2 3" xfId="13137" xr:uid="{00000000-0005-0000-0000-0000D7480000}"/>
    <cellStyle name="40% - Accent5 2 2 4 2 3 2" xfId="36987" xr:uid="{8097C01A-89F3-4D95-9319-7416AD3EE564}"/>
    <cellStyle name="40% - Accent5 2 2 4 2 4" xfId="21092" xr:uid="{00000000-0005-0000-0000-0000D8480000}"/>
    <cellStyle name="40% - Accent5 2 2 4 2 4 2" xfId="44925" xr:uid="{D14519F6-E3DA-4EB6-8814-9ACD7FFF64C8}"/>
    <cellStyle name="40% - Accent5 2 2 4 2 5" xfId="29046" xr:uid="{D504A5D4-E813-4397-88A3-593A68EEAE8B}"/>
    <cellStyle name="40% - Accent5 2 2 4 3" xfId="6945" xr:uid="{00000000-0005-0000-0000-0000D9480000}"/>
    <cellStyle name="40% - Accent5 2 2 4 3 2" xfId="14917" xr:uid="{00000000-0005-0000-0000-0000DA480000}"/>
    <cellStyle name="40% - Accent5 2 2 4 3 2 2" xfId="38760" xr:uid="{149FE942-4760-49ED-B7B5-103202838926}"/>
    <cellStyle name="40% - Accent5 2 2 4 3 3" xfId="22864" xr:uid="{00000000-0005-0000-0000-0000DB480000}"/>
    <cellStyle name="40% - Accent5 2 2 4 3 3 2" xfId="46697" xr:uid="{5946E843-B60E-4FCC-A8BE-2E5998AE3023}"/>
    <cellStyle name="40% - Accent5 2 2 4 3 4" xfId="30819" xr:uid="{2E782D9D-6879-4D0D-BCBD-C85791DB0176}"/>
    <cellStyle name="40% - Accent5 2 2 4 4" xfId="11381" xr:uid="{00000000-0005-0000-0000-0000DC480000}"/>
    <cellStyle name="40% - Accent5 2 2 4 4 2" xfId="35231" xr:uid="{A7B25BF7-4D4D-4547-B627-BC7193D1192E}"/>
    <cellStyle name="40% - Accent5 2 2 4 5" xfId="19336" xr:uid="{00000000-0005-0000-0000-0000DD480000}"/>
    <cellStyle name="40% - Accent5 2 2 4 5 2" xfId="43169" xr:uid="{DAFA34F0-EC07-4B8D-917F-7B8E2DDFDD8A}"/>
    <cellStyle name="40% - Accent5 2 2 4 6" xfId="27289" xr:uid="{322222B1-5109-429E-9750-0E420523A6C6}"/>
    <cellStyle name="40% - Accent5 2 2 4_Exh G" xfId="3227" xr:uid="{00000000-0005-0000-0000-0000DE480000}"/>
    <cellStyle name="40% - Accent5 2 2 5" xfId="4234" xr:uid="{00000000-0005-0000-0000-0000DF480000}"/>
    <cellStyle name="40% - Accent5 2 2 5 2" xfId="7826" xr:uid="{00000000-0005-0000-0000-0000E0480000}"/>
    <cellStyle name="40% - Accent5 2 2 5 2 2" xfId="15797" xr:uid="{00000000-0005-0000-0000-0000E1480000}"/>
    <cellStyle name="40% - Accent5 2 2 5 2 2 2" xfId="39640" xr:uid="{15378BF8-AAA5-4BA8-9D49-3F1AFA163710}"/>
    <cellStyle name="40% - Accent5 2 2 5 2 3" xfId="23743" xr:uid="{00000000-0005-0000-0000-0000E2480000}"/>
    <cellStyle name="40% - Accent5 2 2 5 2 3 2" xfId="47576" xr:uid="{3EB191A9-5463-4B1B-B1EC-6D3AA74D2A5E}"/>
    <cellStyle name="40% - Accent5 2 2 5 2 4" xfId="31699" xr:uid="{D87BDA7F-8466-4896-AF40-B7F96781FEAD}"/>
    <cellStyle name="40% - Accent5 2 2 5 3" xfId="12259" xr:uid="{00000000-0005-0000-0000-0000E3480000}"/>
    <cellStyle name="40% - Accent5 2 2 5 3 2" xfId="36109" xr:uid="{1F094A9E-7381-469B-BDAD-497867D4A6B4}"/>
    <cellStyle name="40% - Accent5 2 2 5 4" xfId="20214" xr:uid="{00000000-0005-0000-0000-0000E4480000}"/>
    <cellStyle name="40% - Accent5 2 2 5 4 2" xfId="44047" xr:uid="{E0F945ED-91E6-4617-A383-57F52DD3A71D}"/>
    <cellStyle name="40% - Accent5 2 2 5 5" xfId="28168" xr:uid="{614BDB01-7B36-4179-8F70-8D5B4F815F2F}"/>
    <cellStyle name="40% - Accent5 2 2 6" xfId="6054" xr:uid="{00000000-0005-0000-0000-0000E5480000}"/>
    <cellStyle name="40% - Accent5 2 2 6 2" xfId="14038" xr:uid="{00000000-0005-0000-0000-0000E6480000}"/>
    <cellStyle name="40% - Accent5 2 2 6 2 2" xfId="37882" xr:uid="{E94310C8-2DF8-4AC9-B4D7-99E2D5B3EE0F}"/>
    <cellStyle name="40% - Accent5 2 2 6 3" xfId="21986" xr:uid="{00000000-0005-0000-0000-0000E7480000}"/>
    <cellStyle name="40% - Accent5 2 2 6 3 2" xfId="45819" xr:uid="{355AF243-B774-4D95-98E4-8C42DA2D5845}"/>
    <cellStyle name="40% - Accent5 2 2 6 4" xfId="29941" xr:uid="{A5606489-1E17-447F-84C1-DE6F6F2288B6}"/>
    <cellStyle name="40% - Accent5 2 2 7" xfId="9607" xr:uid="{00000000-0005-0000-0000-0000E8480000}"/>
    <cellStyle name="40% - Accent5 2 2 7 2" xfId="17565" xr:uid="{00000000-0005-0000-0000-0000E9480000}"/>
    <cellStyle name="40% - Accent5 2 2 7 2 2" xfId="41406" xr:uid="{6332A41A-C0AA-431C-8313-6DD41F159596}"/>
    <cellStyle name="40% - Accent5 2 2 7 3" xfId="25509" xr:uid="{00000000-0005-0000-0000-0000EA480000}"/>
    <cellStyle name="40% - Accent5 2 2 7 3 2" xfId="49342" xr:uid="{8215D33E-DD6F-46DF-AE66-D43B30BF4ED4}"/>
    <cellStyle name="40% - Accent5 2 2 7 4" xfId="33465" xr:uid="{4FBBDD16-C195-440C-9F14-B268F7CAFAB5}"/>
    <cellStyle name="40% - Accent5 2 2 8" xfId="10503" xr:uid="{00000000-0005-0000-0000-0000EB480000}"/>
    <cellStyle name="40% - Accent5 2 2 8 2" xfId="34353" xr:uid="{2F82AD8E-0554-488A-B76F-A04D726BEBCC}"/>
    <cellStyle name="40% - Accent5 2 2 9" xfId="18458" xr:uid="{00000000-0005-0000-0000-0000EC480000}"/>
    <cellStyle name="40% - Accent5 2 2 9 2" xfId="42291" xr:uid="{0E348BB0-8EDB-46C7-8D9A-D950C7A9138E}"/>
    <cellStyle name="40% - Accent5 2 2_Exh G" xfId="3222" xr:uid="{00000000-0005-0000-0000-0000ED480000}"/>
    <cellStyle name="40% - Accent5 2 3" xfId="557" xr:uid="{00000000-0005-0000-0000-0000EE480000}"/>
    <cellStyle name="40% - Accent5 2 3 2" xfId="1585" xr:uid="{00000000-0005-0000-0000-0000EF480000}"/>
    <cellStyle name="40% - Accent5 2 3 2 2" xfId="5115" xr:uid="{00000000-0005-0000-0000-0000F0480000}"/>
    <cellStyle name="40% - Accent5 2 3 2 2 2" xfId="8706" xr:uid="{00000000-0005-0000-0000-0000F1480000}"/>
    <cellStyle name="40% - Accent5 2 3 2 2 2 2" xfId="16677" xr:uid="{00000000-0005-0000-0000-0000F2480000}"/>
    <cellStyle name="40% - Accent5 2 3 2 2 2 2 2" xfId="40520" xr:uid="{7BC58B71-ED89-4358-9C09-D06F8EAECE78}"/>
    <cellStyle name="40% - Accent5 2 3 2 2 2 3" xfId="24623" xr:uid="{00000000-0005-0000-0000-0000F3480000}"/>
    <cellStyle name="40% - Accent5 2 3 2 2 2 3 2" xfId="48456" xr:uid="{BD9955B6-D1FB-4185-87AE-196E519E9D47}"/>
    <cellStyle name="40% - Accent5 2 3 2 2 2 4" xfId="32579" xr:uid="{D850DA75-4AE1-48A9-B19C-036A40B2E442}"/>
    <cellStyle name="40% - Accent5 2 3 2 2 3" xfId="13139" xr:uid="{00000000-0005-0000-0000-0000F4480000}"/>
    <cellStyle name="40% - Accent5 2 3 2 2 3 2" xfId="36989" xr:uid="{8C3B32B8-723D-4E5D-B14F-E647A799451C}"/>
    <cellStyle name="40% - Accent5 2 3 2 2 4" xfId="21094" xr:uid="{00000000-0005-0000-0000-0000F5480000}"/>
    <cellStyle name="40% - Accent5 2 3 2 2 4 2" xfId="44927" xr:uid="{C82CA078-5EAE-440C-B8C5-B4934A1F3722}"/>
    <cellStyle name="40% - Accent5 2 3 2 2 5" xfId="29048" xr:uid="{C36FF37F-893A-45A5-9F3F-173840570ED4}"/>
    <cellStyle name="40% - Accent5 2 3 2 3" xfId="6947" xr:uid="{00000000-0005-0000-0000-0000F6480000}"/>
    <cellStyle name="40% - Accent5 2 3 2 3 2" xfId="14919" xr:uid="{00000000-0005-0000-0000-0000F7480000}"/>
    <cellStyle name="40% - Accent5 2 3 2 3 2 2" xfId="38762" xr:uid="{DCBCD38D-EB88-411B-95C6-A53885947C23}"/>
    <cellStyle name="40% - Accent5 2 3 2 3 3" xfId="22866" xr:uid="{00000000-0005-0000-0000-0000F8480000}"/>
    <cellStyle name="40% - Accent5 2 3 2 3 3 2" xfId="46699" xr:uid="{F355AD8E-DFCD-4F85-B231-125C6BC0B89F}"/>
    <cellStyle name="40% - Accent5 2 3 2 3 4" xfId="30821" xr:uid="{4A49A045-FC4A-43CE-B09E-B0CED0C3B54E}"/>
    <cellStyle name="40% - Accent5 2 3 2 4" xfId="11383" xr:uid="{00000000-0005-0000-0000-0000F9480000}"/>
    <cellStyle name="40% - Accent5 2 3 2 4 2" xfId="35233" xr:uid="{6DF3EFF6-3BC1-4195-A472-9718AC747E6D}"/>
    <cellStyle name="40% - Accent5 2 3 2 5" xfId="19338" xr:uid="{00000000-0005-0000-0000-0000FA480000}"/>
    <cellStyle name="40% - Accent5 2 3 2 5 2" xfId="43171" xr:uid="{47E8BBB5-E213-404B-8690-905890B39232}"/>
    <cellStyle name="40% - Accent5 2 3 2 6" xfId="27291" xr:uid="{558038B2-875C-41F5-9C69-D2262DB0EFD6}"/>
    <cellStyle name="40% - Accent5 2 3 2_Exh G" xfId="3229" xr:uid="{00000000-0005-0000-0000-0000FB480000}"/>
    <cellStyle name="40% - Accent5 2 3 3" xfId="4236" xr:uid="{00000000-0005-0000-0000-0000FC480000}"/>
    <cellStyle name="40% - Accent5 2 3 3 2" xfId="7828" xr:uid="{00000000-0005-0000-0000-0000FD480000}"/>
    <cellStyle name="40% - Accent5 2 3 3 2 2" xfId="15799" xr:uid="{00000000-0005-0000-0000-0000FE480000}"/>
    <cellStyle name="40% - Accent5 2 3 3 2 2 2" xfId="39642" xr:uid="{40B0F49C-C5B9-468C-B277-4D2B7454AF7F}"/>
    <cellStyle name="40% - Accent5 2 3 3 2 3" xfId="23745" xr:uid="{00000000-0005-0000-0000-0000FF480000}"/>
    <cellStyle name="40% - Accent5 2 3 3 2 3 2" xfId="47578" xr:uid="{ECCD6E83-5C28-400E-9587-391EDF228189}"/>
    <cellStyle name="40% - Accent5 2 3 3 2 4" xfId="31701" xr:uid="{F83C0F0D-A290-49B1-9734-8DCF4C1A9209}"/>
    <cellStyle name="40% - Accent5 2 3 3 3" xfId="12261" xr:uid="{00000000-0005-0000-0000-000000490000}"/>
    <cellStyle name="40% - Accent5 2 3 3 3 2" xfId="36111" xr:uid="{2A26661B-2A4D-4AB9-9A05-DECBB048C976}"/>
    <cellStyle name="40% - Accent5 2 3 3 4" xfId="20216" xr:uid="{00000000-0005-0000-0000-000001490000}"/>
    <cellStyle name="40% - Accent5 2 3 3 4 2" xfId="44049" xr:uid="{0158AB31-7F83-4FDB-8B99-66A56F38AB2F}"/>
    <cellStyle name="40% - Accent5 2 3 3 5" xfId="28170" xr:uid="{63EF5C4A-4112-4F56-B763-672BD399FE00}"/>
    <cellStyle name="40% - Accent5 2 3 4" xfId="6056" xr:uid="{00000000-0005-0000-0000-000002490000}"/>
    <cellStyle name="40% - Accent5 2 3 4 2" xfId="14040" xr:uid="{00000000-0005-0000-0000-000003490000}"/>
    <cellStyle name="40% - Accent5 2 3 4 2 2" xfId="37884" xr:uid="{B30CDE2E-4185-4F54-859D-D13941DD67B9}"/>
    <cellStyle name="40% - Accent5 2 3 4 3" xfId="21988" xr:uid="{00000000-0005-0000-0000-000004490000}"/>
    <cellStyle name="40% - Accent5 2 3 4 3 2" xfId="45821" xr:uid="{01AE56E4-4AD1-4029-A6D5-8384603A694E}"/>
    <cellStyle name="40% - Accent5 2 3 4 4" xfId="29943" xr:uid="{799EF060-8825-4EDA-942D-2F3637EB155A}"/>
    <cellStyle name="40% - Accent5 2 3 5" xfId="9609" xr:uid="{00000000-0005-0000-0000-000005490000}"/>
    <cellStyle name="40% - Accent5 2 3 5 2" xfId="17567" xr:uid="{00000000-0005-0000-0000-000006490000}"/>
    <cellStyle name="40% - Accent5 2 3 5 2 2" xfId="41408" xr:uid="{CC1635FD-7F91-4EAD-A6F4-2256F23D01C1}"/>
    <cellStyle name="40% - Accent5 2 3 5 3" xfId="25511" xr:uid="{00000000-0005-0000-0000-000007490000}"/>
    <cellStyle name="40% - Accent5 2 3 5 3 2" xfId="49344" xr:uid="{3B7C3908-0A7D-48DA-BD30-3A2885CFD144}"/>
    <cellStyle name="40% - Accent5 2 3 5 4" xfId="33467" xr:uid="{99396D01-DC92-4386-A68C-4510C8384DAB}"/>
    <cellStyle name="40% - Accent5 2 3 6" xfId="10505" xr:uid="{00000000-0005-0000-0000-000008490000}"/>
    <cellStyle name="40% - Accent5 2 3 6 2" xfId="34355" xr:uid="{BF4495B0-3135-457A-903C-EB4E1F901C72}"/>
    <cellStyle name="40% - Accent5 2 3 7" xfId="18460" xr:uid="{00000000-0005-0000-0000-000009490000}"/>
    <cellStyle name="40% - Accent5 2 3 7 2" xfId="42293" xr:uid="{25E88827-3D3E-4448-B179-6D42D60D0444}"/>
    <cellStyle name="40% - Accent5 2 3 8" xfId="26413" xr:uid="{1B6E437F-D441-4CA9-9855-76876B11BE1C}"/>
    <cellStyle name="40% - Accent5 2 3_Exh G" xfId="3228" xr:uid="{00000000-0005-0000-0000-00000A490000}"/>
    <cellStyle name="40% - Accent5 2 4" xfId="983" xr:uid="{00000000-0005-0000-0000-00000B490000}"/>
    <cellStyle name="40% - Accent5 2 4 2" xfId="1899" xr:uid="{00000000-0005-0000-0000-00000C490000}"/>
    <cellStyle name="40% - Accent5 2 4 2 2" xfId="5417" xr:uid="{00000000-0005-0000-0000-00000D490000}"/>
    <cellStyle name="40% - Accent5 2 4 2 2 2" xfId="9008" xr:uid="{00000000-0005-0000-0000-00000E490000}"/>
    <cellStyle name="40% - Accent5 2 4 2 2 2 2" xfId="16979" xr:uid="{00000000-0005-0000-0000-00000F490000}"/>
    <cellStyle name="40% - Accent5 2 4 2 2 2 2 2" xfId="40822" xr:uid="{88998099-052F-421B-A5B9-8E85235CA788}"/>
    <cellStyle name="40% - Accent5 2 4 2 2 2 3" xfId="24925" xr:uid="{00000000-0005-0000-0000-000010490000}"/>
    <cellStyle name="40% - Accent5 2 4 2 2 2 3 2" xfId="48758" xr:uid="{58FB272E-8FE5-4FD8-87F7-05D6133882C1}"/>
    <cellStyle name="40% - Accent5 2 4 2 2 2 4" xfId="32881" xr:uid="{CF85C60D-BAB0-407F-947E-779737C71E0D}"/>
    <cellStyle name="40% - Accent5 2 4 2 2 3" xfId="13441" xr:uid="{00000000-0005-0000-0000-000011490000}"/>
    <cellStyle name="40% - Accent5 2 4 2 2 3 2" xfId="37291" xr:uid="{F3FA8FAB-0CBB-4A69-91D5-D9CCACC4E54E}"/>
    <cellStyle name="40% - Accent5 2 4 2 2 4" xfId="21396" xr:uid="{00000000-0005-0000-0000-000012490000}"/>
    <cellStyle name="40% - Accent5 2 4 2 2 4 2" xfId="45229" xr:uid="{7B4F4CD0-6479-44E1-B392-9DCDCF680CFC}"/>
    <cellStyle name="40% - Accent5 2 4 2 2 5" xfId="29350" xr:uid="{E5986C95-F182-45D2-9D99-7A2859A758CF}"/>
    <cellStyle name="40% - Accent5 2 4 2 3" xfId="7249" xr:uid="{00000000-0005-0000-0000-000013490000}"/>
    <cellStyle name="40% - Accent5 2 4 2 3 2" xfId="15221" xr:uid="{00000000-0005-0000-0000-000014490000}"/>
    <cellStyle name="40% - Accent5 2 4 2 3 2 2" xfId="39064" xr:uid="{8A0BA720-8B5A-49A5-90D7-B191C93B509B}"/>
    <cellStyle name="40% - Accent5 2 4 2 3 3" xfId="23168" xr:uid="{00000000-0005-0000-0000-000015490000}"/>
    <cellStyle name="40% - Accent5 2 4 2 3 3 2" xfId="47001" xr:uid="{DC4FC618-442A-4646-8D95-C30CDF3D6531}"/>
    <cellStyle name="40% - Accent5 2 4 2 3 4" xfId="31123" xr:uid="{49FC9F4F-2F71-4B54-A55E-0E180D85A00A}"/>
    <cellStyle name="40% - Accent5 2 4 2 4" xfId="11685" xr:uid="{00000000-0005-0000-0000-000016490000}"/>
    <cellStyle name="40% - Accent5 2 4 2 4 2" xfId="35535" xr:uid="{5C82CFE5-9949-4C2E-970A-E21614A375C4}"/>
    <cellStyle name="40% - Accent5 2 4 2 5" xfId="19640" xr:uid="{00000000-0005-0000-0000-000017490000}"/>
    <cellStyle name="40% - Accent5 2 4 2 5 2" xfId="43473" xr:uid="{193BEBB5-6D6E-4FEF-9FD8-49B8DCE0CA99}"/>
    <cellStyle name="40% - Accent5 2 4 2 6" xfId="27593" xr:uid="{CC71EE76-3BD1-4EDB-A469-E5940BCAC2A2}"/>
    <cellStyle name="40% - Accent5 2 4 2_Exh G" xfId="3231" xr:uid="{00000000-0005-0000-0000-000018490000}"/>
    <cellStyle name="40% - Accent5 2 4 3" xfId="4538" xr:uid="{00000000-0005-0000-0000-000019490000}"/>
    <cellStyle name="40% - Accent5 2 4 3 2" xfId="8130" xr:uid="{00000000-0005-0000-0000-00001A490000}"/>
    <cellStyle name="40% - Accent5 2 4 3 2 2" xfId="16101" xr:uid="{00000000-0005-0000-0000-00001B490000}"/>
    <cellStyle name="40% - Accent5 2 4 3 2 2 2" xfId="39944" xr:uid="{0D25B6DA-D02A-4E0F-8985-267A2AB68AB4}"/>
    <cellStyle name="40% - Accent5 2 4 3 2 3" xfId="24047" xr:uid="{00000000-0005-0000-0000-00001C490000}"/>
    <cellStyle name="40% - Accent5 2 4 3 2 3 2" xfId="47880" xr:uid="{32ECD3DE-D224-4E96-AB48-35D372A3ED02}"/>
    <cellStyle name="40% - Accent5 2 4 3 2 4" xfId="32003" xr:uid="{9F420423-127C-455E-BBEA-9277AA0757D1}"/>
    <cellStyle name="40% - Accent5 2 4 3 3" xfId="12563" xr:uid="{00000000-0005-0000-0000-00001D490000}"/>
    <cellStyle name="40% - Accent5 2 4 3 3 2" xfId="36413" xr:uid="{77D79312-F0FC-4257-991C-C3C8AB1C893C}"/>
    <cellStyle name="40% - Accent5 2 4 3 4" xfId="20518" xr:uid="{00000000-0005-0000-0000-00001E490000}"/>
    <cellStyle name="40% - Accent5 2 4 3 4 2" xfId="44351" xr:uid="{1AE9A81E-EB2A-4DCD-B0EC-E4B8B3D6E2C1}"/>
    <cellStyle name="40% - Accent5 2 4 3 5" xfId="28472" xr:uid="{BA7747C2-FD1C-420B-8257-D00C278F6CAD}"/>
    <cellStyle name="40% - Accent5 2 4 4" xfId="6368" xr:uid="{00000000-0005-0000-0000-00001F490000}"/>
    <cellStyle name="40% - Accent5 2 4 4 2" xfId="14343" xr:uid="{00000000-0005-0000-0000-000020490000}"/>
    <cellStyle name="40% - Accent5 2 4 4 2 2" xfId="38186" xr:uid="{17A49A63-C75B-4E4E-9CD7-2A9570E3413F}"/>
    <cellStyle name="40% - Accent5 2 4 4 3" xfId="22290" xr:uid="{00000000-0005-0000-0000-000021490000}"/>
    <cellStyle name="40% - Accent5 2 4 4 3 2" xfId="46123" xr:uid="{A6C19DA7-D475-4BA3-96EB-D47A8EA34440}"/>
    <cellStyle name="40% - Accent5 2 4 4 4" xfId="30245" xr:uid="{EB24D4A3-6051-419A-AD21-9A7941F8E4B5}"/>
    <cellStyle name="40% - Accent5 2 4 5" xfId="9911" xr:uid="{00000000-0005-0000-0000-000022490000}"/>
    <cellStyle name="40% - Accent5 2 4 5 2" xfId="17869" xr:uid="{00000000-0005-0000-0000-000023490000}"/>
    <cellStyle name="40% - Accent5 2 4 5 2 2" xfId="41710" xr:uid="{BBA91EA1-40C1-433F-9D2B-A908C8756C9A}"/>
    <cellStyle name="40% - Accent5 2 4 5 3" xfId="25813" xr:uid="{00000000-0005-0000-0000-000024490000}"/>
    <cellStyle name="40% - Accent5 2 4 5 3 2" xfId="49646" xr:uid="{5046EF60-B0E1-4CD5-A756-218DB59971DF}"/>
    <cellStyle name="40% - Accent5 2 4 5 4" xfId="33769" xr:uid="{031348C2-8F42-49B8-A162-5F2733077F80}"/>
    <cellStyle name="40% - Accent5 2 4 6" xfId="10807" xr:uid="{00000000-0005-0000-0000-000025490000}"/>
    <cellStyle name="40% - Accent5 2 4 6 2" xfId="34657" xr:uid="{52C2C750-ADF6-488D-87C4-50C7C255AB92}"/>
    <cellStyle name="40% - Accent5 2 4 7" xfId="18762" xr:uid="{00000000-0005-0000-0000-000026490000}"/>
    <cellStyle name="40% - Accent5 2 4 7 2" xfId="42595" xr:uid="{17247BA5-A902-41C6-BD51-2E03FC7533FF}"/>
    <cellStyle name="40% - Accent5 2 4 8" xfId="26715" xr:uid="{396AC922-923C-4A63-AE75-A2AE2A5BE8E1}"/>
    <cellStyle name="40% - Accent5 2 4_Exh G" xfId="3230" xr:uid="{00000000-0005-0000-0000-000027490000}"/>
    <cellStyle name="40% - Accent5 2 5" xfId="1582" xr:uid="{00000000-0005-0000-0000-000028490000}"/>
    <cellStyle name="40% - Accent5 2 5 2" xfId="5112" xr:uid="{00000000-0005-0000-0000-000029490000}"/>
    <cellStyle name="40% - Accent5 2 5 2 2" xfId="8703" xr:uid="{00000000-0005-0000-0000-00002A490000}"/>
    <cellStyle name="40% - Accent5 2 5 2 2 2" xfId="16674" xr:uid="{00000000-0005-0000-0000-00002B490000}"/>
    <cellStyle name="40% - Accent5 2 5 2 2 2 2" xfId="40517" xr:uid="{3B0DB002-0730-4151-AFFA-550A295A8E8B}"/>
    <cellStyle name="40% - Accent5 2 5 2 2 3" xfId="24620" xr:uid="{00000000-0005-0000-0000-00002C490000}"/>
    <cellStyle name="40% - Accent5 2 5 2 2 3 2" xfId="48453" xr:uid="{AC604AAD-91C0-4F8D-976F-7AF861F5A12A}"/>
    <cellStyle name="40% - Accent5 2 5 2 2 4" xfId="32576" xr:uid="{200ADE2B-928E-4EED-982B-E2DF73F32DA6}"/>
    <cellStyle name="40% - Accent5 2 5 2 3" xfId="13136" xr:uid="{00000000-0005-0000-0000-00002D490000}"/>
    <cellStyle name="40% - Accent5 2 5 2 3 2" xfId="36986" xr:uid="{67114204-62B3-42A9-8851-15CCEB943E41}"/>
    <cellStyle name="40% - Accent5 2 5 2 4" xfId="21091" xr:uid="{00000000-0005-0000-0000-00002E490000}"/>
    <cellStyle name="40% - Accent5 2 5 2 4 2" xfId="44924" xr:uid="{1FA088E9-AA30-47CA-B978-DC0C3EFE2F33}"/>
    <cellStyle name="40% - Accent5 2 5 2 5" xfId="29045" xr:uid="{491DA366-1E4B-4F4C-8F65-CCFE98A7A58C}"/>
    <cellStyle name="40% - Accent5 2 5 3" xfId="6944" xr:uid="{00000000-0005-0000-0000-00002F490000}"/>
    <cellStyle name="40% - Accent5 2 5 3 2" xfId="14916" xr:uid="{00000000-0005-0000-0000-000030490000}"/>
    <cellStyle name="40% - Accent5 2 5 3 2 2" xfId="38759" xr:uid="{472DB92A-E2F9-405D-A92E-339AF9F6115D}"/>
    <cellStyle name="40% - Accent5 2 5 3 3" xfId="22863" xr:uid="{00000000-0005-0000-0000-000031490000}"/>
    <cellStyle name="40% - Accent5 2 5 3 3 2" xfId="46696" xr:uid="{3119A02B-AD47-4EB4-81B2-80FA1820CD6B}"/>
    <cellStyle name="40% - Accent5 2 5 3 4" xfId="30818" xr:uid="{92FE1EA2-F365-4337-BBE5-C2D5C7127CF6}"/>
    <cellStyle name="40% - Accent5 2 5 4" xfId="11380" xr:uid="{00000000-0005-0000-0000-000032490000}"/>
    <cellStyle name="40% - Accent5 2 5 4 2" xfId="35230" xr:uid="{4F4C9E5A-08C6-4A1D-AB3A-3192B61E6BAB}"/>
    <cellStyle name="40% - Accent5 2 5 5" xfId="19335" xr:uid="{00000000-0005-0000-0000-000033490000}"/>
    <cellStyle name="40% - Accent5 2 5 5 2" xfId="43168" xr:uid="{E1E82ADE-B3CD-4E9B-B685-B352A28E8442}"/>
    <cellStyle name="40% - Accent5 2 5 6" xfId="27288" xr:uid="{EC8CCFA6-BB1E-4CD8-8787-56CE4C7A5BCD}"/>
    <cellStyle name="40% - Accent5 2 5_Exh G" xfId="3232" xr:uid="{00000000-0005-0000-0000-000034490000}"/>
    <cellStyle name="40% - Accent5 2 6" xfId="4233" xr:uid="{00000000-0005-0000-0000-000035490000}"/>
    <cellStyle name="40% - Accent5 2 6 2" xfId="7825" xr:uid="{00000000-0005-0000-0000-000036490000}"/>
    <cellStyle name="40% - Accent5 2 6 2 2" xfId="15796" xr:uid="{00000000-0005-0000-0000-000037490000}"/>
    <cellStyle name="40% - Accent5 2 6 2 2 2" xfId="39639" xr:uid="{7E6A7D7B-B5C0-4775-8E50-0AF337D06FE2}"/>
    <cellStyle name="40% - Accent5 2 6 2 3" xfId="23742" xr:uid="{00000000-0005-0000-0000-000038490000}"/>
    <cellStyle name="40% - Accent5 2 6 2 3 2" xfId="47575" xr:uid="{94D49412-5591-49E2-8EA5-AF5795D2F314}"/>
    <cellStyle name="40% - Accent5 2 6 2 4" xfId="31698" xr:uid="{7FF9D320-35FC-450C-9F6F-4CEAE7C2D92A}"/>
    <cellStyle name="40% - Accent5 2 6 3" xfId="12258" xr:uid="{00000000-0005-0000-0000-000039490000}"/>
    <cellStyle name="40% - Accent5 2 6 3 2" xfId="36108" xr:uid="{EC368454-46B6-400F-A2B5-904A681A5126}"/>
    <cellStyle name="40% - Accent5 2 6 4" xfId="20213" xr:uid="{00000000-0005-0000-0000-00003A490000}"/>
    <cellStyle name="40% - Accent5 2 6 4 2" xfId="44046" xr:uid="{B4C8AC45-76BC-487F-854F-D4D39FB7F8E4}"/>
    <cellStyle name="40% - Accent5 2 6 5" xfId="28167" xr:uid="{A3D93899-34E3-4FC9-899D-615BA3959C6E}"/>
    <cellStyle name="40% - Accent5 2 7" xfId="6053" xr:uid="{00000000-0005-0000-0000-00003B490000}"/>
    <cellStyle name="40% - Accent5 2 7 2" xfId="14037" xr:uid="{00000000-0005-0000-0000-00003C490000}"/>
    <cellStyle name="40% - Accent5 2 7 2 2" xfId="37881" xr:uid="{7049CAFB-6135-4B08-B759-6B196CC66E3C}"/>
    <cellStyle name="40% - Accent5 2 7 3" xfId="21985" xr:uid="{00000000-0005-0000-0000-00003D490000}"/>
    <cellStyle name="40% - Accent5 2 7 3 2" xfId="45818" xr:uid="{8D886B8F-6A3E-4288-B4AD-9C68938BB71D}"/>
    <cellStyle name="40% - Accent5 2 7 4" xfId="29940" xr:uid="{9099EFD1-3294-47CB-97F7-CAE5ABAB86A2}"/>
    <cellStyle name="40% - Accent5 2 8" xfId="9606" xr:uid="{00000000-0005-0000-0000-00003E490000}"/>
    <cellStyle name="40% - Accent5 2 8 2" xfId="17564" xr:uid="{00000000-0005-0000-0000-00003F490000}"/>
    <cellStyle name="40% - Accent5 2 8 2 2" xfId="41405" xr:uid="{32848558-51C7-43CF-8799-68980509A962}"/>
    <cellStyle name="40% - Accent5 2 8 3" xfId="25508" xr:uid="{00000000-0005-0000-0000-000040490000}"/>
    <cellStyle name="40% - Accent5 2 8 3 2" xfId="49341" xr:uid="{A2947548-E4E1-4A29-BBE1-B99FB8AC916A}"/>
    <cellStyle name="40% - Accent5 2 8 4" xfId="33464" xr:uid="{2BAB52EA-E2CE-430B-825B-9CD9EE918A30}"/>
    <cellStyle name="40% - Accent5 2 9" xfId="10502" xr:uid="{00000000-0005-0000-0000-000041490000}"/>
    <cellStyle name="40% - Accent5 2 9 2" xfId="34352" xr:uid="{B54A00C2-1A39-419F-9D51-799CFBEA97AE}"/>
    <cellStyle name="40% - Accent5 2_Exh G" xfId="3221" xr:uid="{00000000-0005-0000-0000-000042490000}"/>
    <cellStyle name="40% - Accent5 3" xfId="558" xr:uid="{00000000-0005-0000-0000-000043490000}"/>
    <cellStyle name="40% - Accent5 3 10" xfId="18461" xr:uid="{00000000-0005-0000-0000-000044490000}"/>
    <cellStyle name="40% - Accent5 3 10 2" xfId="42294" xr:uid="{3FB34BD4-94A7-4425-8C57-631B7172742B}"/>
    <cellStyle name="40% - Accent5 3 11" xfId="26414" xr:uid="{8DAE3C7A-C5D2-4C1B-827A-58C99761C959}"/>
    <cellStyle name="40% - Accent5 3 12" xfId="49775" xr:uid="{E9067AC6-71D6-4C19-954F-52F030945BF8}"/>
    <cellStyle name="40% - Accent5 3 13" xfId="49829" xr:uid="{C3299C45-9F08-4EF2-89D0-E1082B118B35}"/>
    <cellStyle name="40% - Accent5 3 2" xfId="559" xr:uid="{00000000-0005-0000-0000-000045490000}"/>
    <cellStyle name="40% - Accent5 3 2 10" xfId="26415" xr:uid="{7B814252-5EEC-4B5B-BD95-F4342FB3C3FD}"/>
    <cellStyle name="40% - Accent5 3 2 2" xfId="560" xr:uid="{00000000-0005-0000-0000-000046490000}"/>
    <cellStyle name="40% - Accent5 3 2 2 2" xfId="1588" xr:uid="{00000000-0005-0000-0000-000047490000}"/>
    <cellStyle name="40% - Accent5 3 2 2 2 2" xfId="5118" xr:uid="{00000000-0005-0000-0000-000048490000}"/>
    <cellStyle name="40% - Accent5 3 2 2 2 2 2" xfId="8709" xr:uid="{00000000-0005-0000-0000-000049490000}"/>
    <cellStyle name="40% - Accent5 3 2 2 2 2 2 2" xfId="16680" xr:uid="{00000000-0005-0000-0000-00004A490000}"/>
    <cellStyle name="40% - Accent5 3 2 2 2 2 2 2 2" xfId="40523" xr:uid="{B397D40B-AB22-4875-873C-730835A578BB}"/>
    <cellStyle name="40% - Accent5 3 2 2 2 2 2 3" xfId="24626" xr:uid="{00000000-0005-0000-0000-00004B490000}"/>
    <cellStyle name="40% - Accent5 3 2 2 2 2 2 3 2" xfId="48459" xr:uid="{8351AB97-0421-44AD-81CD-D538A194F447}"/>
    <cellStyle name="40% - Accent5 3 2 2 2 2 2 4" xfId="32582" xr:uid="{6989F3CD-BA08-4F49-9A58-230676A46CF1}"/>
    <cellStyle name="40% - Accent5 3 2 2 2 2 3" xfId="13142" xr:uid="{00000000-0005-0000-0000-00004C490000}"/>
    <cellStyle name="40% - Accent5 3 2 2 2 2 3 2" xfId="36992" xr:uid="{BEF19DBA-C0CC-48F0-872C-80CF3A8ADE4F}"/>
    <cellStyle name="40% - Accent5 3 2 2 2 2 4" xfId="21097" xr:uid="{00000000-0005-0000-0000-00004D490000}"/>
    <cellStyle name="40% - Accent5 3 2 2 2 2 4 2" xfId="44930" xr:uid="{0FAE35A6-000E-4791-9343-571B134A3F53}"/>
    <cellStyle name="40% - Accent5 3 2 2 2 2 5" xfId="29051" xr:uid="{39A888CE-2D3B-490C-9A5E-0EACD3C785A3}"/>
    <cellStyle name="40% - Accent5 3 2 2 2 3" xfId="6950" xr:uid="{00000000-0005-0000-0000-00004E490000}"/>
    <cellStyle name="40% - Accent5 3 2 2 2 3 2" xfId="14922" xr:uid="{00000000-0005-0000-0000-00004F490000}"/>
    <cellStyle name="40% - Accent5 3 2 2 2 3 2 2" xfId="38765" xr:uid="{59505A89-4965-48E9-A0BD-77DB7E9B91F6}"/>
    <cellStyle name="40% - Accent5 3 2 2 2 3 3" xfId="22869" xr:uid="{00000000-0005-0000-0000-000050490000}"/>
    <cellStyle name="40% - Accent5 3 2 2 2 3 3 2" xfId="46702" xr:uid="{BFB3FDDE-F5E8-4A93-91A0-E21E8CC4F82F}"/>
    <cellStyle name="40% - Accent5 3 2 2 2 3 4" xfId="30824" xr:uid="{8F65B37F-C898-47E0-BC92-D246D226F251}"/>
    <cellStyle name="40% - Accent5 3 2 2 2 4" xfId="11386" xr:uid="{00000000-0005-0000-0000-000051490000}"/>
    <cellStyle name="40% - Accent5 3 2 2 2 4 2" xfId="35236" xr:uid="{B5645D20-07BB-4B32-A8B2-2B685181E2F8}"/>
    <cellStyle name="40% - Accent5 3 2 2 2 5" xfId="19341" xr:uid="{00000000-0005-0000-0000-000052490000}"/>
    <cellStyle name="40% - Accent5 3 2 2 2 5 2" xfId="43174" xr:uid="{E5102660-00E4-4D07-9A41-163082A577ED}"/>
    <cellStyle name="40% - Accent5 3 2 2 2 6" xfId="27294" xr:uid="{858BC5BB-D965-4B5B-A365-12927758ABAF}"/>
    <cellStyle name="40% - Accent5 3 2 2 2_Exh G" xfId="3236" xr:uid="{00000000-0005-0000-0000-000053490000}"/>
    <cellStyle name="40% - Accent5 3 2 2 3" xfId="4239" xr:uid="{00000000-0005-0000-0000-000054490000}"/>
    <cellStyle name="40% - Accent5 3 2 2 3 2" xfId="7831" xr:uid="{00000000-0005-0000-0000-000055490000}"/>
    <cellStyle name="40% - Accent5 3 2 2 3 2 2" xfId="15802" xr:uid="{00000000-0005-0000-0000-000056490000}"/>
    <cellStyle name="40% - Accent5 3 2 2 3 2 2 2" xfId="39645" xr:uid="{E18854FC-023A-4AA5-BB44-2189E924811A}"/>
    <cellStyle name="40% - Accent5 3 2 2 3 2 3" xfId="23748" xr:uid="{00000000-0005-0000-0000-000057490000}"/>
    <cellStyle name="40% - Accent5 3 2 2 3 2 3 2" xfId="47581" xr:uid="{7B574C5A-6798-489C-9298-A0F15CED3873}"/>
    <cellStyle name="40% - Accent5 3 2 2 3 2 4" xfId="31704" xr:uid="{9F26FA6A-98F7-4EAC-AA80-3714DF3654AE}"/>
    <cellStyle name="40% - Accent5 3 2 2 3 3" xfId="12264" xr:uid="{00000000-0005-0000-0000-000058490000}"/>
    <cellStyle name="40% - Accent5 3 2 2 3 3 2" xfId="36114" xr:uid="{43CDD49B-3177-473B-953F-E1658447EA44}"/>
    <cellStyle name="40% - Accent5 3 2 2 3 4" xfId="20219" xr:uid="{00000000-0005-0000-0000-000059490000}"/>
    <cellStyle name="40% - Accent5 3 2 2 3 4 2" xfId="44052" xr:uid="{BB75329B-BAF9-4C56-9C7A-2ACCEADE4C95}"/>
    <cellStyle name="40% - Accent5 3 2 2 3 5" xfId="28173" xr:uid="{3D1E5860-7333-4C20-8FA9-9F95F8E35308}"/>
    <cellStyle name="40% - Accent5 3 2 2 4" xfId="6059" xr:uid="{00000000-0005-0000-0000-00005A490000}"/>
    <cellStyle name="40% - Accent5 3 2 2 4 2" xfId="14043" xr:uid="{00000000-0005-0000-0000-00005B490000}"/>
    <cellStyle name="40% - Accent5 3 2 2 4 2 2" xfId="37887" xr:uid="{322D0C66-1316-40B6-AA76-F3AA4AFB19AE}"/>
    <cellStyle name="40% - Accent5 3 2 2 4 3" xfId="21991" xr:uid="{00000000-0005-0000-0000-00005C490000}"/>
    <cellStyle name="40% - Accent5 3 2 2 4 3 2" xfId="45824" xr:uid="{426F87CA-79AE-41DB-8AAF-AC838EE625CA}"/>
    <cellStyle name="40% - Accent5 3 2 2 4 4" xfId="29946" xr:uid="{B837AFF6-CA1C-4A73-8FF4-52552FA5C8A6}"/>
    <cellStyle name="40% - Accent5 3 2 2 5" xfId="9612" xr:uid="{00000000-0005-0000-0000-00005D490000}"/>
    <cellStyle name="40% - Accent5 3 2 2 5 2" xfId="17570" xr:uid="{00000000-0005-0000-0000-00005E490000}"/>
    <cellStyle name="40% - Accent5 3 2 2 5 2 2" xfId="41411" xr:uid="{69D8E8AA-291F-400E-9FDE-A46C73917892}"/>
    <cellStyle name="40% - Accent5 3 2 2 5 3" xfId="25514" xr:uid="{00000000-0005-0000-0000-00005F490000}"/>
    <cellStyle name="40% - Accent5 3 2 2 5 3 2" xfId="49347" xr:uid="{80B5DE84-D3FB-462F-AAD2-6FFFF5CD850D}"/>
    <cellStyle name="40% - Accent5 3 2 2 5 4" xfId="33470" xr:uid="{471F6474-1563-4F64-ADA5-EB4986AC3697}"/>
    <cellStyle name="40% - Accent5 3 2 2 6" xfId="10508" xr:uid="{00000000-0005-0000-0000-000060490000}"/>
    <cellStyle name="40% - Accent5 3 2 2 6 2" xfId="34358" xr:uid="{836459FF-6E88-4959-8B46-DCC910D4A3B2}"/>
    <cellStyle name="40% - Accent5 3 2 2 7" xfId="18463" xr:uid="{00000000-0005-0000-0000-000061490000}"/>
    <cellStyle name="40% - Accent5 3 2 2 7 2" xfId="42296" xr:uid="{64EB6177-327E-49CA-88A8-CA0E9C39BB5B}"/>
    <cellStyle name="40% - Accent5 3 2 2 8" xfId="26416" xr:uid="{458E6D4B-0551-4F96-9490-32EB83A75F2B}"/>
    <cellStyle name="40% - Accent5 3 2 2_Exh G" xfId="3235" xr:uid="{00000000-0005-0000-0000-000062490000}"/>
    <cellStyle name="40% - Accent5 3 2 3" xfId="986" xr:uid="{00000000-0005-0000-0000-000063490000}"/>
    <cellStyle name="40% - Accent5 3 2 3 2" xfId="1902" xr:uid="{00000000-0005-0000-0000-000064490000}"/>
    <cellStyle name="40% - Accent5 3 2 3 2 2" xfId="5420" xr:uid="{00000000-0005-0000-0000-000065490000}"/>
    <cellStyle name="40% - Accent5 3 2 3 2 2 2" xfId="9011" xr:uid="{00000000-0005-0000-0000-000066490000}"/>
    <cellStyle name="40% - Accent5 3 2 3 2 2 2 2" xfId="16982" xr:uid="{00000000-0005-0000-0000-000067490000}"/>
    <cellStyle name="40% - Accent5 3 2 3 2 2 2 2 2" xfId="40825" xr:uid="{6F2C3FC6-F486-4099-A103-C1F2F0989C80}"/>
    <cellStyle name="40% - Accent5 3 2 3 2 2 2 3" xfId="24928" xr:uid="{00000000-0005-0000-0000-000068490000}"/>
    <cellStyle name="40% - Accent5 3 2 3 2 2 2 3 2" xfId="48761" xr:uid="{8DCB7160-22F4-42CB-B451-7FC2DACFF42A}"/>
    <cellStyle name="40% - Accent5 3 2 3 2 2 2 4" xfId="32884" xr:uid="{391AE58E-9066-4F99-B1AF-5FB103544C8F}"/>
    <cellStyle name="40% - Accent5 3 2 3 2 2 3" xfId="13444" xr:uid="{00000000-0005-0000-0000-000069490000}"/>
    <cellStyle name="40% - Accent5 3 2 3 2 2 3 2" xfId="37294" xr:uid="{E5F5EC6B-02F9-42FF-ACA1-A53FC0EB09B0}"/>
    <cellStyle name="40% - Accent5 3 2 3 2 2 4" xfId="21399" xr:uid="{00000000-0005-0000-0000-00006A490000}"/>
    <cellStyle name="40% - Accent5 3 2 3 2 2 4 2" xfId="45232" xr:uid="{C5F7456C-91C3-4A38-89C5-8674456D0267}"/>
    <cellStyle name="40% - Accent5 3 2 3 2 2 5" xfId="29353" xr:uid="{FC1C0427-76F3-41D0-AE13-2AEF306BED3E}"/>
    <cellStyle name="40% - Accent5 3 2 3 2 3" xfId="7252" xr:uid="{00000000-0005-0000-0000-00006B490000}"/>
    <cellStyle name="40% - Accent5 3 2 3 2 3 2" xfId="15224" xr:uid="{00000000-0005-0000-0000-00006C490000}"/>
    <cellStyle name="40% - Accent5 3 2 3 2 3 2 2" xfId="39067" xr:uid="{1CC03A9D-FAE9-4621-ADDE-93D4B630EFC7}"/>
    <cellStyle name="40% - Accent5 3 2 3 2 3 3" xfId="23171" xr:uid="{00000000-0005-0000-0000-00006D490000}"/>
    <cellStyle name="40% - Accent5 3 2 3 2 3 3 2" xfId="47004" xr:uid="{6122694C-2DA5-4EF2-BAB0-528BA02069E3}"/>
    <cellStyle name="40% - Accent5 3 2 3 2 3 4" xfId="31126" xr:uid="{249EA4DB-C6FD-4233-A809-47CF696142FF}"/>
    <cellStyle name="40% - Accent5 3 2 3 2 4" xfId="11688" xr:uid="{00000000-0005-0000-0000-00006E490000}"/>
    <cellStyle name="40% - Accent5 3 2 3 2 4 2" xfId="35538" xr:uid="{F1DD6703-D732-4F68-8EBE-3CAAC958D6A6}"/>
    <cellStyle name="40% - Accent5 3 2 3 2 5" xfId="19643" xr:uid="{00000000-0005-0000-0000-00006F490000}"/>
    <cellStyle name="40% - Accent5 3 2 3 2 5 2" xfId="43476" xr:uid="{C63DED28-E64E-4348-87EF-EC06797F20A1}"/>
    <cellStyle name="40% - Accent5 3 2 3 2 6" xfId="27596" xr:uid="{CA509A94-197F-4B07-8AA5-C06A2669F559}"/>
    <cellStyle name="40% - Accent5 3 2 3 2_Exh G" xfId="3238" xr:uid="{00000000-0005-0000-0000-000070490000}"/>
    <cellStyle name="40% - Accent5 3 2 3 3" xfId="4541" xr:uid="{00000000-0005-0000-0000-000071490000}"/>
    <cellStyle name="40% - Accent5 3 2 3 3 2" xfId="8133" xr:uid="{00000000-0005-0000-0000-000072490000}"/>
    <cellStyle name="40% - Accent5 3 2 3 3 2 2" xfId="16104" xr:uid="{00000000-0005-0000-0000-000073490000}"/>
    <cellStyle name="40% - Accent5 3 2 3 3 2 2 2" xfId="39947" xr:uid="{B6B173F1-DE53-4DD2-A33D-9EA1E72474D4}"/>
    <cellStyle name="40% - Accent5 3 2 3 3 2 3" xfId="24050" xr:uid="{00000000-0005-0000-0000-000074490000}"/>
    <cellStyle name="40% - Accent5 3 2 3 3 2 3 2" xfId="47883" xr:uid="{B2B0132F-56CB-4399-B26A-9C77ED913B00}"/>
    <cellStyle name="40% - Accent5 3 2 3 3 2 4" xfId="32006" xr:uid="{D42CA7D7-7A9D-495B-9D21-06219B6A406B}"/>
    <cellStyle name="40% - Accent5 3 2 3 3 3" xfId="12566" xr:uid="{00000000-0005-0000-0000-000075490000}"/>
    <cellStyle name="40% - Accent5 3 2 3 3 3 2" xfId="36416" xr:uid="{E6E523DD-6084-4B33-B57E-10E3D0D10946}"/>
    <cellStyle name="40% - Accent5 3 2 3 3 4" xfId="20521" xr:uid="{00000000-0005-0000-0000-000076490000}"/>
    <cellStyle name="40% - Accent5 3 2 3 3 4 2" xfId="44354" xr:uid="{8A3E5ACC-9A0D-421F-96ED-73395ABB79A5}"/>
    <cellStyle name="40% - Accent5 3 2 3 3 5" xfId="28475" xr:uid="{3DAA20F7-7BFC-4A7F-B8A4-1A367EB1F616}"/>
    <cellStyle name="40% - Accent5 3 2 3 4" xfId="6371" xr:uid="{00000000-0005-0000-0000-000077490000}"/>
    <cellStyle name="40% - Accent5 3 2 3 4 2" xfId="14346" xr:uid="{00000000-0005-0000-0000-000078490000}"/>
    <cellStyle name="40% - Accent5 3 2 3 4 2 2" xfId="38189" xr:uid="{70CD3A87-3C7A-417A-8B80-A54C0771B03F}"/>
    <cellStyle name="40% - Accent5 3 2 3 4 3" xfId="22293" xr:uid="{00000000-0005-0000-0000-000079490000}"/>
    <cellStyle name="40% - Accent5 3 2 3 4 3 2" xfId="46126" xr:uid="{A9570CBB-D17D-4CDB-AEA4-25B9468B4AE9}"/>
    <cellStyle name="40% - Accent5 3 2 3 4 4" xfId="30248" xr:uid="{7DD94B46-E756-4E8D-B08D-C3DEAD6CAA54}"/>
    <cellStyle name="40% - Accent5 3 2 3 5" xfId="9914" xr:uid="{00000000-0005-0000-0000-00007A490000}"/>
    <cellStyle name="40% - Accent5 3 2 3 5 2" xfId="17872" xr:uid="{00000000-0005-0000-0000-00007B490000}"/>
    <cellStyle name="40% - Accent5 3 2 3 5 2 2" xfId="41713" xr:uid="{F3DE5ABF-1FE1-4493-873B-7CB74387491D}"/>
    <cellStyle name="40% - Accent5 3 2 3 5 3" xfId="25816" xr:uid="{00000000-0005-0000-0000-00007C490000}"/>
    <cellStyle name="40% - Accent5 3 2 3 5 3 2" xfId="49649" xr:uid="{06E5BDA0-0457-4AC4-A782-EC52D4B81F78}"/>
    <cellStyle name="40% - Accent5 3 2 3 5 4" xfId="33772" xr:uid="{DCFCC2FB-5F8B-40CE-86E8-33562EC741E2}"/>
    <cellStyle name="40% - Accent5 3 2 3 6" xfId="10810" xr:uid="{00000000-0005-0000-0000-00007D490000}"/>
    <cellStyle name="40% - Accent5 3 2 3 6 2" xfId="34660" xr:uid="{CDCFB336-45C1-46BE-84E3-8A6B0B437463}"/>
    <cellStyle name="40% - Accent5 3 2 3 7" xfId="18765" xr:uid="{00000000-0005-0000-0000-00007E490000}"/>
    <cellStyle name="40% - Accent5 3 2 3 7 2" xfId="42598" xr:uid="{E025382D-533B-4240-A58A-1185DAF3683B}"/>
    <cellStyle name="40% - Accent5 3 2 3 8" xfId="26718" xr:uid="{2DE5B835-2EAA-49CE-8B3D-A00BCCB174FB}"/>
    <cellStyle name="40% - Accent5 3 2 3_Exh G" xfId="3237" xr:uid="{00000000-0005-0000-0000-00007F490000}"/>
    <cellStyle name="40% - Accent5 3 2 4" xfId="1587" xr:uid="{00000000-0005-0000-0000-000080490000}"/>
    <cellStyle name="40% - Accent5 3 2 4 2" xfId="5117" xr:uid="{00000000-0005-0000-0000-000081490000}"/>
    <cellStyle name="40% - Accent5 3 2 4 2 2" xfId="8708" xr:uid="{00000000-0005-0000-0000-000082490000}"/>
    <cellStyle name="40% - Accent5 3 2 4 2 2 2" xfId="16679" xr:uid="{00000000-0005-0000-0000-000083490000}"/>
    <cellStyle name="40% - Accent5 3 2 4 2 2 2 2" xfId="40522" xr:uid="{DAF6A0D6-E371-4304-B765-5E1CE8ACA80B}"/>
    <cellStyle name="40% - Accent5 3 2 4 2 2 3" xfId="24625" xr:uid="{00000000-0005-0000-0000-000084490000}"/>
    <cellStyle name="40% - Accent5 3 2 4 2 2 3 2" xfId="48458" xr:uid="{6CE173FF-72D5-4B50-B998-C1CD39200893}"/>
    <cellStyle name="40% - Accent5 3 2 4 2 2 4" xfId="32581" xr:uid="{C7AC4A7F-EA76-4846-A83E-D526829B4CA8}"/>
    <cellStyle name="40% - Accent5 3 2 4 2 3" xfId="13141" xr:uid="{00000000-0005-0000-0000-000085490000}"/>
    <cellStyle name="40% - Accent5 3 2 4 2 3 2" xfId="36991" xr:uid="{20F3247B-2BDC-49ED-B306-0E2A687A043B}"/>
    <cellStyle name="40% - Accent5 3 2 4 2 4" xfId="21096" xr:uid="{00000000-0005-0000-0000-000086490000}"/>
    <cellStyle name="40% - Accent5 3 2 4 2 4 2" xfId="44929" xr:uid="{97FA55FE-21AF-496F-A074-1F658D0BE4C0}"/>
    <cellStyle name="40% - Accent5 3 2 4 2 5" xfId="29050" xr:uid="{7FF763B0-785D-4A2B-A699-EA754D2F1EBB}"/>
    <cellStyle name="40% - Accent5 3 2 4 3" xfId="6949" xr:uid="{00000000-0005-0000-0000-000087490000}"/>
    <cellStyle name="40% - Accent5 3 2 4 3 2" xfId="14921" xr:uid="{00000000-0005-0000-0000-000088490000}"/>
    <cellStyle name="40% - Accent5 3 2 4 3 2 2" xfId="38764" xr:uid="{96F8D3E5-0BBC-4E6E-A04A-CF91525B6B57}"/>
    <cellStyle name="40% - Accent5 3 2 4 3 3" xfId="22868" xr:uid="{00000000-0005-0000-0000-000089490000}"/>
    <cellStyle name="40% - Accent5 3 2 4 3 3 2" xfId="46701" xr:uid="{D5907A2B-013D-492E-AFC7-6A5CF9C0729A}"/>
    <cellStyle name="40% - Accent5 3 2 4 3 4" xfId="30823" xr:uid="{3ADDE03B-1A24-4D6D-8E2C-B57EDA014206}"/>
    <cellStyle name="40% - Accent5 3 2 4 4" xfId="11385" xr:uid="{00000000-0005-0000-0000-00008A490000}"/>
    <cellStyle name="40% - Accent5 3 2 4 4 2" xfId="35235" xr:uid="{CB3A45B8-9D1E-432A-9DE4-84AA48D0F32D}"/>
    <cellStyle name="40% - Accent5 3 2 4 5" xfId="19340" xr:uid="{00000000-0005-0000-0000-00008B490000}"/>
    <cellStyle name="40% - Accent5 3 2 4 5 2" xfId="43173" xr:uid="{103F34D3-A59D-41EF-826E-26A3CF041844}"/>
    <cellStyle name="40% - Accent5 3 2 4 6" xfId="27293" xr:uid="{63F79390-1F7C-496D-89A2-D44DFBC4810F}"/>
    <cellStyle name="40% - Accent5 3 2 4_Exh G" xfId="3239" xr:uid="{00000000-0005-0000-0000-00008C490000}"/>
    <cellStyle name="40% - Accent5 3 2 5" xfId="4238" xr:uid="{00000000-0005-0000-0000-00008D490000}"/>
    <cellStyle name="40% - Accent5 3 2 5 2" xfId="7830" xr:uid="{00000000-0005-0000-0000-00008E490000}"/>
    <cellStyle name="40% - Accent5 3 2 5 2 2" xfId="15801" xr:uid="{00000000-0005-0000-0000-00008F490000}"/>
    <cellStyle name="40% - Accent5 3 2 5 2 2 2" xfId="39644" xr:uid="{98F9EC58-4A1F-475C-A793-6520928D6E02}"/>
    <cellStyle name="40% - Accent5 3 2 5 2 3" xfId="23747" xr:uid="{00000000-0005-0000-0000-000090490000}"/>
    <cellStyle name="40% - Accent5 3 2 5 2 3 2" xfId="47580" xr:uid="{2A4EA217-6372-41A4-AB21-72FC720BC4B7}"/>
    <cellStyle name="40% - Accent5 3 2 5 2 4" xfId="31703" xr:uid="{8792AB7D-CA52-48FB-B049-142846917C52}"/>
    <cellStyle name="40% - Accent5 3 2 5 3" xfId="12263" xr:uid="{00000000-0005-0000-0000-000091490000}"/>
    <cellStyle name="40% - Accent5 3 2 5 3 2" xfId="36113" xr:uid="{B380F912-3A1E-4935-B608-AA940ADB59C4}"/>
    <cellStyle name="40% - Accent5 3 2 5 4" xfId="20218" xr:uid="{00000000-0005-0000-0000-000092490000}"/>
    <cellStyle name="40% - Accent5 3 2 5 4 2" xfId="44051" xr:uid="{B5C01967-A912-4772-B724-8299C9343F63}"/>
    <cellStyle name="40% - Accent5 3 2 5 5" xfId="28172" xr:uid="{77A9A251-C58D-4EBD-B02B-B849026AD7BF}"/>
    <cellStyle name="40% - Accent5 3 2 6" xfId="6058" xr:uid="{00000000-0005-0000-0000-000093490000}"/>
    <cellStyle name="40% - Accent5 3 2 6 2" xfId="14042" xr:uid="{00000000-0005-0000-0000-000094490000}"/>
    <cellStyle name="40% - Accent5 3 2 6 2 2" xfId="37886" xr:uid="{7DA0EFAB-0866-4269-87B2-F39A1BB4427D}"/>
    <cellStyle name="40% - Accent5 3 2 6 3" xfId="21990" xr:uid="{00000000-0005-0000-0000-000095490000}"/>
    <cellStyle name="40% - Accent5 3 2 6 3 2" xfId="45823" xr:uid="{0E4252A9-9823-4B8F-B76F-585B024F99FC}"/>
    <cellStyle name="40% - Accent5 3 2 6 4" xfId="29945" xr:uid="{1B6ED3B5-C8BD-4463-99DA-A27DBD85E24A}"/>
    <cellStyle name="40% - Accent5 3 2 7" xfId="9611" xr:uid="{00000000-0005-0000-0000-000096490000}"/>
    <cellStyle name="40% - Accent5 3 2 7 2" xfId="17569" xr:uid="{00000000-0005-0000-0000-000097490000}"/>
    <cellStyle name="40% - Accent5 3 2 7 2 2" xfId="41410" xr:uid="{AC1DA844-913E-4A9D-8235-8F647C4B3F69}"/>
    <cellStyle name="40% - Accent5 3 2 7 3" xfId="25513" xr:uid="{00000000-0005-0000-0000-000098490000}"/>
    <cellStyle name="40% - Accent5 3 2 7 3 2" xfId="49346" xr:uid="{5BBC48D7-7AB7-4C10-8372-28F2DDC33BC4}"/>
    <cellStyle name="40% - Accent5 3 2 7 4" xfId="33469" xr:uid="{268D7275-C659-4A6D-9DB6-01D625EF4228}"/>
    <cellStyle name="40% - Accent5 3 2 8" xfId="10507" xr:uid="{00000000-0005-0000-0000-000099490000}"/>
    <cellStyle name="40% - Accent5 3 2 8 2" xfId="34357" xr:uid="{CA871E3E-8ACF-446C-AF38-EA10F867DF8F}"/>
    <cellStyle name="40% - Accent5 3 2 9" xfId="18462" xr:uid="{00000000-0005-0000-0000-00009A490000}"/>
    <cellStyle name="40% - Accent5 3 2 9 2" xfId="42295" xr:uid="{09D1FAC3-394B-4BA6-AED4-D9A6E1D30CAA}"/>
    <cellStyle name="40% - Accent5 3 2_Exh G" xfId="3234" xr:uid="{00000000-0005-0000-0000-00009B490000}"/>
    <cellStyle name="40% - Accent5 3 3" xfId="561" xr:uid="{00000000-0005-0000-0000-00009C490000}"/>
    <cellStyle name="40% - Accent5 3 3 2" xfId="1589" xr:uid="{00000000-0005-0000-0000-00009D490000}"/>
    <cellStyle name="40% - Accent5 3 3 2 2" xfId="5119" xr:uid="{00000000-0005-0000-0000-00009E490000}"/>
    <cellStyle name="40% - Accent5 3 3 2 2 2" xfId="8710" xr:uid="{00000000-0005-0000-0000-00009F490000}"/>
    <cellStyle name="40% - Accent5 3 3 2 2 2 2" xfId="16681" xr:uid="{00000000-0005-0000-0000-0000A0490000}"/>
    <cellStyle name="40% - Accent5 3 3 2 2 2 2 2" xfId="40524" xr:uid="{87BAA6E8-6679-4757-925B-4A3D67A8618B}"/>
    <cellStyle name="40% - Accent5 3 3 2 2 2 3" xfId="24627" xr:uid="{00000000-0005-0000-0000-0000A1490000}"/>
    <cellStyle name="40% - Accent5 3 3 2 2 2 3 2" xfId="48460" xr:uid="{B53EAC3A-AD55-431D-B390-AA86EB774DC5}"/>
    <cellStyle name="40% - Accent5 3 3 2 2 2 4" xfId="32583" xr:uid="{B8D9DF22-233D-4DFF-B3A8-80F4E9754FBA}"/>
    <cellStyle name="40% - Accent5 3 3 2 2 3" xfId="13143" xr:uid="{00000000-0005-0000-0000-0000A2490000}"/>
    <cellStyle name="40% - Accent5 3 3 2 2 3 2" xfId="36993" xr:uid="{1A22F087-8BDC-47D2-BEA2-7AC885B582E7}"/>
    <cellStyle name="40% - Accent5 3 3 2 2 4" xfId="21098" xr:uid="{00000000-0005-0000-0000-0000A3490000}"/>
    <cellStyle name="40% - Accent5 3 3 2 2 4 2" xfId="44931" xr:uid="{8FB297C6-B4A5-474C-9A93-2BEEEB244035}"/>
    <cellStyle name="40% - Accent5 3 3 2 2 5" xfId="29052" xr:uid="{0F65A5D5-4377-40D2-9604-0826E81D61BC}"/>
    <cellStyle name="40% - Accent5 3 3 2 3" xfId="6951" xr:uid="{00000000-0005-0000-0000-0000A4490000}"/>
    <cellStyle name="40% - Accent5 3 3 2 3 2" xfId="14923" xr:uid="{00000000-0005-0000-0000-0000A5490000}"/>
    <cellStyle name="40% - Accent5 3 3 2 3 2 2" xfId="38766" xr:uid="{15ADC1FE-3DF4-4295-BC17-629A6C89D29B}"/>
    <cellStyle name="40% - Accent5 3 3 2 3 3" xfId="22870" xr:uid="{00000000-0005-0000-0000-0000A6490000}"/>
    <cellStyle name="40% - Accent5 3 3 2 3 3 2" xfId="46703" xr:uid="{0178221E-1ACD-48E2-B1AC-BEE95E09F79C}"/>
    <cellStyle name="40% - Accent5 3 3 2 3 4" xfId="30825" xr:uid="{0E432E74-5B14-42A9-82FF-4FEB8753B14C}"/>
    <cellStyle name="40% - Accent5 3 3 2 4" xfId="11387" xr:uid="{00000000-0005-0000-0000-0000A7490000}"/>
    <cellStyle name="40% - Accent5 3 3 2 4 2" xfId="35237" xr:uid="{E52A8E54-6892-420A-8935-10B4CA62A53F}"/>
    <cellStyle name="40% - Accent5 3 3 2 5" xfId="19342" xr:uid="{00000000-0005-0000-0000-0000A8490000}"/>
    <cellStyle name="40% - Accent5 3 3 2 5 2" xfId="43175" xr:uid="{05AEBC07-09A6-4428-AC26-8A6D94D7E33B}"/>
    <cellStyle name="40% - Accent5 3 3 2 6" xfId="27295" xr:uid="{2E3F9A87-95DA-4333-BC74-F2E30B86489D}"/>
    <cellStyle name="40% - Accent5 3 3 2_Exh G" xfId="3241" xr:uid="{00000000-0005-0000-0000-0000A9490000}"/>
    <cellStyle name="40% - Accent5 3 3 3" xfId="4240" xr:uid="{00000000-0005-0000-0000-0000AA490000}"/>
    <cellStyle name="40% - Accent5 3 3 3 2" xfId="7832" xr:uid="{00000000-0005-0000-0000-0000AB490000}"/>
    <cellStyle name="40% - Accent5 3 3 3 2 2" xfId="15803" xr:uid="{00000000-0005-0000-0000-0000AC490000}"/>
    <cellStyle name="40% - Accent5 3 3 3 2 2 2" xfId="39646" xr:uid="{89DA8947-082C-4D01-8A7E-2DB8CB5A85EE}"/>
    <cellStyle name="40% - Accent5 3 3 3 2 3" xfId="23749" xr:uid="{00000000-0005-0000-0000-0000AD490000}"/>
    <cellStyle name="40% - Accent5 3 3 3 2 3 2" xfId="47582" xr:uid="{DEFD0CBA-8BFA-4F79-92D3-D2B59F543009}"/>
    <cellStyle name="40% - Accent5 3 3 3 2 4" xfId="31705" xr:uid="{969205F7-D5E1-4ACE-980E-002CCADC8EE6}"/>
    <cellStyle name="40% - Accent5 3 3 3 3" xfId="12265" xr:uid="{00000000-0005-0000-0000-0000AE490000}"/>
    <cellStyle name="40% - Accent5 3 3 3 3 2" xfId="36115" xr:uid="{97D6EE6A-DC37-4B5F-843B-286CFBFB0F7F}"/>
    <cellStyle name="40% - Accent5 3 3 3 4" xfId="20220" xr:uid="{00000000-0005-0000-0000-0000AF490000}"/>
    <cellStyle name="40% - Accent5 3 3 3 4 2" xfId="44053" xr:uid="{63429705-017C-438F-BE3C-CE41DFEBCDB3}"/>
    <cellStyle name="40% - Accent5 3 3 3 5" xfId="28174" xr:uid="{FE2304B9-B5DD-4AE0-A475-3D15AB248585}"/>
    <cellStyle name="40% - Accent5 3 3 4" xfId="6060" xr:uid="{00000000-0005-0000-0000-0000B0490000}"/>
    <cellStyle name="40% - Accent5 3 3 4 2" xfId="14044" xr:uid="{00000000-0005-0000-0000-0000B1490000}"/>
    <cellStyle name="40% - Accent5 3 3 4 2 2" xfId="37888" xr:uid="{4A30A813-F1EF-4D96-A995-CDF1628687D1}"/>
    <cellStyle name="40% - Accent5 3 3 4 3" xfId="21992" xr:uid="{00000000-0005-0000-0000-0000B2490000}"/>
    <cellStyle name="40% - Accent5 3 3 4 3 2" xfId="45825" xr:uid="{18F2E630-3049-43F5-B4D9-228BCB500837}"/>
    <cellStyle name="40% - Accent5 3 3 4 4" xfId="29947" xr:uid="{D3C5786B-40B8-4AF9-BFC5-4C662EE9C659}"/>
    <cellStyle name="40% - Accent5 3 3 5" xfId="9613" xr:uid="{00000000-0005-0000-0000-0000B3490000}"/>
    <cellStyle name="40% - Accent5 3 3 5 2" xfId="17571" xr:uid="{00000000-0005-0000-0000-0000B4490000}"/>
    <cellStyle name="40% - Accent5 3 3 5 2 2" xfId="41412" xr:uid="{F1B02CED-26E0-498D-94F4-B98A737E5467}"/>
    <cellStyle name="40% - Accent5 3 3 5 3" xfId="25515" xr:uid="{00000000-0005-0000-0000-0000B5490000}"/>
    <cellStyle name="40% - Accent5 3 3 5 3 2" xfId="49348" xr:uid="{8085D5B1-109A-4BD3-8D18-C95F0ED33740}"/>
    <cellStyle name="40% - Accent5 3 3 5 4" xfId="33471" xr:uid="{1F277F19-148A-4E6E-A38B-6B76D5F23D31}"/>
    <cellStyle name="40% - Accent5 3 3 6" xfId="10509" xr:uid="{00000000-0005-0000-0000-0000B6490000}"/>
    <cellStyle name="40% - Accent5 3 3 6 2" xfId="34359" xr:uid="{B575BEC0-FD75-48FD-B77E-B60FC68598ED}"/>
    <cellStyle name="40% - Accent5 3 3 7" xfId="18464" xr:uid="{00000000-0005-0000-0000-0000B7490000}"/>
    <cellStyle name="40% - Accent5 3 3 7 2" xfId="42297" xr:uid="{FAE7FE11-05CA-43CA-BA5F-8D81290ECD63}"/>
    <cellStyle name="40% - Accent5 3 3 8" xfId="26417" xr:uid="{162FB753-12F5-4198-BD1F-C3E10B744E4C}"/>
    <cellStyle name="40% - Accent5 3 3_Exh G" xfId="3240" xr:uid="{00000000-0005-0000-0000-0000B8490000}"/>
    <cellStyle name="40% - Accent5 3 4" xfId="985" xr:uid="{00000000-0005-0000-0000-0000B9490000}"/>
    <cellStyle name="40% - Accent5 3 4 2" xfId="1901" xr:uid="{00000000-0005-0000-0000-0000BA490000}"/>
    <cellStyle name="40% - Accent5 3 4 2 2" xfId="5419" xr:uid="{00000000-0005-0000-0000-0000BB490000}"/>
    <cellStyle name="40% - Accent5 3 4 2 2 2" xfId="9010" xr:uid="{00000000-0005-0000-0000-0000BC490000}"/>
    <cellStyle name="40% - Accent5 3 4 2 2 2 2" xfId="16981" xr:uid="{00000000-0005-0000-0000-0000BD490000}"/>
    <cellStyle name="40% - Accent5 3 4 2 2 2 2 2" xfId="40824" xr:uid="{E74D49FE-1F9A-4DC2-9924-56D7B7486223}"/>
    <cellStyle name="40% - Accent5 3 4 2 2 2 3" xfId="24927" xr:uid="{00000000-0005-0000-0000-0000BE490000}"/>
    <cellStyle name="40% - Accent5 3 4 2 2 2 3 2" xfId="48760" xr:uid="{50D6694C-0B61-4239-8B56-A1C09DB273AD}"/>
    <cellStyle name="40% - Accent5 3 4 2 2 2 4" xfId="32883" xr:uid="{2A6DD492-BBFF-4EA7-B82F-F46AEA6B15A0}"/>
    <cellStyle name="40% - Accent5 3 4 2 2 3" xfId="13443" xr:uid="{00000000-0005-0000-0000-0000BF490000}"/>
    <cellStyle name="40% - Accent5 3 4 2 2 3 2" xfId="37293" xr:uid="{06EC4659-E0F0-4701-A356-4AA43A8D2848}"/>
    <cellStyle name="40% - Accent5 3 4 2 2 4" xfId="21398" xr:uid="{00000000-0005-0000-0000-0000C0490000}"/>
    <cellStyle name="40% - Accent5 3 4 2 2 4 2" xfId="45231" xr:uid="{58EF2731-33CE-41DF-B6C3-9BFA021B6286}"/>
    <cellStyle name="40% - Accent5 3 4 2 2 5" xfId="29352" xr:uid="{45B9331A-4558-48D6-8233-F0CD4659277A}"/>
    <cellStyle name="40% - Accent5 3 4 2 3" xfId="7251" xr:uid="{00000000-0005-0000-0000-0000C1490000}"/>
    <cellStyle name="40% - Accent5 3 4 2 3 2" xfId="15223" xr:uid="{00000000-0005-0000-0000-0000C2490000}"/>
    <cellStyle name="40% - Accent5 3 4 2 3 2 2" xfId="39066" xr:uid="{7CD40569-4E40-4058-83FB-D2294B66FA1A}"/>
    <cellStyle name="40% - Accent5 3 4 2 3 3" xfId="23170" xr:uid="{00000000-0005-0000-0000-0000C3490000}"/>
    <cellStyle name="40% - Accent5 3 4 2 3 3 2" xfId="47003" xr:uid="{D4D95F08-6B15-4AC3-AA70-E73EB22C8189}"/>
    <cellStyle name="40% - Accent5 3 4 2 3 4" xfId="31125" xr:uid="{33C74EB6-7DA8-4E0D-A886-42E95FECF38F}"/>
    <cellStyle name="40% - Accent5 3 4 2 4" xfId="11687" xr:uid="{00000000-0005-0000-0000-0000C4490000}"/>
    <cellStyle name="40% - Accent5 3 4 2 4 2" xfId="35537" xr:uid="{C8DA3702-4ACC-47A7-A484-2861E814E2AD}"/>
    <cellStyle name="40% - Accent5 3 4 2 5" xfId="19642" xr:uid="{00000000-0005-0000-0000-0000C5490000}"/>
    <cellStyle name="40% - Accent5 3 4 2 5 2" xfId="43475" xr:uid="{3BACBF3E-0160-4BCA-BAF5-E504EB8A5CC0}"/>
    <cellStyle name="40% - Accent5 3 4 2 6" xfId="27595" xr:uid="{EAD0D9B5-49AE-42EC-B5AD-30DA4178F6BB}"/>
    <cellStyle name="40% - Accent5 3 4 2_Exh G" xfId="3243" xr:uid="{00000000-0005-0000-0000-0000C6490000}"/>
    <cellStyle name="40% - Accent5 3 4 3" xfId="4540" xr:uid="{00000000-0005-0000-0000-0000C7490000}"/>
    <cellStyle name="40% - Accent5 3 4 3 2" xfId="8132" xr:uid="{00000000-0005-0000-0000-0000C8490000}"/>
    <cellStyle name="40% - Accent5 3 4 3 2 2" xfId="16103" xr:uid="{00000000-0005-0000-0000-0000C9490000}"/>
    <cellStyle name="40% - Accent5 3 4 3 2 2 2" xfId="39946" xr:uid="{DF910293-650A-4CEC-96AB-8685A4C5B001}"/>
    <cellStyle name="40% - Accent5 3 4 3 2 3" xfId="24049" xr:uid="{00000000-0005-0000-0000-0000CA490000}"/>
    <cellStyle name="40% - Accent5 3 4 3 2 3 2" xfId="47882" xr:uid="{430CF692-69FD-4163-9046-A0EA4D35FE6D}"/>
    <cellStyle name="40% - Accent5 3 4 3 2 4" xfId="32005" xr:uid="{24AB9931-BDB2-4596-AB04-96D104FC237B}"/>
    <cellStyle name="40% - Accent5 3 4 3 3" xfId="12565" xr:uid="{00000000-0005-0000-0000-0000CB490000}"/>
    <cellStyle name="40% - Accent5 3 4 3 3 2" xfId="36415" xr:uid="{8E991655-1719-4441-87DE-FEC06F9FB967}"/>
    <cellStyle name="40% - Accent5 3 4 3 4" xfId="20520" xr:uid="{00000000-0005-0000-0000-0000CC490000}"/>
    <cellStyle name="40% - Accent5 3 4 3 4 2" xfId="44353" xr:uid="{AE8EAE32-2D7C-4C6A-9B53-B06BD13DECE9}"/>
    <cellStyle name="40% - Accent5 3 4 3 5" xfId="28474" xr:uid="{20395252-9CA8-448D-8DEF-F31F1AB39DDF}"/>
    <cellStyle name="40% - Accent5 3 4 4" xfId="6370" xr:uid="{00000000-0005-0000-0000-0000CD490000}"/>
    <cellStyle name="40% - Accent5 3 4 4 2" xfId="14345" xr:uid="{00000000-0005-0000-0000-0000CE490000}"/>
    <cellStyle name="40% - Accent5 3 4 4 2 2" xfId="38188" xr:uid="{91194E62-0512-4681-AB2B-BED16FCB5535}"/>
    <cellStyle name="40% - Accent5 3 4 4 3" xfId="22292" xr:uid="{00000000-0005-0000-0000-0000CF490000}"/>
    <cellStyle name="40% - Accent5 3 4 4 3 2" xfId="46125" xr:uid="{881799BE-AE0A-4B07-BC9F-A73B314196C6}"/>
    <cellStyle name="40% - Accent5 3 4 4 4" xfId="30247" xr:uid="{EDDD6B99-7D29-4F90-ACE1-D5C518827618}"/>
    <cellStyle name="40% - Accent5 3 4 5" xfId="9913" xr:uid="{00000000-0005-0000-0000-0000D0490000}"/>
    <cellStyle name="40% - Accent5 3 4 5 2" xfId="17871" xr:uid="{00000000-0005-0000-0000-0000D1490000}"/>
    <cellStyle name="40% - Accent5 3 4 5 2 2" xfId="41712" xr:uid="{9B77FF2A-00FE-4385-B887-942A4F27F5FB}"/>
    <cellStyle name="40% - Accent5 3 4 5 3" xfId="25815" xr:uid="{00000000-0005-0000-0000-0000D2490000}"/>
    <cellStyle name="40% - Accent5 3 4 5 3 2" xfId="49648" xr:uid="{56136453-211C-4121-9520-6B1DB4938649}"/>
    <cellStyle name="40% - Accent5 3 4 5 4" xfId="33771" xr:uid="{615C3887-82CB-409B-8DD8-BA6D548F53D8}"/>
    <cellStyle name="40% - Accent5 3 4 6" xfId="10809" xr:uid="{00000000-0005-0000-0000-0000D3490000}"/>
    <cellStyle name="40% - Accent5 3 4 6 2" xfId="34659" xr:uid="{29484F6F-1723-45C0-AF0D-B2A8FDAD7BA7}"/>
    <cellStyle name="40% - Accent5 3 4 7" xfId="18764" xr:uid="{00000000-0005-0000-0000-0000D4490000}"/>
    <cellStyle name="40% - Accent5 3 4 7 2" xfId="42597" xr:uid="{317F2007-6539-4711-9F8D-49140294C532}"/>
    <cellStyle name="40% - Accent5 3 4 8" xfId="26717" xr:uid="{3CD2A999-3753-4EF0-9BAE-D284F09220E2}"/>
    <cellStyle name="40% - Accent5 3 4_Exh G" xfId="3242" xr:uid="{00000000-0005-0000-0000-0000D5490000}"/>
    <cellStyle name="40% - Accent5 3 5" xfId="1586" xr:uid="{00000000-0005-0000-0000-0000D6490000}"/>
    <cellStyle name="40% - Accent5 3 5 2" xfId="5116" xr:uid="{00000000-0005-0000-0000-0000D7490000}"/>
    <cellStyle name="40% - Accent5 3 5 2 2" xfId="8707" xr:uid="{00000000-0005-0000-0000-0000D8490000}"/>
    <cellStyle name="40% - Accent5 3 5 2 2 2" xfId="16678" xr:uid="{00000000-0005-0000-0000-0000D9490000}"/>
    <cellStyle name="40% - Accent5 3 5 2 2 2 2" xfId="40521" xr:uid="{FC409473-900F-4AED-BABB-5135A910109B}"/>
    <cellStyle name="40% - Accent5 3 5 2 2 3" xfId="24624" xr:uid="{00000000-0005-0000-0000-0000DA490000}"/>
    <cellStyle name="40% - Accent5 3 5 2 2 3 2" xfId="48457" xr:uid="{CDBD5878-2EA5-4964-BD4F-9FAB1087BB71}"/>
    <cellStyle name="40% - Accent5 3 5 2 2 4" xfId="32580" xr:uid="{703F0E77-F416-464D-9E4B-BB05D8329D80}"/>
    <cellStyle name="40% - Accent5 3 5 2 3" xfId="13140" xr:uid="{00000000-0005-0000-0000-0000DB490000}"/>
    <cellStyle name="40% - Accent5 3 5 2 3 2" xfId="36990" xr:uid="{7C51C6AD-0D28-4029-895D-1AEEEF065BE6}"/>
    <cellStyle name="40% - Accent5 3 5 2 4" xfId="21095" xr:uid="{00000000-0005-0000-0000-0000DC490000}"/>
    <cellStyle name="40% - Accent5 3 5 2 4 2" xfId="44928" xr:uid="{CDE13723-9AF7-4ED0-8172-F9BD274D32DB}"/>
    <cellStyle name="40% - Accent5 3 5 2 5" xfId="29049" xr:uid="{756ED1A9-FB0E-4748-BB50-E3EC7867299F}"/>
    <cellStyle name="40% - Accent5 3 5 3" xfId="6948" xr:uid="{00000000-0005-0000-0000-0000DD490000}"/>
    <cellStyle name="40% - Accent5 3 5 3 2" xfId="14920" xr:uid="{00000000-0005-0000-0000-0000DE490000}"/>
    <cellStyle name="40% - Accent5 3 5 3 2 2" xfId="38763" xr:uid="{BC0488AD-61D8-4884-B9EC-7BEFBD37AA09}"/>
    <cellStyle name="40% - Accent5 3 5 3 3" xfId="22867" xr:uid="{00000000-0005-0000-0000-0000DF490000}"/>
    <cellStyle name="40% - Accent5 3 5 3 3 2" xfId="46700" xr:uid="{F5E0E1F0-5565-4638-9C3D-D597289DA1A8}"/>
    <cellStyle name="40% - Accent5 3 5 3 4" xfId="30822" xr:uid="{7A1703B1-8D18-4E5C-BF74-9B8AA0A1EEE3}"/>
    <cellStyle name="40% - Accent5 3 5 4" xfId="11384" xr:uid="{00000000-0005-0000-0000-0000E0490000}"/>
    <cellStyle name="40% - Accent5 3 5 4 2" xfId="35234" xr:uid="{2C7414E1-74A3-4F47-AF6D-B0787DA27BC8}"/>
    <cellStyle name="40% - Accent5 3 5 5" xfId="19339" xr:uid="{00000000-0005-0000-0000-0000E1490000}"/>
    <cellStyle name="40% - Accent5 3 5 5 2" xfId="43172" xr:uid="{853888A8-EA20-48B5-AA80-4B255D3CB7BA}"/>
    <cellStyle name="40% - Accent5 3 5 6" xfId="27292" xr:uid="{D8E46739-FF40-4589-A618-751AB8B07F49}"/>
    <cellStyle name="40% - Accent5 3 5_Exh G" xfId="3244" xr:uid="{00000000-0005-0000-0000-0000E2490000}"/>
    <cellStyle name="40% - Accent5 3 6" xfId="4237" xr:uid="{00000000-0005-0000-0000-0000E3490000}"/>
    <cellStyle name="40% - Accent5 3 6 2" xfId="7829" xr:uid="{00000000-0005-0000-0000-0000E4490000}"/>
    <cellStyle name="40% - Accent5 3 6 2 2" xfId="15800" xr:uid="{00000000-0005-0000-0000-0000E5490000}"/>
    <cellStyle name="40% - Accent5 3 6 2 2 2" xfId="39643" xr:uid="{10CCAE57-B225-42FF-A867-871405923DD1}"/>
    <cellStyle name="40% - Accent5 3 6 2 3" xfId="23746" xr:uid="{00000000-0005-0000-0000-0000E6490000}"/>
    <cellStyle name="40% - Accent5 3 6 2 3 2" xfId="47579" xr:uid="{382A0D9D-4004-4C81-94CC-9F77F7347B16}"/>
    <cellStyle name="40% - Accent5 3 6 2 4" xfId="31702" xr:uid="{4B7FA2CB-F1F9-4044-801A-D7FF515CFD67}"/>
    <cellStyle name="40% - Accent5 3 6 3" xfId="12262" xr:uid="{00000000-0005-0000-0000-0000E7490000}"/>
    <cellStyle name="40% - Accent5 3 6 3 2" xfId="36112" xr:uid="{56FCB9A8-ABF7-41D1-B369-44336B3C5FFD}"/>
    <cellStyle name="40% - Accent5 3 6 4" xfId="20217" xr:uid="{00000000-0005-0000-0000-0000E8490000}"/>
    <cellStyle name="40% - Accent5 3 6 4 2" xfId="44050" xr:uid="{0CFB4C26-70FD-47E8-B6C7-6BF0079F3F50}"/>
    <cellStyle name="40% - Accent5 3 6 5" xfId="28171" xr:uid="{32F519A4-6F52-4C91-965B-B8E05C3E630B}"/>
    <cellStyle name="40% - Accent5 3 7" xfId="6057" xr:uid="{00000000-0005-0000-0000-0000E9490000}"/>
    <cellStyle name="40% - Accent5 3 7 2" xfId="14041" xr:uid="{00000000-0005-0000-0000-0000EA490000}"/>
    <cellStyle name="40% - Accent5 3 7 2 2" xfId="37885" xr:uid="{8F8B9858-E751-44E5-9C54-63B93B01F3EE}"/>
    <cellStyle name="40% - Accent5 3 7 3" xfId="21989" xr:uid="{00000000-0005-0000-0000-0000EB490000}"/>
    <cellStyle name="40% - Accent5 3 7 3 2" xfId="45822" xr:uid="{BF56F614-5164-472D-BF26-A35523C96DFC}"/>
    <cellStyle name="40% - Accent5 3 7 4" xfId="29944" xr:uid="{07974F91-8564-4FAB-8409-906C34F08A11}"/>
    <cellStyle name="40% - Accent5 3 8" xfId="9610" xr:uid="{00000000-0005-0000-0000-0000EC490000}"/>
    <cellStyle name="40% - Accent5 3 8 2" xfId="17568" xr:uid="{00000000-0005-0000-0000-0000ED490000}"/>
    <cellStyle name="40% - Accent5 3 8 2 2" xfId="41409" xr:uid="{22E6907B-87F6-4513-A2D0-2F941AC2AAF4}"/>
    <cellStyle name="40% - Accent5 3 8 3" xfId="25512" xr:uid="{00000000-0005-0000-0000-0000EE490000}"/>
    <cellStyle name="40% - Accent5 3 8 3 2" xfId="49345" xr:uid="{B9EEEC00-CE0A-43B6-B8B6-4CF5F4D87FA8}"/>
    <cellStyle name="40% - Accent5 3 8 4" xfId="33468" xr:uid="{EBBD570A-60FC-4E1B-8371-314B98D5AD93}"/>
    <cellStyle name="40% - Accent5 3 9" xfId="10506" xr:uid="{00000000-0005-0000-0000-0000EF490000}"/>
    <cellStyle name="40% - Accent5 3 9 2" xfId="34356" xr:uid="{F70FB123-4EE1-433F-AF1D-02A0965F0966}"/>
    <cellStyle name="40% - Accent5 3_Exh G" xfId="3233" xr:uid="{00000000-0005-0000-0000-0000F0490000}"/>
    <cellStyle name="40% - Accent5 4" xfId="562" xr:uid="{00000000-0005-0000-0000-0000F1490000}"/>
    <cellStyle name="40% - Accent5 4 10" xfId="18465" xr:uid="{00000000-0005-0000-0000-0000F2490000}"/>
    <cellStyle name="40% - Accent5 4 10 2" xfId="42298" xr:uid="{9A28B1E9-E68D-4B9C-921E-E26BAE7A09F4}"/>
    <cellStyle name="40% - Accent5 4 11" xfId="26418" xr:uid="{41857B9C-A009-4793-A68A-45E43A8319D3}"/>
    <cellStyle name="40% - Accent5 4 2" xfId="563" xr:uid="{00000000-0005-0000-0000-0000F3490000}"/>
    <cellStyle name="40% - Accent5 4 2 10" xfId="26419" xr:uid="{FB59D80B-23B4-4447-95BB-683617207197}"/>
    <cellStyle name="40% - Accent5 4 2 2" xfId="564" xr:uid="{00000000-0005-0000-0000-0000F4490000}"/>
    <cellStyle name="40% - Accent5 4 2 2 2" xfId="1592" xr:uid="{00000000-0005-0000-0000-0000F5490000}"/>
    <cellStyle name="40% - Accent5 4 2 2 2 2" xfId="5122" xr:uid="{00000000-0005-0000-0000-0000F6490000}"/>
    <cellStyle name="40% - Accent5 4 2 2 2 2 2" xfId="8713" xr:uid="{00000000-0005-0000-0000-0000F7490000}"/>
    <cellStyle name="40% - Accent5 4 2 2 2 2 2 2" xfId="16684" xr:uid="{00000000-0005-0000-0000-0000F8490000}"/>
    <cellStyle name="40% - Accent5 4 2 2 2 2 2 2 2" xfId="40527" xr:uid="{01BBF4B5-15B0-438A-9CED-3AD2A75E6341}"/>
    <cellStyle name="40% - Accent5 4 2 2 2 2 2 3" xfId="24630" xr:uid="{00000000-0005-0000-0000-0000F9490000}"/>
    <cellStyle name="40% - Accent5 4 2 2 2 2 2 3 2" xfId="48463" xr:uid="{AEF9FE3A-040D-4CF0-BC4B-669A5EF64A85}"/>
    <cellStyle name="40% - Accent5 4 2 2 2 2 2 4" xfId="32586" xr:uid="{61A3C182-D762-45CE-A52C-AEB95595593E}"/>
    <cellStyle name="40% - Accent5 4 2 2 2 2 3" xfId="13146" xr:uid="{00000000-0005-0000-0000-0000FA490000}"/>
    <cellStyle name="40% - Accent5 4 2 2 2 2 3 2" xfId="36996" xr:uid="{9C30699B-447C-4E28-85D5-FE2AF92F1BB5}"/>
    <cellStyle name="40% - Accent5 4 2 2 2 2 4" xfId="21101" xr:uid="{00000000-0005-0000-0000-0000FB490000}"/>
    <cellStyle name="40% - Accent5 4 2 2 2 2 4 2" xfId="44934" xr:uid="{924C03EC-CF8D-4F37-84CD-5812C86219FF}"/>
    <cellStyle name="40% - Accent5 4 2 2 2 2 5" xfId="29055" xr:uid="{3D8719FC-2A71-4F89-8C56-F738E91AA195}"/>
    <cellStyle name="40% - Accent5 4 2 2 2 3" xfId="6954" xr:uid="{00000000-0005-0000-0000-0000FC490000}"/>
    <cellStyle name="40% - Accent5 4 2 2 2 3 2" xfId="14926" xr:uid="{00000000-0005-0000-0000-0000FD490000}"/>
    <cellStyle name="40% - Accent5 4 2 2 2 3 2 2" xfId="38769" xr:uid="{9C05245B-FCB3-4CB9-B172-EAD3C031D336}"/>
    <cellStyle name="40% - Accent5 4 2 2 2 3 3" xfId="22873" xr:uid="{00000000-0005-0000-0000-0000FE490000}"/>
    <cellStyle name="40% - Accent5 4 2 2 2 3 3 2" xfId="46706" xr:uid="{0284021D-5723-423C-BA78-44166A15EFB5}"/>
    <cellStyle name="40% - Accent5 4 2 2 2 3 4" xfId="30828" xr:uid="{0228D913-19B8-4BFC-A803-C288D5A58555}"/>
    <cellStyle name="40% - Accent5 4 2 2 2 4" xfId="11390" xr:uid="{00000000-0005-0000-0000-0000FF490000}"/>
    <cellStyle name="40% - Accent5 4 2 2 2 4 2" xfId="35240" xr:uid="{5D4C26DC-88E4-483D-8F01-1006D02E7B86}"/>
    <cellStyle name="40% - Accent5 4 2 2 2 5" xfId="19345" xr:uid="{00000000-0005-0000-0000-0000004A0000}"/>
    <cellStyle name="40% - Accent5 4 2 2 2 5 2" xfId="43178" xr:uid="{C2680909-BDAD-4377-ABDE-30225A511734}"/>
    <cellStyle name="40% - Accent5 4 2 2 2 6" xfId="27298" xr:uid="{1BA79D39-6741-4901-AA82-2C2D7CDF8A2C}"/>
    <cellStyle name="40% - Accent5 4 2 2 2_Exh G" xfId="3248" xr:uid="{00000000-0005-0000-0000-0000014A0000}"/>
    <cellStyle name="40% - Accent5 4 2 2 3" xfId="4243" xr:uid="{00000000-0005-0000-0000-0000024A0000}"/>
    <cellStyle name="40% - Accent5 4 2 2 3 2" xfId="7835" xr:uid="{00000000-0005-0000-0000-0000034A0000}"/>
    <cellStyle name="40% - Accent5 4 2 2 3 2 2" xfId="15806" xr:uid="{00000000-0005-0000-0000-0000044A0000}"/>
    <cellStyle name="40% - Accent5 4 2 2 3 2 2 2" xfId="39649" xr:uid="{C27837C1-3E23-4B01-836F-DD62B135771C}"/>
    <cellStyle name="40% - Accent5 4 2 2 3 2 3" xfId="23752" xr:uid="{00000000-0005-0000-0000-0000054A0000}"/>
    <cellStyle name="40% - Accent5 4 2 2 3 2 3 2" xfId="47585" xr:uid="{40F5A87F-3DB2-4F42-B6B8-47634D016BA6}"/>
    <cellStyle name="40% - Accent5 4 2 2 3 2 4" xfId="31708" xr:uid="{1896DA38-DD98-4837-8031-5413B012FE8F}"/>
    <cellStyle name="40% - Accent5 4 2 2 3 3" xfId="12268" xr:uid="{00000000-0005-0000-0000-0000064A0000}"/>
    <cellStyle name="40% - Accent5 4 2 2 3 3 2" xfId="36118" xr:uid="{B2351E0A-FBEF-42C5-A867-CC741D4DF05F}"/>
    <cellStyle name="40% - Accent5 4 2 2 3 4" xfId="20223" xr:uid="{00000000-0005-0000-0000-0000074A0000}"/>
    <cellStyle name="40% - Accent5 4 2 2 3 4 2" xfId="44056" xr:uid="{E1553B24-B3AF-4E82-AC3C-4AC3703E1BDC}"/>
    <cellStyle name="40% - Accent5 4 2 2 3 5" xfId="28177" xr:uid="{8C5823E0-2111-4547-B1EE-28731B9D48C2}"/>
    <cellStyle name="40% - Accent5 4 2 2 4" xfId="6063" xr:uid="{00000000-0005-0000-0000-0000084A0000}"/>
    <cellStyle name="40% - Accent5 4 2 2 4 2" xfId="14047" xr:uid="{00000000-0005-0000-0000-0000094A0000}"/>
    <cellStyle name="40% - Accent5 4 2 2 4 2 2" xfId="37891" xr:uid="{468B693A-76C3-4E55-9C65-CF72B0BE7D37}"/>
    <cellStyle name="40% - Accent5 4 2 2 4 3" xfId="21995" xr:uid="{00000000-0005-0000-0000-00000A4A0000}"/>
    <cellStyle name="40% - Accent5 4 2 2 4 3 2" xfId="45828" xr:uid="{27A37E7E-C0B8-48C8-885E-9E11F88D7153}"/>
    <cellStyle name="40% - Accent5 4 2 2 4 4" xfId="29950" xr:uid="{48C88CBE-4FD8-4818-8F9A-F77F3EB067A3}"/>
    <cellStyle name="40% - Accent5 4 2 2 5" xfId="9616" xr:uid="{00000000-0005-0000-0000-00000B4A0000}"/>
    <cellStyle name="40% - Accent5 4 2 2 5 2" xfId="17574" xr:uid="{00000000-0005-0000-0000-00000C4A0000}"/>
    <cellStyle name="40% - Accent5 4 2 2 5 2 2" xfId="41415" xr:uid="{AB963BED-9724-42B5-B18D-ABAFBE778A6F}"/>
    <cellStyle name="40% - Accent5 4 2 2 5 3" xfId="25518" xr:uid="{00000000-0005-0000-0000-00000D4A0000}"/>
    <cellStyle name="40% - Accent5 4 2 2 5 3 2" xfId="49351" xr:uid="{0A17A2D8-8768-4C26-9709-E323434A0A99}"/>
    <cellStyle name="40% - Accent5 4 2 2 5 4" xfId="33474" xr:uid="{98DFA050-ACC6-4AC5-A8F1-DFF7C745A814}"/>
    <cellStyle name="40% - Accent5 4 2 2 6" xfId="10512" xr:uid="{00000000-0005-0000-0000-00000E4A0000}"/>
    <cellStyle name="40% - Accent5 4 2 2 6 2" xfId="34362" xr:uid="{785B3882-002D-400E-A074-F0F8653BE85E}"/>
    <cellStyle name="40% - Accent5 4 2 2 7" xfId="18467" xr:uid="{00000000-0005-0000-0000-00000F4A0000}"/>
    <cellStyle name="40% - Accent5 4 2 2 7 2" xfId="42300" xr:uid="{CCBD72EA-66F0-4F60-AC27-81B6003408A2}"/>
    <cellStyle name="40% - Accent5 4 2 2 8" xfId="26420" xr:uid="{94216271-D4DC-420B-B482-AA57D074E205}"/>
    <cellStyle name="40% - Accent5 4 2 2_Exh G" xfId="3247" xr:uid="{00000000-0005-0000-0000-0000104A0000}"/>
    <cellStyle name="40% - Accent5 4 2 3" xfId="988" xr:uid="{00000000-0005-0000-0000-0000114A0000}"/>
    <cellStyle name="40% - Accent5 4 2 3 2" xfId="1904" xr:uid="{00000000-0005-0000-0000-0000124A0000}"/>
    <cellStyle name="40% - Accent5 4 2 3 2 2" xfId="5422" xr:uid="{00000000-0005-0000-0000-0000134A0000}"/>
    <cellStyle name="40% - Accent5 4 2 3 2 2 2" xfId="9013" xr:uid="{00000000-0005-0000-0000-0000144A0000}"/>
    <cellStyle name="40% - Accent5 4 2 3 2 2 2 2" xfId="16984" xr:uid="{00000000-0005-0000-0000-0000154A0000}"/>
    <cellStyle name="40% - Accent5 4 2 3 2 2 2 2 2" xfId="40827" xr:uid="{764E7F38-2C26-482E-9A69-F12251AC9220}"/>
    <cellStyle name="40% - Accent5 4 2 3 2 2 2 3" xfId="24930" xr:uid="{00000000-0005-0000-0000-0000164A0000}"/>
    <cellStyle name="40% - Accent5 4 2 3 2 2 2 3 2" xfId="48763" xr:uid="{608E6F21-D186-48E9-82EE-190FB5A4DB37}"/>
    <cellStyle name="40% - Accent5 4 2 3 2 2 2 4" xfId="32886" xr:uid="{634D2D03-471F-4BC6-9117-2585AEFF6BB4}"/>
    <cellStyle name="40% - Accent5 4 2 3 2 2 3" xfId="13446" xr:uid="{00000000-0005-0000-0000-0000174A0000}"/>
    <cellStyle name="40% - Accent5 4 2 3 2 2 3 2" xfId="37296" xr:uid="{0CE766E8-66BA-4D74-A785-C7A2BC1BF7BF}"/>
    <cellStyle name="40% - Accent5 4 2 3 2 2 4" xfId="21401" xr:uid="{00000000-0005-0000-0000-0000184A0000}"/>
    <cellStyle name="40% - Accent5 4 2 3 2 2 4 2" xfId="45234" xr:uid="{93D8F364-D4F4-44E1-ABA7-618F9F5A4DED}"/>
    <cellStyle name="40% - Accent5 4 2 3 2 2 5" xfId="29355" xr:uid="{49261B83-4648-4A49-B70F-5A39EC85EF98}"/>
    <cellStyle name="40% - Accent5 4 2 3 2 3" xfId="7254" xr:uid="{00000000-0005-0000-0000-0000194A0000}"/>
    <cellStyle name="40% - Accent5 4 2 3 2 3 2" xfId="15226" xr:uid="{00000000-0005-0000-0000-00001A4A0000}"/>
    <cellStyle name="40% - Accent5 4 2 3 2 3 2 2" xfId="39069" xr:uid="{47863F7E-4A6B-4A79-AC4C-CC7A0CC7932D}"/>
    <cellStyle name="40% - Accent5 4 2 3 2 3 3" xfId="23173" xr:uid="{00000000-0005-0000-0000-00001B4A0000}"/>
    <cellStyle name="40% - Accent5 4 2 3 2 3 3 2" xfId="47006" xr:uid="{053FBCAF-3577-49A5-9CC2-E548C3041B3A}"/>
    <cellStyle name="40% - Accent5 4 2 3 2 3 4" xfId="31128" xr:uid="{45D4EFD7-1568-40F9-8EAC-E4C0C7838FF1}"/>
    <cellStyle name="40% - Accent5 4 2 3 2 4" xfId="11690" xr:uid="{00000000-0005-0000-0000-00001C4A0000}"/>
    <cellStyle name="40% - Accent5 4 2 3 2 4 2" xfId="35540" xr:uid="{B6FD8C41-7157-4729-914B-C2B3DEC75FCD}"/>
    <cellStyle name="40% - Accent5 4 2 3 2 5" xfId="19645" xr:uid="{00000000-0005-0000-0000-00001D4A0000}"/>
    <cellStyle name="40% - Accent5 4 2 3 2 5 2" xfId="43478" xr:uid="{958E9B6B-8E4D-458C-A985-FFC34FB63F05}"/>
    <cellStyle name="40% - Accent5 4 2 3 2 6" xfId="27598" xr:uid="{9A6A0065-DCAB-4444-9B84-577DD5FFD47A}"/>
    <cellStyle name="40% - Accent5 4 2 3 2_Exh G" xfId="3250" xr:uid="{00000000-0005-0000-0000-00001E4A0000}"/>
    <cellStyle name="40% - Accent5 4 2 3 3" xfId="4543" xr:uid="{00000000-0005-0000-0000-00001F4A0000}"/>
    <cellStyle name="40% - Accent5 4 2 3 3 2" xfId="8135" xr:uid="{00000000-0005-0000-0000-0000204A0000}"/>
    <cellStyle name="40% - Accent5 4 2 3 3 2 2" xfId="16106" xr:uid="{00000000-0005-0000-0000-0000214A0000}"/>
    <cellStyle name="40% - Accent5 4 2 3 3 2 2 2" xfId="39949" xr:uid="{5360E8ED-DBE2-47FE-9DB0-6C0049ECA140}"/>
    <cellStyle name="40% - Accent5 4 2 3 3 2 3" xfId="24052" xr:uid="{00000000-0005-0000-0000-0000224A0000}"/>
    <cellStyle name="40% - Accent5 4 2 3 3 2 3 2" xfId="47885" xr:uid="{5BF73250-317C-4563-95EF-33B041BFC79C}"/>
    <cellStyle name="40% - Accent5 4 2 3 3 2 4" xfId="32008" xr:uid="{5E0109E7-5CD7-43AE-A24C-F62C15E3AAC3}"/>
    <cellStyle name="40% - Accent5 4 2 3 3 3" xfId="12568" xr:uid="{00000000-0005-0000-0000-0000234A0000}"/>
    <cellStyle name="40% - Accent5 4 2 3 3 3 2" xfId="36418" xr:uid="{448D5D49-43F7-4B39-88E4-31E4BE6DD65A}"/>
    <cellStyle name="40% - Accent5 4 2 3 3 4" xfId="20523" xr:uid="{00000000-0005-0000-0000-0000244A0000}"/>
    <cellStyle name="40% - Accent5 4 2 3 3 4 2" xfId="44356" xr:uid="{B243A5E4-6F96-4FD3-8B3F-70B428633FCA}"/>
    <cellStyle name="40% - Accent5 4 2 3 3 5" xfId="28477" xr:uid="{95130352-CC24-49B4-B7F3-F5FAA31B49F6}"/>
    <cellStyle name="40% - Accent5 4 2 3 4" xfId="6373" xr:uid="{00000000-0005-0000-0000-0000254A0000}"/>
    <cellStyle name="40% - Accent5 4 2 3 4 2" xfId="14348" xr:uid="{00000000-0005-0000-0000-0000264A0000}"/>
    <cellStyle name="40% - Accent5 4 2 3 4 2 2" xfId="38191" xr:uid="{BBAA5715-D4D8-41D0-8D04-474F0B962669}"/>
    <cellStyle name="40% - Accent5 4 2 3 4 3" xfId="22295" xr:uid="{00000000-0005-0000-0000-0000274A0000}"/>
    <cellStyle name="40% - Accent5 4 2 3 4 3 2" xfId="46128" xr:uid="{9AB9DEB7-CC9A-41F1-B7A6-F9A1BA0AB78C}"/>
    <cellStyle name="40% - Accent5 4 2 3 4 4" xfId="30250" xr:uid="{FD8C6D45-1C98-477C-B157-C9214C173B80}"/>
    <cellStyle name="40% - Accent5 4 2 3 5" xfId="9916" xr:uid="{00000000-0005-0000-0000-0000284A0000}"/>
    <cellStyle name="40% - Accent5 4 2 3 5 2" xfId="17874" xr:uid="{00000000-0005-0000-0000-0000294A0000}"/>
    <cellStyle name="40% - Accent5 4 2 3 5 2 2" xfId="41715" xr:uid="{C9637E72-5589-4EED-BB12-C0D288A18434}"/>
    <cellStyle name="40% - Accent5 4 2 3 5 3" xfId="25818" xr:uid="{00000000-0005-0000-0000-00002A4A0000}"/>
    <cellStyle name="40% - Accent5 4 2 3 5 3 2" xfId="49651" xr:uid="{DDACCD38-BA9C-4C83-8430-140D93844722}"/>
    <cellStyle name="40% - Accent5 4 2 3 5 4" xfId="33774" xr:uid="{547A1151-AFDC-4704-AF7E-C5CBA859DE17}"/>
    <cellStyle name="40% - Accent5 4 2 3 6" xfId="10812" xr:uid="{00000000-0005-0000-0000-00002B4A0000}"/>
    <cellStyle name="40% - Accent5 4 2 3 6 2" xfId="34662" xr:uid="{41DC0B44-2AF2-47C3-ACFE-22853AA10FE8}"/>
    <cellStyle name="40% - Accent5 4 2 3 7" xfId="18767" xr:uid="{00000000-0005-0000-0000-00002C4A0000}"/>
    <cellStyle name="40% - Accent5 4 2 3 7 2" xfId="42600" xr:uid="{0E7462E1-1970-48CC-841A-87D99751953A}"/>
    <cellStyle name="40% - Accent5 4 2 3 8" xfId="26720" xr:uid="{3C3FDA38-463D-422B-B838-492FD9A4D367}"/>
    <cellStyle name="40% - Accent5 4 2 3_Exh G" xfId="3249" xr:uid="{00000000-0005-0000-0000-00002D4A0000}"/>
    <cellStyle name="40% - Accent5 4 2 4" xfId="1591" xr:uid="{00000000-0005-0000-0000-00002E4A0000}"/>
    <cellStyle name="40% - Accent5 4 2 4 2" xfId="5121" xr:uid="{00000000-0005-0000-0000-00002F4A0000}"/>
    <cellStyle name="40% - Accent5 4 2 4 2 2" xfId="8712" xr:uid="{00000000-0005-0000-0000-0000304A0000}"/>
    <cellStyle name="40% - Accent5 4 2 4 2 2 2" xfId="16683" xr:uid="{00000000-0005-0000-0000-0000314A0000}"/>
    <cellStyle name="40% - Accent5 4 2 4 2 2 2 2" xfId="40526" xr:uid="{DB7F6D3B-D89D-470A-AA36-434C5FAA8D0E}"/>
    <cellStyle name="40% - Accent5 4 2 4 2 2 3" xfId="24629" xr:uid="{00000000-0005-0000-0000-0000324A0000}"/>
    <cellStyle name="40% - Accent5 4 2 4 2 2 3 2" xfId="48462" xr:uid="{8D4AFB8E-5965-4B76-8E54-DC27AFF66DE7}"/>
    <cellStyle name="40% - Accent5 4 2 4 2 2 4" xfId="32585" xr:uid="{22A18363-3D57-4B30-92A2-696C33B72AA6}"/>
    <cellStyle name="40% - Accent5 4 2 4 2 3" xfId="13145" xr:uid="{00000000-0005-0000-0000-0000334A0000}"/>
    <cellStyle name="40% - Accent5 4 2 4 2 3 2" xfId="36995" xr:uid="{EE39C35E-FD82-4A37-94EC-3371FB073373}"/>
    <cellStyle name="40% - Accent5 4 2 4 2 4" xfId="21100" xr:uid="{00000000-0005-0000-0000-0000344A0000}"/>
    <cellStyle name="40% - Accent5 4 2 4 2 4 2" xfId="44933" xr:uid="{878F9EBF-9053-466E-BA3B-84C60D22C2EC}"/>
    <cellStyle name="40% - Accent5 4 2 4 2 5" xfId="29054" xr:uid="{714FDC97-C43B-49F2-B11E-FDC94939D3E2}"/>
    <cellStyle name="40% - Accent5 4 2 4 3" xfId="6953" xr:uid="{00000000-0005-0000-0000-0000354A0000}"/>
    <cellStyle name="40% - Accent5 4 2 4 3 2" xfId="14925" xr:uid="{00000000-0005-0000-0000-0000364A0000}"/>
    <cellStyle name="40% - Accent5 4 2 4 3 2 2" xfId="38768" xr:uid="{D1AB00E6-5249-41A6-95F0-E3A51B5F5449}"/>
    <cellStyle name="40% - Accent5 4 2 4 3 3" xfId="22872" xr:uid="{00000000-0005-0000-0000-0000374A0000}"/>
    <cellStyle name="40% - Accent5 4 2 4 3 3 2" xfId="46705" xr:uid="{66C94687-04F8-41F0-BD7D-DAF5147ED9F1}"/>
    <cellStyle name="40% - Accent5 4 2 4 3 4" xfId="30827" xr:uid="{4BAB61F2-98CD-4B73-A4CD-ACFB8721C8AA}"/>
    <cellStyle name="40% - Accent5 4 2 4 4" xfId="11389" xr:uid="{00000000-0005-0000-0000-0000384A0000}"/>
    <cellStyle name="40% - Accent5 4 2 4 4 2" xfId="35239" xr:uid="{86C13FF9-2920-4BBE-9668-29326F7B4EBA}"/>
    <cellStyle name="40% - Accent5 4 2 4 5" xfId="19344" xr:uid="{00000000-0005-0000-0000-0000394A0000}"/>
    <cellStyle name="40% - Accent5 4 2 4 5 2" xfId="43177" xr:uid="{DBD15C57-FE73-446C-AB1F-A0900928EA75}"/>
    <cellStyle name="40% - Accent5 4 2 4 6" xfId="27297" xr:uid="{EC08CAB1-7441-4D4C-9EB6-27639AC80B08}"/>
    <cellStyle name="40% - Accent5 4 2 4_Exh G" xfId="3251" xr:uid="{00000000-0005-0000-0000-00003A4A0000}"/>
    <cellStyle name="40% - Accent5 4 2 5" xfId="4242" xr:uid="{00000000-0005-0000-0000-00003B4A0000}"/>
    <cellStyle name="40% - Accent5 4 2 5 2" xfId="7834" xr:uid="{00000000-0005-0000-0000-00003C4A0000}"/>
    <cellStyle name="40% - Accent5 4 2 5 2 2" xfId="15805" xr:uid="{00000000-0005-0000-0000-00003D4A0000}"/>
    <cellStyle name="40% - Accent5 4 2 5 2 2 2" xfId="39648" xr:uid="{EEBA0195-23BE-463B-8A3E-B69FFFA137FA}"/>
    <cellStyle name="40% - Accent5 4 2 5 2 3" xfId="23751" xr:uid="{00000000-0005-0000-0000-00003E4A0000}"/>
    <cellStyle name="40% - Accent5 4 2 5 2 3 2" xfId="47584" xr:uid="{71A3B615-13AF-42D9-A75C-ABD8A3CA2D99}"/>
    <cellStyle name="40% - Accent5 4 2 5 2 4" xfId="31707" xr:uid="{5303ED0B-AC1E-4957-A48E-BD9A0A746108}"/>
    <cellStyle name="40% - Accent5 4 2 5 3" xfId="12267" xr:uid="{00000000-0005-0000-0000-00003F4A0000}"/>
    <cellStyle name="40% - Accent5 4 2 5 3 2" xfId="36117" xr:uid="{A9C7E61D-CB04-4339-8359-0348D64E1003}"/>
    <cellStyle name="40% - Accent5 4 2 5 4" xfId="20222" xr:uid="{00000000-0005-0000-0000-0000404A0000}"/>
    <cellStyle name="40% - Accent5 4 2 5 4 2" xfId="44055" xr:uid="{E2CA22AB-CE09-407D-92A7-48D0F4A6C94A}"/>
    <cellStyle name="40% - Accent5 4 2 5 5" xfId="28176" xr:uid="{FE3C3BB0-5AD6-4FAB-A758-C6FB77A91494}"/>
    <cellStyle name="40% - Accent5 4 2 6" xfId="6062" xr:uid="{00000000-0005-0000-0000-0000414A0000}"/>
    <cellStyle name="40% - Accent5 4 2 6 2" xfId="14046" xr:uid="{00000000-0005-0000-0000-0000424A0000}"/>
    <cellStyle name="40% - Accent5 4 2 6 2 2" xfId="37890" xr:uid="{0C0073E5-3B87-4492-9360-070F1B353D96}"/>
    <cellStyle name="40% - Accent5 4 2 6 3" xfId="21994" xr:uid="{00000000-0005-0000-0000-0000434A0000}"/>
    <cellStyle name="40% - Accent5 4 2 6 3 2" xfId="45827" xr:uid="{6CB6F097-0368-4FD6-B01A-2C2EF8431C60}"/>
    <cellStyle name="40% - Accent5 4 2 6 4" xfId="29949" xr:uid="{E77D82BB-05E6-4911-BD0F-5A6DCDAFE8BF}"/>
    <cellStyle name="40% - Accent5 4 2 7" xfId="9615" xr:uid="{00000000-0005-0000-0000-0000444A0000}"/>
    <cellStyle name="40% - Accent5 4 2 7 2" xfId="17573" xr:uid="{00000000-0005-0000-0000-0000454A0000}"/>
    <cellStyle name="40% - Accent5 4 2 7 2 2" xfId="41414" xr:uid="{AE98ACA6-4CEB-4D70-A845-C08C140D900E}"/>
    <cellStyle name="40% - Accent5 4 2 7 3" xfId="25517" xr:uid="{00000000-0005-0000-0000-0000464A0000}"/>
    <cellStyle name="40% - Accent5 4 2 7 3 2" xfId="49350" xr:uid="{B2046A02-2871-43DC-A4AE-746434BF09FA}"/>
    <cellStyle name="40% - Accent5 4 2 7 4" xfId="33473" xr:uid="{7BB60851-FB5D-40B2-BF5A-517F6C7F8A4A}"/>
    <cellStyle name="40% - Accent5 4 2 8" xfId="10511" xr:uid="{00000000-0005-0000-0000-0000474A0000}"/>
    <cellStyle name="40% - Accent5 4 2 8 2" xfId="34361" xr:uid="{C412CB26-4272-44BD-8CD8-B17DF1A0D56C}"/>
    <cellStyle name="40% - Accent5 4 2 9" xfId="18466" xr:uid="{00000000-0005-0000-0000-0000484A0000}"/>
    <cellStyle name="40% - Accent5 4 2 9 2" xfId="42299" xr:uid="{D6CC8E48-8D87-4A9E-804D-8116A81DF507}"/>
    <cellStyle name="40% - Accent5 4 2_Exh G" xfId="3246" xr:uid="{00000000-0005-0000-0000-0000494A0000}"/>
    <cellStyle name="40% - Accent5 4 3" xfId="565" xr:uid="{00000000-0005-0000-0000-00004A4A0000}"/>
    <cellStyle name="40% - Accent5 4 3 2" xfId="1593" xr:uid="{00000000-0005-0000-0000-00004B4A0000}"/>
    <cellStyle name="40% - Accent5 4 3 2 2" xfId="5123" xr:uid="{00000000-0005-0000-0000-00004C4A0000}"/>
    <cellStyle name="40% - Accent5 4 3 2 2 2" xfId="8714" xr:uid="{00000000-0005-0000-0000-00004D4A0000}"/>
    <cellStyle name="40% - Accent5 4 3 2 2 2 2" xfId="16685" xr:uid="{00000000-0005-0000-0000-00004E4A0000}"/>
    <cellStyle name="40% - Accent5 4 3 2 2 2 2 2" xfId="40528" xr:uid="{6CD1F3E8-F97B-412E-9CCC-486D53FA7233}"/>
    <cellStyle name="40% - Accent5 4 3 2 2 2 3" xfId="24631" xr:uid="{00000000-0005-0000-0000-00004F4A0000}"/>
    <cellStyle name="40% - Accent5 4 3 2 2 2 3 2" xfId="48464" xr:uid="{E600CD0B-8AE7-422C-8F98-2849BFCB9D38}"/>
    <cellStyle name="40% - Accent5 4 3 2 2 2 4" xfId="32587" xr:uid="{D4304ADC-BD1C-4357-8EDA-25355574A50C}"/>
    <cellStyle name="40% - Accent5 4 3 2 2 3" xfId="13147" xr:uid="{00000000-0005-0000-0000-0000504A0000}"/>
    <cellStyle name="40% - Accent5 4 3 2 2 3 2" xfId="36997" xr:uid="{92BB9EE7-32E1-45A9-BC76-D866DC11BB2E}"/>
    <cellStyle name="40% - Accent5 4 3 2 2 4" xfId="21102" xr:uid="{00000000-0005-0000-0000-0000514A0000}"/>
    <cellStyle name="40% - Accent5 4 3 2 2 4 2" xfId="44935" xr:uid="{54952375-E0C4-44B6-B8A5-FA3B2EC72979}"/>
    <cellStyle name="40% - Accent5 4 3 2 2 5" xfId="29056" xr:uid="{8AD18F4F-BDA9-4F08-88C6-5DD5B7727525}"/>
    <cellStyle name="40% - Accent5 4 3 2 3" xfId="6955" xr:uid="{00000000-0005-0000-0000-0000524A0000}"/>
    <cellStyle name="40% - Accent5 4 3 2 3 2" xfId="14927" xr:uid="{00000000-0005-0000-0000-0000534A0000}"/>
    <cellStyle name="40% - Accent5 4 3 2 3 2 2" xfId="38770" xr:uid="{F679D34A-A5EC-4862-9A5B-CE74778DF47B}"/>
    <cellStyle name="40% - Accent5 4 3 2 3 3" xfId="22874" xr:uid="{00000000-0005-0000-0000-0000544A0000}"/>
    <cellStyle name="40% - Accent5 4 3 2 3 3 2" xfId="46707" xr:uid="{DF9611E1-E284-4E6F-B36D-07DADBD7C698}"/>
    <cellStyle name="40% - Accent5 4 3 2 3 4" xfId="30829" xr:uid="{143C479D-3EB7-46FE-96DD-A18B998419E9}"/>
    <cellStyle name="40% - Accent5 4 3 2 4" xfId="11391" xr:uid="{00000000-0005-0000-0000-0000554A0000}"/>
    <cellStyle name="40% - Accent5 4 3 2 4 2" xfId="35241" xr:uid="{B6317E14-E0C4-41B2-AA62-35A297FC496D}"/>
    <cellStyle name="40% - Accent5 4 3 2 5" xfId="19346" xr:uid="{00000000-0005-0000-0000-0000564A0000}"/>
    <cellStyle name="40% - Accent5 4 3 2 5 2" xfId="43179" xr:uid="{85AA867A-0D19-4C18-BB63-76C0D61CE4C8}"/>
    <cellStyle name="40% - Accent5 4 3 2 6" xfId="27299" xr:uid="{67447473-A2E7-491D-A917-9CD66ACC5DB0}"/>
    <cellStyle name="40% - Accent5 4 3 2_Exh G" xfId="3253" xr:uid="{00000000-0005-0000-0000-0000574A0000}"/>
    <cellStyle name="40% - Accent5 4 3 3" xfId="4244" xr:uid="{00000000-0005-0000-0000-0000584A0000}"/>
    <cellStyle name="40% - Accent5 4 3 3 2" xfId="7836" xr:uid="{00000000-0005-0000-0000-0000594A0000}"/>
    <cellStyle name="40% - Accent5 4 3 3 2 2" xfId="15807" xr:uid="{00000000-0005-0000-0000-00005A4A0000}"/>
    <cellStyle name="40% - Accent5 4 3 3 2 2 2" xfId="39650" xr:uid="{8F6FD564-8FAA-4913-AA5D-EBED247AD711}"/>
    <cellStyle name="40% - Accent5 4 3 3 2 3" xfId="23753" xr:uid="{00000000-0005-0000-0000-00005B4A0000}"/>
    <cellStyle name="40% - Accent5 4 3 3 2 3 2" xfId="47586" xr:uid="{CCFC4B5C-E05C-4CE5-94EA-47A59F414650}"/>
    <cellStyle name="40% - Accent5 4 3 3 2 4" xfId="31709" xr:uid="{B1A34162-A7EC-47CC-BEFC-B6FA07F992B2}"/>
    <cellStyle name="40% - Accent5 4 3 3 3" xfId="12269" xr:uid="{00000000-0005-0000-0000-00005C4A0000}"/>
    <cellStyle name="40% - Accent5 4 3 3 3 2" xfId="36119" xr:uid="{2E1F85AF-768B-4B13-A599-42E1A2CB20FE}"/>
    <cellStyle name="40% - Accent5 4 3 3 4" xfId="20224" xr:uid="{00000000-0005-0000-0000-00005D4A0000}"/>
    <cellStyle name="40% - Accent5 4 3 3 4 2" xfId="44057" xr:uid="{8C1CAF03-5AEA-41D9-AD95-742882791596}"/>
    <cellStyle name="40% - Accent5 4 3 3 5" xfId="28178" xr:uid="{4619A994-2F3A-4141-804F-6865023AEAF5}"/>
    <cellStyle name="40% - Accent5 4 3 4" xfId="6064" xr:uid="{00000000-0005-0000-0000-00005E4A0000}"/>
    <cellStyle name="40% - Accent5 4 3 4 2" xfId="14048" xr:uid="{00000000-0005-0000-0000-00005F4A0000}"/>
    <cellStyle name="40% - Accent5 4 3 4 2 2" xfId="37892" xr:uid="{7B77BF24-F06A-498C-BD15-01A239012E87}"/>
    <cellStyle name="40% - Accent5 4 3 4 3" xfId="21996" xr:uid="{00000000-0005-0000-0000-0000604A0000}"/>
    <cellStyle name="40% - Accent5 4 3 4 3 2" xfId="45829" xr:uid="{8245B015-6194-40E8-925F-E395EAE4CB24}"/>
    <cellStyle name="40% - Accent5 4 3 4 4" xfId="29951" xr:uid="{A98E6522-E5A0-4501-98EB-3777A2A33DD2}"/>
    <cellStyle name="40% - Accent5 4 3 5" xfId="9617" xr:uid="{00000000-0005-0000-0000-0000614A0000}"/>
    <cellStyle name="40% - Accent5 4 3 5 2" xfId="17575" xr:uid="{00000000-0005-0000-0000-0000624A0000}"/>
    <cellStyle name="40% - Accent5 4 3 5 2 2" xfId="41416" xr:uid="{F1D722D8-15A0-4A5C-AF9A-A387DB6B525C}"/>
    <cellStyle name="40% - Accent5 4 3 5 3" xfId="25519" xr:uid="{00000000-0005-0000-0000-0000634A0000}"/>
    <cellStyle name="40% - Accent5 4 3 5 3 2" xfId="49352" xr:uid="{C5783507-AC7A-4E1F-A02F-9340AE4B9EAA}"/>
    <cellStyle name="40% - Accent5 4 3 5 4" xfId="33475" xr:uid="{74C6BD24-BB44-42BC-ACD9-51A0FF166A8B}"/>
    <cellStyle name="40% - Accent5 4 3 6" xfId="10513" xr:uid="{00000000-0005-0000-0000-0000644A0000}"/>
    <cellStyle name="40% - Accent5 4 3 6 2" xfId="34363" xr:uid="{F10F108E-D84D-45C0-8394-DD749EA262D9}"/>
    <cellStyle name="40% - Accent5 4 3 7" xfId="18468" xr:uid="{00000000-0005-0000-0000-0000654A0000}"/>
    <cellStyle name="40% - Accent5 4 3 7 2" xfId="42301" xr:uid="{6E25D522-3411-4673-81DB-CA646D7A7028}"/>
    <cellStyle name="40% - Accent5 4 3 8" xfId="26421" xr:uid="{DA73BC99-B56B-4FC7-9206-1B74165D0B3C}"/>
    <cellStyle name="40% - Accent5 4 3_Exh G" xfId="3252" xr:uid="{00000000-0005-0000-0000-0000664A0000}"/>
    <cellStyle name="40% - Accent5 4 4" xfId="987" xr:uid="{00000000-0005-0000-0000-0000674A0000}"/>
    <cellStyle name="40% - Accent5 4 4 2" xfId="1903" xr:uid="{00000000-0005-0000-0000-0000684A0000}"/>
    <cellStyle name="40% - Accent5 4 4 2 2" xfId="5421" xr:uid="{00000000-0005-0000-0000-0000694A0000}"/>
    <cellStyle name="40% - Accent5 4 4 2 2 2" xfId="9012" xr:uid="{00000000-0005-0000-0000-00006A4A0000}"/>
    <cellStyle name="40% - Accent5 4 4 2 2 2 2" xfId="16983" xr:uid="{00000000-0005-0000-0000-00006B4A0000}"/>
    <cellStyle name="40% - Accent5 4 4 2 2 2 2 2" xfId="40826" xr:uid="{103C2ADB-5700-49FE-857D-CB13225E85E7}"/>
    <cellStyle name="40% - Accent5 4 4 2 2 2 3" xfId="24929" xr:uid="{00000000-0005-0000-0000-00006C4A0000}"/>
    <cellStyle name="40% - Accent5 4 4 2 2 2 3 2" xfId="48762" xr:uid="{2C211F06-0612-46B1-B818-5307977420D9}"/>
    <cellStyle name="40% - Accent5 4 4 2 2 2 4" xfId="32885" xr:uid="{7470F9E8-7614-4660-9D9C-19EE6CD05BAD}"/>
    <cellStyle name="40% - Accent5 4 4 2 2 3" xfId="13445" xr:uid="{00000000-0005-0000-0000-00006D4A0000}"/>
    <cellStyle name="40% - Accent5 4 4 2 2 3 2" xfId="37295" xr:uid="{3EE1F52E-E5C4-4F5B-8F81-67A22B370930}"/>
    <cellStyle name="40% - Accent5 4 4 2 2 4" xfId="21400" xr:uid="{00000000-0005-0000-0000-00006E4A0000}"/>
    <cellStyle name="40% - Accent5 4 4 2 2 4 2" xfId="45233" xr:uid="{3E8A6EC5-65FE-4CA5-AAE9-3A965098D7B6}"/>
    <cellStyle name="40% - Accent5 4 4 2 2 5" xfId="29354" xr:uid="{FD44F3AA-5CD6-4A75-B2A0-361D4EFCA209}"/>
    <cellStyle name="40% - Accent5 4 4 2 3" xfId="7253" xr:uid="{00000000-0005-0000-0000-00006F4A0000}"/>
    <cellStyle name="40% - Accent5 4 4 2 3 2" xfId="15225" xr:uid="{00000000-0005-0000-0000-0000704A0000}"/>
    <cellStyle name="40% - Accent5 4 4 2 3 2 2" xfId="39068" xr:uid="{E51AE4FD-9204-4D10-B647-A85637D2510C}"/>
    <cellStyle name="40% - Accent5 4 4 2 3 3" xfId="23172" xr:uid="{00000000-0005-0000-0000-0000714A0000}"/>
    <cellStyle name="40% - Accent5 4 4 2 3 3 2" xfId="47005" xr:uid="{7EC30CE4-CC24-440A-A320-8F1F8EF9A778}"/>
    <cellStyle name="40% - Accent5 4 4 2 3 4" xfId="31127" xr:uid="{1AB545BF-E8C9-4715-AA0A-3965FA72D17B}"/>
    <cellStyle name="40% - Accent5 4 4 2 4" xfId="11689" xr:uid="{00000000-0005-0000-0000-0000724A0000}"/>
    <cellStyle name="40% - Accent5 4 4 2 4 2" xfId="35539" xr:uid="{2A76A131-37EE-4CE9-BB72-6F8F2022A14B}"/>
    <cellStyle name="40% - Accent5 4 4 2 5" xfId="19644" xr:uid="{00000000-0005-0000-0000-0000734A0000}"/>
    <cellStyle name="40% - Accent5 4 4 2 5 2" xfId="43477" xr:uid="{BA573835-8C4B-4BEF-AF43-3CD7D91AF924}"/>
    <cellStyle name="40% - Accent5 4 4 2 6" xfId="27597" xr:uid="{ED13163D-7E87-41E2-A2CF-C980404FA8B4}"/>
    <cellStyle name="40% - Accent5 4 4 2_Exh G" xfId="3255" xr:uid="{00000000-0005-0000-0000-0000744A0000}"/>
    <cellStyle name="40% - Accent5 4 4 3" xfId="4542" xr:uid="{00000000-0005-0000-0000-0000754A0000}"/>
    <cellStyle name="40% - Accent5 4 4 3 2" xfId="8134" xr:uid="{00000000-0005-0000-0000-0000764A0000}"/>
    <cellStyle name="40% - Accent5 4 4 3 2 2" xfId="16105" xr:uid="{00000000-0005-0000-0000-0000774A0000}"/>
    <cellStyle name="40% - Accent5 4 4 3 2 2 2" xfId="39948" xr:uid="{F841E9FA-9B91-4857-A27A-90C7CD9A5E9C}"/>
    <cellStyle name="40% - Accent5 4 4 3 2 3" xfId="24051" xr:uid="{00000000-0005-0000-0000-0000784A0000}"/>
    <cellStyle name="40% - Accent5 4 4 3 2 3 2" xfId="47884" xr:uid="{717FB505-6AA6-4017-8CE0-318379F0AADC}"/>
    <cellStyle name="40% - Accent5 4 4 3 2 4" xfId="32007" xr:uid="{4D126B4C-6BDC-477D-8ECB-6C30BFB21EB1}"/>
    <cellStyle name="40% - Accent5 4 4 3 3" xfId="12567" xr:uid="{00000000-0005-0000-0000-0000794A0000}"/>
    <cellStyle name="40% - Accent5 4 4 3 3 2" xfId="36417" xr:uid="{6408FDC9-3A61-4C24-9CC8-7483C9D4505C}"/>
    <cellStyle name="40% - Accent5 4 4 3 4" xfId="20522" xr:uid="{00000000-0005-0000-0000-00007A4A0000}"/>
    <cellStyle name="40% - Accent5 4 4 3 4 2" xfId="44355" xr:uid="{2B3639C5-E47A-44C5-969A-F99AC88BA51D}"/>
    <cellStyle name="40% - Accent5 4 4 3 5" xfId="28476" xr:uid="{70AB18D4-AFF5-4518-ACFB-644508B7ADFA}"/>
    <cellStyle name="40% - Accent5 4 4 4" xfId="6372" xr:uid="{00000000-0005-0000-0000-00007B4A0000}"/>
    <cellStyle name="40% - Accent5 4 4 4 2" xfId="14347" xr:uid="{00000000-0005-0000-0000-00007C4A0000}"/>
    <cellStyle name="40% - Accent5 4 4 4 2 2" xfId="38190" xr:uid="{E6F6B30A-E9C6-46EE-A4DA-6CB28B45F9B5}"/>
    <cellStyle name="40% - Accent5 4 4 4 3" xfId="22294" xr:uid="{00000000-0005-0000-0000-00007D4A0000}"/>
    <cellStyle name="40% - Accent5 4 4 4 3 2" xfId="46127" xr:uid="{FDC7F111-6AF2-4CAF-BC2B-BCA6E2DF36C7}"/>
    <cellStyle name="40% - Accent5 4 4 4 4" xfId="30249" xr:uid="{2C51A423-B1C8-409A-BD2E-53239A2A4745}"/>
    <cellStyle name="40% - Accent5 4 4 5" xfId="9915" xr:uid="{00000000-0005-0000-0000-00007E4A0000}"/>
    <cellStyle name="40% - Accent5 4 4 5 2" xfId="17873" xr:uid="{00000000-0005-0000-0000-00007F4A0000}"/>
    <cellStyle name="40% - Accent5 4 4 5 2 2" xfId="41714" xr:uid="{8C59D2FA-9FE9-4198-8265-0450747823FE}"/>
    <cellStyle name="40% - Accent5 4 4 5 3" xfId="25817" xr:uid="{00000000-0005-0000-0000-0000804A0000}"/>
    <cellStyle name="40% - Accent5 4 4 5 3 2" xfId="49650" xr:uid="{2097C900-AC41-434C-9A77-45F604536A2C}"/>
    <cellStyle name="40% - Accent5 4 4 5 4" xfId="33773" xr:uid="{60801936-3652-4F1B-89B2-3F22BC380361}"/>
    <cellStyle name="40% - Accent5 4 4 6" xfId="10811" xr:uid="{00000000-0005-0000-0000-0000814A0000}"/>
    <cellStyle name="40% - Accent5 4 4 6 2" xfId="34661" xr:uid="{EBE078BE-AEF0-49A8-A387-3CE8D2C51E2C}"/>
    <cellStyle name="40% - Accent5 4 4 7" xfId="18766" xr:uid="{00000000-0005-0000-0000-0000824A0000}"/>
    <cellStyle name="40% - Accent5 4 4 7 2" xfId="42599" xr:uid="{502F70B5-D6F8-47ED-98ED-0752E1CE63F9}"/>
    <cellStyle name="40% - Accent5 4 4 8" xfId="26719" xr:uid="{D953D1E1-18CA-435B-A1DA-D66D317ACB51}"/>
    <cellStyle name="40% - Accent5 4 4_Exh G" xfId="3254" xr:uid="{00000000-0005-0000-0000-0000834A0000}"/>
    <cellStyle name="40% - Accent5 4 5" xfId="1590" xr:uid="{00000000-0005-0000-0000-0000844A0000}"/>
    <cellStyle name="40% - Accent5 4 5 2" xfId="5120" xr:uid="{00000000-0005-0000-0000-0000854A0000}"/>
    <cellStyle name="40% - Accent5 4 5 2 2" xfId="8711" xr:uid="{00000000-0005-0000-0000-0000864A0000}"/>
    <cellStyle name="40% - Accent5 4 5 2 2 2" xfId="16682" xr:uid="{00000000-0005-0000-0000-0000874A0000}"/>
    <cellStyle name="40% - Accent5 4 5 2 2 2 2" xfId="40525" xr:uid="{252B30CB-C2AA-4B92-8187-1D3A4E719642}"/>
    <cellStyle name="40% - Accent5 4 5 2 2 3" xfId="24628" xr:uid="{00000000-0005-0000-0000-0000884A0000}"/>
    <cellStyle name="40% - Accent5 4 5 2 2 3 2" xfId="48461" xr:uid="{2F66B18F-7B7D-426F-94A6-727A34DA6C82}"/>
    <cellStyle name="40% - Accent5 4 5 2 2 4" xfId="32584" xr:uid="{BD1F7587-BB9D-4CE6-BB8B-D8CF7F7018C0}"/>
    <cellStyle name="40% - Accent5 4 5 2 3" xfId="13144" xr:uid="{00000000-0005-0000-0000-0000894A0000}"/>
    <cellStyle name="40% - Accent5 4 5 2 3 2" xfId="36994" xr:uid="{0381F7C8-4DE0-4557-9496-F050576F7890}"/>
    <cellStyle name="40% - Accent5 4 5 2 4" xfId="21099" xr:uid="{00000000-0005-0000-0000-00008A4A0000}"/>
    <cellStyle name="40% - Accent5 4 5 2 4 2" xfId="44932" xr:uid="{9CF82A1E-E904-4CDD-95F1-B30889E17504}"/>
    <cellStyle name="40% - Accent5 4 5 2 5" xfId="29053" xr:uid="{15438DB1-5842-481B-8F93-E69C11025EE6}"/>
    <cellStyle name="40% - Accent5 4 5 3" xfId="6952" xr:uid="{00000000-0005-0000-0000-00008B4A0000}"/>
    <cellStyle name="40% - Accent5 4 5 3 2" xfId="14924" xr:uid="{00000000-0005-0000-0000-00008C4A0000}"/>
    <cellStyle name="40% - Accent5 4 5 3 2 2" xfId="38767" xr:uid="{2927D402-F716-4F3C-ABDE-AFA6C9FD27C8}"/>
    <cellStyle name="40% - Accent5 4 5 3 3" xfId="22871" xr:uid="{00000000-0005-0000-0000-00008D4A0000}"/>
    <cellStyle name="40% - Accent5 4 5 3 3 2" xfId="46704" xr:uid="{7132FE6E-2011-473D-9490-2B21C6C38CC1}"/>
    <cellStyle name="40% - Accent5 4 5 3 4" xfId="30826" xr:uid="{2F8BD91F-24E6-4ED9-BF57-5BEB113E7145}"/>
    <cellStyle name="40% - Accent5 4 5 4" xfId="11388" xr:uid="{00000000-0005-0000-0000-00008E4A0000}"/>
    <cellStyle name="40% - Accent5 4 5 4 2" xfId="35238" xr:uid="{D91DEFAC-D833-4BCD-A35D-F9C1E555ADDB}"/>
    <cellStyle name="40% - Accent5 4 5 5" xfId="19343" xr:uid="{00000000-0005-0000-0000-00008F4A0000}"/>
    <cellStyle name="40% - Accent5 4 5 5 2" xfId="43176" xr:uid="{4CA50D1A-D845-439D-80E1-CF2BBB5D6A57}"/>
    <cellStyle name="40% - Accent5 4 5 6" xfId="27296" xr:uid="{070592FE-2CF7-4E75-8262-7363461A11E0}"/>
    <cellStyle name="40% - Accent5 4 5_Exh G" xfId="3256" xr:uid="{00000000-0005-0000-0000-0000904A0000}"/>
    <cellStyle name="40% - Accent5 4 6" xfId="4241" xr:uid="{00000000-0005-0000-0000-0000914A0000}"/>
    <cellStyle name="40% - Accent5 4 6 2" xfId="7833" xr:uid="{00000000-0005-0000-0000-0000924A0000}"/>
    <cellStyle name="40% - Accent5 4 6 2 2" xfId="15804" xr:uid="{00000000-0005-0000-0000-0000934A0000}"/>
    <cellStyle name="40% - Accent5 4 6 2 2 2" xfId="39647" xr:uid="{4C31B715-21D3-41E1-BAC0-DAD806CBC5C3}"/>
    <cellStyle name="40% - Accent5 4 6 2 3" xfId="23750" xr:uid="{00000000-0005-0000-0000-0000944A0000}"/>
    <cellStyle name="40% - Accent5 4 6 2 3 2" xfId="47583" xr:uid="{36434DC4-446E-47F9-B9CB-6114CBBF8D4A}"/>
    <cellStyle name="40% - Accent5 4 6 2 4" xfId="31706" xr:uid="{9EBD41FE-56CA-4C32-89C4-F299016AE07C}"/>
    <cellStyle name="40% - Accent5 4 6 3" xfId="12266" xr:uid="{00000000-0005-0000-0000-0000954A0000}"/>
    <cellStyle name="40% - Accent5 4 6 3 2" xfId="36116" xr:uid="{071A3E2E-7BAC-4ADC-B22A-67E3A7BC4E0C}"/>
    <cellStyle name="40% - Accent5 4 6 4" xfId="20221" xr:uid="{00000000-0005-0000-0000-0000964A0000}"/>
    <cellStyle name="40% - Accent5 4 6 4 2" xfId="44054" xr:uid="{F390BBF5-BA16-485A-B133-50C561081E52}"/>
    <cellStyle name="40% - Accent5 4 6 5" xfId="28175" xr:uid="{378A2874-415B-4F97-8391-C7F9B93E1C51}"/>
    <cellStyle name="40% - Accent5 4 7" xfId="6061" xr:uid="{00000000-0005-0000-0000-0000974A0000}"/>
    <cellStyle name="40% - Accent5 4 7 2" xfId="14045" xr:uid="{00000000-0005-0000-0000-0000984A0000}"/>
    <cellStyle name="40% - Accent5 4 7 2 2" xfId="37889" xr:uid="{146B8249-CF9C-4590-A744-6EB6D707BDAA}"/>
    <cellStyle name="40% - Accent5 4 7 3" xfId="21993" xr:uid="{00000000-0005-0000-0000-0000994A0000}"/>
    <cellStyle name="40% - Accent5 4 7 3 2" xfId="45826" xr:uid="{BDBDFBBA-DF9B-45BD-B975-B6C07349175A}"/>
    <cellStyle name="40% - Accent5 4 7 4" xfId="29948" xr:uid="{F6960667-351C-4F86-8B59-9DBD9DD05CF6}"/>
    <cellStyle name="40% - Accent5 4 8" xfId="9614" xr:uid="{00000000-0005-0000-0000-00009A4A0000}"/>
    <cellStyle name="40% - Accent5 4 8 2" xfId="17572" xr:uid="{00000000-0005-0000-0000-00009B4A0000}"/>
    <cellStyle name="40% - Accent5 4 8 2 2" xfId="41413" xr:uid="{A5BF6B86-38C4-4E8A-B10B-BEBDA6FDF089}"/>
    <cellStyle name="40% - Accent5 4 8 3" xfId="25516" xr:uid="{00000000-0005-0000-0000-00009C4A0000}"/>
    <cellStyle name="40% - Accent5 4 8 3 2" xfId="49349" xr:uid="{917517E9-816F-4133-8E3A-93DB8890DC3C}"/>
    <cellStyle name="40% - Accent5 4 8 4" xfId="33472" xr:uid="{3FFB06F2-484E-4123-BF26-304686239C32}"/>
    <cellStyle name="40% - Accent5 4 9" xfId="10510" xr:uid="{00000000-0005-0000-0000-00009D4A0000}"/>
    <cellStyle name="40% - Accent5 4 9 2" xfId="34360" xr:uid="{64A3F6EF-15B0-4355-A3B3-56A91E9E3DFB}"/>
    <cellStyle name="40% - Accent5 4_Exh G" xfId="3245" xr:uid="{00000000-0005-0000-0000-00009E4A0000}"/>
    <cellStyle name="40% - Accent5 5" xfId="566" xr:uid="{00000000-0005-0000-0000-00009F4A0000}"/>
    <cellStyle name="40% - Accent5 5 10" xfId="18469" xr:uid="{00000000-0005-0000-0000-0000A04A0000}"/>
    <cellStyle name="40% - Accent5 5 10 2" xfId="42302" xr:uid="{16080E07-8902-4267-AF01-1B5BB0184919}"/>
    <cellStyle name="40% - Accent5 5 11" xfId="26422" xr:uid="{CE2313F1-F7DF-4F26-A5A0-C6207023B817}"/>
    <cellStyle name="40% - Accent5 5 2" xfId="567" xr:uid="{00000000-0005-0000-0000-0000A14A0000}"/>
    <cellStyle name="40% - Accent5 5 2 2" xfId="568" xr:uid="{00000000-0005-0000-0000-0000A24A0000}"/>
    <cellStyle name="40% - Accent5 5 2 2 2" xfId="1596" xr:uid="{00000000-0005-0000-0000-0000A34A0000}"/>
    <cellStyle name="40% - Accent5 5 2 2 2 2" xfId="5126" xr:uid="{00000000-0005-0000-0000-0000A44A0000}"/>
    <cellStyle name="40% - Accent5 5 2 2 2 2 2" xfId="8717" xr:uid="{00000000-0005-0000-0000-0000A54A0000}"/>
    <cellStyle name="40% - Accent5 5 2 2 2 2 2 2" xfId="16688" xr:uid="{00000000-0005-0000-0000-0000A64A0000}"/>
    <cellStyle name="40% - Accent5 5 2 2 2 2 2 2 2" xfId="40531" xr:uid="{EEDD547A-3824-427A-B71D-1943D2E4A898}"/>
    <cellStyle name="40% - Accent5 5 2 2 2 2 2 3" xfId="24634" xr:uid="{00000000-0005-0000-0000-0000A74A0000}"/>
    <cellStyle name="40% - Accent5 5 2 2 2 2 2 3 2" xfId="48467" xr:uid="{231BAC15-5916-4D3C-B09C-3AB0CD3CB602}"/>
    <cellStyle name="40% - Accent5 5 2 2 2 2 2 4" xfId="32590" xr:uid="{8F0C0CCB-F72A-4EBE-8E76-4CF4EF4F14E8}"/>
    <cellStyle name="40% - Accent5 5 2 2 2 2 3" xfId="13150" xr:uid="{00000000-0005-0000-0000-0000A84A0000}"/>
    <cellStyle name="40% - Accent5 5 2 2 2 2 3 2" xfId="37000" xr:uid="{4DA5E2FF-0550-47B2-ACB1-F6C0F9ACD176}"/>
    <cellStyle name="40% - Accent5 5 2 2 2 2 4" xfId="21105" xr:uid="{00000000-0005-0000-0000-0000A94A0000}"/>
    <cellStyle name="40% - Accent5 5 2 2 2 2 4 2" xfId="44938" xr:uid="{24EC63CF-4314-409D-9188-9CF28E860815}"/>
    <cellStyle name="40% - Accent5 5 2 2 2 2 5" xfId="29059" xr:uid="{D96B655D-9D7C-470D-8F2D-6D02C6F028A3}"/>
    <cellStyle name="40% - Accent5 5 2 2 2 3" xfId="6958" xr:uid="{00000000-0005-0000-0000-0000AA4A0000}"/>
    <cellStyle name="40% - Accent5 5 2 2 2 3 2" xfId="14930" xr:uid="{00000000-0005-0000-0000-0000AB4A0000}"/>
    <cellStyle name="40% - Accent5 5 2 2 2 3 2 2" xfId="38773" xr:uid="{BBFCBBBA-E0E8-48BB-9D0E-145BA9262390}"/>
    <cellStyle name="40% - Accent5 5 2 2 2 3 3" xfId="22877" xr:uid="{00000000-0005-0000-0000-0000AC4A0000}"/>
    <cellStyle name="40% - Accent5 5 2 2 2 3 3 2" xfId="46710" xr:uid="{AAAD43F0-7EAB-498E-B98B-52452D354DEE}"/>
    <cellStyle name="40% - Accent5 5 2 2 2 3 4" xfId="30832" xr:uid="{96EB56E6-856E-456C-B546-4CDE1040FEC3}"/>
    <cellStyle name="40% - Accent5 5 2 2 2 4" xfId="11394" xr:uid="{00000000-0005-0000-0000-0000AD4A0000}"/>
    <cellStyle name="40% - Accent5 5 2 2 2 4 2" xfId="35244" xr:uid="{CD4194C8-A762-47E3-A8FE-5E5055C0E546}"/>
    <cellStyle name="40% - Accent5 5 2 2 2 5" xfId="19349" xr:uid="{00000000-0005-0000-0000-0000AE4A0000}"/>
    <cellStyle name="40% - Accent5 5 2 2 2 5 2" xfId="43182" xr:uid="{F3A391F4-E2E8-4031-8601-5ECF3DAED241}"/>
    <cellStyle name="40% - Accent5 5 2 2 2 6" xfId="27302" xr:uid="{7937D7B9-963B-4A8A-AACC-8B6AB217C0F0}"/>
    <cellStyle name="40% - Accent5 5 2 2 2_Exh G" xfId="3260" xr:uid="{00000000-0005-0000-0000-0000AF4A0000}"/>
    <cellStyle name="40% - Accent5 5 2 2 3" xfId="4247" xr:uid="{00000000-0005-0000-0000-0000B04A0000}"/>
    <cellStyle name="40% - Accent5 5 2 2 3 2" xfId="7839" xr:uid="{00000000-0005-0000-0000-0000B14A0000}"/>
    <cellStyle name="40% - Accent5 5 2 2 3 2 2" xfId="15810" xr:uid="{00000000-0005-0000-0000-0000B24A0000}"/>
    <cellStyle name="40% - Accent5 5 2 2 3 2 2 2" xfId="39653" xr:uid="{D5ED070A-DC30-4766-9623-31AD88CC637B}"/>
    <cellStyle name="40% - Accent5 5 2 2 3 2 3" xfId="23756" xr:uid="{00000000-0005-0000-0000-0000B34A0000}"/>
    <cellStyle name="40% - Accent5 5 2 2 3 2 3 2" xfId="47589" xr:uid="{8E55A168-F1F4-4768-9501-E9CC7D05829F}"/>
    <cellStyle name="40% - Accent5 5 2 2 3 2 4" xfId="31712" xr:uid="{F78E6504-EC61-4BF1-83C4-9A020220A813}"/>
    <cellStyle name="40% - Accent5 5 2 2 3 3" xfId="12272" xr:uid="{00000000-0005-0000-0000-0000B44A0000}"/>
    <cellStyle name="40% - Accent5 5 2 2 3 3 2" xfId="36122" xr:uid="{9B73E798-E70C-4222-9333-C1363A9DBFC8}"/>
    <cellStyle name="40% - Accent5 5 2 2 3 4" xfId="20227" xr:uid="{00000000-0005-0000-0000-0000B54A0000}"/>
    <cellStyle name="40% - Accent5 5 2 2 3 4 2" xfId="44060" xr:uid="{4863C6B1-F4A2-4D47-88FE-8303C1EB0623}"/>
    <cellStyle name="40% - Accent5 5 2 2 3 5" xfId="28181" xr:uid="{136807DE-EAF0-489E-A49E-8172455F8886}"/>
    <cellStyle name="40% - Accent5 5 2 2 4" xfId="6067" xr:uid="{00000000-0005-0000-0000-0000B64A0000}"/>
    <cellStyle name="40% - Accent5 5 2 2 4 2" xfId="14051" xr:uid="{00000000-0005-0000-0000-0000B74A0000}"/>
    <cellStyle name="40% - Accent5 5 2 2 4 2 2" xfId="37895" xr:uid="{BE14C261-3170-4267-8EAF-8EA2BCD39E1B}"/>
    <cellStyle name="40% - Accent5 5 2 2 4 3" xfId="21999" xr:uid="{00000000-0005-0000-0000-0000B84A0000}"/>
    <cellStyle name="40% - Accent5 5 2 2 4 3 2" xfId="45832" xr:uid="{AF4FA872-6606-4886-A81F-E28518F9B4DA}"/>
    <cellStyle name="40% - Accent5 5 2 2 4 4" xfId="29954" xr:uid="{7D40D3D0-3AE9-4132-AB10-CAE620E2706D}"/>
    <cellStyle name="40% - Accent5 5 2 2 5" xfId="9620" xr:uid="{00000000-0005-0000-0000-0000B94A0000}"/>
    <cellStyle name="40% - Accent5 5 2 2 5 2" xfId="17578" xr:uid="{00000000-0005-0000-0000-0000BA4A0000}"/>
    <cellStyle name="40% - Accent5 5 2 2 5 2 2" xfId="41419" xr:uid="{542787C2-0082-41CB-8B04-D24C4A5EFF43}"/>
    <cellStyle name="40% - Accent5 5 2 2 5 3" xfId="25522" xr:uid="{00000000-0005-0000-0000-0000BB4A0000}"/>
    <cellStyle name="40% - Accent5 5 2 2 5 3 2" xfId="49355" xr:uid="{EFA80E81-922D-4CAA-BEB9-04EFC0637EA1}"/>
    <cellStyle name="40% - Accent5 5 2 2 5 4" xfId="33478" xr:uid="{A62D2109-446A-42EC-BCE4-43E79A2C3647}"/>
    <cellStyle name="40% - Accent5 5 2 2 6" xfId="10516" xr:uid="{00000000-0005-0000-0000-0000BC4A0000}"/>
    <cellStyle name="40% - Accent5 5 2 2 6 2" xfId="34366" xr:uid="{6024FBA9-CAD5-48CF-99BB-AC37338B8B6E}"/>
    <cellStyle name="40% - Accent5 5 2 2 7" xfId="18471" xr:uid="{00000000-0005-0000-0000-0000BD4A0000}"/>
    <cellStyle name="40% - Accent5 5 2 2 7 2" xfId="42304" xr:uid="{FB27D55F-C17F-42D4-94C0-BFA4BF3613B3}"/>
    <cellStyle name="40% - Accent5 5 2 2 8" xfId="26424" xr:uid="{39B2D851-1F63-4379-857E-A65851191398}"/>
    <cellStyle name="40% - Accent5 5 2 2_Exh G" xfId="3259" xr:uid="{00000000-0005-0000-0000-0000BE4A0000}"/>
    <cellStyle name="40% - Accent5 5 2 3" xfId="1595" xr:uid="{00000000-0005-0000-0000-0000BF4A0000}"/>
    <cellStyle name="40% - Accent5 5 2 3 2" xfId="5125" xr:uid="{00000000-0005-0000-0000-0000C04A0000}"/>
    <cellStyle name="40% - Accent5 5 2 3 2 2" xfId="8716" xr:uid="{00000000-0005-0000-0000-0000C14A0000}"/>
    <cellStyle name="40% - Accent5 5 2 3 2 2 2" xfId="16687" xr:uid="{00000000-0005-0000-0000-0000C24A0000}"/>
    <cellStyle name="40% - Accent5 5 2 3 2 2 2 2" xfId="40530" xr:uid="{EB3D7057-67C3-467D-8F2A-FAE18F9F4A8F}"/>
    <cellStyle name="40% - Accent5 5 2 3 2 2 3" xfId="24633" xr:uid="{00000000-0005-0000-0000-0000C34A0000}"/>
    <cellStyle name="40% - Accent5 5 2 3 2 2 3 2" xfId="48466" xr:uid="{581DC277-D6B7-44D2-A579-95332FECC56F}"/>
    <cellStyle name="40% - Accent5 5 2 3 2 2 4" xfId="32589" xr:uid="{64914FA0-281B-47A4-8CD2-6AEF0386788B}"/>
    <cellStyle name="40% - Accent5 5 2 3 2 3" xfId="13149" xr:uid="{00000000-0005-0000-0000-0000C44A0000}"/>
    <cellStyle name="40% - Accent5 5 2 3 2 3 2" xfId="36999" xr:uid="{8AAD8A39-1CF5-4C51-8D29-AD1CD2D33C46}"/>
    <cellStyle name="40% - Accent5 5 2 3 2 4" xfId="21104" xr:uid="{00000000-0005-0000-0000-0000C54A0000}"/>
    <cellStyle name="40% - Accent5 5 2 3 2 4 2" xfId="44937" xr:uid="{EA8B9E5B-B3DF-4B81-AD09-7496E32F5BCD}"/>
    <cellStyle name="40% - Accent5 5 2 3 2 5" xfId="29058" xr:uid="{BB405C64-0799-4769-87A3-99EC8EEEF651}"/>
    <cellStyle name="40% - Accent5 5 2 3 3" xfId="6957" xr:uid="{00000000-0005-0000-0000-0000C64A0000}"/>
    <cellStyle name="40% - Accent5 5 2 3 3 2" xfId="14929" xr:uid="{00000000-0005-0000-0000-0000C74A0000}"/>
    <cellStyle name="40% - Accent5 5 2 3 3 2 2" xfId="38772" xr:uid="{C531A0B5-4205-4CC8-A9D7-168E5CADD533}"/>
    <cellStyle name="40% - Accent5 5 2 3 3 3" xfId="22876" xr:uid="{00000000-0005-0000-0000-0000C84A0000}"/>
    <cellStyle name="40% - Accent5 5 2 3 3 3 2" xfId="46709" xr:uid="{0F448D86-4CAD-4784-81BA-1110443943A4}"/>
    <cellStyle name="40% - Accent5 5 2 3 3 4" xfId="30831" xr:uid="{AAD4D40F-11D3-4276-B4FD-581318398AF0}"/>
    <cellStyle name="40% - Accent5 5 2 3 4" xfId="11393" xr:uid="{00000000-0005-0000-0000-0000C94A0000}"/>
    <cellStyle name="40% - Accent5 5 2 3 4 2" xfId="35243" xr:uid="{670249E1-3E5F-4FDF-9FB4-C00A19E33F71}"/>
    <cellStyle name="40% - Accent5 5 2 3 5" xfId="19348" xr:uid="{00000000-0005-0000-0000-0000CA4A0000}"/>
    <cellStyle name="40% - Accent5 5 2 3 5 2" xfId="43181" xr:uid="{079A19AE-41F9-4352-B72F-54AED90E8572}"/>
    <cellStyle name="40% - Accent5 5 2 3 6" xfId="27301" xr:uid="{798B18A0-62E2-4710-B88C-93E53B60FA2E}"/>
    <cellStyle name="40% - Accent5 5 2 3_Exh G" xfId="3261" xr:uid="{00000000-0005-0000-0000-0000CB4A0000}"/>
    <cellStyle name="40% - Accent5 5 2 4" xfId="4246" xr:uid="{00000000-0005-0000-0000-0000CC4A0000}"/>
    <cellStyle name="40% - Accent5 5 2 4 2" xfId="7838" xr:uid="{00000000-0005-0000-0000-0000CD4A0000}"/>
    <cellStyle name="40% - Accent5 5 2 4 2 2" xfId="15809" xr:uid="{00000000-0005-0000-0000-0000CE4A0000}"/>
    <cellStyle name="40% - Accent5 5 2 4 2 2 2" xfId="39652" xr:uid="{C5866723-5843-4FF0-83F8-0FBB2D2DDC88}"/>
    <cellStyle name="40% - Accent5 5 2 4 2 3" xfId="23755" xr:uid="{00000000-0005-0000-0000-0000CF4A0000}"/>
    <cellStyle name="40% - Accent5 5 2 4 2 3 2" xfId="47588" xr:uid="{E0C5B773-D169-4785-A7CE-A275DF62C420}"/>
    <cellStyle name="40% - Accent5 5 2 4 2 4" xfId="31711" xr:uid="{D8ECEEFD-6D5C-480C-BEA8-C40FBE43AA74}"/>
    <cellStyle name="40% - Accent5 5 2 4 3" xfId="12271" xr:uid="{00000000-0005-0000-0000-0000D04A0000}"/>
    <cellStyle name="40% - Accent5 5 2 4 3 2" xfId="36121" xr:uid="{28B00907-0F0F-41EA-A2A3-A69B7910EF45}"/>
    <cellStyle name="40% - Accent5 5 2 4 4" xfId="20226" xr:uid="{00000000-0005-0000-0000-0000D14A0000}"/>
    <cellStyle name="40% - Accent5 5 2 4 4 2" xfId="44059" xr:uid="{A27B1458-691E-4249-8B6C-980242681064}"/>
    <cellStyle name="40% - Accent5 5 2 4 5" xfId="28180" xr:uid="{881FFB8F-EAA3-4B02-98E8-0329A188201F}"/>
    <cellStyle name="40% - Accent5 5 2 5" xfId="6066" xr:uid="{00000000-0005-0000-0000-0000D24A0000}"/>
    <cellStyle name="40% - Accent5 5 2 5 2" xfId="14050" xr:uid="{00000000-0005-0000-0000-0000D34A0000}"/>
    <cellStyle name="40% - Accent5 5 2 5 2 2" xfId="37894" xr:uid="{907203CA-8C69-4374-A91E-B2838CF850EC}"/>
    <cellStyle name="40% - Accent5 5 2 5 3" xfId="21998" xr:uid="{00000000-0005-0000-0000-0000D44A0000}"/>
    <cellStyle name="40% - Accent5 5 2 5 3 2" xfId="45831" xr:uid="{557900AC-8DFC-4E1E-A349-82E5B6FD8D94}"/>
    <cellStyle name="40% - Accent5 5 2 5 4" xfId="29953" xr:uid="{F796AEEC-D868-47DB-803D-463C3B7D837F}"/>
    <cellStyle name="40% - Accent5 5 2 6" xfId="9619" xr:uid="{00000000-0005-0000-0000-0000D54A0000}"/>
    <cellStyle name="40% - Accent5 5 2 6 2" xfId="17577" xr:uid="{00000000-0005-0000-0000-0000D64A0000}"/>
    <cellStyle name="40% - Accent5 5 2 6 2 2" xfId="41418" xr:uid="{F2BB31A8-B52C-487D-9C3B-CF31C36CBAAF}"/>
    <cellStyle name="40% - Accent5 5 2 6 3" xfId="25521" xr:uid="{00000000-0005-0000-0000-0000D74A0000}"/>
    <cellStyle name="40% - Accent5 5 2 6 3 2" xfId="49354" xr:uid="{B7D50BE9-928D-4E82-A404-9F3D0B8A05A4}"/>
    <cellStyle name="40% - Accent5 5 2 6 4" xfId="33477" xr:uid="{5FCE6C57-3858-48DB-9975-063AC8EC34CF}"/>
    <cellStyle name="40% - Accent5 5 2 7" xfId="10515" xr:uid="{00000000-0005-0000-0000-0000D84A0000}"/>
    <cellStyle name="40% - Accent5 5 2 7 2" xfId="34365" xr:uid="{4BC7540D-817E-4892-90E8-EFA09FAB0B1B}"/>
    <cellStyle name="40% - Accent5 5 2 8" xfId="18470" xr:uid="{00000000-0005-0000-0000-0000D94A0000}"/>
    <cellStyle name="40% - Accent5 5 2 8 2" xfId="42303" xr:uid="{4A6571F7-EF4C-450A-9778-61688E9D9CB5}"/>
    <cellStyle name="40% - Accent5 5 2 9" xfId="26423" xr:uid="{68D9CEA9-C0BD-43A3-96DB-4A86643A83E1}"/>
    <cellStyle name="40% - Accent5 5 2_Exh G" xfId="3258" xr:uid="{00000000-0005-0000-0000-0000DA4A0000}"/>
    <cellStyle name="40% - Accent5 5 3" xfId="569" xr:uid="{00000000-0005-0000-0000-0000DB4A0000}"/>
    <cellStyle name="40% - Accent5 5 3 2" xfId="1597" xr:uid="{00000000-0005-0000-0000-0000DC4A0000}"/>
    <cellStyle name="40% - Accent5 5 3 2 2" xfId="5127" xr:uid="{00000000-0005-0000-0000-0000DD4A0000}"/>
    <cellStyle name="40% - Accent5 5 3 2 2 2" xfId="8718" xr:uid="{00000000-0005-0000-0000-0000DE4A0000}"/>
    <cellStyle name="40% - Accent5 5 3 2 2 2 2" xfId="16689" xr:uid="{00000000-0005-0000-0000-0000DF4A0000}"/>
    <cellStyle name="40% - Accent5 5 3 2 2 2 2 2" xfId="40532" xr:uid="{11CD5B66-6C9D-4BD3-A1ED-FCA6CD2FF2A3}"/>
    <cellStyle name="40% - Accent5 5 3 2 2 2 3" xfId="24635" xr:uid="{00000000-0005-0000-0000-0000E04A0000}"/>
    <cellStyle name="40% - Accent5 5 3 2 2 2 3 2" xfId="48468" xr:uid="{0DD0AFB4-D5D2-4D05-B888-E6B603880C34}"/>
    <cellStyle name="40% - Accent5 5 3 2 2 2 4" xfId="32591" xr:uid="{9E8079F2-B0C4-46B2-9F21-FE87A7B0E739}"/>
    <cellStyle name="40% - Accent5 5 3 2 2 3" xfId="13151" xr:uid="{00000000-0005-0000-0000-0000E14A0000}"/>
    <cellStyle name="40% - Accent5 5 3 2 2 3 2" xfId="37001" xr:uid="{7E8C98AC-4AD5-40F6-9BCE-2A10FAA554A6}"/>
    <cellStyle name="40% - Accent5 5 3 2 2 4" xfId="21106" xr:uid="{00000000-0005-0000-0000-0000E24A0000}"/>
    <cellStyle name="40% - Accent5 5 3 2 2 4 2" xfId="44939" xr:uid="{B1B2DFBF-C486-48F3-9C54-303476101BA5}"/>
    <cellStyle name="40% - Accent5 5 3 2 2 5" xfId="29060" xr:uid="{78BB3260-4409-4495-851C-140CB5DC7189}"/>
    <cellStyle name="40% - Accent5 5 3 2 3" xfId="6959" xr:uid="{00000000-0005-0000-0000-0000E34A0000}"/>
    <cellStyle name="40% - Accent5 5 3 2 3 2" xfId="14931" xr:uid="{00000000-0005-0000-0000-0000E44A0000}"/>
    <cellStyle name="40% - Accent5 5 3 2 3 2 2" xfId="38774" xr:uid="{04DEB20F-2161-476D-9BC7-67252F3759D1}"/>
    <cellStyle name="40% - Accent5 5 3 2 3 3" xfId="22878" xr:uid="{00000000-0005-0000-0000-0000E54A0000}"/>
    <cellStyle name="40% - Accent5 5 3 2 3 3 2" xfId="46711" xr:uid="{A674DD6A-5876-4C4D-9865-2E8D89001754}"/>
    <cellStyle name="40% - Accent5 5 3 2 3 4" xfId="30833" xr:uid="{F65D6C21-37C6-4A27-88D8-5FEA3A3F4E5C}"/>
    <cellStyle name="40% - Accent5 5 3 2 4" xfId="11395" xr:uid="{00000000-0005-0000-0000-0000E64A0000}"/>
    <cellStyle name="40% - Accent5 5 3 2 4 2" xfId="35245" xr:uid="{0B6B6E93-2F9C-4B99-87B4-29D8C9929D92}"/>
    <cellStyle name="40% - Accent5 5 3 2 5" xfId="19350" xr:uid="{00000000-0005-0000-0000-0000E74A0000}"/>
    <cellStyle name="40% - Accent5 5 3 2 5 2" xfId="43183" xr:uid="{DF91937C-1F46-4BAF-BA7E-DAC2398D7925}"/>
    <cellStyle name="40% - Accent5 5 3 2 6" xfId="27303" xr:uid="{15942CE5-8945-4F38-8AFB-D385885D13DB}"/>
    <cellStyle name="40% - Accent5 5 3 2_Exh G" xfId="3263" xr:uid="{00000000-0005-0000-0000-0000E84A0000}"/>
    <cellStyle name="40% - Accent5 5 3 3" xfId="4248" xr:uid="{00000000-0005-0000-0000-0000E94A0000}"/>
    <cellStyle name="40% - Accent5 5 3 3 2" xfId="7840" xr:uid="{00000000-0005-0000-0000-0000EA4A0000}"/>
    <cellStyle name="40% - Accent5 5 3 3 2 2" xfId="15811" xr:uid="{00000000-0005-0000-0000-0000EB4A0000}"/>
    <cellStyle name="40% - Accent5 5 3 3 2 2 2" xfId="39654" xr:uid="{6A271821-046B-4171-A7B3-696A27CF10D7}"/>
    <cellStyle name="40% - Accent5 5 3 3 2 3" xfId="23757" xr:uid="{00000000-0005-0000-0000-0000EC4A0000}"/>
    <cellStyle name="40% - Accent5 5 3 3 2 3 2" xfId="47590" xr:uid="{E2629028-FF40-45E7-9A04-655E698FF8AD}"/>
    <cellStyle name="40% - Accent5 5 3 3 2 4" xfId="31713" xr:uid="{73B16D15-BA11-4891-9B58-7AF9B8EF019A}"/>
    <cellStyle name="40% - Accent5 5 3 3 3" xfId="12273" xr:uid="{00000000-0005-0000-0000-0000ED4A0000}"/>
    <cellStyle name="40% - Accent5 5 3 3 3 2" xfId="36123" xr:uid="{8CBB9605-2BD7-4C79-ABDE-7EB90E7C17F3}"/>
    <cellStyle name="40% - Accent5 5 3 3 4" xfId="20228" xr:uid="{00000000-0005-0000-0000-0000EE4A0000}"/>
    <cellStyle name="40% - Accent5 5 3 3 4 2" xfId="44061" xr:uid="{C6A49806-2AA3-4C0A-8974-C788E37E4A7C}"/>
    <cellStyle name="40% - Accent5 5 3 3 5" xfId="28182" xr:uid="{A39F22D8-CE83-4BE3-BF7B-888A02FA947C}"/>
    <cellStyle name="40% - Accent5 5 3 4" xfId="6068" xr:uid="{00000000-0005-0000-0000-0000EF4A0000}"/>
    <cellStyle name="40% - Accent5 5 3 4 2" xfId="14052" xr:uid="{00000000-0005-0000-0000-0000F04A0000}"/>
    <cellStyle name="40% - Accent5 5 3 4 2 2" xfId="37896" xr:uid="{B3FA99F8-B216-421C-B9A2-5C1ECD3E28F5}"/>
    <cellStyle name="40% - Accent5 5 3 4 3" xfId="22000" xr:uid="{00000000-0005-0000-0000-0000F14A0000}"/>
    <cellStyle name="40% - Accent5 5 3 4 3 2" xfId="45833" xr:uid="{C4ED1A53-C8AC-4242-88E8-089E6E13270E}"/>
    <cellStyle name="40% - Accent5 5 3 4 4" xfId="29955" xr:uid="{2CCBB76A-B219-4489-AC03-67EE381AACFF}"/>
    <cellStyle name="40% - Accent5 5 3 5" xfId="9621" xr:uid="{00000000-0005-0000-0000-0000F24A0000}"/>
    <cellStyle name="40% - Accent5 5 3 5 2" xfId="17579" xr:uid="{00000000-0005-0000-0000-0000F34A0000}"/>
    <cellStyle name="40% - Accent5 5 3 5 2 2" xfId="41420" xr:uid="{8E3D2938-4ED6-4F85-A0CA-03AEE6938164}"/>
    <cellStyle name="40% - Accent5 5 3 5 3" xfId="25523" xr:uid="{00000000-0005-0000-0000-0000F44A0000}"/>
    <cellStyle name="40% - Accent5 5 3 5 3 2" xfId="49356" xr:uid="{FF28435B-097D-4505-AA1F-5DA3986AE1CE}"/>
    <cellStyle name="40% - Accent5 5 3 5 4" xfId="33479" xr:uid="{7F4E673A-7044-4728-8BF7-487B1F2E1515}"/>
    <cellStyle name="40% - Accent5 5 3 6" xfId="10517" xr:uid="{00000000-0005-0000-0000-0000F54A0000}"/>
    <cellStyle name="40% - Accent5 5 3 6 2" xfId="34367" xr:uid="{6E939034-D701-4F8C-B129-A72CA4EC289D}"/>
    <cellStyle name="40% - Accent5 5 3 7" xfId="18472" xr:uid="{00000000-0005-0000-0000-0000F64A0000}"/>
    <cellStyle name="40% - Accent5 5 3 7 2" xfId="42305" xr:uid="{A07BD6BF-D7FE-4126-86F2-CC8C3DBD91BF}"/>
    <cellStyle name="40% - Accent5 5 3 8" xfId="26425" xr:uid="{8AF077A8-4C15-4A1A-AE51-8B6574F5B494}"/>
    <cellStyle name="40% - Accent5 5 3_Exh G" xfId="3262" xr:uid="{00000000-0005-0000-0000-0000F74A0000}"/>
    <cellStyle name="40% - Accent5 5 4" xfId="989" xr:uid="{00000000-0005-0000-0000-0000F84A0000}"/>
    <cellStyle name="40% - Accent5 5 5" xfId="1594" xr:uid="{00000000-0005-0000-0000-0000F94A0000}"/>
    <cellStyle name="40% - Accent5 5 5 2" xfId="5124" xr:uid="{00000000-0005-0000-0000-0000FA4A0000}"/>
    <cellStyle name="40% - Accent5 5 5 2 2" xfId="8715" xr:uid="{00000000-0005-0000-0000-0000FB4A0000}"/>
    <cellStyle name="40% - Accent5 5 5 2 2 2" xfId="16686" xr:uid="{00000000-0005-0000-0000-0000FC4A0000}"/>
    <cellStyle name="40% - Accent5 5 5 2 2 2 2" xfId="40529" xr:uid="{9A2297FA-0520-4E63-AC44-E055F3A4E764}"/>
    <cellStyle name="40% - Accent5 5 5 2 2 3" xfId="24632" xr:uid="{00000000-0005-0000-0000-0000FD4A0000}"/>
    <cellStyle name="40% - Accent5 5 5 2 2 3 2" xfId="48465" xr:uid="{2124B989-00A7-4DB3-927E-4C7352373251}"/>
    <cellStyle name="40% - Accent5 5 5 2 2 4" xfId="32588" xr:uid="{0ED82026-1FBF-4CF5-AE63-A3E58266AD54}"/>
    <cellStyle name="40% - Accent5 5 5 2 3" xfId="13148" xr:uid="{00000000-0005-0000-0000-0000FE4A0000}"/>
    <cellStyle name="40% - Accent5 5 5 2 3 2" xfId="36998" xr:uid="{04E14367-1157-4AD8-BAC5-44D1D1C678E9}"/>
    <cellStyle name="40% - Accent5 5 5 2 4" xfId="21103" xr:uid="{00000000-0005-0000-0000-0000FF4A0000}"/>
    <cellStyle name="40% - Accent5 5 5 2 4 2" xfId="44936" xr:uid="{F6301637-5FF5-4803-80B9-4E37C7B05896}"/>
    <cellStyle name="40% - Accent5 5 5 2 5" xfId="29057" xr:uid="{E6873071-FE1F-4755-BEBB-C3F21147DD0D}"/>
    <cellStyle name="40% - Accent5 5 5 3" xfId="6956" xr:uid="{00000000-0005-0000-0000-0000004B0000}"/>
    <cellStyle name="40% - Accent5 5 5 3 2" xfId="14928" xr:uid="{00000000-0005-0000-0000-0000014B0000}"/>
    <cellStyle name="40% - Accent5 5 5 3 2 2" xfId="38771" xr:uid="{0DECEBD5-4768-44FB-809F-53C60C04FBD1}"/>
    <cellStyle name="40% - Accent5 5 5 3 3" xfId="22875" xr:uid="{00000000-0005-0000-0000-0000024B0000}"/>
    <cellStyle name="40% - Accent5 5 5 3 3 2" xfId="46708" xr:uid="{01AFD392-ABB9-4797-A63A-32E486AEDE50}"/>
    <cellStyle name="40% - Accent5 5 5 3 4" xfId="30830" xr:uid="{D2D7D31B-CFC2-43C4-B812-2CD754FF099D}"/>
    <cellStyle name="40% - Accent5 5 5 4" xfId="11392" xr:uid="{00000000-0005-0000-0000-0000034B0000}"/>
    <cellStyle name="40% - Accent5 5 5 4 2" xfId="35242" xr:uid="{AF6CC953-5EDE-409A-810D-56A510FBBA04}"/>
    <cellStyle name="40% - Accent5 5 5 5" xfId="19347" xr:uid="{00000000-0005-0000-0000-0000044B0000}"/>
    <cellStyle name="40% - Accent5 5 5 5 2" xfId="43180" xr:uid="{15F8269D-3851-4B87-879C-BD0B2450D8E2}"/>
    <cellStyle name="40% - Accent5 5 5 6" xfId="27300" xr:uid="{5FBCDEDC-0626-4334-915D-B7CA638CF351}"/>
    <cellStyle name="40% - Accent5 5 5_Exh G" xfId="3264" xr:uid="{00000000-0005-0000-0000-0000054B0000}"/>
    <cellStyle name="40% - Accent5 5 6" xfId="4245" xr:uid="{00000000-0005-0000-0000-0000064B0000}"/>
    <cellStyle name="40% - Accent5 5 6 2" xfId="7837" xr:uid="{00000000-0005-0000-0000-0000074B0000}"/>
    <cellStyle name="40% - Accent5 5 6 2 2" xfId="15808" xr:uid="{00000000-0005-0000-0000-0000084B0000}"/>
    <cellStyle name="40% - Accent5 5 6 2 2 2" xfId="39651" xr:uid="{8175A68A-FAD1-41C7-BCBE-C40D2E229B59}"/>
    <cellStyle name="40% - Accent5 5 6 2 3" xfId="23754" xr:uid="{00000000-0005-0000-0000-0000094B0000}"/>
    <cellStyle name="40% - Accent5 5 6 2 3 2" xfId="47587" xr:uid="{66F770D7-F158-4161-86F7-18F3BCE03506}"/>
    <cellStyle name="40% - Accent5 5 6 2 4" xfId="31710" xr:uid="{D6F1D127-482B-4AC2-A513-67406BCF0D35}"/>
    <cellStyle name="40% - Accent5 5 6 3" xfId="12270" xr:uid="{00000000-0005-0000-0000-00000A4B0000}"/>
    <cellStyle name="40% - Accent5 5 6 3 2" xfId="36120" xr:uid="{50F575FD-2230-470E-9342-3ABE27113D79}"/>
    <cellStyle name="40% - Accent5 5 6 4" xfId="20225" xr:uid="{00000000-0005-0000-0000-00000B4B0000}"/>
    <cellStyle name="40% - Accent5 5 6 4 2" xfId="44058" xr:uid="{4126DF0D-BEB5-480D-A0A6-7E0C9D0AC9F9}"/>
    <cellStyle name="40% - Accent5 5 6 5" xfId="28179" xr:uid="{654C2C29-A2DD-4EF4-8EE3-16DE190B8120}"/>
    <cellStyle name="40% - Accent5 5 7" xfId="6065" xr:uid="{00000000-0005-0000-0000-00000C4B0000}"/>
    <cellStyle name="40% - Accent5 5 7 2" xfId="14049" xr:uid="{00000000-0005-0000-0000-00000D4B0000}"/>
    <cellStyle name="40% - Accent5 5 7 2 2" xfId="37893" xr:uid="{2459B26C-B62E-428F-A70F-A34EF1A97099}"/>
    <cellStyle name="40% - Accent5 5 7 3" xfId="21997" xr:uid="{00000000-0005-0000-0000-00000E4B0000}"/>
    <cellStyle name="40% - Accent5 5 7 3 2" xfId="45830" xr:uid="{42B91058-6A56-447C-95EE-7C1CDC98926B}"/>
    <cellStyle name="40% - Accent5 5 7 4" xfId="29952" xr:uid="{C0534633-1443-4DDE-BE22-B2EF4FE50564}"/>
    <cellStyle name="40% - Accent5 5 8" xfId="9618" xr:uid="{00000000-0005-0000-0000-00000F4B0000}"/>
    <cellStyle name="40% - Accent5 5 8 2" xfId="17576" xr:uid="{00000000-0005-0000-0000-0000104B0000}"/>
    <cellStyle name="40% - Accent5 5 8 2 2" xfId="41417" xr:uid="{8C29E00E-4D71-4610-B3E4-E966CC842737}"/>
    <cellStyle name="40% - Accent5 5 8 3" xfId="25520" xr:uid="{00000000-0005-0000-0000-0000114B0000}"/>
    <cellStyle name="40% - Accent5 5 8 3 2" xfId="49353" xr:uid="{B1A068C7-4742-4076-8E89-C1ED1F98506A}"/>
    <cellStyle name="40% - Accent5 5 8 4" xfId="33476" xr:uid="{4BB96315-352C-469F-AEE7-8348BCD5621B}"/>
    <cellStyle name="40% - Accent5 5 9" xfId="10514" xr:uid="{00000000-0005-0000-0000-0000124B0000}"/>
    <cellStyle name="40% - Accent5 5 9 2" xfId="34364" xr:uid="{A570B208-4C7F-421E-98B5-C77D16198285}"/>
    <cellStyle name="40% - Accent5 5_Exh G" xfId="3257" xr:uid="{00000000-0005-0000-0000-0000134B0000}"/>
    <cellStyle name="40% - Accent5 6" xfId="570" xr:uid="{00000000-0005-0000-0000-0000144B0000}"/>
    <cellStyle name="40% - Accent5 6 10" xfId="18473" xr:uid="{00000000-0005-0000-0000-0000154B0000}"/>
    <cellStyle name="40% - Accent5 6 10 2" xfId="42306" xr:uid="{08236949-D02A-4085-9C11-59C05902A388}"/>
    <cellStyle name="40% - Accent5 6 11" xfId="26426" xr:uid="{32C45EA7-1ADA-44DB-BE1C-646B5849F110}"/>
    <cellStyle name="40% - Accent5 6 2" xfId="571" xr:uid="{00000000-0005-0000-0000-0000164B0000}"/>
    <cellStyle name="40% - Accent5 6 2 2" xfId="572" xr:uid="{00000000-0005-0000-0000-0000174B0000}"/>
    <cellStyle name="40% - Accent5 6 2 2 2" xfId="1600" xr:uid="{00000000-0005-0000-0000-0000184B0000}"/>
    <cellStyle name="40% - Accent5 6 2 2 2 2" xfId="5130" xr:uid="{00000000-0005-0000-0000-0000194B0000}"/>
    <cellStyle name="40% - Accent5 6 2 2 2 2 2" xfId="8721" xr:uid="{00000000-0005-0000-0000-00001A4B0000}"/>
    <cellStyle name="40% - Accent5 6 2 2 2 2 2 2" xfId="16692" xr:uid="{00000000-0005-0000-0000-00001B4B0000}"/>
    <cellStyle name="40% - Accent5 6 2 2 2 2 2 2 2" xfId="40535" xr:uid="{340DC779-E47C-4728-A986-8BA531AB1CFA}"/>
    <cellStyle name="40% - Accent5 6 2 2 2 2 2 3" xfId="24638" xr:uid="{00000000-0005-0000-0000-00001C4B0000}"/>
    <cellStyle name="40% - Accent5 6 2 2 2 2 2 3 2" xfId="48471" xr:uid="{9B24265D-0991-4CFA-85A9-BBDF703999F8}"/>
    <cellStyle name="40% - Accent5 6 2 2 2 2 2 4" xfId="32594" xr:uid="{8F37B482-C1ED-40F7-9D41-B4BBDEB2DE7F}"/>
    <cellStyle name="40% - Accent5 6 2 2 2 2 3" xfId="13154" xr:uid="{00000000-0005-0000-0000-00001D4B0000}"/>
    <cellStyle name="40% - Accent5 6 2 2 2 2 3 2" xfId="37004" xr:uid="{278C5A84-7BD6-4554-B285-EB0D6BB85B59}"/>
    <cellStyle name="40% - Accent5 6 2 2 2 2 4" xfId="21109" xr:uid="{00000000-0005-0000-0000-00001E4B0000}"/>
    <cellStyle name="40% - Accent5 6 2 2 2 2 4 2" xfId="44942" xr:uid="{C36819FA-6AD2-4407-847C-1DD1F7971837}"/>
    <cellStyle name="40% - Accent5 6 2 2 2 2 5" xfId="29063" xr:uid="{76D7E451-B8A0-4F4B-81C3-ED29E9F4399F}"/>
    <cellStyle name="40% - Accent5 6 2 2 2 3" xfId="6962" xr:uid="{00000000-0005-0000-0000-00001F4B0000}"/>
    <cellStyle name="40% - Accent5 6 2 2 2 3 2" xfId="14934" xr:uid="{00000000-0005-0000-0000-0000204B0000}"/>
    <cellStyle name="40% - Accent5 6 2 2 2 3 2 2" xfId="38777" xr:uid="{7778E790-54A9-4173-B543-B4536ECF24D7}"/>
    <cellStyle name="40% - Accent5 6 2 2 2 3 3" xfId="22881" xr:uid="{00000000-0005-0000-0000-0000214B0000}"/>
    <cellStyle name="40% - Accent5 6 2 2 2 3 3 2" xfId="46714" xr:uid="{6ECD0CDD-0ACF-4EB2-B9BD-BE9214CC0F97}"/>
    <cellStyle name="40% - Accent5 6 2 2 2 3 4" xfId="30836" xr:uid="{05BD0E9E-837B-4B53-986E-02CB79BADE97}"/>
    <cellStyle name="40% - Accent5 6 2 2 2 4" xfId="11398" xr:uid="{00000000-0005-0000-0000-0000224B0000}"/>
    <cellStyle name="40% - Accent5 6 2 2 2 4 2" xfId="35248" xr:uid="{6B5F02D7-4563-4109-8C86-8D1C0E258EEF}"/>
    <cellStyle name="40% - Accent5 6 2 2 2 5" xfId="19353" xr:uid="{00000000-0005-0000-0000-0000234B0000}"/>
    <cellStyle name="40% - Accent5 6 2 2 2 5 2" xfId="43186" xr:uid="{A435C545-2F35-4399-9BAD-C21AD359A0BF}"/>
    <cellStyle name="40% - Accent5 6 2 2 2 6" xfId="27306" xr:uid="{80F94E43-E35F-4A43-97A7-D521E4FF34CC}"/>
    <cellStyle name="40% - Accent5 6 2 2 2_Exh G" xfId="3268" xr:uid="{00000000-0005-0000-0000-0000244B0000}"/>
    <cellStyle name="40% - Accent5 6 2 2 3" xfId="4251" xr:uid="{00000000-0005-0000-0000-0000254B0000}"/>
    <cellStyle name="40% - Accent5 6 2 2 3 2" xfId="7843" xr:uid="{00000000-0005-0000-0000-0000264B0000}"/>
    <cellStyle name="40% - Accent5 6 2 2 3 2 2" xfId="15814" xr:uid="{00000000-0005-0000-0000-0000274B0000}"/>
    <cellStyle name="40% - Accent5 6 2 2 3 2 2 2" xfId="39657" xr:uid="{D3947B1F-6352-4F65-8031-DB3BEE7EB1D7}"/>
    <cellStyle name="40% - Accent5 6 2 2 3 2 3" xfId="23760" xr:uid="{00000000-0005-0000-0000-0000284B0000}"/>
    <cellStyle name="40% - Accent5 6 2 2 3 2 3 2" xfId="47593" xr:uid="{FD119395-8BAD-4869-A24B-BF2EE7AC0E48}"/>
    <cellStyle name="40% - Accent5 6 2 2 3 2 4" xfId="31716" xr:uid="{E52645A1-29C5-4D6E-8E80-F2455CAB2AD1}"/>
    <cellStyle name="40% - Accent5 6 2 2 3 3" xfId="12276" xr:uid="{00000000-0005-0000-0000-0000294B0000}"/>
    <cellStyle name="40% - Accent5 6 2 2 3 3 2" xfId="36126" xr:uid="{90069A6A-79B9-48EB-8251-831D35FD36D9}"/>
    <cellStyle name="40% - Accent5 6 2 2 3 4" xfId="20231" xr:uid="{00000000-0005-0000-0000-00002A4B0000}"/>
    <cellStyle name="40% - Accent5 6 2 2 3 4 2" xfId="44064" xr:uid="{CFF9B099-4873-4430-BD23-3A5E2489F24B}"/>
    <cellStyle name="40% - Accent5 6 2 2 3 5" xfId="28185" xr:uid="{C99B5806-FD54-4FD3-9058-C7399B9B7E92}"/>
    <cellStyle name="40% - Accent5 6 2 2 4" xfId="6071" xr:uid="{00000000-0005-0000-0000-00002B4B0000}"/>
    <cellStyle name="40% - Accent5 6 2 2 4 2" xfId="14055" xr:uid="{00000000-0005-0000-0000-00002C4B0000}"/>
    <cellStyle name="40% - Accent5 6 2 2 4 2 2" xfId="37899" xr:uid="{793EA620-9BCB-4BCC-9E4F-EDF0B1DF67D1}"/>
    <cellStyle name="40% - Accent5 6 2 2 4 3" xfId="22003" xr:uid="{00000000-0005-0000-0000-00002D4B0000}"/>
    <cellStyle name="40% - Accent5 6 2 2 4 3 2" xfId="45836" xr:uid="{6D0FD843-E0FD-41ED-9020-F2F70CBDC9EC}"/>
    <cellStyle name="40% - Accent5 6 2 2 4 4" xfId="29958" xr:uid="{09930C9E-497A-4EDA-A5D9-B8DD6451DA66}"/>
    <cellStyle name="40% - Accent5 6 2 2 5" xfId="9624" xr:uid="{00000000-0005-0000-0000-00002E4B0000}"/>
    <cellStyle name="40% - Accent5 6 2 2 5 2" xfId="17582" xr:uid="{00000000-0005-0000-0000-00002F4B0000}"/>
    <cellStyle name="40% - Accent5 6 2 2 5 2 2" xfId="41423" xr:uid="{FCC34608-5067-485E-B6B7-0AB576F87668}"/>
    <cellStyle name="40% - Accent5 6 2 2 5 3" xfId="25526" xr:uid="{00000000-0005-0000-0000-0000304B0000}"/>
    <cellStyle name="40% - Accent5 6 2 2 5 3 2" xfId="49359" xr:uid="{05B797D6-B988-4817-ACE9-8BA36F46FDF1}"/>
    <cellStyle name="40% - Accent5 6 2 2 5 4" xfId="33482" xr:uid="{BA10AA89-5920-4478-B5D2-E3667511B05A}"/>
    <cellStyle name="40% - Accent5 6 2 2 6" xfId="10520" xr:uid="{00000000-0005-0000-0000-0000314B0000}"/>
    <cellStyle name="40% - Accent5 6 2 2 6 2" xfId="34370" xr:uid="{204CA21E-4914-48E4-81F0-2C2B40572A25}"/>
    <cellStyle name="40% - Accent5 6 2 2 7" xfId="18475" xr:uid="{00000000-0005-0000-0000-0000324B0000}"/>
    <cellStyle name="40% - Accent5 6 2 2 7 2" xfId="42308" xr:uid="{C105148C-347B-4A91-B73E-7127E76DD9EA}"/>
    <cellStyle name="40% - Accent5 6 2 2 8" xfId="26428" xr:uid="{FEE2E124-28F7-428A-8727-37C297CC2EBF}"/>
    <cellStyle name="40% - Accent5 6 2 2_Exh G" xfId="3267" xr:uid="{00000000-0005-0000-0000-0000334B0000}"/>
    <cellStyle name="40% - Accent5 6 2 3" xfId="1599" xr:uid="{00000000-0005-0000-0000-0000344B0000}"/>
    <cellStyle name="40% - Accent5 6 2 3 2" xfId="5129" xr:uid="{00000000-0005-0000-0000-0000354B0000}"/>
    <cellStyle name="40% - Accent5 6 2 3 2 2" xfId="8720" xr:uid="{00000000-0005-0000-0000-0000364B0000}"/>
    <cellStyle name="40% - Accent5 6 2 3 2 2 2" xfId="16691" xr:uid="{00000000-0005-0000-0000-0000374B0000}"/>
    <cellStyle name="40% - Accent5 6 2 3 2 2 2 2" xfId="40534" xr:uid="{4C465964-6765-4EA3-8C43-484034678151}"/>
    <cellStyle name="40% - Accent5 6 2 3 2 2 3" xfId="24637" xr:uid="{00000000-0005-0000-0000-0000384B0000}"/>
    <cellStyle name="40% - Accent5 6 2 3 2 2 3 2" xfId="48470" xr:uid="{FC40EA60-2A17-4B75-87D8-2D7D579D6DC5}"/>
    <cellStyle name="40% - Accent5 6 2 3 2 2 4" xfId="32593" xr:uid="{13531E83-C654-4F08-BB4A-531543B7B456}"/>
    <cellStyle name="40% - Accent5 6 2 3 2 3" xfId="13153" xr:uid="{00000000-0005-0000-0000-0000394B0000}"/>
    <cellStyle name="40% - Accent5 6 2 3 2 3 2" xfId="37003" xr:uid="{A5A6F9E9-1261-4E03-A5F0-6E246C04723A}"/>
    <cellStyle name="40% - Accent5 6 2 3 2 4" xfId="21108" xr:uid="{00000000-0005-0000-0000-00003A4B0000}"/>
    <cellStyle name="40% - Accent5 6 2 3 2 4 2" xfId="44941" xr:uid="{26A3C7EC-76F2-4EEB-A3A7-64D1144B4A2C}"/>
    <cellStyle name="40% - Accent5 6 2 3 2 5" xfId="29062" xr:uid="{948DB636-CB84-4F47-8BAF-9C7DFFF102F8}"/>
    <cellStyle name="40% - Accent5 6 2 3 3" xfId="6961" xr:uid="{00000000-0005-0000-0000-00003B4B0000}"/>
    <cellStyle name="40% - Accent5 6 2 3 3 2" xfId="14933" xr:uid="{00000000-0005-0000-0000-00003C4B0000}"/>
    <cellStyle name="40% - Accent5 6 2 3 3 2 2" xfId="38776" xr:uid="{386CBF08-7577-4849-9B35-ABC8AE5A99F8}"/>
    <cellStyle name="40% - Accent5 6 2 3 3 3" xfId="22880" xr:uid="{00000000-0005-0000-0000-00003D4B0000}"/>
    <cellStyle name="40% - Accent5 6 2 3 3 3 2" xfId="46713" xr:uid="{A59B0476-9128-43D6-A4EB-3DBC9C4C8408}"/>
    <cellStyle name="40% - Accent5 6 2 3 3 4" xfId="30835" xr:uid="{788E6AC2-9906-475B-A2D9-8DD6E48D8C03}"/>
    <cellStyle name="40% - Accent5 6 2 3 4" xfId="11397" xr:uid="{00000000-0005-0000-0000-00003E4B0000}"/>
    <cellStyle name="40% - Accent5 6 2 3 4 2" xfId="35247" xr:uid="{0C063449-B05D-4AC4-9017-D54129E18D16}"/>
    <cellStyle name="40% - Accent5 6 2 3 5" xfId="19352" xr:uid="{00000000-0005-0000-0000-00003F4B0000}"/>
    <cellStyle name="40% - Accent5 6 2 3 5 2" xfId="43185" xr:uid="{3A0FCC98-2902-4F60-BEC4-6D043566AE62}"/>
    <cellStyle name="40% - Accent5 6 2 3 6" xfId="27305" xr:uid="{D83B0B31-7F1A-4688-90CC-1D231768F037}"/>
    <cellStyle name="40% - Accent5 6 2 3_Exh G" xfId="3269" xr:uid="{00000000-0005-0000-0000-0000404B0000}"/>
    <cellStyle name="40% - Accent5 6 2 4" xfId="4250" xr:uid="{00000000-0005-0000-0000-0000414B0000}"/>
    <cellStyle name="40% - Accent5 6 2 4 2" xfId="7842" xr:uid="{00000000-0005-0000-0000-0000424B0000}"/>
    <cellStyle name="40% - Accent5 6 2 4 2 2" xfId="15813" xr:uid="{00000000-0005-0000-0000-0000434B0000}"/>
    <cellStyle name="40% - Accent5 6 2 4 2 2 2" xfId="39656" xr:uid="{C12026BF-F9FF-4097-96B4-29D475B0BC5B}"/>
    <cellStyle name="40% - Accent5 6 2 4 2 3" xfId="23759" xr:uid="{00000000-0005-0000-0000-0000444B0000}"/>
    <cellStyle name="40% - Accent5 6 2 4 2 3 2" xfId="47592" xr:uid="{A280A3C2-0956-4709-80CB-0C383D1DFC8B}"/>
    <cellStyle name="40% - Accent5 6 2 4 2 4" xfId="31715" xr:uid="{5A538C86-D55B-4585-9BD8-FEC1603B6B88}"/>
    <cellStyle name="40% - Accent5 6 2 4 3" xfId="12275" xr:uid="{00000000-0005-0000-0000-0000454B0000}"/>
    <cellStyle name="40% - Accent5 6 2 4 3 2" xfId="36125" xr:uid="{AC936DB3-1411-4B25-BE0E-0AECF5D01E61}"/>
    <cellStyle name="40% - Accent5 6 2 4 4" xfId="20230" xr:uid="{00000000-0005-0000-0000-0000464B0000}"/>
    <cellStyle name="40% - Accent5 6 2 4 4 2" xfId="44063" xr:uid="{890AF4CC-80F0-4AF6-820C-B5253A43740E}"/>
    <cellStyle name="40% - Accent5 6 2 4 5" xfId="28184" xr:uid="{FF5A5B25-58AE-47E5-AB17-8D3E1A96FD54}"/>
    <cellStyle name="40% - Accent5 6 2 5" xfId="6070" xr:uid="{00000000-0005-0000-0000-0000474B0000}"/>
    <cellStyle name="40% - Accent5 6 2 5 2" xfId="14054" xr:uid="{00000000-0005-0000-0000-0000484B0000}"/>
    <cellStyle name="40% - Accent5 6 2 5 2 2" xfId="37898" xr:uid="{55457271-2313-4154-BF58-A70E843F2ECC}"/>
    <cellStyle name="40% - Accent5 6 2 5 3" xfId="22002" xr:uid="{00000000-0005-0000-0000-0000494B0000}"/>
    <cellStyle name="40% - Accent5 6 2 5 3 2" xfId="45835" xr:uid="{0C425813-CD35-49F9-85DB-6B969B1AB65E}"/>
    <cellStyle name="40% - Accent5 6 2 5 4" xfId="29957" xr:uid="{9C40460D-781A-46FB-BC7A-8A736054A0A9}"/>
    <cellStyle name="40% - Accent5 6 2 6" xfId="9623" xr:uid="{00000000-0005-0000-0000-00004A4B0000}"/>
    <cellStyle name="40% - Accent5 6 2 6 2" xfId="17581" xr:uid="{00000000-0005-0000-0000-00004B4B0000}"/>
    <cellStyle name="40% - Accent5 6 2 6 2 2" xfId="41422" xr:uid="{8BD22323-3DAF-4DD3-B82E-A63896F66814}"/>
    <cellStyle name="40% - Accent5 6 2 6 3" xfId="25525" xr:uid="{00000000-0005-0000-0000-00004C4B0000}"/>
    <cellStyle name="40% - Accent5 6 2 6 3 2" xfId="49358" xr:uid="{995CDE78-22E0-4BB3-90FD-36CBB73BBA2A}"/>
    <cellStyle name="40% - Accent5 6 2 6 4" xfId="33481" xr:uid="{4DB88913-A931-414A-BD82-A4A2F6A2B152}"/>
    <cellStyle name="40% - Accent5 6 2 7" xfId="10519" xr:uid="{00000000-0005-0000-0000-00004D4B0000}"/>
    <cellStyle name="40% - Accent5 6 2 7 2" xfId="34369" xr:uid="{71C9DA54-8521-4A4D-8159-48763F9F5296}"/>
    <cellStyle name="40% - Accent5 6 2 8" xfId="18474" xr:uid="{00000000-0005-0000-0000-00004E4B0000}"/>
    <cellStyle name="40% - Accent5 6 2 8 2" xfId="42307" xr:uid="{673C1504-DC48-494E-9840-5CA203373F72}"/>
    <cellStyle name="40% - Accent5 6 2 9" xfId="26427" xr:uid="{78AC300B-61C9-4AEE-A077-57B889060750}"/>
    <cellStyle name="40% - Accent5 6 2_Exh G" xfId="3266" xr:uid="{00000000-0005-0000-0000-00004F4B0000}"/>
    <cellStyle name="40% - Accent5 6 3" xfId="573" xr:uid="{00000000-0005-0000-0000-0000504B0000}"/>
    <cellStyle name="40% - Accent5 6 3 2" xfId="1601" xr:uid="{00000000-0005-0000-0000-0000514B0000}"/>
    <cellStyle name="40% - Accent5 6 3 2 2" xfId="5131" xr:uid="{00000000-0005-0000-0000-0000524B0000}"/>
    <cellStyle name="40% - Accent5 6 3 2 2 2" xfId="8722" xr:uid="{00000000-0005-0000-0000-0000534B0000}"/>
    <cellStyle name="40% - Accent5 6 3 2 2 2 2" xfId="16693" xr:uid="{00000000-0005-0000-0000-0000544B0000}"/>
    <cellStyle name="40% - Accent5 6 3 2 2 2 2 2" xfId="40536" xr:uid="{611FE22B-546B-48AF-8051-99CA7664CBAB}"/>
    <cellStyle name="40% - Accent5 6 3 2 2 2 3" xfId="24639" xr:uid="{00000000-0005-0000-0000-0000554B0000}"/>
    <cellStyle name="40% - Accent5 6 3 2 2 2 3 2" xfId="48472" xr:uid="{2651C345-A8AB-4628-AA4F-73C8008B01C8}"/>
    <cellStyle name="40% - Accent5 6 3 2 2 2 4" xfId="32595" xr:uid="{3E2403D1-A252-466D-A8D4-36FCCB840BA0}"/>
    <cellStyle name="40% - Accent5 6 3 2 2 3" xfId="13155" xr:uid="{00000000-0005-0000-0000-0000564B0000}"/>
    <cellStyle name="40% - Accent5 6 3 2 2 3 2" xfId="37005" xr:uid="{C56307D3-36E6-40C7-8853-2C5022742805}"/>
    <cellStyle name="40% - Accent5 6 3 2 2 4" xfId="21110" xr:uid="{00000000-0005-0000-0000-0000574B0000}"/>
    <cellStyle name="40% - Accent5 6 3 2 2 4 2" xfId="44943" xr:uid="{ECB3A12C-960F-44C7-B72F-3C31809B3E0D}"/>
    <cellStyle name="40% - Accent5 6 3 2 2 5" xfId="29064" xr:uid="{923A63A6-6D6F-4B9F-BA41-B30B85E45601}"/>
    <cellStyle name="40% - Accent5 6 3 2 3" xfId="6963" xr:uid="{00000000-0005-0000-0000-0000584B0000}"/>
    <cellStyle name="40% - Accent5 6 3 2 3 2" xfId="14935" xr:uid="{00000000-0005-0000-0000-0000594B0000}"/>
    <cellStyle name="40% - Accent5 6 3 2 3 2 2" xfId="38778" xr:uid="{B8B3555C-D888-418B-80B4-A03A5BB5072C}"/>
    <cellStyle name="40% - Accent5 6 3 2 3 3" xfId="22882" xr:uid="{00000000-0005-0000-0000-00005A4B0000}"/>
    <cellStyle name="40% - Accent5 6 3 2 3 3 2" xfId="46715" xr:uid="{EE23CD50-0D56-40BB-8C0F-37772210DC27}"/>
    <cellStyle name="40% - Accent5 6 3 2 3 4" xfId="30837" xr:uid="{397E3100-F82E-4777-A834-4E965D41C059}"/>
    <cellStyle name="40% - Accent5 6 3 2 4" xfId="11399" xr:uid="{00000000-0005-0000-0000-00005B4B0000}"/>
    <cellStyle name="40% - Accent5 6 3 2 4 2" xfId="35249" xr:uid="{E2E20329-8301-44E4-8383-0B99FEEC63DB}"/>
    <cellStyle name="40% - Accent5 6 3 2 5" xfId="19354" xr:uid="{00000000-0005-0000-0000-00005C4B0000}"/>
    <cellStyle name="40% - Accent5 6 3 2 5 2" xfId="43187" xr:uid="{B3816A1B-382F-4E2D-B09F-E6797CBEA029}"/>
    <cellStyle name="40% - Accent5 6 3 2 6" xfId="27307" xr:uid="{BD1A09AB-209B-4D33-A9A3-B655D12F91D7}"/>
    <cellStyle name="40% - Accent5 6 3 2_Exh G" xfId="3271" xr:uid="{00000000-0005-0000-0000-00005D4B0000}"/>
    <cellStyle name="40% - Accent5 6 3 3" xfId="4252" xr:uid="{00000000-0005-0000-0000-00005E4B0000}"/>
    <cellStyle name="40% - Accent5 6 3 3 2" xfId="7844" xr:uid="{00000000-0005-0000-0000-00005F4B0000}"/>
    <cellStyle name="40% - Accent5 6 3 3 2 2" xfId="15815" xr:uid="{00000000-0005-0000-0000-0000604B0000}"/>
    <cellStyle name="40% - Accent5 6 3 3 2 2 2" xfId="39658" xr:uid="{E174EA2B-202B-45F9-89AB-D12C84247DBF}"/>
    <cellStyle name="40% - Accent5 6 3 3 2 3" xfId="23761" xr:uid="{00000000-0005-0000-0000-0000614B0000}"/>
    <cellStyle name="40% - Accent5 6 3 3 2 3 2" xfId="47594" xr:uid="{1AD41BA8-21D8-40BD-B822-9DF4A7F5076B}"/>
    <cellStyle name="40% - Accent5 6 3 3 2 4" xfId="31717" xr:uid="{D3500CBA-DA9A-442F-BFF6-F64D358077CB}"/>
    <cellStyle name="40% - Accent5 6 3 3 3" xfId="12277" xr:uid="{00000000-0005-0000-0000-0000624B0000}"/>
    <cellStyle name="40% - Accent5 6 3 3 3 2" xfId="36127" xr:uid="{8D92AF5C-9787-4D95-A8F3-679EB03E5907}"/>
    <cellStyle name="40% - Accent5 6 3 3 4" xfId="20232" xr:uid="{00000000-0005-0000-0000-0000634B0000}"/>
    <cellStyle name="40% - Accent5 6 3 3 4 2" xfId="44065" xr:uid="{8550094C-53A5-4D73-86EF-EEF4E78B2BDB}"/>
    <cellStyle name="40% - Accent5 6 3 3 5" xfId="28186" xr:uid="{2EF766CA-E780-4369-A7B5-18835ADAC398}"/>
    <cellStyle name="40% - Accent5 6 3 4" xfId="6072" xr:uid="{00000000-0005-0000-0000-0000644B0000}"/>
    <cellStyle name="40% - Accent5 6 3 4 2" xfId="14056" xr:uid="{00000000-0005-0000-0000-0000654B0000}"/>
    <cellStyle name="40% - Accent5 6 3 4 2 2" xfId="37900" xr:uid="{0D34418D-097A-49B0-A9F3-C94DED744D53}"/>
    <cellStyle name="40% - Accent5 6 3 4 3" xfId="22004" xr:uid="{00000000-0005-0000-0000-0000664B0000}"/>
    <cellStyle name="40% - Accent5 6 3 4 3 2" xfId="45837" xr:uid="{1BDC4041-0CD3-494A-8EAB-81F1DE88C1FE}"/>
    <cellStyle name="40% - Accent5 6 3 4 4" xfId="29959" xr:uid="{4FCE9121-62E8-4A5C-8BC2-BAAD6A8108EC}"/>
    <cellStyle name="40% - Accent5 6 3 5" xfId="9625" xr:uid="{00000000-0005-0000-0000-0000674B0000}"/>
    <cellStyle name="40% - Accent5 6 3 5 2" xfId="17583" xr:uid="{00000000-0005-0000-0000-0000684B0000}"/>
    <cellStyle name="40% - Accent5 6 3 5 2 2" xfId="41424" xr:uid="{A3B2F051-D4CB-4B4B-AE52-BB697B1DB148}"/>
    <cellStyle name="40% - Accent5 6 3 5 3" xfId="25527" xr:uid="{00000000-0005-0000-0000-0000694B0000}"/>
    <cellStyle name="40% - Accent5 6 3 5 3 2" xfId="49360" xr:uid="{997C918D-A955-4153-B5D8-3F690364B3CB}"/>
    <cellStyle name="40% - Accent5 6 3 5 4" xfId="33483" xr:uid="{C361A855-0CE6-4804-8FB2-E2DD4B3A4F0D}"/>
    <cellStyle name="40% - Accent5 6 3 6" xfId="10521" xr:uid="{00000000-0005-0000-0000-00006A4B0000}"/>
    <cellStyle name="40% - Accent5 6 3 6 2" xfId="34371" xr:uid="{1F37CA04-58FF-4BD9-B23C-C81E85B86A10}"/>
    <cellStyle name="40% - Accent5 6 3 7" xfId="18476" xr:uid="{00000000-0005-0000-0000-00006B4B0000}"/>
    <cellStyle name="40% - Accent5 6 3 7 2" xfId="42309" xr:uid="{7F0265B9-0809-44DA-AB1E-F44678FDEB0B}"/>
    <cellStyle name="40% - Accent5 6 3 8" xfId="26429" xr:uid="{006B6E13-1BB1-4DAA-9EF6-387DE26FBC1A}"/>
    <cellStyle name="40% - Accent5 6 3_Exh G" xfId="3270" xr:uid="{00000000-0005-0000-0000-00006C4B0000}"/>
    <cellStyle name="40% - Accent5 6 4" xfId="990" xr:uid="{00000000-0005-0000-0000-00006D4B0000}"/>
    <cellStyle name="40% - Accent5 6 4 2" xfId="1905" xr:uid="{00000000-0005-0000-0000-00006E4B0000}"/>
    <cellStyle name="40% - Accent5 6 4 2 2" xfId="5423" xr:uid="{00000000-0005-0000-0000-00006F4B0000}"/>
    <cellStyle name="40% - Accent5 6 4 2 2 2" xfId="9014" xr:uid="{00000000-0005-0000-0000-0000704B0000}"/>
    <cellStyle name="40% - Accent5 6 4 2 2 2 2" xfId="16985" xr:uid="{00000000-0005-0000-0000-0000714B0000}"/>
    <cellStyle name="40% - Accent5 6 4 2 2 2 2 2" xfId="40828" xr:uid="{851A064E-DE6A-4F21-ACD3-877BE3A76388}"/>
    <cellStyle name="40% - Accent5 6 4 2 2 2 3" xfId="24931" xr:uid="{00000000-0005-0000-0000-0000724B0000}"/>
    <cellStyle name="40% - Accent5 6 4 2 2 2 3 2" xfId="48764" xr:uid="{8515C885-7924-4EE9-8D66-3D1ED6A557F3}"/>
    <cellStyle name="40% - Accent5 6 4 2 2 2 4" xfId="32887" xr:uid="{1B0A8E9C-4788-421B-8890-CC2E0432F5B3}"/>
    <cellStyle name="40% - Accent5 6 4 2 2 3" xfId="13447" xr:uid="{00000000-0005-0000-0000-0000734B0000}"/>
    <cellStyle name="40% - Accent5 6 4 2 2 3 2" xfId="37297" xr:uid="{5757EB9F-BCAF-464A-9B13-2BE33BD7D862}"/>
    <cellStyle name="40% - Accent5 6 4 2 2 4" xfId="21402" xr:uid="{00000000-0005-0000-0000-0000744B0000}"/>
    <cellStyle name="40% - Accent5 6 4 2 2 4 2" xfId="45235" xr:uid="{781DD712-4EFF-4A6C-BA95-CCD293AE906A}"/>
    <cellStyle name="40% - Accent5 6 4 2 2 5" xfId="29356" xr:uid="{3FF58EA7-F480-4A56-B3D5-6E4D41B953AA}"/>
    <cellStyle name="40% - Accent5 6 4 2 3" xfId="7255" xr:uid="{00000000-0005-0000-0000-0000754B0000}"/>
    <cellStyle name="40% - Accent5 6 4 2 3 2" xfId="15227" xr:uid="{00000000-0005-0000-0000-0000764B0000}"/>
    <cellStyle name="40% - Accent5 6 4 2 3 2 2" xfId="39070" xr:uid="{8ED5AE8F-5E53-4FC6-B828-0750448FEE16}"/>
    <cellStyle name="40% - Accent5 6 4 2 3 3" xfId="23174" xr:uid="{00000000-0005-0000-0000-0000774B0000}"/>
    <cellStyle name="40% - Accent5 6 4 2 3 3 2" xfId="47007" xr:uid="{79A14964-55E3-4D7E-9B27-590C91DABA4B}"/>
    <cellStyle name="40% - Accent5 6 4 2 3 4" xfId="31129" xr:uid="{EDC127FA-C6A5-4843-9002-C6F59319C95F}"/>
    <cellStyle name="40% - Accent5 6 4 2 4" xfId="11691" xr:uid="{00000000-0005-0000-0000-0000784B0000}"/>
    <cellStyle name="40% - Accent5 6 4 2 4 2" xfId="35541" xr:uid="{2DBF57D2-8A4F-4A17-90EE-EC74D9AA3A93}"/>
    <cellStyle name="40% - Accent5 6 4 2 5" xfId="19646" xr:uid="{00000000-0005-0000-0000-0000794B0000}"/>
    <cellStyle name="40% - Accent5 6 4 2 5 2" xfId="43479" xr:uid="{BCCAA2CD-99D0-4C46-8FD0-E5BF06BBC48E}"/>
    <cellStyle name="40% - Accent5 6 4 2 6" xfId="27599" xr:uid="{36DB0E54-603C-47FF-8608-9D91F8572B43}"/>
    <cellStyle name="40% - Accent5 6 4 2_Exh G" xfId="3273" xr:uid="{00000000-0005-0000-0000-00007A4B0000}"/>
    <cellStyle name="40% - Accent5 6 4 3" xfId="4544" xr:uid="{00000000-0005-0000-0000-00007B4B0000}"/>
    <cellStyle name="40% - Accent5 6 4 3 2" xfId="8136" xr:uid="{00000000-0005-0000-0000-00007C4B0000}"/>
    <cellStyle name="40% - Accent5 6 4 3 2 2" xfId="16107" xr:uid="{00000000-0005-0000-0000-00007D4B0000}"/>
    <cellStyle name="40% - Accent5 6 4 3 2 2 2" xfId="39950" xr:uid="{485D3C29-58B1-4FF9-9F5E-185065B803A2}"/>
    <cellStyle name="40% - Accent5 6 4 3 2 3" xfId="24053" xr:uid="{00000000-0005-0000-0000-00007E4B0000}"/>
    <cellStyle name="40% - Accent5 6 4 3 2 3 2" xfId="47886" xr:uid="{BF037280-42B2-4DA5-877F-114E9C3080A2}"/>
    <cellStyle name="40% - Accent5 6 4 3 2 4" xfId="32009" xr:uid="{B344BE33-1E68-4B0F-93F7-AFCDDE6457DC}"/>
    <cellStyle name="40% - Accent5 6 4 3 3" xfId="12569" xr:uid="{00000000-0005-0000-0000-00007F4B0000}"/>
    <cellStyle name="40% - Accent5 6 4 3 3 2" xfId="36419" xr:uid="{B343EF38-808E-495C-B635-12A92D10D805}"/>
    <cellStyle name="40% - Accent5 6 4 3 4" xfId="20524" xr:uid="{00000000-0005-0000-0000-0000804B0000}"/>
    <cellStyle name="40% - Accent5 6 4 3 4 2" xfId="44357" xr:uid="{D0BC17F5-31A5-4698-8A9B-FCC8E35620E2}"/>
    <cellStyle name="40% - Accent5 6 4 3 5" xfId="28478" xr:uid="{434C2C59-DD08-4902-9746-BEAE6BE5F4F0}"/>
    <cellStyle name="40% - Accent5 6 4 4" xfId="6374" xr:uid="{00000000-0005-0000-0000-0000814B0000}"/>
    <cellStyle name="40% - Accent5 6 4 4 2" xfId="14349" xr:uid="{00000000-0005-0000-0000-0000824B0000}"/>
    <cellStyle name="40% - Accent5 6 4 4 2 2" xfId="38192" xr:uid="{573451FA-3C64-4D35-826D-CCBD41447137}"/>
    <cellStyle name="40% - Accent5 6 4 4 3" xfId="22296" xr:uid="{00000000-0005-0000-0000-0000834B0000}"/>
    <cellStyle name="40% - Accent5 6 4 4 3 2" xfId="46129" xr:uid="{5C9AF494-277C-4E23-A5DB-40F45209D6B5}"/>
    <cellStyle name="40% - Accent5 6 4 4 4" xfId="30251" xr:uid="{D870C505-6089-46BA-8E1B-75092CB2DB46}"/>
    <cellStyle name="40% - Accent5 6 4 5" xfId="9917" xr:uid="{00000000-0005-0000-0000-0000844B0000}"/>
    <cellStyle name="40% - Accent5 6 4 5 2" xfId="17875" xr:uid="{00000000-0005-0000-0000-0000854B0000}"/>
    <cellStyle name="40% - Accent5 6 4 5 2 2" xfId="41716" xr:uid="{22902296-9942-46B5-93F8-6CC023C4F8DA}"/>
    <cellStyle name="40% - Accent5 6 4 5 3" xfId="25819" xr:uid="{00000000-0005-0000-0000-0000864B0000}"/>
    <cellStyle name="40% - Accent5 6 4 5 3 2" xfId="49652" xr:uid="{DE38C4D1-2A04-4DF7-9924-E6FF38D931F5}"/>
    <cellStyle name="40% - Accent5 6 4 5 4" xfId="33775" xr:uid="{436507FD-783E-4638-A24B-4855ECFA3310}"/>
    <cellStyle name="40% - Accent5 6 4 6" xfId="10813" xr:uid="{00000000-0005-0000-0000-0000874B0000}"/>
    <cellStyle name="40% - Accent5 6 4 6 2" xfId="34663" xr:uid="{6E13F530-1E39-440F-9B0B-941D4EC5FD4C}"/>
    <cellStyle name="40% - Accent5 6 4 7" xfId="18768" xr:uid="{00000000-0005-0000-0000-0000884B0000}"/>
    <cellStyle name="40% - Accent5 6 4 7 2" xfId="42601" xr:uid="{024F741E-BB56-4EA4-AFBF-6F79E83E433C}"/>
    <cellStyle name="40% - Accent5 6 4 8" xfId="26721" xr:uid="{B38F3EE9-F434-4AB0-AC5A-511518CA337F}"/>
    <cellStyle name="40% - Accent5 6 4_Exh G" xfId="3272" xr:uid="{00000000-0005-0000-0000-0000894B0000}"/>
    <cellStyle name="40% - Accent5 6 5" xfId="1598" xr:uid="{00000000-0005-0000-0000-00008A4B0000}"/>
    <cellStyle name="40% - Accent5 6 5 2" xfId="5128" xr:uid="{00000000-0005-0000-0000-00008B4B0000}"/>
    <cellStyle name="40% - Accent5 6 5 2 2" xfId="8719" xr:uid="{00000000-0005-0000-0000-00008C4B0000}"/>
    <cellStyle name="40% - Accent5 6 5 2 2 2" xfId="16690" xr:uid="{00000000-0005-0000-0000-00008D4B0000}"/>
    <cellStyle name="40% - Accent5 6 5 2 2 2 2" xfId="40533" xr:uid="{A5CA335E-44D8-484F-9E55-B7CBA876F7CA}"/>
    <cellStyle name="40% - Accent5 6 5 2 2 3" xfId="24636" xr:uid="{00000000-0005-0000-0000-00008E4B0000}"/>
    <cellStyle name="40% - Accent5 6 5 2 2 3 2" xfId="48469" xr:uid="{E00A09D3-E031-402B-8E0F-5305C5FB0A50}"/>
    <cellStyle name="40% - Accent5 6 5 2 2 4" xfId="32592" xr:uid="{831165B2-9BFE-4564-8945-876C5FEB9189}"/>
    <cellStyle name="40% - Accent5 6 5 2 3" xfId="13152" xr:uid="{00000000-0005-0000-0000-00008F4B0000}"/>
    <cellStyle name="40% - Accent5 6 5 2 3 2" xfId="37002" xr:uid="{6CAF56EB-AC2F-4873-BF95-581C64083329}"/>
    <cellStyle name="40% - Accent5 6 5 2 4" xfId="21107" xr:uid="{00000000-0005-0000-0000-0000904B0000}"/>
    <cellStyle name="40% - Accent5 6 5 2 4 2" xfId="44940" xr:uid="{7B1C1EAD-6815-4051-8721-6FFDC876A15D}"/>
    <cellStyle name="40% - Accent5 6 5 2 5" xfId="29061" xr:uid="{222BBF2E-8F61-4E75-9536-EA1AE805799D}"/>
    <cellStyle name="40% - Accent5 6 5 3" xfId="6960" xr:uid="{00000000-0005-0000-0000-0000914B0000}"/>
    <cellStyle name="40% - Accent5 6 5 3 2" xfId="14932" xr:uid="{00000000-0005-0000-0000-0000924B0000}"/>
    <cellStyle name="40% - Accent5 6 5 3 2 2" xfId="38775" xr:uid="{B847275D-C455-4948-B3BD-F9ECBC3844FE}"/>
    <cellStyle name="40% - Accent5 6 5 3 3" xfId="22879" xr:uid="{00000000-0005-0000-0000-0000934B0000}"/>
    <cellStyle name="40% - Accent5 6 5 3 3 2" xfId="46712" xr:uid="{34A172DD-EC94-494E-A7BE-EF92B820411C}"/>
    <cellStyle name="40% - Accent5 6 5 3 4" xfId="30834" xr:uid="{894628FD-4DFD-459F-A1F9-B2619C362F51}"/>
    <cellStyle name="40% - Accent5 6 5 4" xfId="11396" xr:uid="{00000000-0005-0000-0000-0000944B0000}"/>
    <cellStyle name="40% - Accent5 6 5 4 2" xfId="35246" xr:uid="{F9CDEC73-2DEB-4575-8343-6D36C7CDF695}"/>
    <cellStyle name="40% - Accent5 6 5 5" xfId="19351" xr:uid="{00000000-0005-0000-0000-0000954B0000}"/>
    <cellStyle name="40% - Accent5 6 5 5 2" xfId="43184" xr:uid="{C0EB4A2B-0A6F-4E72-809F-AEB0C79C1D63}"/>
    <cellStyle name="40% - Accent5 6 5 6" xfId="27304" xr:uid="{349A88CB-81A2-45F8-8112-A3B4A73A0281}"/>
    <cellStyle name="40% - Accent5 6 5_Exh G" xfId="3274" xr:uid="{00000000-0005-0000-0000-0000964B0000}"/>
    <cellStyle name="40% - Accent5 6 6" xfId="4249" xr:uid="{00000000-0005-0000-0000-0000974B0000}"/>
    <cellStyle name="40% - Accent5 6 6 2" xfId="7841" xr:uid="{00000000-0005-0000-0000-0000984B0000}"/>
    <cellStyle name="40% - Accent5 6 6 2 2" xfId="15812" xr:uid="{00000000-0005-0000-0000-0000994B0000}"/>
    <cellStyle name="40% - Accent5 6 6 2 2 2" xfId="39655" xr:uid="{D8BB4F92-9E98-46A6-AAAF-7FACE294961B}"/>
    <cellStyle name="40% - Accent5 6 6 2 3" xfId="23758" xr:uid="{00000000-0005-0000-0000-00009A4B0000}"/>
    <cellStyle name="40% - Accent5 6 6 2 3 2" xfId="47591" xr:uid="{68F6BCE4-71AA-4A14-8253-8AC53BE29AE0}"/>
    <cellStyle name="40% - Accent5 6 6 2 4" xfId="31714" xr:uid="{E4E2D26F-AC43-4375-9A79-04961F5A130A}"/>
    <cellStyle name="40% - Accent5 6 6 3" xfId="12274" xr:uid="{00000000-0005-0000-0000-00009B4B0000}"/>
    <cellStyle name="40% - Accent5 6 6 3 2" xfId="36124" xr:uid="{49B7C4EC-EE76-4209-89A5-0296D38D64C9}"/>
    <cellStyle name="40% - Accent5 6 6 4" xfId="20229" xr:uid="{00000000-0005-0000-0000-00009C4B0000}"/>
    <cellStyle name="40% - Accent5 6 6 4 2" xfId="44062" xr:uid="{74ABDC4A-7D15-4B25-8C09-32737A7B0731}"/>
    <cellStyle name="40% - Accent5 6 6 5" xfId="28183" xr:uid="{6EF1877F-377D-4E52-9965-011D49208C1E}"/>
    <cellStyle name="40% - Accent5 6 7" xfId="6069" xr:uid="{00000000-0005-0000-0000-00009D4B0000}"/>
    <cellStyle name="40% - Accent5 6 7 2" xfId="14053" xr:uid="{00000000-0005-0000-0000-00009E4B0000}"/>
    <cellStyle name="40% - Accent5 6 7 2 2" xfId="37897" xr:uid="{ED57EE14-953B-4905-92EE-3379A56D1DEC}"/>
    <cellStyle name="40% - Accent5 6 7 3" xfId="22001" xr:uid="{00000000-0005-0000-0000-00009F4B0000}"/>
    <cellStyle name="40% - Accent5 6 7 3 2" xfId="45834" xr:uid="{C379FC59-C8A9-44B2-AAC8-6D3173D04607}"/>
    <cellStyle name="40% - Accent5 6 7 4" xfId="29956" xr:uid="{9E9874CE-193E-4C17-8DFD-076D2FA61206}"/>
    <cellStyle name="40% - Accent5 6 8" xfId="9622" xr:uid="{00000000-0005-0000-0000-0000A04B0000}"/>
    <cellStyle name="40% - Accent5 6 8 2" xfId="17580" xr:uid="{00000000-0005-0000-0000-0000A14B0000}"/>
    <cellStyle name="40% - Accent5 6 8 2 2" xfId="41421" xr:uid="{6DBEF559-4C08-4BE9-9171-687DB9EF7F40}"/>
    <cellStyle name="40% - Accent5 6 8 3" xfId="25524" xr:uid="{00000000-0005-0000-0000-0000A24B0000}"/>
    <cellStyle name="40% - Accent5 6 8 3 2" xfId="49357" xr:uid="{912730D7-2856-4C5E-A45A-C5704F39BA28}"/>
    <cellStyle name="40% - Accent5 6 8 4" xfId="33480" xr:uid="{103A5791-06A7-47A8-A2BB-70E7F5BCC4B7}"/>
    <cellStyle name="40% - Accent5 6 9" xfId="10518" xr:uid="{00000000-0005-0000-0000-0000A34B0000}"/>
    <cellStyle name="40% - Accent5 6 9 2" xfId="34368" xr:uid="{210A2DCA-C9D2-4C10-B3FA-A7EF1F35DDDD}"/>
    <cellStyle name="40% - Accent5 6_Exh G" xfId="3265" xr:uid="{00000000-0005-0000-0000-0000A44B0000}"/>
    <cellStyle name="40% - Accent5 7" xfId="574" xr:uid="{00000000-0005-0000-0000-0000A54B0000}"/>
    <cellStyle name="40% - Accent5 7 10" xfId="18477" xr:uid="{00000000-0005-0000-0000-0000A64B0000}"/>
    <cellStyle name="40% - Accent5 7 10 2" xfId="42310" xr:uid="{376123D4-0651-4743-B256-DC7C92FE00AC}"/>
    <cellStyle name="40% - Accent5 7 11" xfId="26430" xr:uid="{5B37B94E-41A8-439F-AF77-0481D26AD3BF}"/>
    <cellStyle name="40% - Accent5 7 2" xfId="575" xr:uid="{00000000-0005-0000-0000-0000A74B0000}"/>
    <cellStyle name="40% - Accent5 7 2 2" xfId="576" xr:uid="{00000000-0005-0000-0000-0000A84B0000}"/>
    <cellStyle name="40% - Accent5 7 2 2 2" xfId="1604" xr:uid="{00000000-0005-0000-0000-0000A94B0000}"/>
    <cellStyle name="40% - Accent5 7 2 2 2 2" xfId="5134" xr:uid="{00000000-0005-0000-0000-0000AA4B0000}"/>
    <cellStyle name="40% - Accent5 7 2 2 2 2 2" xfId="8725" xr:uid="{00000000-0005-0000-0000-0000AB4B0000}"/>
    <cellStyle name="40% - Accent5 7 2 2 2 2 2 2" xfId="16696" xr:uid="{00000000-0005-0000-0000-0000AC4B0000}"/>
    <cellStyle name="40% - Accent5 7 2 2 2 2 2 2 2" xfId="40539" xr:uid="{EA94CB5A-E87D-4048-9EAC-95739DB728C1}"/>
    <cellStyle name="40% - Accent5 7 2 2 2 2 2 3" xfId="24642" xr:uid="{00000000-0005-0000-0000-0000AD4B0000}"/>
    <cellStyle name="40% - Accent5 7 2 2 2 2 2 3 2" xfId="48475" xr:uid="{7B2F8887-3C53-46AF-9475-47ACC0B8417E}"/>
    <cellStyle name="40% - Accent5 7 2 2 2 2 2 4" xfId="32598" xr:uid="{6A8A304D-CB21-4D6F-9163-89B9D8FD0D5C}"/>
    <cellStyle name="40% - Accent5 7 2 2 2 2 3" xfId="13158" xr:uid="{00000000-0005-0000-0000-0000AE4B0000}"/>
    <cellStyle name="40% - Accent5 7 2 2 2 2 3 2" xfId="37008" xr:uid="{52FD8DD9-E7F6-4931-B945-CBA8243450AA}"/>
    <cellStyle name="40% - Accent5 7 2 2 2 2 4" xfId="21113" xr:uid="{00000000-0005-0000-0000-0000AF4B0000}"/>
    <cellStyle name="40% - Accent5 7 2 2 2 2 4 2" xfId="44946" xr:uid="{DC875738-DE12-46B7-874D-C1CF5A539080}"/>
    <cellStyle name="40% - Accent5 7 2 2 2 2 5" xfId="29067" xr:uid="{FF940027-0493-41C2-82D2-54412C1E5896}"/>
    <cellStyle name="40% - Accent5 7 2 2 2 3" xfId="6966" xr:uid="{00000000-0005-0000-0000-0000B04B0000}"/>
    <cellStyle name="40% - Accent5 7 2 2 2 3 2" xfId="14938" xr:uid="{00000000-0005-0000-0000-0000B14B0000}"/>
    <cellStyle name="40% - Accent5 7 2 2 2 3 2 2" xfId="38781" xr:uid="{2B965C8E-2F41-498C-9151-51B87C09AA72}"/>
    <cellStyle name="40% - Accent5 7 2 2 2 3 3" xfId="22885" xr:uid="{00000000-0005-0000-0000-0000B24B0000}"/>
    <cellStyle name="40% - Accent5 7 2 2 2 3 3 2" xfId="46718" xr:uid="{E846F940-5E23-4783-A938-EF7B00F670B3}"/>
    <cellStyle name="40% - Accent5 7 2 2 2 3 4" xfId="30840" xr:uid="{DF8C7985-6F83-485F-A6E8-94CF2B24678C}"/>
    <cellStyle name="40% - Accent5 7 2 2 2 4" xfId="11402" xr:uid="{00000000-0005-0000-0000-0000B34B0000}"/>
    <cellStyle name="40% - Accent5 7 2 2 2 4 2" xfId="35252" xr:uid="{FA294512-C6DC-4D37-B2BC-268A10E6E7BA}"/>
    <cellStyle name="40% - Accent5 7 2 2 2 5" xfId="19357" xr:uid="{00000000-0005-0000-0000-0000B44B0000}"/>
    <cellStyle name="40% - Accent5 7 2 2 2 5 2" xfId="43190" xr:uid="{E70C80DF-4826-4D2F-84C3-DB4A5DABA458}"/>
    <cellStyle name="40% - Accent5 7 2 2 2 6" xfId="27310" xr:uid="{B19CDBE4-FF47-478E-98DC-6F0AA8664DAB}"/>
    <cellStyle name="40% - Accent5 7 2 2 2_Exh G" xfId="3278" xr:uid="{00000000-0005-0000-0000-0000B54B0000}"/>
    <cellStyle name="40% - Accent5 7 2 2 3" xfId="4255" xr:uid="{00000000-0005-0000-0000-0000B64B0000}"/>
    <cellStyle name="40% - Accent5 7 2 2 3 2" xfId="7847" xr:uid="{00000000-0005-0000-0000-0000B74B0000}"/>
    <cellStyle name="40% - Accent5 7 2 2 3 2 2" xfId="15818" xr:uid="{00000000-0005-0000-0000-0000B84B0000}"/>
    <cellStyle name="40% - Accent5 7 2 2 3 2 2 2" xfId="39661" xr:uid="{65B36A99-5DD8-4D27-83DF-ABED4A4E65ED}"/>
    <cellStyle name="40% - Accent5 7 2 2 3 2 3" xfId="23764" xr:uid="{00000000-0005-0000-0000-0000B94B0000}"/>
    <cellStyle name="40% - Accent5 7 2 2 3 2 3 2" xfId="47597" xr:uid="{1DEF0D0B-3DB1-4BBD-AB66-D8705903A7EA}"/>
    <cellStyle name="40% - Accent5 7 2 2 3 2 4" xfId="31720" xr:uid="{CDFC840C-0511-40D4-B136-17940317EAE5}"/>
    <cellStyle name="40% - Accent5 7 2 2 3 3" xfId="12280" xr:uid="{00000000-0005-0000-0000-0000BA4B0000}"/>
    <cellStyle name="40% - Accent5 7 2 2 3 3 2" xfId="36130" xr:uid="{E630718A-903A-4D4F-846A-7396ED9B2696}"/>
    <cellStyle name="40% - Accent5 7 2 2 3 4" xfId="20235" xr:uid="{00000000-0005-0000-0000-0000BB4B0000}"/>
    <cellStyle name="40% - Accent5 7 2 2 3 4 2" xfId="44068" xr:uid="{E2CE8373-12F5-4545-A39B-84DA9183CB73}"/>
    <cellStyle name="40% - Accent5 7 2 2 3 5" xfId="28189" xr:uid="{06EB21A3-693E-48D4-BE5C-097E64056901}"/>
    <cellStyle name="40% - Accent5 7 2 2 4" xfId="6075" xr:uid="{00000000-0005-0000-0000-0000BC4B0000}"/>
    <cellStyle name="40% - Accent5 7 2 2 4 2" xfId="14059" xr:uid="{00000000-0005-0000-0000-0000BD4B0000}"/>
    <cellStyle name="40% - Accent5 7 2 2 4 2 2" xfId="37903" xr:uid="{C032FB0C-0FC1-4FA8-9DD6-B1CFDB2225FC}"/>
    <cellStyle name="40% - Accent5 7 2 2 4 3" xfId="22007" xr:uid="{00000000-0005-0000-0000-0000BE4B0000}"/>
    <cellStyle name="40% - Accent5 7 2 2 4 3 2" xfId="45840" xr:uid="{FB54FACA-D025-4B8C-BC00-54951754330A}"/>
    <cellStyle name="40% - Accent5 7 2 2 4 4" xfId="29962" xr:uid="{61A0648E-F158-449E-BE14-1EB500D3186A}"/>
    <cellStyle name="40% - Accent5 7 2 2 5" xfId="9628" xr:uid="{00000000-0005-0000-0000-0000BF4B0000}"/>
    <cellStyle name="40% - Accent5 7 2 2 5 2" xfId="17586" xr:uid="{00000000-0005-0000-0000-0000C04B0000}"/>
    <cellStyle name="40% - Accent5 7 2 2 5 2 2" xfId="41427" xr:uid="{651BA2A4-22C0-4209-B630-0BCB7101F8D3}"/>
    <cellStyle name="40% - Accent5 7 2 2 5 3" xfId="25530" xr:uid="{00000000-0005-0000-0000-0000C14B0000}"/>
    <cellStyle name="40% - Accent5 7 2 2 5 3 2" xfId="49363" xr:uid="{ADF7A5E0-C3E5-40D3-9AE9-6AE8F2C9EE1C}"/>
    <cellStyle name="40% - Accent5 7 2 2 5 4" xfId="33486" xr:uid="{5B9BDC10-132A-4468-A062-F670186225C1}"/>
    <cellStyle name="40% - Accent5 7 2 2 6" xfId="10524" xr:uid="{00000000-0005-0000-0000-0000C24B0000}"/>
    <cellStyle name="40% - Accent5 7 2 2 6 2" xfId="34374" xr:uid="{76B47952-EDA4-464E-A4B1-E27943A39225}"/>
    <cellStyle name="40% - Accent5 7 2 2 7" xfId="18479" xr:uid="{00000000-0005-0000-0000-0000C34B0000}"/>
    <cellStyle name="40% - Accent5 7 2 2 7 2" xfId="42312" xr:uid="{C5E198D0-55CD-45F7-9EAB-853E132B5F1B}"/>
    <cellStyle name="40% - Accent5 7 2 2 8" xfId="26432" xr:uid="{46A46889-9A87-4094-ACC7-E741F13EDAB1}"/>
    <cellStyle name="40% - Accent5 7 2 2_Exh G" xfId="3277" xr:uid="{00000000-0005-0000-0000-0000C44B0000}"/>
    <cellStyle name="40% - Accent5 7 2 3" xfId="1603" xr:uid="{00000000-0005-0000-0000-0000C54B0000}"/>
    <cellStyle name="40% - Accent5 7 2 3 2" xfId="5133" xr:uid="{00000000-0005-0000-0000-0000C64B0000}"/>
    <cellStyle name="40% - Accent5 7 2 3 2 2" xfId="8724" xr:uid="{00000000-0005-0000-0000-0000C74B0000}"/>
    <cellStyle name="40% - Accent5 7 2 3 2 2 2" xfId="16695" xr:uid="{00000000-0005-0000-0000-0000C84B0000}"/>
    <cellStyle name="40% - Accent5 7 2 3 2 2 2 2" xfId="40538" xr:uid="{6EE32C26-0B79-4BF6-9EDE-A88921CDA6B3}"/>
    <cellStyle name="40% - Accent5 7 2 3 2 2 3" xfId="24641" xr:uid="{00000000-0005-0000-0000-0000C94B0000}"/>
    <cellStyle name="40% - Accent5 7 2 3 2 2 3 2" xfId="48474" xr:uid="{2D2B51FA-1E45-469C-A7A5-E2D0488559F9}"/>
    <cellStyle name="40% - Accent5 7 2 3 2 2 4" xfId="32597" xr:uid="{A9AA74ED-73F7-4755-8E53-A58BB149521B}"/>
    <cellStyle name="40% - Accent5 7 2 3 2 3" xfId="13157" xr:uid="{00000000-0005-0000-0000-0000CA4B0000}"/>
    <cellStyle name="40% - Accent5 7 2 3 2 3 2" xfId="37007" xr:uid="{9421BDE8-1E24-4960-87BD-222590E25717}"/>
    <cellStyle name="40% - Accent5 7 2 3 2 4" xfId="21112" xr:uid="{00000000-0005-0000-0000-0000CB4B0000}"/>
    <cellStyle name="40% - Accent5 7 2 3 2 4 2" xfId="44945" xr:uid="{EAA66A16-0C49-4CCD-874B-48C1068FF7EA}"/>
    <cellStyle name="40% - Accent5 7 2 3 2 5" xfId="29066" xr:uid="{50993026-23D2-48C9-ACEE-BA417B8DD515}"/>
    <cellStyle name="40% - Accent5 7 2 3 3" xfId="6965" xr:uid="{00000000-0005-0000-0000-0000CC4B0000}"/>
    <cellStyle name="40% - Accent5 7 2 3 3 2" xfId="14937" xr:uid="{00000000-0005-0000-0000-0000CD4B0000}"/>
    <cellStyle name="40% - Accent5 7 2 3 3 2 2" xfId="38780" xr:uid="{6DAC58E0-6316-4B89-B01D-EFE3097AE1F2}"/>
    <cellStyle name="40% - Accent5 7 2 3 3 3" xfId="22884" xr:uid="{00000000-0005-0000-0000-0000CE4B0000}"/>
    <cellStyle name="40% - Accent5 7 2 3 3 3 2" xfId="46717" xr:uid="{E10CB505-AF28-4BF0-82CB-9DABB5EB28E1}"/>
    <cellStyle name="40% - Accent5 7 2 3 3 4" xfId="30839" xr:uid="{D693A9DD-EB37-4CD4-9CD0-FBBC03A32629}"/>
    <cellStyle name="40% - Accent5 7 2 3 4" xfId="11401" xr:uid="{00000000-0005-0000-0000-0000CF4B0000}"/>
    <cellStyle name="40% - Accent5 7 2 3 4 2" xfId="35251" xr:uid="{A457CE8F-C6F4-4198-BFF3-32080AB4100B}"/>
    <cellStyle name="40% - Accent5 7 2 3 5" xfId="19356" xr:uid="{00000000-0005-0000-0000-0000D04B0000}"/>
    <cellStyle name="40% - Accent5 7 2 3 5 2" xfId="43189" xr:uid="{9BE9ECBA-99FA-4B66-8A06-2880CCC76FC9}"/>
    <cellStyle name="40% - Accent5 7 2 3 6" xfId="27309" xr:uid="{AE3A74F4-09A5-49D4-BFDC-3F990D25CEF0}"/>
    <cellStyle name="40% - Accent5 7 2 3_Exh G" xfId="3279" xr:uid="{00000000-0005-0000-0000-0000D14B0000}"/>
    <cellStyle name="40% - Accent5 7 2 4" xfId="4254" xr:uid="{00000000-0005-0000-0000-0000D24B0000}"/>
    <cellStyle name="40% - Accent5 7 2 4 2" xfId="7846" xr:uid="{00000000-0005-0000-0000-0000D34B0000}"/>
    <cellStyle name="40% - Accent5 7 2 4 2 2" xfId="15817" xr:uid="{00000000-0005-0000-0000-0000D44B0000}"/>
    <cellStyle name="40% - Accent5 7 2 4 2 2 2" xfId="39660" xr:uid="{78C61DCB-30BF-4EB1-82FB-90D700FA6FAC}"/>
    <cellStyle name="40% - Accent5 7 2 4 2 3" xfId="23763" xr:uid="{00000000-0005-0000-0000-0000D54B0000}"/>
    <cellStyle name="40% - Accent5 7 2 4 2 3 2" xfId="47596" xr:uid="{63395340-1AD0-48A1-8F14-F4A207235A69}"/>
    <cellStyle name="40% - Accent5 7 2 4 2 4" xfId="31719" xr:uid="{40A1FB2B-3EE7-46D9-B5EC-48C0CA023A4C}"/>
    <cellStyle name="40% - Accent5 7 2 4 3" xfId="12279" xr:uid="{00000000-0005-0000-0000-0000D64B0000}"/>
    <cellStyle name="40% - Accent5 7 2 4 3 2" xfId="36129" xr:uid="{00B7560D-F76C-4EF1-B092-475E5630FDBD}"/>
    <cellStyle name="40% - Accent5 7 2 4 4" xfId="20234" xr:uid="{00000000-0005-0000-0000-0000D74B0000}"/>
    <cellStyle name="40% - Accent5 7 2 4 4 2" xfId="44067" xr:uid="{B6136D36-F561-414A-93D2-C6FCDAB08A8B}"/>
    <cellStyle name="40% - Accent5 7 2 4 5" xfId="28188" xr:uid="{21F92887-CB05-4CFB-9697-B4516000D308}"/>
    <cellStyle name="40% - Accent5 7 2 5" xfId="6074" xr:uid="{00000000-0005-0000-0000-0000D84B0000}"/>
    <cellStyle name="40% - Accent5 7 2 5 2" xfId="14058" xr:uid="{00000000-0005-0000-0000-0000D94B0000}"/>
    <cellStyle name="40% - Accent5 7 2 5 2 2" xfId="37902" xr:uid="{C2F00B1F-27E6-415B-AA7D-10611FB8F618}"/>
    <cellStyle name="40% - Accent5 7 2 5 3" xfId="22006" xr:uid="{00000000-0005-0000-0000-0000DA4B0000}"/>
    <cellStyle name="40% - Accent5 7 2 5 3 2" xfId="45839" xr:uid="{3E66178F-3003-4037-9627-006B507359D7}"/>
    <cellStyle name="40% - Accent5 7 2 5 4" xfId="29961" xr:uid="{F942BC95-7134-4D73-8F38-9A539400073E}"/>
    <cellStyle name="40% - Accent5 7 2 6" xfId="9627" xr:uid="{00000000-0005-0000-0000-0000DB4B0000}"/>
    <cellStyle name="40% - Accent5 7 2 6 2" xfId="17585" xr:uid="{00000000-0005-0000-0000-0000DC4B0000}"/>
    <cellStyle name="40% - Accent5 7 2 6 2 2" xfId="41426" xr:uid="{24952D57-4458-4E7F-A9F9-561794E5222B}"/>
    <cellStyle name="40% - Accent5 7 2 6 3" xfId="25529" xr:uid="{00000000-0005-0000-0000-0000DD4B0000}"/>
    <cellStyle name="40% - Accent5 7 2 6 3 2" xfId="49362" xr:uid="{D4C558A5-06AE-489D-A11F-A99E9DD530E3}"/>
    <cellStyle name="40% - Accent5 7 2 6 4" xfId="33485" xr:uid="{CD086926-7737-4664-99F2-5F92D44F22B6}"/>
    <cellStyle name="40% - Accent5 7 2 7" xfId="10523" xr:uid="{00000000-0005-0000-0000-0000DE4B0000}"/>
    <cellStyle name="40% - Accent5 7 2 7 2" xfId="34373" xr:uid="{98C3C6B8-5E1A-40BA-B284-98D2504B28A3}"/>
    <cellStyle name="40% - Accent5 7 2 8" xfId="18478" xr:uid="{00000000-0005-0000-0000-0000DF4B0000}"/>
    <cellStyle name="40% - Accent5 7 2 8 2" xfId="42311" xr:uid="{364CB70A-DEB9-46AD-A044-1C03C8016803}"/>
    <cellStyle name="40% - Accent5 7 2 9" xfId="26431" xr:uid="{BAA35016-ED08-465A-8767-2DD80A972DDC}"/>
    <cellStyle name="40% - Accent5 7 2_Exh G" xfId="3276" xr:uid="{00000000-0005-0000-0000-0000E04B0000}"/>
    <cellStyle name="40% - Accent5 7 3" xfId="577" xr:uid="{00000000-0005-0000-0000-0000E14B0000}"/>
    <cellStyle name="40% - Accent5 7 3 2" xfId="1605" xr:uid="{00000000-0005-0000-0000-0000E24B0000}"/>
    <cellStyle name="40% - Accent5 7 3 2 2" xfId="5135" xr:uid="{00000000-0005-0000-0000-0000E34B0000}"/>
    <cellStyle name="40% - Accent5 7 3 2 2 2" xfId="8726" xr:uid="{00000000-0005-0000-0000-0000E44B0000}"/>
    <cellStyle name="40% - Accent5 7 3 2 2 2 2" xfId="16697" xr:uid="{00000000-0005-0000-0000-0000E54B0000}"/>
    <cellStyle name="40% - Accent5 7 3 2 2 2 2 2" xfId="40540" xr:uid="{27834C56-8C36-43A0-834C-1792D40CA16C}"/>
    <cellStyle name="40% - Accent5 7 3 2 2 2 3" xfId="24643" xr:uid="{00000000-0005-0000-0000-0000E64B0000}"/>
    <cellStyle name="40% - Accent5 7 3 2 2 2 3 2" xfId="48476" xr:uid="{587884A3-6C2D-40E6-8F31-9A618A0A1D85}"/>
    <cellStyle name="40% - Accent5 7 3 2 2 2 4" xfId="32599" xr:uid="{9B28E602-6CE9-46EE-9D71-F0524D5D344C}"/>
    <cellStyle name="40% - Accent5 7 3 2 2 3" xfId="13159" xr:uid="{00000000-0005-0000-0000-0000E74B0000}"/>
    <cellStyle name="40% - Accent5 7 3 2 2 3 2" xfId="37009" xr:uid="{3C18D33E-83A1-4B4C-B26C-59DD92A8DED6}"/>
    <cellStyle name="40% - Accent5 7 3 2 2 4" xfId="21114" xr:uid="{00000000-0005-0000-0000-0000E84B0000}"/>
    <cellStyle name="40% - Accent5 7 3 2 2 4 2" xfId="44947" xr:uid="{FB5F7EE2-6A74-493A-8F99-184F0C3777F0}"/>
    <cellStyle name="40% - Accent5 7 3 2 2 5" xfId="29068" xr:uid="{2880B335-1904-4EAA-94C9-60910021D204}"/>
    <cellStyle name="40% - Accent5 7 3 2 3" xfId="6967" xr:uid="{00000000-0005-0000-0000-0000E94B0000}"/>
    <cellStyle name="40% - Accent5 7 3 2 3 2" xfId="14939" xr:uid="{00000000-0005-0000-0000-0000EA4B0000}"/>
    <cellStyle name="40% - Accent5 7 3 2 3 2 2" xfId="38782" xr:uid="{C631018C-341D-47AA-B6C3-302CC292A4F8}"/>
    <cellStyle name="40% - Accent5 7 3 2 3 3" xfId="22886" xr:uid="{00000000-0005-0000-0000-0000EB4B0000}"/>
    <cellStyle name="40% - Accent5 7 3 2 3 3 2" xfId="46719" xr:uid="{7E096A5C-7B8D-48F6-BC7F-DB4F3FF6625E}"/>
    <cellStyle name="40% - Accent5 7 3 2 3 4" xfId="30841" xr:uid="{439B175A-D165-4246-8629-318F949CC360}"/>
    <cellStyle name="40% - Accent5 7 3 2 4" xfId="11403" xr:uid="{00000000-0005-0000-0000-0000EC4B0000}"/>
    <cellStyle name="40% - Accent5 7 3 2 4 2" xfId="35253" xr:uid="{89554609-76E9-40B0-AA0E-80EFAD0E07F2}"/>
    <cellStyle name="40% - Accent5 7 3 2 5" xfId="19358" xr:uid="{00000000-0005-0000-0000-0000ED4B0000}"/>
    <cellStyle name="40% - Accent5 7 3 2 5 2" xfId="43191" xr:uid="{E4FABFED-32F4-4B4F-BF1B-365244107B5D}"/>
    <cellStyle name="40% - Accent5 7 3 2 6" xfId="27311" xr:uid="{66CDD6FD-A1D8-480A-A57B-EC9A52262A62}"/>
    <cellStyle name="40% - Accent5 7 3 2_Exh G" xfId="3281" xr:uid="{00000000-0005-0000-0000-0000EE4B0000}"/>
    <cellStyle name="40% - Accent5 7 3 3" xfId="4256" xr:uid="{00000000-0005-0000-0000-0000EF4B0000}"/>
    <cellStyle name="40% - Accent5 7 3 3 2" xfId="7848" xr:uid="{00000000-0005-0000-0000-0000F04B0000}"/>
    <cellStyle name="40% - Accent5 7 3 3 2 2" xfId="15819" xr:uid="{00000000-0005-0000-0000-0000F14B0000}"/>
    <cellStyle name="40% - Accent5 7 3 3 2 2 2" xfId="39662" xr:uid="{0A10455B-EFEC-4055-97E6-B87D4B3AF649}"/>
    <cellStyle name="40% - Accent5 7 3 3 2 3" xfId="23765" xr:uid="{00000000-0005-0000-0000-0000F24B0000}"/>
    <cellStyle name="40% - Accent5 7 3 3 2 3 2" xfId="47598" xr:uid="{38959570-80D3-4AEB-88CB-656E7EE19392}"/>
    <cellStyle name="40% - Accent5 7 3 3 2 4" xfId="31721" xr:uid="{056BF70D-D307-45FB-BFCF-4F4AC6AE9DFA}"/>
    <cellStyle name="40% - Accent5 7 3 3 3" xfId="12281" xr:uid="{00000000-0005-0000-0000-0000F34B0000}"/>
    <cellStyle name="40% - Accent5 7 3 3 3 2" xfId="36131" xr:uid="{54307E34-5D3A-44D7-A4D3-779DCED7C1B0}"/>
    <cellStyle name="40% - Accent5 7 3 3 4" xfId="20236" xr:uid="{00000000-0005-0000-0000-0000F44B0000}"/>
    <cellStyle name="40% - Accent5 7 3 3 4 2" xfId="44069" xr:uid="{65B9D805-B002-4F2F-A788-96F4CBEBDA96}"/>
    <cellStyle name="40% - Accent5 7 3 3 5" xfId="28190" xr:uid="{6C87A3E2-A3CF-401B-893B-FF27AF6F6DA4}"/>
    <cellStyle name="40% - Accent5 7 3 4" xfId="6076" xr:uid="{00000000-0005-0000-0000-0000F54B0000}"/>
    <cellStyle name="40% - Accent5 7 3 4 2" xfId="14060" xr:uid="{00000000-0005-0000-0000-0000F64B0000}"/>
    <cellStyle name="40% - Accent5 7 3 4 2 2" xfId="37904" xr:uid="{C4856011-3639-4F7F-8B1D-8E549EB9620F}"/>
    <cellStyle name="40% - Accent5 7 3 4 3" xfId="22008" xr:uid="{00000000-0005-0000-0000-0000F74B0000}"/>
    <cellStyle name="40% - Accent5 7 3 4 3 2" xfId="45841" xr:uid="{727048FB-3C02-43C1-8D70-0247A86812AF}"/>
    <cellStyle name="40% - Accent5 7 3 4 4" xfId="29963" xr:uid="{594832BF-687C-4A06-B1B5-9D68024B3C4F}"/>
    <cellStyle name="40% - Accent5 7 3 5" xfId="9629" xr:uid="{00000000-0005-0000-0000-0000F84B0000}"/>
    <cellStyle name="40% - Accent5 7 3 5 2" xfId="17587" xr:uid="{00000000-0005-0000-0000-0000F94B0000}"/>
    <cellStyle name="40% - Accent5 7 3 5 2 2" xfId="41428" xr:uid="{F1DB1866-EA07-4F16-BB43-3E4F38E46BA9}"/>
    <cellStyle name="40% - Accent5 7 3 5 3" xfId="25531" xr:uid="{00000000-0005-0000-0000-0000FA4B0000}"/>
    <cellStyle name="40% - Accent5 7 3 5 3 2" xfId="49364" xr:uid="{8D6FBF47-6871-4130-A8F7-2404DA280AAE}"/>
    <cellStyle name="40% - Accent5 7 3 5 4" xfId="33487" xr:uid="{E962A04C-C6C2-425F-B8E2-F5630204C0FA}"/>
    <cellStyle name="40% - Accent5 7 3 6" xfId="10525" xr:uid="{00000000-0005-0000-0000-0000FB4B0000}"/>
    <cellStyle name="40% - Accent5 7 3 6 2" xfId="34375" xr:uid="{0DF1ACA1-FEF6-4386-8183-90EFD01A82B9}"/>
    <cellStyle name="40% - Accent5 7 3 7" xfId="18480" xr:uid="{00000000-0005-0000-0000-0000FC4B0000}"/>
    <cellStyle name="40% - Accent5 7 3 7 2" xfId="42313" xr:uid="{1E0A9EAC-FA1F-43FA-8B4C-2CCE8B831FFC}"/>
    <cellStyle name="40% - Accent5 7 3 8" xfId="26433" xr:uid="{72C2F07D-524A-4926-BB71-E8134E1C7BDD}"/>
    <cellStyle name="40% - Accent5 7 3_Exh G" xfId="3280" xr:uid="{00000000-0005-0000-0000-0000FD4B0000}"/>
    <cellStyle name="40% - Accent5 7 4" xfId="991" xr:uid="{00000000-0005-0000-0000-0000FE4B0000}"/>
    <cellStyle name="40% - Accent5 7 4 2" xfId="1906" xr:uid="{00000000-0005-0000-0000-0000FF4B0000}"/>
    <cellStyle name="40% - Accent5 7 4 2 2" xfId="5424" xr:uid="{00000000-0005-0000-0000-0000004C0000}"/>
    <cellStyle name="40% - Accent5 7 4 2 2 2" xfId="9015" xr:uid="{00000000-0005-0000-0000-0000014C0000}"/>
    <cellStyle name="40% - Accent5 7 4 2 2 2 2" xfId="16986" xr:uid="{00000000-0005-0000-0000-0000024C0000}"/>
    <cellStyle name="40% - Accent5 7 4 2 2 2 2 2" xfId="40829" xr:uid="{81A0E441-B5AC-4AD9-AA8B-8B7190878A1D}"/>
    <cellStyle name="40% - Accent5 7 4 2 2 2 3" xfId="24932" xr:uid="{00000000-0005-0000-0000-0000034C0000}"/>
    <cellStyle name="40% - Accent5 7 4 2 2 2 3 2" xfId="48765" xr:uid="{E964FC47-5D43-42B3-956C-CD9E3937ED79}"/>
    <cellStyle name="40% - Accent5 7 4 2 2 2 4" xfId="32888" xr:uid="{E4056B03-5FB8-4525-89E8-851A396925A4}"/>
    <cellStyle name="40% - Accent5 7 4 2 2 3" xfId="13448" xr:uid="{00000000-0005-0000-0000-0000044C0000}"/>
    <cellStyle name="40% - Accent5 7 4 2 2 3 2" xfId="37298" xr:uid="{D9569F2A-03B1-4F33-B3F5-0346CAF94678}"/>
    <cellStyle name="40% - Accent5 7 4 2 2 4" xfId="21403" xr:uid="{00000000-0005-0000-0000-0000054C0000}"/>
    <cellStyle name="40% - Accent5 7 4 2 2 4 2" xfId="45236" xr:uid="{D68DF63F-7640-4294-8D12-66CB0CF918A4}"/>
    <cellStyle name="40% - Accent5 7 4 2 2 5" xfId="29357" xr:uid="{5E30D664-909A-4317-A26D-B3356D80E589}"/>
    <cellStyle name="40% - Accent5 7 4 2 3" xfId="7256" xr:uid="{00000000-0005-0000-0000-0000064C0000}"/>
    <cellStyle name="40% - Accent5 7 4 2 3 2" xfId="15228" xr:uid="{00000000-0005-0000-0000-0000074C0000}"/>
    <cellStyle name="40% - Accent5 7 4 2 3 2 2" xfId="39071" xr:uid="{8E9F4F4F-35F4-4E71-A1AA-6762DBF406E2}"/>
    <cellStyle name="40% - Accent5 7 4 2 3 3" xfId="23175" xr:uid="{00000000-0005-0000-0000-0000084C0000}"/>
    <cellStyle name="40% - Accent5 7 4 2 3 3 2" xfId="47008" xr:uid="{A312F999-317B-4F06-B898-18BD6B0D0344}"/>
    <cellStyle name="40% - Accent5 7 4 2 3 4" xfId="31130" xr:uid="{21B6AE51-40B7-4CD1-BC70-50C7EDB1BD17}"/>
    <cellStyle name="40% - Accent5 7 4 2 4" xfId="11692" xr:uid="{00000000-0005-0000-0000-0000094C0000}"/>
    <cellStyle name="40% - Accent5 7 4 2 4 2" xfId="35542" xr:uid="{3BE49CDC-0A53-429F-9CF7-DC1D698CFE20}"/>
    <cellStyle name="40% - Accent5 7 4 2 5" xfId="19647" xr:uid="{00000000-0005-0000-0000-00000A4C0000}"/>
    <cellStyle name="40% - Accent5 7 4 2 5 2" xfId="43480" xr:uid="{19C2CB3E-254E-4A2A-AFA8-20AF6ECEF3A5}"/>
    <cellStyle name="40% - Accent5 7 4 2 6" xfId="27600" xr:uid="{447BFAD8-7B81-436A-B5CE-117559F661A8}"/>
    <cellStyle name="40% - Accent5 7 4 2_Exh G" xfId="3283" xr:uid="{00000000-0005-0000-0000-00000B4C0000}"/>
    <cellStyle name="40% - Accent5 7 4 3" xfId="4545" xr:uid="{00000000-0005-0000-0000-00000C4C0000}"/>
    <cellStyle name="40% - Accent5 7 4 3 2" xfId="8137" xr:uid="{00000000-0005-0000-0000-00000D4C0000}"/>
    <cellStyle name="40% - Accent5 7 4 3 2 2" xfId="16108" xr:uid="{00000000-0005-0000-0000-00000E4C0000}"/>
    <cellStyle name="40% - Accent5 7 4 3 2 2 2" xfId="39951" xr:uid="{0207868E-ED65-4D93-8260-4AA4B5448EC9}"/>
    <cellStyle name="40% - Accent5 7 4 3 2 3" xfId="24054" xr:uid="{00000000-0005-0000-0000-00000F4C0000}"/>
    <cellStyle name="40% - Accent5 7 4 3 2 3 2" xfId="47887" xr:uid="{3CE51097-5511-426B-9F90-8FAC73B911DA}"/>
    <cellStyle name="40% - Accent5 7 4 3 2 4" xfId="32010" xr:uid="{1DEDCBBD-D3D6-4F9A-A203-32B8A80CFE44}"/>
    <cellStyle name="40% - Accent5 7 4 3 3" xfId="12570" xr:uid="{00000000-0005-0000-0000-0000104C0000}"/>
    <cellStyle name="40% - Accent5 7 4 3 3 2" xfId="36420" xr:uid="{7B94E22B-E817-4281-9421-4E80A1EDBD1E}"/>
    <cellStyle name="40% - Accent5 7 4 3 4" xfId="20525" xr:uid="{00000000-0005-0000-0000-0000114C0000}"/>
    <cellStyle name="40% - Accent5 7 4 3 4 2" xfId="44358" xr:uid="{D73BAE8A-FD20-4767-9002-4C11E4DE0C1F}"/>
    <cellStyle name="40% - Accent5 7 4 3 5" xfId="28479" xr:uid="{CF2AFF9C-A728-4E93-A999-E193AFEBDD12}"/>
    <cellStyle name="40% - Accent5 7 4 4" xfId="6375" xr:uid="{00000000-0005-0000-0000-0000124C0000}"/>
    <cellStyle name="40% - Accent5 7 4 4 2" xfId="14350" xr:uid="{00000000-0005-0000-0000-0000134C0000}"/>
    <cellStyle name="40% - Accent5 7 4 4 2 2" xfId="38193" xr:uid="{DE92FBEA-BDF1-49FE-A3FA-BD0A23B0BF1A}"/>
    <cellStyle name="40% - Accent5 7 4 4 3" xfId="22297" xr:uid="{00000000-0005-0000-0000-0000144C0000}"/>
    <cellStyle name="40% - Accent5 7 4 4 3 2" xfId="46130" xr:uid="{B6EE48EE-E85B-4A12-9DD2-4B75B56F3D6E}"/>
    <cellStyle name="40% - Accent5 7 4 4 4" xfId="30252" xr:uid="{8B33C824-F1AF-433A-B871-BDBE70F153FD}"/>
    <cellStyle name="40% - Accent5 7 4 5" xfId="9918" xr:uid="{00000000-0005-0000-0000-0000154C0000}"/>
    <cellStyle name="40% - Accent5 7 4 5 2" xfId="17876" xr:uid="{00000000-0005-0000-0000-0000164C0000}"/>
    <cellStyle name="40% - Accent5 7 4 5 2 2" xfId="41717" xr:uid="{55E1FF4C-3B03-4AC3-835E-1CAE718C5E71}"/>
    <cellStyle name="40% - Accent5 7 4 5 3" xfId="25820" xr:uid="{00000000-0005-0000-0000-0000174C0000}"/>
    <cellStyle name="40% - Accent5 7 4 5 3 2" xfId="49653" xr:uid="{A34C8B8B-947F-437B-83F0-093B4D37A8C0}"/>
    <cellStyle name="40% - Accent5 7 4 5 4" xfId="33776" xr:uid="{11A11AC0-716A-4D63-9E20-DC3450052CC2}"/>
    <cellStyle name="40% - Accent5 7 4 6" xfId="10814" xr:uid="{00000000-0005-0000-0000-0000184C0000}"/>
    <cellStyle name="40% - Accent5 7 4 6 2" xfId="34664" xr:uid="{2463CF3B-5F10-4877-A9AD-A1085E7B1E64}"/>
    <cellStyle name="40% - Accent5 7 4 7" xfId="18769" xr:uid="{00000000-0005-0000-0000-0000194C0000}"/>
    <cellStyle name="40% - Accent5 7 4 7 2" xfId="42602" xr:uid="{86DA159E-D7B8-4EA5-BE8E-0C5A30F98F01}"/>
    <cellStyle name="40% - Accent5 7 4 8" xfId="26722" xr:uid="{DEC67DC9-9C59-4A0A-A75D-3ACE7F42B113}"/>
    <cellStyle name="40% - Accent5 7 4_Exh G" xfId="3282" xr:uid="{00000000-0005-0000-0000-00001A4C0000}"/>
    <cellStyle name="40% - Accent5 7 5" xfId="1602" xr:uid="{00000000-0005-0000-0000-00001B4C0000}"/>
    <cellStyle name="40% - Accent5 7 5 2" xfId="5132" xr:uid="{00000000-0005-0000-0000-00001C4C0000}"/>
    <cellStyle name="40% - Accent5 7 5 2 2" xfId="8723" xr:uid="{00000000-0005-0000-0000-00001D4C0000}"/>
    <cellStyle name="40% - Accent5 7 5 2 2 2" xfId="16694" xr:uid="{00000000-0005-0000-0000-00001E4C0000}"/>
    <cellStyle name="40% - Accent5 7 5 2 2 2 2" xfId="40537" xr:uid="{CE3D706B-1C85-4511-A159-66B465FFA3DA}"/>
    <cellStyle name="40% - Accent5 7 5 2 2 3" xfId="24640" xr:uid="{00000000-0005-0000-0000-00001F4C0000}"/>
    <cellStyle name="40% - Accent5 7 5 2 2 3 2" xfId="48473" xr:uid="{7A713885-2298-4FEC-BE5A-2A87853A7CFD}"/>
    <cellStyle name="40% - Accent5 7 5 2 2 4" xfId="32596" xr:uid="{76E44652-578E-4F2C-8C6A-3B0D9D78D9DA}"/>
    <cellStyle name="40% - Accent5 7 5 2 3" xfId="13156" xr:uid="{00000000-0005-0000-0000-0000204C0000}"/>
    <cellStyle name="40% - Accent5 7 5 2 3 2" xfId="37006" xr:uid="{E90D59F1-4F23-44DE-B849-7CAFEC86B3A8}"/>
    <cellStyle name="40% - Accent5 7 5 2 4" xfId="21111" xr:uid="{00000000-0005-0000-0000-0000214C0000}"/>
    <cellStyle name="40% - Accent5 7 5 2 4 2" xfId="44944" xr:uid="{FDA61CDD-2E95-472E-A24F-286D622CD317}"/>
    <cellStyle name="40% - Accent5 7 5 2 5" xfId="29065" xr:uid="{1D88A39D-A87F-403B-9970-7FAF4EF4FE54}"/>
    <cellStyle name="40% - Accent5 7 5 3" xfId="6964" xr:uid="{00000000-0005-0000-0000-0000224C0000}"/>
    <cellStyle name="40% - Accent5 7 5 3 2" xfId="14936" xr:uid="{00000000-0005-0000-0000-0000234C0000}"/>
    <cellStyle name="40% - Accent5 7 5 3 2 2" xfId="38779" xr:uid="{5148E69B-FB35-4603-94C7-C9163F430C87}"/>
    <cellStyle name="40% - Accent5 7 5 3 3" xfId="22883" xr:uid="{00000000-0005-0000-0000-0000244C0000}"/>
    <cellStyle name="40% - Accent5 7 5 3 3 2" xfId="46716" xr:uid="{3B46DF2D-DB0D-46CB-859B-DADC8C4262FF}"/>
    <cellStyle name="40% - Accent5 7 5 3 4" xfId="30838" xr:uid="{DE2343B8-F3CE-4E0A-A5CD-9587EF565E7A}"/>
    <cellStyle name="40% - Accent5 7 5 4" xfId="11400" xr:uid="{00000000-0005-0000-0000-0000254C0000}"/>
    <cellStyle name="40% - Accent5 7 5 4 2" xfId="35250" xr:uid="{E82FDFD1-3789-48AF-A19A-E3B8D97F7AF2}"/>
    <cellStyle name="40% - Accent5 7 5 5" xfId="19355" xr:uid="{00000000-0005-0000-0000-0000264C0000}"/>
    <cellStyle name="40% - Accent5 7 5 5 2" xfId="43188" xr:uid="{B548BB7B-97FA-4BBC-850D-4F3FEA9E40D7}"/>
    <cellStyle name="40% - Accent5 7 5 6" xfId="27308" xr:uid="{EB8EB256-972E-444A-8081-A135EDC8E572}"/>
    <cellStyle name="40% - Accent5 7 5_Exh G" xfId="3284" xr:uid="{00000000-0005-0000-0000-0000274C0000}"/>
    <cellStyle name="40% - Accent5 7 6" xfId="4253" xr:uid="{00000000-0005-0000-0000-0000284C0000}"/>
    <cellStyle name="40% - Accent5 7 6 2" xfId="7845" xr:uid="{00000000-0005-0000-0000-0000294C0000}"/>
    <cellStyle name="40% - Accent5 7 6 2 2" xfId="15816" xr:uid="{00000000-0005-0000-0000-00002A4C0000}"/>
    <cellStyle name="40% - Accent5 7 6 2 2 2" xfId="39659" xr:uid="{6C7879E6-9938-4CD1-A279-14BECB7BA2A1}"/>
    <cellStyle name="40% - Accent5 7 6 2 3" xfId="23762" xr:uid="{00000000-0005-0000-0000-00002B4C0000}"/>
    <cellStyle name="40% - Accent5 7 6 2 3 2" xfId="47595" xr:uid="{5D5881DA-53B5-4886-AEA6-A89886ACB3F0}"/>
    <cellStyle name="40% - Accent5 7 6 2 4" xfId="31718" xr:uid="{DFC22F3F-D059-4F3A-86AE-934C765E27BD}"/>
    <cellStyle name="40% - Accent5 7 6 3" xfId="12278" xr:uid="{00000000-0005-0000-0000-00002C4C0000}"/>
    <cellStyle name="40% - Accent5 7 6 3 2" xfId="36128" xr:uid="{C67AD166-E83E-4E81-898A-AF84E02C027C}"/>
    <cellStyle name="40% - Accent5 7 6 4" xfId="20233" xr:uid="{00000000-0005-0000-0000-00002D4C0000}"/>
    <cellStyle name="40% - Accent5 7 6 4 2" xfId="44066" xr:uid="{DFA459B8-361E-4976-B07B-A580470B85FB}"/>
    <cellStyle name="40% - Accent5 7 6 5" xfId="28187" xr:uid="{DCFEBEBF-A86B-45EF-81DB-F859739843FB}"/>
    <cellStyle name="40% - Accent5 7 7" xfId="6073" xr:uid="{00000000-0005-0000-0000-00002E4C0000}"/>
    <cellStyle name="40% - Accent5 7 7 2" xfId="14057" xr:uid="{00000000-0005-0000-0000-00002F4C0000}"/>
    <cellStyle name="40% - Accent5 7 7 2 2" xfId="37901" xr:uid="{82273633-0BD3-463A-98CE-4C0C09EF3808}"/>
    <cellStyle name="40% - Accent5 7 7 3" xfId="22005" xr:uid="{00000000-0005-0000-0000-0000304C0000}"/>
    <cellStyle name="40% - Accent5 7 7 3 2" xfId="45838" xr:uid="{43082989-E892-4C37-9D52-C0A75B662620}"/>
    <cellStyle name="40% - Accent5 7 7 4" xfId="29960" xr:uid="{198FD816-E64E-49DE-8F54-3254A22BEB29}"/>
    <cellStyle name="40% - Accent5 7 8" xfId="9626" xr:uid="{00000000-0005-0000-0000-0000314C0000}"/>
    <cellStyle name="40% - Accent5 7 8 2" xfId="17584" xr:uid="{00000000-0005-0000-0000-0000324C0000}"/>
    <cellStyle name="40% - Accent5 7 8 2 2" xfId="41425" xr:uid="{A6D19509-2CC8-4683-BBCF-74B8065095D0}"/>
    <cellStyle name="40% - Accent5 7 8 3" xfId="25528" xr:uid="{00000000-0005-0000-0000-0000334C0000}"/>
    <cellStyle name="40% - Accent5 7 8 3 2" xfId="49361" xr:uid="{9FAF391E-AC9E-4B7B-9C42-A8101A8B9F08}"/>
    <cellStyle name="40% - Accent5 7 8 4" xfId="33484" xr:uid="{190FE69E-DE43-44C1-9B10-F66B3DBE91D9}"/>
    <cellStyle name="40% - Accent5 7 9" xfId="10522" xr:uid="{00000000-0005-0000-0000-0000344C0000}"/>
    <cellStyle name="40% - Accent5 7 9 2" xfId="34372" xr:uid="{9AB2B685-FBF4-4CDE-B1B5-A9336C63FBE5}"/>
    <cellStyle name="40% - Accent5 7_Exh G" xfId="3275" xr:uid="{00000000-0005-0000-0000-0000354C0000}"/>
    <cellStyle name="40% - Accent5 8" xfId="578" xr:uid="{00000000-0005-0000-0000-0000364C0000}"/>
    <cellStyle name="40% - Accent5 8 10" xfId="18481" xr:uid="{00000000-0005-0000-0000-0000374C0000}"/>
    <cellStyle name="40% - Accent5 8 10 2" xfId="42314" xr:uid="{84CC0F5E-5D86-42B5-B184-50FDFF073F0B}"/>
    <cellStyle name="40% - Accent5 8 11" xfId="26434" xr:uid="{60A65F71-40FA-46F3-A5EA-C6633B87866F}"/>
    <cellStyle name="40% - Accent5 8 2" xfId="579" xr:uid="{00000000-0005-0000-0000-0000384C0000}"/>
    <cellStyle name="40% - Accent5 8 2 2" xfId="580" xr:uid="{00000000-0005-0000-0000-0000394C0000}"/>
    <cellStyle name="40% - Accent5 8 2 2 2" xfId="1608" xr:uid="{00000000-0005-0000-0000-00003A4C0000}"/>
    <cellStyle name="40% - Accent5 8 2 2 2 2" xfId="5138" xr:uid="{00000000-0005-0000-0000-00003B4C0000}"/>
    <cellStyle name="40% - Accent5 8 2 2 2 2 2" xfId="8729" xr:uid="{00000000-0005-0000-0000-00003C4C0000}"/>
    <cellStyle name="40% - Accent5 8 2 2 2 2 2 2" xfId="16700" xr:uid="{00000000-0005-0000-0000-00003D4C0000}"/>
    <cellStyle name="40% - Accent5 8 2 2 2 2 2 2 2" xfId="40543" xr:uid="{97F3D30F-9E37-4986-BD52-05AB87276322}"/>
    <cellStyle name="40% - Accent5 8 2 2 2 2 2 3" xfId="24646" xr:uid="{00000000-0005-0000-0000-00003E4C0000}"/>
    <cellStyle name="40% - Accent5 8 2 2 2 2 2 3 2" xfId="48479" xr:uid="{B91384B1-BB70-4C83-A401-C94B71DC25CD}"/>
    <cellStyle name="40% - Accent5 8 2 2 2 2 2 4" xfId="32602" xr:uid="{7624EE9E-BCD1-4231-BF9F-0A6D44588D9F}"/>
    <cellStyle name="40% - Accent5 8 2 2 2 2 3" xfId="13162" xr:uid="{00000000-0005-0000-0000-00003F4C0000}"/>
    <cellStyle name="40% - Accent5 8 2 2 2 2 3 2" xfId="37012" xr:uid="{08ADCFFB-DA4E-4575-851C-2B19A1318B5B}"/>
    <cellStyle name="40% - Accent5 8 2 2 2 2 4" xfId="21117" xr:uid="{00000000-0005-0000-0000-0000404C0000}"/>
    <cellStyle name="40% - Accent5 8 2 2 2 2 4 2" xfId="44950" xr:uid="{B4BBF208-682A-4CC9-8801-29350ABB3CA2}"/>
    <cellStyle name="40% - Accent5 8 2 2 2 2 5" xfId="29071" xr:uid="{3719385B-FC86-4DCF-BE9B-2B92D86B7029}"/>
    <cellStyle name="40% - Accent5 8 2 2 2 3" xfId="6970" xr:uid="{00000000-0005-0000-0000-0000414C0000}"/>
    <cellStyle name="40% - Accent5 8 2 2 2 3 2" xfId="14942" xr:uid="{00000000-0005-0000-0000-0000424C0000}"/>
    <cellStyle name="40% - Accent5 8 2 2 2 3 2 2" xfId="38785" xr:uid="{C7461522-CB8C-486B-B7EE-EF51F34B189A}"/>
    <cellStyle name="40% - Accent5 8 2 2 2 3 3" xfId="22889" xr:uid="{00000000-0005-0000-0000-0000434C0000}"/>
    <cellStyle name="40% - Accent5 8 2 2 2 3 3 2" xfId="46722" xr:uid="{11AD8314-A783-4D51-897E-984404F633D3}"/>
    <cellStyle name="40% - Accent5 8 2 2 2 3 4" xfId="30844" xr:uid="{48D06511-4559-446D-BF92-2380804D5C8B}"/>
    <cellStyle name="40% - Accent5 8 2 2 2 4" xfId="11406" xr:uid="{00000000-0005-0000-0000-0000444C0000}"/>
    <cellStyle name="40% - Accent5 8 2 2 2 4 2" xfId="35256" xr:uid="{37DAE65C-C0B2-4FDA-90B7-78F6A1894B36}"/>
    <cellStyle name="40% - Accent5 8 2 2 2 5" xfId="19361" xr:uid="{00000000-0005-0000-0000-0000454C0000}"/>
    <cellStyle name="40% - Accent5 8 2 2 2 5 2" xfId="43194" xr:uid="{F8DBC2AE-0BCA-45F4-9B46-3B07B1A76426}"/>
    <cellStyle name="40% - Accent5 8 2 2 2 6" xfId="27314" xr:uid="{35EDC5FD-C9BD-4752-89B7-ADDB9DD42047}"/>
    <cellStyle name="40% - Accent5 8 2 2 2_Exh G" xfId="3288" xr:uid="{00000000-0005-0000-0000-0000464C0000}"/>
    <cellStyle name="40% - Accent5 8 2 2 3" xfId="4259" xr:uid="{00000000-0005-0000-0000-0000474C0000}"/>
    <cellStyle name="40% - Accent5 8 2 2 3 2" xfId="7851" xr:uid="{00000000-0005-0000-0000-0000484C0000}"/>
    <cellStyle name="40% - Accent5 8 2 2 3 2 2" xfId="15822" xr:uid="{00000000-0005-0000-0000-0000494C0000}"/>
    <cellStyle name="40% - Accent5 8 2 2 3 2 2 2" xfId="39665" xr:uid="{6A1830E2-BAF4-411D-B745-6C5D65335379}"/>
    <cellStyle name="40% - Accent5 8 2 2 3 2 3" xfId="23768" xr:uid="{00000000-0005-0000-0000-00004A4C0000}"/>
    <cellStyle name="40% - Accent5 8 2 2 3 2 3 2" xfId="47601" xr:uid="{1BB30CA1-81CD-4D77-B2E0-FB8D0DAD00EF}"/>
    <cellStyle name="40% - Accent5 8 2 2 3 2 4" xfId="31724" xr:uid="{955233CC-6DEF-4D4F-8468-7C5143072C12}"/>
    <cellStyle name="40% - Accent5 8 2 2 3 3" xfId="12284" xr:uid="{00000000-0005-0000-0000-00004B4C0000}"/>
    <cellStyle name="40% - Accent5 8 2 2 3 3 2" xfId="36134" xr:uid="{27247FC9-7BEE-49E9-BA58-4BD4D25588FB}"/>
    <cellStyle name="40% - Accent5 8 2 2 3 4" xfId="20239" xr:uid="{00000000-0005-0000-0000-00004C4C0000}"/>
    <cellStyle name="40% - Accent5 8 2 2 3 4 2" xfId="44072" xr:uid="{881C498B-09F0-4F62-B2CB-0E700DA21C14}"/>
    <cellStyle name="40% - Accent5 8 2 2 3 5" xfId="28193" xr:uid="{4A72D6D1-59A5-4293-8D8B-29B253AD225D}"/>
    <cellStyle name="40% - Accent5 8 2 2 4" xfId="6079" xr:uid="{00000000-0005-0000-0000-00004D4C0000}"/>
    <cellStyle name="40% - Accent5 8 2 2 4 2" xfId="14063" xr:uid="{00000000-0005-0000-0000-00004E4C0000}"/>
    <cellStyle name="40% - Accent5 8 2 2 4 2 2" xfId="37907" xr:uid="{34279685-9D08-4F76-9917-F5BFFAF4A8BE}"/>
    <cellStyle name="40% - Accent5 8 2 2 4 3" xfId="22011" xr:uid="{00000000-0005-0000-0000-00004F4C0000}"/>
    <cellStyle name="40% - Accent5 8 2 2 4 3 2" xfId="45844" xr:uid="{944E6662-C259-46DC-B12B-4C2735169DA3}"/>
    <cellStyle name="40% - Accent5 8 2 2 4 4" xfId="29966" xr:uid="{3FF91488-50B7-4C33-B80B-5D58E413B417}"/>
    <cellStyle name="40% - Accent5 8 2 2 5" xfId="9632" xr:uid="{00000000-0005-0000-0000-0000504C0000}"/>
    <cellStyle name="40% - Accent5 8 2 2 5 2" xfId="17590" xr:uid="{00000000-0005-0000-0000-0000514C0000}"/>
    <cellStyle name="40% - Accent5 8 2 2 5 2 2" xfId="41431" xr:uid="{A7BA8D11-29A6-4907-91E3-2FF508B6504B}"/>
    <cellStyle name="40% - Accent5 8 2 2 5 3" xfId="25534" xr:uid="{00000000-0005-0000-0000-0000524C0000}"/>
    <cellStyle name="40% - Accent5 8 2 2 5 3 2" xfId="49367" xr:uid="{C1F29BD9-71A8-4DE2-AE04-2E394328BE6A}"/>
    <cellStyle name="40% - Accent5 8 2 2 5 4" xfId="33490" xr:uid="{65052A5E-D2C1-4F77-BD18-88FDC8C9F3B1}"/>
    <cellStyle name="40% - Accent5 8 2 2 6" xfId="10528" xr:uid="{00000000-0005-0000-0000-0000534C0000}"/>
    <cellStyle name="40% - Accent5 8 2 2 6 2" xfId="34378" xr:uid="{2E13C159-ED25-47C7-9CD9-C2BBB22A614B}"/>
    <cellStyle name="40% - Accent5 8 2 2 7" xfId="18483" xr:uid="{00000000-0005-0000-0000-0000544C0000}"/>
    <cellStyle name="40% - Accent5 8 2 2 7 2" xfId="42316" xr:uid="{F95943D4-68EE-44D0-9865-6002279EAE2F}"/>
    <cellStyle name="40% - Accent5 8 2 2 8" xfId="26436" xr:uid="{D5C74E87-C2E7-4491-8F8E-4636C232BB39}"/>
    <cellStyle name="40% - Accent5 8 2 2_Exh G" xfId="3287" xr:uid="{00000000-0005-0000-0000-0000554C0000}"/>
    <cellStyle name="40% - Accent5 8 2 3" xfId="1607" xr:uid="{00000000-0005-0000-0000-0000564C0000}"/>
    <cellStyle name="40% - Accent5 8 2 3 2" xfId="5137" xr:uid="{00000000-0005-0000-0000-0000574C0000}"/>
    <cellStyle name="40% - Accent5 8 2 3 2 2" xfId="8728" xr:uid="{00000000-0005-0000-0000-0000584C0000}"/>
    <cellStyle name="40% - Accent5 8 2 3 2 2 2" xfId="16699" xr:uid="{00000000-0005-0000-0000-0000594C0000}"/>
    <cellStyle name="40% - Accent5 8 2 3 2 2 2 2" xfId="40542" xr:uid="{C7CDF7BA-C6B4-4051-BFCE-1B154BCCC4DA}"/>
    <cellStyle name="40% - Accent5 8 2 3 2 2 3" xfId="24645" xr:uid="{00000000-0005-0000-0000-00005A4C0000}"/>
    <cellStyle name="40% - Accent5 8 2 3 2 2 3 2" xfId="48478" xr:uid="{C7C96FBE-48F1-4FC2-B3B3-7839A294882D}"/>
    <cellStyle name="40% - Accent5 8 2 3 2 2 4" xfId="32601" xr:uid="{12B3D5D5-D856-46C0-8FAA-06A3C7002057}"/>
    <cellStyle name="40% - Accent5 8 2 3 2 3" xfId="13161" xr:uid="{00000000-0005-0000-0000-00005B4C0000}"/>
    <cellStyle name="40% - Accent5 8 2 3 2 3 2" xfId="37011" xr:uid="{E6AE5D99-300A-4B44-BAF8-0A1414E69D6D}"/>
    <cellStyle name="40% - Accent5 8 2 3 2 4" xfId="21116" xr:uid="{00000000-0005-0000-0000-00005C4C0000}"/>
    <cellStyle name="40% - Accent5 8 2 3 2 4 2" xfId="44949" xr:uid="{7C734206-B1F6-4F5E-B05F-BE70C8B86501}"/>
    <cellStyle name="40% - Accent5 8 2 3 2 5" xfId="29070" xr:uid="{77F85809-2032-4D0C-9CBC-8E7DC07893DF}"/>
    <cellStyle name="40% - Accent5 8 2 3 3" xfId="6969" xr:uid="{00000000-0005-0000-0000-00005D4C0000}"/>
    <cellStyle name="40% - Accent5 8 2 3 3 2" xfId="14941" xr:uid="{00000000-0005-0000-0000-00005E4C0000}"/>
    <cellStyle name="40% - Accent5 8 2 3 3 2 2" xfId="38784" xr:uid="{3ECCE71D-13E4-4226-822E-9EFC4DB53C24}"/>
    <cellStyle name="40% - Accent5 8 2 3 3 3" xfId="22888" xr:uid="{00000000-0005-0000-0000-00005F4C0000}"/>
    <cellStyle name="40% - Accent5 8 2 3 3 3 2" xfId="46721" xr:uid="{56815E90-B271-4DDF-8EDF-58F7B32000DC}"/>
    <cellStyle name="40% - Accent5 8 2 3 3 4" xfId="30843" xr:uid="{CDB73BCC-0D4E-4FA5-838B-FC4A7A2DA40A}"/>
    <cellStyle name="40% - Accent5 8 2 3 4" xfId="11405" xr:uid="{00000000-0005-0000-0000-0000604C0000}"/>
    <cellStyle name="40% - Accent5 8 2 3 4 2" xfId="35255" xr:uid="{1D003E76-5CAA-4309-8CC4-199C67B11E30}"/>
    <cellStyle name="40% - Accent5 8 2 3 5" xfId="19360" xr:uid="{00000000-0005-0000-0000-0000614C0000}"/>
    <cellStyle name="40% - Accent5 8 2 3 5 2" xfId="43193" xr:uid="{612FD2DD-B8E8-49A4-9168-AE183CBE0CBF}"/>
    <cellStyle name="40% - Accent5 8 2 3 6" xfId="27313" xr:uid="{A00E036C-25A3-4235-8364-560D6C0C184C}"/>
    <cellStyle name="40% - Accent5 8 2 3_Exh G" xfId="3289" xr:uid="{00000000-0005-0000-0000-0000624C0000}"/>
    <cellStyle name="40% - Accent5 8 2 4" xfId="4258" xr:uid="{00000000-0005-0000-0000-0000634C0000}"/>
    <cellStyle name="40% - Accent5 8 2 4 2" xfId="7850" xr:uid="{00000000-0005-0000-0000-0000644C0000}"/>
    <cellStyle name="40% - Accent5 8 2 4 2 2" xfId="15821" xr:uid="{00000000-0005-0000-0000-0000654C0000}"/>
    <cellStyle name="40% - Accent5 8 2 4 2 2 2" xfId="39664" xr:uid="{370D60E1-EA86-43EF-B453-A06E95B005E7}"/>
    <cellStyle name="40% - Accent5 8 2 4 2 3" xfId="23767" xr:uid="{00000000-0005-0000-0000-0000664C0000}"/>
    <cellStyle name="40% - Accent5 8 2 4 2 3 2" xfId="47600" xr:uid="{8B13B014-0630-4415-AF31-665E9E72E486}"/>
    <cellStyle name="40% - Accent5 8 2 4 2 4" xfId="31723" xr:uid="{FC0851B2-E2DC-4A08-9AB8-ADFA911E601E}"/>
    <cellStyle name="40% - Accent5 8 2 4 3" xfId="12283" xr:uid="{00000000-0005-0000-0000-0000674C0000}"/>
    <cellStyle name="40% - Accent5 8 2 4 3 2" xfId="36133" xr:uid="{FCDE0E4F-A96A-4DDB-AEFF-D7467AAD77AD}"/>
    <cellStyle name="40% - Accent5 8 2 4 4" xfId="20238" xr:uid="{00000000-0005-0000-0000-0000684C0000}"/>
    <cellStyle name="40% - Accent5 8 2 4 4 2" xfId="44071" xr:uid="{111AF880-7B7A-4812-AFC6-DC504A43B07E}"/>
    <cellStyle name="40% - Accent5 8 2 4 5" xfId="28192" xr:uid="{90F3B8DA-8A1D-4FE4-B41C-F698A7A4C543}"/>
    <cellStyle name="40% - Accent5 8 2 5" xfId="6078" xr:uid="{00000000-0005-0000-0000-0000694C0000}"/>
    <cellStyle name="40% - Accent5 8 2 5 2" xfId="14062" xr:uid="{00000000-0005-0000-0000-00006A4C0000}"/>
    <cellStyle name="40% - Accent5 8 2 5 2 2" xfId="37906" xr:uid="{BB4353C2-AD78-473B-86D9-B85FA1514292}"/>
    <cellStyle name="40% - Accent5 8 2 5 3" xfId="22010" xr:uid="{00000000-0005-0000-0000-00006B4C0000}"/>
    <cellStyle name="40% - Accent5 8 2 5 3 2" xfId="45843" xr:uid="{3D1125F2-FF39-4ECF-A5AD-3E8419D2909B}"/>
    <cellStyle name="40% - Accent5 8 2 5 4" xfId="29965" xr:uid="{0E6B0BE5-A3D6-4B39-8AB9-EB5EEA0C373E}"/>
    <cellStyle name="40% - Accent5 8 2 6" xfId="9631" xr:uid="{00000000-0005-0000-0000-00006C4C0000}"/>
    <cellStyle name="40% - Accent5 8 2 6 2" xfId="17589" xr:uid="{00000000-0005-0000-0000-00006D4C0000}"/>
    <cellStyle name="40% - Accent5 8 2 6 2 2" xfId="41430" xr:uid="{4B216589-6275-4ACB-BB87-B080A6ACA85B}"/>
    <cellStyle name="40% - Accent5 8 2 6 3" xfId="25533" xr:uid="{00000000-0005-0000-0000-00006E4C0000}"/>
    <cellStyle name="40% - Accent5 8 2 6 3 2" xfId="49366" xr:uid="{2D8EF267-8B32-4B4C-8479-FF9AAD384472}"/>
    <cellStyle name="40% - Accent5 8 2 6 4" xfId="33489" xr:uid="{DD177052-FBC7-45BC-BF9D-27F553A32BEF}"/>
    <cellStyle name="40% - Accent5 8 2 7" xfId="10527" xr:uid="{00000000-0005-0000-0000-00006F4C0000}"/>
    <cellStyle name="40% - Accent5 8 2 7 2" xfId="34377" xr:uid="{BB79B618-FD78-4EE1-AC1A-85724409196E}"/>
    <cellStyle name="40% - Accent5 8 2 8" xfId="18482" xr:uid="{00000000-0005-0000-0000-0000704C0000}"/>
    <cellStyle name="40% - Accent5 8 2 8 2" xfId="42315" xr:uid="{588421D4-7A33-4966-9084-50C76626CD09}"/>
    <cellStyle name="40% - Accent5 8 2 9" xfId="26435" xr:uid="{A98B3D34-029D-45FE-A167-CC802CDD0D06}"/>
    <cellStyle name="40% - Accent5 8 2_Exh G" xfId="3286" xr:uid="{00000000-0005-0000-0000-0000714C0000}"/>
    <cellStyle name="40% - Accent5 8 3" xfId="581" xr:uid="{00000000-0005-0000-0000-0000724C0000}"/>
    <cellStyle name="40% - Accent5 8 3 2" xfId="1609" xr:uid="{00000000-0005-0000-0000-0000734C0000}"/>
    <cellStyle name="40% - Accent5 8 3 2 2" xfId="5139" xr:uid="{00000000-0005-0000-0000-0000744C0000}"/>
    <cellStyle name="40% - Accent5 8 3 2 2 2" xfId="8730" xr:uid="{00000000-0005-0000-0000-0000754C0000}"/>
    <cellStyle name="40% - Accent5 8 3 2 2 2 2" xfId="16701" xr:uid="{00000000-0005-0000-0000-0000764C0000}"/>
    <cellStyle name="40% - Accent5 8 3 2 2 2 2 2" xfId="40544" xr:uid="{61EB7B7C-C820-415F-B42E-F734DE9B120E}"/>
    <cellStyle name="40% - Accent5 8 3 2 2 2 3" xfId="24647" xr:uid="{00000000-0005-0000-0000-0000774C0000}"/>
    <cellStyle name="40% - Accent5 8 3 2 2 2 3 2" xfId="48480" xr:uid="{2D7FE4C4-C4EF-4426-AC5A-F78D41162547}"/>
    <cellStyle name="40% - Accent5 8 3 2 2 2 4" xfId="32603" xr:uid="{54E19C36-44DA-407D-8F5C-F31062D21FE6}"/>
    <cellStyle name="40% - Accent5 8 3 2 2 3" xfId="13163" xr:uid="{00000000-0005-0000-0000-0000784C0000}"/>
    <cellStyle name="40% - Accent5 8 3 2 2 3 2" xfId="37013" xr:uid="{AF4CE46F-DF98-4724-90B7-451EEA8628F8}"/>
    <cellStyle name="40% - Accent5 8 3 2 2 4" xfId="21118" xr:uid="{00000000-0005-0000-0000-0000794C0000}"/>
    <cellStyle name="40% - Accent5 8 3 2 2 4 2" xfId="44951" xr:uid="{72B0D7F7-476B-436F-A92F-39CE868A15FD}"/>
    <cellStyle name="40% - Accent5 8 3 2 2 5" xfId="29072" xr:uid="{44FF03CE-2EA4-4478-BA17-90D77A9AC006}"/>
    <cellStyle name="40% - Accent5 8 3 2 3" xfId="6971" xr:uid="{00000000-0005-0000-0000-00007A4C0000}"/>
    <cellStyle name="40% - Accent5 8 3 2 3 2" xfId="14943" xr:uid="{00000000-0005-0000-0000-00007B4C0000}"/>
    <cellStyle name="40% - Accent5 8 3 2 3 2 2" xfId="38786" xr:uid="{38050A85-A80E-4648-B70F-9875E75F92E4}"/>
    <cellStyle name="40% - Accent5 8 3 2 3 3" xfId="22890" xr:uid="{00000000-0005-0000-0000-00007C4C0000}"/>
    <cellStyle name="40% - Accent5 8 3 2 3 3 2" xfId="46723" xr:uid="{058A7CFE-07B4-49C7-B1CE-EF40B86F5E1F}"/>
    <cellStyle name="40% - Accent5 8 3 2 3 4" xfId="30845" xr:uid="{BA90799E-B5A8-405B-A1F8-175D09041219}"/>
    <cellStyle name="40% - Accent5 8 3 2 4" xfId="11407" xr:uid="{00000000-0005-0000-0000-00007D4C0000}"/>
    <cellStyle name="40% - Accent5 8 3 2 4 2" xfId="35257" xr:uid="{2853AD38-E001-4CDA-A26E-2C38ADA52F10}"/>
    <cellStyle name="40% - Accent5 8 3 2 5" xfId="19362" xr:uid="{00000000-0005-0000-0000-00007E4C0000}"/>
    <cellStyle name="40% - Accent5 8 3 2 5 2" xfId="43195" xr:uid="{7557118B-1CCB-4EC2-A9BF-554CF879A654}"/>
    <cellStyle name="40% - Accent5 8 3 2 6" xfId="27315" xr:uid="{CBEA79C5-16D4-4D3C-864A-46EB504B7BFC}"/>
    <cellStyle name="40% - Accent5 8 3 2_Exh G" xfId="3291" xr:uid="{00000000-0005-0000-0000-00007F4C0000}"/>
    <cellStyle name="40% - Accent5 8 3 3" xfId="4260" xr:uid="{00000000-0005-0000-0000-0000804C0000}"/>
    <cellStyle name="40% - Accent5 8 3 3 2" xfId="7852" xr:uid="{00000000-0005-0000-0000-0000814C0000}"/>
    <cellStyle name="40% - Accent5 8 3 3 2 2" xfId="15823" xr:uid="{00000000-0005-0000-0000-0000824C0000}"/>
    <cellStyle name="40% - Accent5 8 3 3 2 2 2" xfId="39666" xr:uid="{8285E2DE-94AA-4C6F-A355-2A8202A2270A}"/>
    <cellStyle name="40% - Accent5 8 3 3 2 3" xfId="23769" xr:uid="{00000000-0005-0000-0000-0000834C0000}"/>
    <cellStyle name="40% - Accent5 8 3 3 2 3 2" xfId="47602" xr:uid="{AC3C77D0-C445-4284-B3B0-1388745EF1EF}"/>
    <cellStyle name="40% - Accent5 8 3 3 2 4" xfId="31725" xr:uid="{72A75011-BBEF-4631-906F-A233B2FE5F24}"/>
    <cellStyle name="40% - Accent5 8 3 3 3" xfId="12285" xr:uid="{00000000-0005-0000-0000-0000844C0000}"/>
    <cellStyle name="40% - Accent5 8 3 3 3 2" xfId="36135" xr:uid="{F1D8DF13-E9F7-41A2-BDF1-BABDCDEB877A}"/>
    <cellStyle name="40% - Accent5 8 3 3 4" xfId="20240" xr:uid="{00000000-0005-0000-0000-0000854C0000}"/>
    <cellStyle name="40% - Accent5 8 3 3 4 2" xfId="44073" xr:uid="{89911F81-5985-4A52-B5DA-BCF12202D42A}"/>
    <cellStyle name="40% - Accent5 8 3 3 5" xfId="28194" xr:uid="{B80BF7C8-476B-4938-ADE4-B495EE7BAE3D}"/>
    <cellStyle name="40% - Accent5 8 3 4" xfId="6080" xr:uid="{00000000-0005-0000-0000-0000864C0000}"/>
    <cellStyle name="40% - Accent5 8 3 4 2" xfId="14064" xr:uid="{00000000-0005-0000-0000-0000874C0000}"/>
    <cellStyle name="40% - Accent5 8 3 4 2 2" xfId="37908" xr:uid="{57B95608-6330-4D29-8FC9-E1F6A071C1DC}"/>
    <cellStyle name="40% - Accent5 8 3 4 3" xfId="22012" xr:uid="{00000000-0005-0000-0000-0000884C0000}"/>
    <cellStyle name="40% - Accent5 8 3 4 3 2" xfId="45845" xr:uid="{060F0FC5-85A0-4088-8C47-943A71993961}"/>
    <cellStyle name="40% - Accent5 8 3 4 4" xfId="29967" xr:uid="{3324FF22-AAA5-4045-8169-A441CCCBBF5A}"/>
    <cellStyle name="40% - Accent5 8 3 5" xfId="9633" xr:uid="{00000000-0005-0000-0000-0000894C0000}"/>
    <cellStyle name="40% - Accent5 8 3 5 2" xfId="17591" xr:uid="{00000000-0005-0000-0000-00008A4C0000}"/>
    <cellStyle name="40% - Accent5 8 3 5 2 2" xfId="41432" xr:uid="{68E190ED-27D8-420E-859B-54C91CAC4186}"/>
    <cellStyle name="40% - Accent5 8 3 5 3" xfId="25535" xr:uid="{00000000-0005-0000-0000-00008B4C0000}"/>
    <cellStyle name="40% - Accent5 8 3 5 3 2" xfId="49368" xr:uid="{4013EB64-5B2A-42CC-837B-5582797D9C70}"/>
    <cellStyle name="40% - Accent5 8 3 5 4" xfId="33491" xr:uid="{AD790205-7D0B-49A7-97CF-A32928FDB5EF}"/>
    <cellStyle name="40% - Accent5 8 3 6" xfId="10529" xr:uid="{00000000-0005-0000-0000-00008C4C0000}"/>
    <cellStyle name="40% - Accent5 8 3 6 2" xfId="34379" xr:uid="{A314C168-303E-40BD-BE04-C6EB8D6B384F}"/>
    <cellStyle name="40% - Accent5 8 3 7" xfId="18484" xr:uid="{00000000-0005-0000-0000-00008D4C0000}"/>
    <cellStyle name="40% - Accent5 8 3 7 2" xfId="42317" xr:uid="{1707AA22-ADD6-4E8D-A468-8F4282AA29DA}"/>
    <cellStyle name="40% - Accent5 8 3 8" xfId="26437" xr:uid="{E61A8FF0-71D6-4A1B-A940-B09C0A521DFF}"/>
    <cellStyle name="40% - Accent5 8 3_Exh G" xfId="3290" xr:uid="{00000000-0005-0000-0000-00008E4C0000}"/>
    <cellStyle name="40% - Accent5 8 4" xfId="992" xr:uid="{00000000-0005-0000-0000-00008F4C0000}"/>
    <cellStyle name="40% - Accent5 8 4 2" xfId="1907" xr:uid="{00000000-0005-0000-0000-0000904C0000}"/>
    <cellStyle name="40% - Accent5 8 4 2 2" xfId="5425" xr:uid="{00000000-0005-0000-0000-0000914C0000}"/>
    <cellStyle name="40% - Accent5 8 4 2 2 2" xfId="9016" xr:uid="{00000000-0005-0000-0000-0000924C0000}"/>
    <cellStyle name="40% - Accent5 8 4 2 2 2 2" xfId="16987" xr:uid="{00000000-0005-0000-0000-0000934C0000}"/>
    <cellStyle name="40% - Accent5 8 4 2 2 2 2 2" xfId="40830" xr:uid="{7B96839B-E72A-4FA8-A593-AD83F0305E28}"/>
    <cellStyle name="40% - Accent5 8 4 2 2 2 3" xfId="24933" xr:uid="{00000000-0005-0000-0000-0000944C0000}"/>
    <cellStyle name="40% - Accent5 8 4 2 2 2 3 2" xfId="48766" xr:uid="{10E64564-58A7-4A32-86A0-58E517973BA5}"/>
    <cellStyle name="40% - Accent5 8 4 2 2 2 4" xfId="32889" xr:uid="{B49A00A7-1F37-49F7-B631-98E7E3864AEB}"/>
    <cellStyle name="40% - Accent5 8 4 2 2 3" xfId="13449" xr:uid="{00000000-0005-0000-0000-0000954C0000}"/>
    <cellStyle name="40% - Accent5 8 4 2 2 3 2" xfId="37299" xr:uid="{C557618A-1A70-4463-B225-F8B4A8D7708E}"/>
    <cellStyle name="40% - Accent5 8 4 2 2 4" xfId="21404" xr:uid="{00000000-0005-0000-0000-0000964C0000}"/>
    <cellStyle name="40% - Accent5 8 4 2 2 4 2" xfId="45237" xr:uid="{4CCEAAAE-61EB-4B29-877A-BD0CEFA66483}"/>
    <cellStyle name="40% - Accent5 8 4 2 2 5" xfId="29358" xr:uid="{26B1AD32-3AEB-4591-8E4D-BAA992ECF093}"/>
    <cellStyle name="40% - Accent5 8 4 2 3" xfId="7257" xr:uid="{00000000-0005-0000-0000-0000974C0000}"/>
    <cellStyle name="40% - Accent5 8 4 2 3 2" xfId="15229" xr:uid="{00000000-0005-0000-0000-0000984C0000}"/>
    <cellStyle name="40% - Accent5 8 4 2 3 2 2" xfId="39072" xr:uid="{77CD83DB-730D-451F-85CC-7CE9913B3A30}"/>
    <cellStyle name="40% - Accent5 8 4 2 3 3" xfId="23176" xr:uid="{00000000-0005-0000-0000-0000994C0000}"/>
    <cellStyle name="40% - Accent5 8 4 2 3 3 2" xfId="47009" xr:uid="{8A80DAD3-EF6E-4ABD-8406-94B87057C35C}"/>
    <cellStyle name="40% - Accent5 8 4 2 3 4" xfId="31131" xr:uid="{D247CC58-A1E6-47F0-821D-E0660CA08B04}"/>
    <cellStyle name="40% - Accent5 8 4 2 4" xfId="11693" xr:uid="{00000000-0005-0000-0000-00009A4C0000}"/>
    <cellStyle name="40% - Accent5 8 4 2 4 2" xfId="35543" xr:uid="{3BE4E5B2-1262-4438-8C5B-CEC17EE6529E}"/>
    <cellStyle name="40% - Accent5 8 4 2 5" xfId="19648" xr:uid="{00000000-0005-0000-0000-00009B4C0000}"/>
    <cellStyle name="40% - Accent5 8 4 2 5 2" xfId="43481" xr:uid="{CF33FA03-856D-496D-8993-2D1D79CD0CA9}"/>
    <cellStyle name="40% - Accent5 8 4 2 6" xfId="27601" xr:uid="{C49B448A-4E4E-4558-BA9F-190B2677F3FC}"/>
    <cellStyle name="40% - Accent5 8 4 2_Exh G" xfId="3293" xr:uid="{00000000-0005-0000-0000-00009C4C0000}"/>
    <cellStyle name="40% - Accent5 8 4 3" xfId="4546" xr:uid="{00000000-0005-0000-0000-00009D4C0000}"/>
    <cellStyle name="40% - Accent5 8 4 3 2" xfId="8138" xr:uid="{00000000-0005-0000-0000-00009E4C0000}"/>
    <cellStyle name="40% - Accent5 8 4 3 2 2" xfId="16109" xr:uid="{00000000-0005-0000-0000-00009F4C0000}"/>
    <cellStyle name="40% - Accent5 8 4 3 2 2 2" xfId="39952" xr:uid="{29794F70-F969-4B59-A049-38F1E9E411E2}"/>
    <cellStyle name="40% - Accent5 8 4 3 2 3" xfId="24055" xr:uid="{00000000-0005-0000-0000-0000A04C0000}"/>
    <cellStyle name="40% - Accent5 8 4 3 2 3 2" xfId="47888" xr:uid="{BCEFEAB0-916B-4F64-8AF4-1A3E3355DF10}"/>
    <cellStyle name="40% - Accent5 8 4 3 2 4" xfId="32011" xr:uid="{0F356E40-D670-498B-9837-9973752B7533}"/>
    <cellStyle name="40% - Accent5 8 4 3 3" xfId="12571" xr:uid="{00000000-0005-0000-0000-0000A14C0000}"/>
    <cellStyle name="40% - Accent5 8 4 3 3 2" xfId="36421" xr:uid="{F41D700C-7CB7-487B-B7F1-FFE8D902D7C1}"/>
    <cellStyle name="40% - Accent5 8 4 3 4" xfId="20526" xr:uid="{00000000-0005-0000-0000-0000A24C0000}"/>
    <cellStyle name="40% - Accent5 8 4 3 4 2" xfId="44359" xr:uid="{47409FDC-A49F-47BA-B2D5-CB8D1725FAE6}"/>
    <cellStyle name="40% - Accent5 8 4 3 5" xfId="28480" xr:uid="{5500EF1A-1272-4589-BEB5-7D96A3E3C500}"/>
    <cellStyle name="40% - Accent5 8 4 4" xfId="6376" xr:uid="{00000000-0005-0000-0000-0000A34C0000}"/>
    <cellStyle name="40% - Accent5 8 4 4 2" xfId="14351" xr:uid="{00000000-0005-0000-0000-0000A44C0000}"/>
    <cellStyle name="40% - Accent5 8 4 4 2 2" xfId="38194" xr:uid="{D3588784-4B1C-4907-BF19-E3FB4C5A0B3D}"/>
    <cellStyle name="40% - Accent5 8 4 4 3" xfId="22298" xr:uid="{00000000-0005-0000-0000-0000A54C0000}"/>
    <cellStyle name="40% - Accent5 8 4 4 3 2" xfId="46131" xr:uid="{868E1C3C-C018-4371-9A92-11B161EE4FCD}"/>
    <cellStyle name="40% - Accent5 8 4 4 4" xfId="30253" xr:uid="{4F1B1DFA-F32E-4397-998A-CDD3B729DB01}"/>
    <cellStyle name="40% - Accent5 8 4 5" xfId="9919" xr:uid="{00000000-0005-0000-0000-0000A64C0000}"/>
    <cellStyle name="40% - Accent5 8 4 5 2" xfId="17877" xr:uid="{00000000-0005-0000-0000-0000A74C0000}"/>
    <cellStyle name="40% - Accent5 8 4 5 2 2" xfId="41718" xr:uid="{02A8C895-E118-45B2-80B7-39C12310CE6C}"/>
    <cellStyle name="40% - Accent5 8 4 5 3" xfId="25821" xr:uid="{00000000-0005-0000-0000-0000A84C0000}"/>
    <cellStyle name="40% - Accent5 8 4 5 3 2" xfId="49654" xr:uid="{D4828D8F-23C1-4445-93FC-275507DAF0CF}"/>
    <cellStyle name="40% - Accent5 8 4 5 4" xfId="33777" xr:uid="{B4CEF06C-9FB6-4A8D-992F-A3422C88ADF4}"/>
    <cellStyle name="40% - Accent5 8 4 6" xfId="10815" xr:uid="{00000000-0005-0000-0000-0000A94C0000}"/>
    <cellStyle name="40% - Accent5 8 4 6 2" xfId="34665" xr:uid="{7C95BAA6-355F-4C3B-8F69-DFE89EE7F0EF}"/>
    <cellStyle name="40% - Accent5 8 4 7" xfId="18770" xr:uid="{00000000-0005-0000-0000-0000AA4C0000}"/>
    <cellStyle name="40% - Accent5 8 4 7 2" xfId="42603" xr:uid="{2B11FC0C-1571-4540-B6B6-DE434EBB299A}"/>
    <cellStyle name="40% - Accent5 8 4 8" xfId="26723" xr:uid="{0CB47FCA-76B6-452F-B482-8F46441BC0AE}"/>
    <cellStyle name="40% - Accent5 8 4_Exh G" xfId="3292" xr:uid="{00000000-0005-0000-0000-0000AB4C0000}"/>
    <cellStyle name="40% - Accent5 8 5" xfId="1606" xr:uid="{00000000-0005-0000-0000-0000AC4C0000}"/>
    <cellStyle name="40% - Accent5 8 5 2" xfId="5136" xr:uid="{00000000-0005-0000-0000-0000AD4C0000}"/>
    <cellStyle name="40% - Accent5 8 5 2 2" xfId="8727" xr:uid="{00000000-0005-0000-0000-0000AE4C0000}"/>
    <cellStyle name="40% - Accent5 8 5 2 2 2" xfId="16698" xr:uid="{00000000-0005-0000-0000-0000AF4C0000}"/>
    <cellStyle name="40% - Accent5 8 5 2 2 2 2" xfId="40541" xr:uid="{AC49C6AF-138E-4AA2-9EB0-D04FCF62DE91}"/>
    <cellStyle name="40% - Accent5 8 5 2 2 3" xfId="24644" xr:uid="{00000000-0005-0000-0000-0000B04C0000}"/>
    <cellStyle name="40% - Accent5 8 5 2 2 3 2" xfId="48477" xr:uid="{42A35AAD-F559-419C-9A9A-B8BC702EB146}"/>
    <cellStyle name="40% - Accent5 8 5 2 2 4" xfId="32600" xr:uid="{23F83694-0E6B-473A-B1DD-86723CE18415}"/>
    <cellStyle name="40% - Accent5 8 5 2 3" xfId="13160" xr:uid="{00000000-0005-0000-0000-0000B14C0000}"/>
    <cellStyle name="40% - Accent5 8 5 2 3 2" xfId="37010" xr:uid="{B8A310C1-5BC0-4B3A-B74C-24024C064F0E}"/>
    <cellStyle name="40% - Accent5 8 5 2 4" xfId="21115" xr:uid="{00000000-0005-0000-0000-0000B24C0000}"/>
    <cellStyle name="40% - Accent5 8 5 2 4 2" xfId="44948" xr:uid="{7041DF8F-4CA2-41A3-8349-9A0A999A1FAD}"/>
    <cellStyle name="40% - Accent5 8 5 2 5" xfId="29069" xr:uid="{D53429D9-4B8A-4DEB-A884-221131CB5944}"/>
    <cellStyle name="40% - Accent5 8 5 3" xfId="6968" xr:uid="{00000000-0005-0000-0000-0000B34C0000}"/>
    <cellStyle name="40% - Accent5 8 5 3 2" xfId="14940" xr:uid="{00000000-0005-0000-0000-0000B44C0000}"/>
    <cellStyle name="40% - Accent5 8 5 3 2 2" xfId="38783" xr:uid="{70BC0A4D-190F-49F5-8DD0-7E521C5DB737}"/>
    <cellStyle name="40% - Accent5 8 5 3 3" xfId="22887" xr:uid="{00000000-0005-0000-0000-0000B54C0000}"/>
    <cellStyle name="40% - Accent5 8 5 3 3 2" xfId="46720" xr:uid="{3BE15638-9C22-44B5-B98E-00B700F3F37C}"/>
    <cellStyle name="40% - Accent5 8 5 3 4" xfId="30842" xr:uid="{7946462C-93C2-4DF5-9C80-7E1DF25AC9BE}"/>
    <cellStyle name="40% - Accent5 8 5 4" xfId="11404" xr:uid="{00000000-0005-0000-0000-0000B64C0000}"/>
    <cellStyle name="40% - Accent5 8 5 4 2" xfId="35254" xr:uid="{9F4CBEB1-F11F-420B-BC7F-EEE761169AA2}"/>
    <cellStyle name="40% - Accent5 8 5 5" xfId="19359" xr:uid="{00000000-0005-0000-0000-0000B74C0000}"/>
    <cellStyle name="40% - Accent5 8 5 5 2" xfId="43192" xr:uid="{DBE815D7-5571-41AF-A14F-290D991F9774}"/>
    <cellStyle name="40% - Accent5 8 5 6" xfId="27312" xr:uid="{F06BE6EF-05E9-421B-A2B6-5395F72D4B0B}"/>
    <cellStyle name="40% - Accent5 8 5_Exh G" xfId="3294" xr:uid="{00000000-0005-0000-0000-0000B84C0000}"/>
    <cellStyle name="40% - Accent5 8 6" xfId="4257" xr:uid="{00000000-0005-0000-0000-0000B94C0000}"/>
    <cellStyle name="40% - Accent5 8 6 2" xfId="7849" xr:uid="{00000000-0005-0000-0000-0000BA4C0000}"/>
    <cellStyle name="40% - Accent5 8 6 2 2" xfId="15820" xr:uid="{00000000-0005-0000-0000-0000BB4C0000}"/>
    <cellStyle name="40% - Accent5 8 6 2 2 2" xfId="39663" xr:uid="{D74FC331-76AE-406D-A39A-5F341E19A55A}"/>
    <cellStyle name="40% - Accent5 8 6 2 3" xfId="23766" xr:uid="{00000000-0005-0000-0000-0000BC4C0000}"/>
    <cellStyle name="40% - Accent5 8 6 2 3 2" xfId="47599" xr:uid="{61D5C5C2-366A-41AA-A409-FC18C3A163F7}"/>
    <cellStyle name="40% - Accent5 8 6 2 4" xfId="31722" xr:uid="{C442B8AE-96ED-4D87-9D98-66FB489F8197}"/>
    <cellStyle name="40% - Accent5 8 6 3" xfId="12282" xr:uid="{00000000-0005-0000-0000-0000BD4C0000}"/>
    <cellStyle name="40% - Accent5 8 6 3 2" xfId="36132" xr:uid="{E8C37E92-B445-4182-BB18-362FDC813AC3}"/>
    <cellStyle name="40% - Accent5 8 6 4" xfId="20237" xr:uid="{00000000-0005-0000-0000-0000BE4C0000}"/>
    <cellStyle name="40% - Accent5 8 6 4 2" xfId="44070" xr:uid="{2B3B5415-48C6-4EA1-809B-FD029D874D1A}"/>
    <cellStyle name="40% - Accent5 8 6 5" xfId="28191" xr:uid="{2DDF6397-5B22-48ED-BE58-8B20090C8EC3}"/>
    <cellStyle name="40% - Accent5 8 7" xfId="6077" xr:uid="{00000000-0005-0000-0000-0000BF4C0000}"/>
    <cellStyle name="40% - Accent5 8 7 2" xfId="14061" xr:uid="{00000000-0005-0000-0000-0000C04C0000}"/>
    <cellStyle name="40% - Accent5 8 7 2 2" xfId="37905" xr:uid="{FD1D5C5A-237F-4383-A315-7AEE9ACB11FA}"/>
    <cellStyle name="40% - Accent5 8 7 3" xfId="22009" xr:uid="{00000000-0005-0000-0000-0000C14C0000}"/>
    <cellStyle name="40% - Accent5 8 7 3 2" xfId="45842" xr:uid="{769744BF-71B8-4028-B21D-3FB367D56492}"/>
    <cellStyle name="40% - Accent5 8 7 4" xfId="29964" xr:uid="{4AB7642D-1724-44E6-8ED3-95B9FB85648E}"/>
    <cellStyle name="40% - Accent5 8 8" xfId="9630" xr:uid="{00000000-0005-0000-0000-0000C24C0000}"/>
    <cellStyle name="40% - Accent5 8 8 2" xfId="17588" xr:uid="{00000000-0005-0000-0000-0000C34C0000}"/>
    <cellStyle name="40% - Accent5 8 8 2 2" xfId="41429" xr:uid="{BE8D785A-5CAD-4229-9407-85DBD4C4B186}"/>
    <cellStyle name="40% - Accent5 8 8 3" xfId="25532" xr:uid="{00000000-0005-0000-0000-0000C44C0000}"/>
    <cellStyle name="40% - Accent5 8 8 3 2" xfId="49365" xr:uid="{C38E2616-2CE5-4E72-B0F5-7737E52264F0}"/>
    <cellStyle name="40% - Accent5 8 8 4" xfId="33488" xr:uid="{47E0DACD-7C6D-42D1-B779-F27DCD4DCC9F}"/>
    <cellStyle name="40% - Accent5 8 9" xfId="10526" xr:uid="{00000000-0005-0000-0000-0000C54C0000}"/>
    <cellStyle name="40% - Accent5 8 9 2" xfId="34376" xr:uid="{8F8DD2D3-FA05-4914-BBF7-9999D2D1CA46}"/>
    <cellStyle name="40% - Accent5 8_Exh G" xfId="3285" xr:uid="{00000000-0005-0000-0000-0000C64C0000}"/>
    <cellStyle name="40% - Accent5 9" xfId="582" xr:uid="{00000000-0005-0000-0000-0000C74C0000}"/>
    <cellStyle name="40% - Accent5 9 10" xfId="18485" xr:uid="{00000000-0005-0000-0000-0000C84C0000}"/>
    <cellStyle name="40% - Accent5 9 10 2" xfId="42318" xr:uid="{ECB4BA20-8AF9-40AE-8942-57957BF861CB}"/>
    <cellStyle name="40% - Accent5 9 11" xfId="26438" xr:uid="{2A251C95-5C92-4FE2-AE1C-466A15D79BE3}"/>
    <cellStyle name="40% - Accent5 9 2" xfId="583" xr:uid="{00000000-0005-0000-0000-0000C94C0000}"/>
    <cellStyle name="40% - Accent5 9 2 2" xfId="584" xr:uid="{00000000-0005-0000-0000-0000CA4C0000}"/>
    <cellStyle name="40% - Accent5 9 2 2 2" xfId="1612" xr:uid="{00000000-0005-0000-0000-0000CB4C0000}"/>
    <cellStyle name="40% - Accent5 9 2 2 2 2" xfId="5142" xr:uid="{00000000-0005-0000-0000-0000CC4C0000}"/>
    <cellStyle name="40% - Accent5 9 2 2 2 2 2" xfId="8733" xr:uid="{00000000-0005-0000-0000-0000CD4C0000}"/>
    <cellStyle name="40% - Accent5 9 2 2 2 2 2 2" xfId="16704" xr:uid="{00000000-0005-0000-0000-0000CE4C0000}"/>
    <cellStyle name="40% - Accent5 9 2 2 2 2 2 2 2" xfId="40547" xr:uid="{CEB74AFB-45C7-4FD7-82C2-7D713205E393}"/>
    <cellStyle name="40% - Accent5 9 2 2 2 2 2 3" xfId="24650" xr:uid="{00000000-0005-0000-0000-0000CF4C0000}"/>
    <cellStyle name="40% - Accent5 9 2 2 2 2 2 3 2" xfId="48483" xr:uid="{2AD1266D-3CA4-4A01-86DB-13ECD366F527}"/>
    <cellStyle name="40% - Accent5 9 2 2 2 2 2 4" xfId="32606" xr:uid="{D30A1DFE-D5E5-4BBF-AE19-014136DA50CA}"/>
    <cellStyle name="40% - Accent5 9 2 2 2 2 3" xfId="13166" xr:uid="{00000000-0005-0000-0000-0000D04C0000}"/>
    <cellStyle name="40% - Accent5 9 2 2 2 2 3 2" xfId="37016" xr:uid="{A6932214-2486-497B-8498-856AC512CEB9}"/>
    <cellStyle name="40% - Accent5 9 2 2 2 2 4" xfId="21121" xr:uid="{00000000-0005-0000-0000-0000D14C0000}"/>
    <cellStyle name="40% - Accent5 9 2 2 2 2 4 2" xfId="44954" xr:uid="{A280A1BB-00EB-4001-B1CB-B6C88053387C}"/>
    <cellStyle name="40% - Accent5 9 2 2 2 2 5" xfId="29075" xr:uid="{A7B58CCE-0829-49F0-A9D9-4A02FE53ECC9}"/>
    <cellStyle name="40% - Accent5 9 2 2 2 3" xfId="6974" xr:uid="{00000000-0005-0000-0000-0000D24C0000}"/>
    <cellStyle name="40% - Accent5 9 2 2 2 3 2" xfId="14946" xr:uid="{00000000-0005-0000-0000-0000D34C0000}"/>
    <cellStyle name="40% - Accent5 9 2 2 2 3 2 2" xfId="38789" xr:uid="{54DD9B3B-AE90-480A-B071-5D7593A1DF1E}"/>
    <cellStyle name="40% - Accent5 9 2 2 2 3 3" xfId="22893" xr:uid="{00000000-0005-0000-0000-0000D44C0000}"/>
    <cellStyle name="40% - Accent5 9 2 2 2 3 3 2" xfId="46726" xr:uid="{E9AF3761-35F5-4826-BA0F-FD4D1D63CA07}"/>
    <cellStyle name="40% - Accent5 9 2 2 2 3 4" xfId="30848" xr:uid="{FD8F78EF-C8E3-471F-BBE2-24416F1EAD8C}"/>
    <cellStyle name="40% - Accent5 9 2 2 2 4" xfId="11410" xr:uid="{00000000-0005-0000-0000-0000D54C0000}"/>
    <cellStyle name="40% - Accent5 9 2 2 2 4 2" xfId="35260" xr:uid="{134C05DB-6AEA-4DD8-90F8-AEDD1852AFD3}"/>
    <cellStyle name="40% - Accent5 9 2 2 2 5" xfId="19365" xr:uid="{00000000-0005-0000-0000-0000D64C0000}"/>
    <cellStyle name="40% - Accent5 9 2 2 2 5 2" xfId="43198" xr:uid="{319E0C85-CEA9-4AA9-A5AB-2FF004BDAA42}"/>
    <cellStyle name="40% - Accent5 9 2 2 2 6" xfId="27318" xr:uid="{C9CC1B44-5118-450F-BBFB-9F9CF3047D7C}"/>
    <cellStyle name="40% - Accent5 9 2 2 2_Exh G" xfId="3298" xr:uid="{00000000-0005-0000-0000-0000D74C0000}"/>
    <cellStyle name="40% - Accent5 9 2 2 3" xfId="4263" xr:uid="{00000000-0005-0000-0000-0000D84C0000}"/>
    <cellStyle name="40% - Accent5 9 2 2 3 2" xfId="7855" xr:uid="{00000000-0005-0000-0000-0000D94C0000}"/>
    <cellStyle name="40% - Accent5 9 2 2 3 2 2" xfId="15826" xr:uid="{00000000-0005-0000-0000-0000DA4C0000}"/>
    <cellStyle name="40% - Accent5 9 2 2 3 2 2 2" xfId="39669" xr:uid="{A6CB75BF-1448-4806-A2D8-997560B52DB6}"/>
    <cellStyle name="40% - Accent5 9 2 2 3 2 3" xfId="23772" xr:uid="{00000000-0005-0000-0000-0000DB4C0000}"/>
    <cellStyle name="40% - Accent5 9 2 2 3 2 3 2" xfId="47605" xr:uid="{4F3D162C-B196-4233-AA01-5390F45DB77F}"/>
    <cellStyle name="40% - Accent5 9 2 2 3 2 4" xfId="31728" xr:uid="{5EDFF96B-CBB1-4A73-8E7B-B59B6E969C37}"/>
    <cellStyle name="40% - Accent5 9 2 2 3 3" xfId="12288" xr:uid="{00000000-0005-0000-0000-0000DC4C0000}"/>
    <cellStyle name="40% - Accent5 9 2 2 3 3 2" xfId="36138" xr:uid="{72E30458-A954-469D-A933-93A35D9F7013}"/>
    <cellStyle name="40% - Accent5 9 2 2 3 4" xfId="20243" xr:uid="{00000000-0005-0000-0000-0000DD4C0000}"/>
    <cellStyle name="40% - Accent5 9 2 2 3 4 2" xfId="44076" xr:uid="{9BD621BD-983A-4ECF-B1CA-30E8182C198F}"/>
    <cellStyle name="40% - Accent5 9 2 2 3 5" xfId="28197" xr:uid="{CDB70587-87B2-4CDD-B477-6F9CC7F01FA3}"/>
    <cellStyle name="40% - Accent5 9 2 2 4" xfId="6083" xr:uid="{00000000-0005-0000-0000-0000DE4C0000}"/>
    <cellStyle name="40% - Accent5 9 2 2 4 2" xfId="14067" xr:uid="{00000000-0005-0000-0000-0000DF4C0000}"/>
    <cellStyle name="40% - Accent5 9 2 2 4 2 2" xfId="37911" xr:uid="{3EE66EA7-5F52-4D4D-9AE6-FF1CB77600C0}"/>
    <cellStyle name="40% - Accent5 9 2 2 4 3" xfId="22015" xr:uid="{00000000-0005-0000-0000-0000E04C0000}"/>
    <cellStyle name="40% - Accent5 9 2 2 4 3 2" xfId="45848" xr:uid="{6FC96E19-9BEA-4F9F-9F68-A8E1E088E7F5}"/>
    <cellStyle name="40% - Accent5 9 2 2 4 4" xfId="29970" xr:uid="{7AA711BE-218E-4FBD-9A81-020BF9230591}"/>
    <cellStyle name="40% - Accent5 9 2 2 5" xfId="9636" xr:uid="{00000000-0005-0000-0000-0000E14C0000}"/>
    <cellStyle name="40% - Accent5 9 2 2 5 2" xfId="17594" xr:uid="{00000000-0005-0000-0000-0000E24C0000}"/>
    <cellStyle name="40% - Accent5 9 2 2 5 2 2" xfId="41435" xr:uid="{F117A8F7-1DD2-4779-B1FA-BE1966E44FB9}"/>
    <cellStyle name="40% - Accent5 9 2 2 5 3" xfId="25538" xr:uid="{00000000-0005-0000-0000-0000E34C0000}"/>
    <cellStyle name="40% - Accent5 9 2 2 5 3 2" xfId="49371" xr:uid="{E6C08396-28A9-454F-9C30-93D61D114193}"/>
    <cellStyle name="40% - Accent5 9 2 2 5 4" xfId="33494" xr:uid="{A4AA1364-039D-441A-89AC-71096C967D54}"/>
    <cellStyle name="40% - Accent5 9 2 2 6" xfId="10532" xr:uid="{00000000-0005-0000-0000-0000E44C0000}"/>
    <cellStyle name="40% - Accent5 9 2 2 6 2" xfId="34382" xr:uid="{5891A413-2E40-4876-A405-2B0A5C1715FD}"/>
    <cellStyle name="40% - Accent5 9 2 2 7" xfId="18487" xr:uid="{00000000-0005-0000-0000-0000E54C0000}"/>
    <cellStyle name="40% - Accent5 9 2 2 7 2" xfId="42320" xr:uid="{FC35BCF2-1449-4125-B0E1-9C8407A3A528}"/>
    <cellStyle name="40% - Accent5 9 2 2 8" xfId="26440" xr:uid="{EB950302-A916-4E73-B5F7-86A17ADD4CD4}"/>
    <cellStyle name="40% - Accent5 9 2 2_Exh G" xfId="3297" xr:uid="{00000000-0005-0000-0000-0000E64C0000}"/>
    <cellStyle name="40% - Accent5 9 2 3" xfId="1611" xr:uid="{00000000-0005-0000-0000-0000E74C0000}"/>
    <cellStyle name="40% - Accent5 9 2 3 2" xfId="5141" xr:uid="{00000000-0005-0000-0000-0000E84C0000}"/>
    <cellStyle name="40% - Accent5 9 2 3 2 2" xfId="8732" xr:uid="{00000000-0005-0000-0000-0000E94C0000}"/>
    <cellStyle name="40% - Accent5 9 2 3 2 2 2" xfId="16703" xr:uid="{00000000-0005-0000-0000-0000EA4C0000}"/>
    <cellStyle name="40% - Accent5 9 2 3 2 2 2 2" xfId="40546" xr:uid="{9F3417ED-A4BF-4E38-A7FD-0EFB56099828}"/>
    <cellStyle name="40% - Accent5 9 2 3 2 2 3" xfId="24649" xr:uid="{00000000-0005-0000-0000-0000EB4C0000}"/>
    <cellStyle name="40% - Accent5 9 2 3 2 2 3 2" xfId="48482" xr:uid="{CA3CA4B4-5BF5-49DD-B675-0A02BECC4F22}"/>
    <cellStyle name="40% - Accent5 9 2 3 2 2 4" xfId="32605" xr:uid="{FA829564-5DE3-4E23-B434-1A25569F5EB8}"/>
    <cellStyle name="40% - Accent5 9 2 3 2 3" xfId="13165" xr:uid="{00000000-0005-0000-0000-0000EC4C0000}"/>
    <cellStyle name="40% - Accent5 9 2 3 2 3 2" xfId="37015" xr:uid="{9B1E6C8E-8993-4F2E-9340-6EE07E7A6F6B}"/>
    <cellStyle name="40% - Accent5 9 2 3 2 4" xfId="21120" xr:uid="{00000000-0005-0000-0000-0000ED4C0000}"/>
    <cellStyle name="40% - Accent5 9 2 3 2 4 2" xfId="44953" xr:uid="{FB840EB8-E23D-4230-A630-9A8E324F59F7}"/>
    <cellStyle name="40% - Accent5 9 2 3 2 5" xfId="29074" xr:uid="{CA0DB543-79FB-455A-B7C2-E8EE36A4D017}"/>
    <cellStyle name="40% - Accent5 9 2 3 3" xfId="6973" xr:uid="{00000000-0005-0000-0000-0000EE4C0000}"/>
    <cellStyle name="40% - Accent5 9 2 3 3 2" xfId="14945" xr:uid="{00000000-0005-0000-0000-0000EF4C0000}"/>
    <cellStyle name="40% - Accent5 9 2 3 3 2 2" xfId="38788" xr:uid="{44CFD495-4F28-4366-BBFE-3ABB5BD07B17}"/>
    <cellStyle name="40% - Accent5 9 2 3 3 3" xfId="22892" xr:uid="{00000000-0005-0000-0000-0000F04C0000}"/>
    <cellStyle name="40% - Accent5 9 2 3 3 3 2" xfId="46725" xr:uid="{DFA42092-BD3F-4C93-8F98-B59DA138FB16}"/>
    <cellStyle name="40% - Accent5 9 2 3 3 4" xfId="30847" xr:uid="{EB520378-5001-4113-97EC-74B9B4DA6A13}"/>
    <cellStyle name="40% - Accent5 9 2 3 4" xfId="11409" xr:uid="{00000000-0005-0000-0000-0000F14C0000}"/>
    <cellStyle name="40% - Accent5 9 2 3 4 2" xfId="35259" xr:uid="{83B0D163-0961-449F-BC40-09719AD6BFDA}"/>
    <cellStyle name="40% - Accent5 9 2 3 5" xfId="19364" xr:uid="{00000000-0005-0000-0000-0000F24C0000}"/>
    <cellStyle name="40% - Accent5 9 2 3 5 2" xfId="43197" xr:uid="{1F45ACD1-DAE7-4FE0-A17E-A33FEF04F5AE}"/>
    <cellStyle name="40% - Accent5 9 2 3 6" xfId="27317" xr:uid="{04EBF33B-F13E-4759-98F3-B0CC4ED46195}"/>
    <cellStyle name="40% - Accent5 9 2 3_Exh G" xfId="3299" xr:uid="{00000000-0005-0000-0000-0000F34C0000}"/>
    <cellStyle name="40% - Accent5 9 2 4" xfId="4262" xr:uid="{00000000-0005-0000-0000-0000F44C0000}"/>
    <cellStyle name="40% - Accent5 9 2 4 2" xfId="7854" xr:uid="{00000000-0005-0000-0000-0000F54C0000}"/>
    <cellStyle name="40% - Accent5 9 2 4 2 2" xfId="15825" xr:uid="{00000000-0005-0000-0000-0000F64C0000}"/>
    <cellStyle name="40% - Accent5 9 2 4 2 2 2" xfId="39668" xr:uid="{4657AA95-9F4D-4857-8C32-FA19C47EB364}"/>
    <cellStyle name="40% - Accent5 9 2 4 2 3" xfId="23771" xr:uid="{00000000-0005-0000-0000-0000F74C0000}"/>
    <cellStyle name="40% - Accent5 9 2 4 2 3 2" xfId="47604" xr:uid="{BE7DF9A1-8C7A-4F14-8A40-EF69A589DAA4}"/>
    <cellStyle name="40% - Accent5 9 2 4 2 4" xfId="31727" xr:uid="{2CADB211-C1B6-45A4-A879-3AB52EF2020B}"/>
    <cellStyle name="40% - Accent5 9 2 4 3" xfId="12287" xr:uid="{00000000-0005-0000-0000-0000F84C0000}"/>
    <cellStyle name="40% - Accent5 9 2 4 3 2" xfId="36137" xr:uid="{CD47DF97-4D15-462C-9910-F2FAAAEDDC54}"/>
    <cellStyle name="40% - Accent5 9 2 4 4" xfId="20242" xr:uid="{00000000-0005-0000-0000-0000F94C0000}"/>
    <cellStyle name="40% - Accent5 9 2 4 4 2" xfId="44075" xr:uid="{63F65B17-8C18-4F5A-95BC-7B98F1F7F308}"/>
    <cellStyle name="40% - Accent5 9 2 4 5" xfId="28196" xr:uid="{E7B8911E-AFA9-49BC-97DC-FF926B42585A}"/>
    <cellStyle name="40% - Accent5 9 2 5" xfId="6082" xr:uid="{00000000-0005-0000-0000-0000FA4C0000}"/>
    <cellStyle name="40% - Accent5 9 2 5 2" xfId="14066" xr:uid="{00000000-0005-0000-0000-0000FB4C0000}"/>
    <cellStyle name="40% - Accent5 9 2 5 2 2" xfId="37910" xr:uid="{729DE18E-1B54-4B9C-9A6C-849A73697DF3}"/>
    <cellStyle name="40% - Accent5 9 2 5 3" xfId="22014" xr:uid="{00000000-0005-0000-0000-0000FC4C0000}"/>
    <cellStyle name="40% - Accent5 9 2 5 3 2" xfId="45847" xr:uid="{F35CDF1A-07E8-4087-9C52-DF34119FF098}"/>
    <cellStyle name="40% - Accent5 9 2 5 4" xfId="29969" xr:uid="{B531FF00-B6E6-4FB1-871F-9CC29C79ECA0}"/>
    <cellStyle name="40% - Accent5 9 2 6" xfId="9635" xr:uid="{00000000-0005-0000-0000-0000FD4C0000}"/>
    <cellStyle name="40% - Accent5 9 2 6 2" xfId="17593" xr:uid="{00000000-0005-0000-0000-0000FE4C0000}"/>
    <cellStyle name="40% - Accent5 9 2 6 2 2" xfId="41434" xr:uid="{78B8270F-E997-459C-AE3A-3B3EAE432DF4}"/>
    <cellStyle name="40% - Accent5 9 2 6 3" xfId="25537" xr:uid="{00000000-0005-0000-0000-0000FF4C0000}"/>
    <cellStyle name="40% - Accent5 9 2 6 3 2" xfId="49370" xr:uid="{C9B7DE33-1C9C-4906-BB8A-CEB9DBED428B}"/>
    <cellStyle name="40% - Accent5 9 2 6 4" xfId="33493" xr:uid="{28024A9F-E70E-46B3-B3AE-70D427B31675}"/>
    <cellStyle name="40% - Accent5 9 2 7" xfId="10531" xr:uid="{00000000-0005-0000-0000-0000004D0000}"/>
    <cellStyle name="40% - Accent5 9 2 7 2" xfId="34381" xr:uid="{08BCA83B-81BE-47AF-B1BB-0DC1281BF3BC}"/>
    <cellStyle name="40% - Accent5 9 2 8" xfId="18486" xr:uid="{00000000-0005-0000-0000-0000014D0000}"/>
    <cellStyle name="40% - Accent5 9 2 8 2" xfId="42319" xr:uid="{FE23BEE4-E175-4422-BC72-0D19FF5BF501}"/>
    <cellStyle name="40% - Accent5 9 2 9" xfId="26439" xr:uid="{954EF352-947C-40E6-920B-937F0677444D}"/>
    <cellStyle name="40% - Accent5 9 2_Exh G" xfId="3296" xr:uid="{00000000-0005-0000-0000-0000024D0000}"/>
    <cellStyle name="40% - Accent5 9 3" xfId="585" xr:uid="{00000000-0005-0000-0000-0000034D0000}"/>
    <cellStyle name="40% - Accent5 9 3 2" xfId="1613" xr:uid="{00000000-0005-0000-0000-0000044D0000}"/>
    <cellStyle name="40% - Accent5 9 3 2 2" xfId="5143" xr:uid="{00000000-0005-0000-0000-0000054D0000}"/>
    <cellStyle name="40% - Accent5 9 3 2 2 2" xfId="8734" xr:uid="{00000000-0005-0000-0000-0000064D0000}"/>
    <cellStyle name="40% - Accent5 9 3 2 2 2 2" xfId="16705" xr:uid="{00000000-0005-0000-0000-0000074D0000}"/>
    <cellStyle name="40% - Accent5 9 3 2 2 2 2 2" xfId="40548" xr:uid="{F8597B1A-394A-4B79-989D-D409784BF646}"/>
    <cellStyle name="40% - Accent5 9 3 2 2 2 3" xfId="24651" xr:uid="{00000000-0005-0000-0000-0000084D0000}"/>
    <cellStyle name="40% - Accent5 9 3 2 2 2 3 2" xfId="48484" xr:uid="{A765DBE7-D5D3-4BCF-BED2-FF8C750864E4}"/>
    <cellStyle name="40% - Accent5 9 3 2 2 2 4" xfId="32607" xr:uid="{0C2ED9A5-AAB0-4E57-85EA-F55B36C703F5}"/>
    <cellStyle name="40% - Accent5 9 3 2 2 3" xfId="13167" xr:uid="{00000000-0005-0000-0000-0000094D0000}"/>
    <cellStyle name="40% - Accent5 9 3 2 2 3 2" xfId="37017" xr:uid="{91F32945-AC3F-44C1-AAAE-DAB18A88C74D}"/>
    <cellStyle name="40% - Accent5 9 3 2 2 4" xfId="21122" xr:uid="{00000000-0005-0000-0000-00000A4D0000}"/>
    <cellStyle name="40% - Accent5 9 3 2 2 4 2" xfId="44955" xr:uid="{2F550443-DADB-4989-9F2A-CB4DB381461E}"/>
    <cellStyle name="40% - Accent5 9 3 2 2 5" xfId="29076" xr:uid="{214DB4B8-ED17-4B8E-AB15-1E0CE8BD7EDA}"/>
    <cellStyle name="40% - Accent5 9 3 2 3" xfId="6975" xr:uid="{00000000-0005-0000-0000-00000B4D0000}"/>
    <cellStyle name="40% - Accent5 9 3 2 3 2" xfId="14947" xr:uid="{00000000-0005-0000-0000-00000C4D0000}"/>
    <cellStyle name="40% - Accent5 9 3 2 3 2 2" xfId="38790" xr:uid="{A7F1580F-F215-4CEC-820F-6A380248836F}"/>
    <cellStyle name="40% - Accent5 9 3 2 3 3" xfId="22894" xr:uid="{00000000-0005-0000-0000-00000D4D0000}"/>
    <cellStyle name="40% - Accent5 9 3 2 3 3 2" xfId="46727" xr:uid="{716D0CB4-448B-49EB-BFD2-8BB292369DEA}"/>
    <cellStyle name="40% - Accent5 9 3 2 3 4" xfId="30849" xr:uid="{06F0C258-B7FF-4488-94A5-08E4623407FC}"/>
    <cellStyle name="40% - Accent5 9 3 2 4" xfId="11411" xr:uid="{00000000-0005-0000-0000-00000E4D0000}"/>
    <cellStyle name="40% - Accent5 9 3 2 4 2" xfId="35261" xr:uid="{1C26DA3F-826D-4C04-8623-0B47EB47DD4F}"/>
    <cellStyle name="40% - Accent5 9 3 2 5" xfId="19366" xr:uid="{00000000-0005-0000-0000-00000F4D0000}"/>
    <cellStyle name="40% - Accent5 9 3 2 5 2" xfId="43199" xr:uid="{14074548-CD86-4290-90FF-DEB7625757E6}"/>
    <cellStyle name="40% - Accent5 9 3 2 6" xfId="27319" xr:uid="{E35FBC75-25F2-4403-9EEA-45ADA6A54C6E}"/>
    <cellStyle name="40% - Accent5 9 3 2_Exh G" xfId="3301" xr:uid="{00000000-0005-0000-0000-0000104D0000}"/>
    <cellStyle name="40% - Accent5 9 3 3" xfId="4264" xr:uid="{00000000-0005-0000-0000-0000114D0000}"/>
    <cellStyle name="40% - Accent5 9 3 3 2" xfId="7856" xr:uid="{00000000-0005-0000-0000-0000124D0000}"/>
    <cellStyle name="40% - Accent5 9 3 3 2 2" xfId="15827" xr:uid="{00000000-0005-0000-0000-0000134D0000}"/>
    <cellStyle name="40% - Accent5 9 3 3 2 2 2" xfId="39670" xr:uid="{4C472E82-0BE2-4D41-8DE1-879C135D3AA5}"/>
    <cellStyle name="40% - Accent5 9 3 3 2 3" xfId="23773" xr:uid="{00000000-0005-0000-0000-0000144D0000}"/>
    <cellStyle name="40% - Accent5 9 3 3 2 3 2" xfId="47606" xr:uid="{0FF8DD89-0B29-4E40-A389-3F1F687D5804}"/>
    <cellStyle name="40% - Accent5 9 3 3 2 4" xfId="31729" xr:uid="{23ADD6D5-616E-4461-808C-E933797BADB7}"/>
    <cellStyle name="40% - Accent5 9 3 3 3" xfId="12289" xr:uid="{00000000-0005-0000-0000-0000154D0000}"/>
    <cellStyle name="40% - Accent5 9 3 3 3 2" xfId="36139" xr:uid="{FFA96F02-5854-4F0B-BD4E-466F3B04C67D}"/>
    <cellStyle name="40% - Accent5 9 3 3 4" xfId="20244" xr:uid="{00000000-0005-0000-0000-0000164D0000}"/>
    <cellStyle name="40% - Accent5 9 3 3 4 2" xfId="44077" xr:uid="{EB275F12-01BA-4653-8B55-F3DC7626EF16}"/>
    <cellStyle name="40% - Accent5 9 3 3 5" xfId="28198" xr:uid="{891FA43E-9D97-459A-B098-1A2DBA48765E}"/>
    <cellStyle name="40% - Accent5 9 3 4" xfId="6084" xr:uid="{00000000-0005-0000-0000-0000174D0000}"/>
    <cellStyle name="40% - Accent5 9 3 4 2" xfId="14068" xr:uid="{00000000-0005-0000-0000-0000184D0000}"/>
    <cellStyle name="40% - Accent5 9 3 4 2 2" xfId="37912" xr:uid="{35F811B0-7701-4C8E-9212-CAF57CA1BF76}"/>
    <cellStyle name="40% - Accent5 9 3 4 3" xfId="22016" xr:uid="{00000000-0005-0000-0000-0000194D0000}"/>
    <cellStyle name="40% - Accent5 9 3 4 3 2" xfId="45849" xr:uid="{5AB86D6A-1FA0-45C7-9B32-457FA23E3485}"/>
    <cellStyle name="40% - Accent5 9 3 4 4" xfId="29971" xr:uid="{38C595A5-D117-494D-B748-B5A720716F59}"/>
    <cellStyle name="40% - Accent5 9 3 5" xfId="9637" xr:uid="{00000000-0005-0000-0000-00001A4D0000}"/>
    <cellStyle name="40% - Accent5 9 3 5 2" xfId="17595" xr:uid="{00000000-0005-0000-0000-00001B4D0000}"/>
    <cellStyle name="40% - Accent5 9 3 5 2 2" xfId="41436" xr:uid="{EF77CE5B-4DBF-42E7-A9DA-72709C896534}"/>
    <cellStyle name="40% - Accent5 9 3 5 3" xfId="25539" xr:uid="{00000000-0005-0000-0000-00001C4D0000}"/>
    <cellStyle name="40% - Accent5 9 3 5 3 2" xfId="49372" xr:uid="{B190632B-1FCF-494E-BE6F-338D969EA7C4}"/>
    <cellStyle name="40% - Accent5 9 3 5 4" xfId="33495" xr:uid="{632CD9AD-6947-43EE-9C89-E75075EFA772}"/>
    <cellStyle name="40% - Accent5 9 3 6" xfId="10533" xr:uid="{00000000-0005-0000-0000-00001D4D0000}"/>
    <cellStyle name="40% - Accent5 9 3 6 2" xfId="34383" xr:uid="{2493AF86-F17C-4457-A7D4-245E3AF84C26}"/>
    <cellStyle name="40% - Accent5 9 3 7" xfId="18488" xr:uid="{00000000-0005-0000-0000-00001E4D0000}"/>
    <cellStyle name="40% - Accent5 9 3 7 2" xfId="42321" xr:uid="{7F315C65-5182-413F-81EF-F2AE235BDFE4}"/>
    <cellStyle name="40% - Accent5 9 3 8" xfId="26441" xr:uid="{BD293D93-4F67-4F1E-8926-CD21A48207AA}"/>
    <cellStyle name="40% - Accent5 9 3_Exh G" xfId="3300" xr:uid="{00000000-0005-0000-0000-00001F4D0000}"/>
    <cellStyle name="40% - Accent5 9 4" xfId="993" xr:uid="{00000000-0005-0000-0000-0000204D0000}"/>
    <cellStyle name="40% - Accent5 9 4 2" xfId="1908" xr:uid="{00000000-0005-0000-0000-0000214D0000}"/>
    <cellStyle name="40% - Accent5 9 4 2 2" xfId="5426" xr:uid="{00000000-0005-0000-0000-0000224D0000}"/>
    <cellStyle name="40% - Accent5 9 4 2 2 2" xfId="9017" xr:uid="{00000000-0005-0000-0000-0000234D0000}"/>
    <cellStyle name="40% - Accent5 9 4 2 2 2 2" xfId="16988" xr:uid="{00000000-0005-0000-0000-0000244D0000}"/>
    <cellStyle name="40% - Accent5 9 4 2 2 2 2 2" xfId="40831" xr:uid="{99FF4BEE-FD38-4B0A-97EF-9CE659974105}"/>
    <cellStyle name="40% - Accent5 9 4 2 2 2 3" xfId="24934" xr:uid="{00000000-0005-0000-0000-0000254D0000}"/>
    <cellStyle name="40% - Accent5 9 4 2 2 2 3 2" xfId="48767" xr:uid="{10F23E5C-D511-4DC9-9EB3-B5C4372EFC96}"/>
    <cellStyle name="40% - Accent5 9 4 2 2 2 4" xfId="32890" xr:uid="{8DA697E1-79F7-4719-8256-71EEF7DA710A}"/>
    <cellStyle name="40% - Accent5 9 4 2 2 3" xfId="13450" xr:uid="{00000000-0005-0000-0000-0000264D0000}"/>
    <cellStyle name="40% - Accent5 9 4 2 2 3 2" xfId="37300" xr:uid="{C6F51D04-1D3E-4073-921D-B3D041600BDB}"/>
    <cellStyle name="40% - Accent5 9 4 2 2 4" xfId="21405" xr:uid="{00000000-0005-0000-0000-0000274D0000}"/>
    <cellStyle name="40% - Accent5 9 4 2 2 4 2" xfId="45238" xr:uid="{390C43EE-963A-4CFF-9358-59A63E5F30CA}"/>
    <cellStyle name="40% - Accent5 9 4 2 2 5" xfId="29359" xr:uid="{8E6183E2-E85E-4D6C-922E-5FB9060C89F4}"/>
    <cellStyle name="40% - Accent5 9 4 2 3" xfId="7258" xr:uid="{00000000-0005-0000-0000-0000284D0000}"/>
    <cellStyle name="40% - Accent5 9 4 2 3 2" xfId="15230" xr:uid="{00000000-0005-0000-0000-0000294D0000}"/>
    <cellStyle name="40% - Accent5 9 4 2 3 2 2" xfId="39073" xr:uid="{CE8FF175-669E-4A26-BE7D-9C169E533751}"/>
    <cellStyle name="40% - Accent5 9 4 2 3 3" xfId="23177" xr:uid="{00000000-0005-0000-0000-00002A4D0000}"/>
    <cellStyle name="40% - Accent5 9 4 2 3 3 2" xfId="47010" xr:uid="{47255CFE-D2E9-446B-84F5-98D60460A8E1}"/>
    <cellStyle name="40% - Accent5 9 4 2 3 4" xfId="31132" xr:uid="{036AB6A1-F915-4121-9ECE-BA8AFCDBDB67}"/>
    <cellStyle name="40% - Accent5 9 4 2 4" xfId="11694" xr:uid="{00000000-0005-0000-0000-00002B4D0000}"/>
    <cellStyle name="40% - Accent5 9 4 2 4 2" xfId="35544" xr:uid="{520BF24B-525F-43FE-8AC1-A6DA27CCDC87}"/>
    <cellStyle name="40% - Accent5 9 4 2 5" xfId="19649" xr:uid="{00000000-0005-0000-0000-00002C4D0000}"/>
    <cellStyle name="40% - Accent5 9 4 2 5 2" xfId="43482" xr:uid="{73B33FF9-5B25-4A20-AC9D-837C8584E0B6}"/>
    <cellStyle name="40% - Accent5 9 4 2 6" xfId="27602" xr:uid="{420A6279-2C2F-422A-895C-5FBD0F5BE643}"/>
    <cellStyle name="40% - Accent5 9 4 2_Exh G" xfId="3303" xr:uid="{00000000-0005-0000-0000-00002D4D0000}"/>
    <cellStyle name="40% - Accent5 9 4 3" xfId="4547" xr:uid="{00000000-0005-0000-0000-00002E4D0000}"/>
    <cellStyle name="40% - Accent5 9 4 3 2" xfId="8139" xr:uid="{00000000-0005-0000-0000-00002F4D0000}"/>
    <cellStyle name="40% - Accent5 9 4 3 2 2" xfId="16110" xr:uid="{00000000-0005-0000-0000-0000304D0000}"/>
    <cellStyle name="40% - Accent5 9 4 3 2 2 2" xfId="39953" xr:uid="{EF9A2801-457A-4311-8116-F4EE64B1389F}"/>
    <cellStyle name="40% - Accent5 9 4 3 2 3" xfId="24056" xr:uid="{00000000-0005-0000-0000-0000314D0000}"/>
    <cellStyle name="40% - Accent5 9 4 3 2 3 2" xfId="47889" xr:uid="{3F9160B9-4960-4A18-8475-959A4F5C1E8D}"/>
    <cellStyle name="40% - Accent5 9 4 3 2 4" xfId="32012" xr:uid="{9270C98A-15B6-4EE7-BBB6-7181C0EFEF59}"/>
    <cellStyle name="40% - Accent5 9 4 3 3" xfId="12572" xr:uid="{00000000-0005-0000-0000-0000324D0000}"/>
    <cellStyle name="40% - Accent5 9 4 3 3 2" xfId="36422" xr:uid="{2B4532A8-CAF3-49BE-8254-6BE89B816709}"/>
    <cellStyle name="40% - Accent5 9 4 3 4" xfId="20527" xr:uid="{00000000-0005-0000-0000-0000334D0000}"/>
    <cellStyle name="40% - Accent5 9 4 3 4 2" xfId="44360" xr:uid="{2B4DE510-8ADF-45C3-9689-A5F13EC16734}"/>
    <cellStyle name="40% - Accent5 9 4 3 5" xfId="28481" xr:uid="{2D18E0D0-3594-432A-85DD-7F639CE0D08B}"/>
    <cellStyle name="40% - Accent5 9 4 4" xfId="6377" xr:uid="{00000000-0005-0000-0000-0000344D0000}"/>
    <cellStyle name="40% - Accent5 9 4 4 2" xfId="14352" xr:uid="{00000000-0005-0000-0000-0000354D0000}"/>
    <cellStyle name="40% - Accent5 9 4 4 2 2" xfId="38195" xr:uid="{7C1F210A-7F6C-45E2-A027-E630DC3723A7}"/>
    <cellStyle name="40% - Accent5 9 4 4 3" xfId="22299" xr:uid="{00000000-0005-0000-0000-0000364D0000}"/>
    <cellStyle name="40% - Accent5 9 4 4 3 2" xfId="46132" xr:uid="{55BF6308-C09C-4395-AEEE-AF74EB4E9804}"/>
    <cellStyle name="40% - Accent5 9 4 4 4" xfId="30254" xr:uid="{9EA96A3F-8669-4737-940E-1BFBA91D2192}"/>
    <cellStyle name="40% - Accent5 9 4 5" xfId="9920" xr:uid="{00000000-0005-0000-0000-0000374D0000}"/>
    <cellStyle name="40% - Accent5 9 4 5 2" xfId="17878" xr:uid="{00000000-0005-0000-0000-0000384D0000}"/>
    <cellStyle name="40% - Accent5 9 4 5 2 2" xfId="41719" xr:uid="{76785B13-65A9-4C2C-A1DF-78700D30C02E}"/>
    <cellStyle name="40% - Accent5 9 4 5 3" xfId="25822" xr:uid="{00000000-0005-0000-0000-0000394D0000}"/>
    <cellStyle name="40% - Accent5 9 4 5 3 2" xfId="49655" xr:uid="{A146CFA3-8AF6-4280-A086-3120FC715B96}"/>
    <cellStyle name="40% - Accent5 9 4 5 4" xfId="33778" xr:uid="{A5748F4B-BFAF-4781-8D9F-00FC03FF191C}"/>
    <cellStyle name="40% - Accent5 9 4 6" xfId="10816" xr:uid="{00000000-0005-0000-0000-00003A4D0000}"/>
    <cellStyle name="40% - Accent5 9 4 6 2" xfId="34666" xr:uid="{848C6713-BAAE-45CA-994A-45F3E7D29DFC}"/>
    <cellStyle name="40% - Accent5 9 4 7" xfId="18771" xr:uid="{00000000-0005-0000-0000-00003B4D0000}"/>
    <cellStyle name="40% - Accent5 9 4 7 2" xfId="42604" xr:uid="{B5670182-CA85-4E99-9F15-06A1918D03E7}"/>
    <cellStyle name="40% - Accent5 9 4 8" xfId="26724" xr:uid="{958E50B5-1CE6-45D1-B699-23E2B066CCEB}"/>
    <cellStyle name="40% - Accent5 9 4_Exh G" xfId="3302" xr:uid="{00000000-0005-0000-0000-00003C4D0000}"/>
    <cellStyle name="40% - Accent5 9 5" xfId="1610" xr:uid="{00000000-0005-0000-0000-00003D4D0000}"/>
    <cellStyle name="40% - Accent5 9 5 2" xfId="5140" xr:uid="{00000000-0005-0000-0000-00003E4D0000}"/>
    <cellStyle name="40% - Accent5 9 5 2 2" xfId="8731" xr:uid="{00000000-0005-0000-0000-00003F4D0000}"/>
    <cellStyle name="40% - Accent5 9 5 2 2 2" xfId="16702" xr:uid="{00000000-0005-0000-0000-0000404D0000}"/>
    <cellStyle name="40% - Accent5 9 5 2 2 2 2" xfId="40545" xr:uid="{BB2112EA-8A8C-428D-B465-B3C56A2EE0A4}"/>
    <cellStyle name="40% - Accent5 9 5 2 2 3" xfId="24648" xr:uid="{00000000-0005-0000-0000-0000414D0000}"/>
    <cellStyle name="40% - Accent5 9 5 2 2 3 2" xfId="48481" xr:uid="{3897833D-B32D-401E-8923-806180EE426E}"/>
    <cellStyle name="40% - Accent5 9 5 2 2 4" xfId="32604" xr:uid="{2D9A225B-499D-4BD5-8D5F-FAC0D49F2E9E}"/>
    <cellStyle name="40% - Accent5 9 5 2 3" xfId="13164" xr:uid="{00000000-0005-0000-0000-0000424D0000}"/>
    <cellStyle name="40% - Accent5 9 5 2 3 2" xfId="37014" xr:uid="{EC58B889-F670-4787-889E-5AE45F815E35}"/>
    <cellStyle name="40% - Accent5 9 5 2 4" xfId="21119" xr:uid="{00000000-0005-0000-0000-0000434D0000}"/>
    <cellStyle name="40% - Accent5 9 5 2 4 2" xfId="44952" xr:uid="{8A61B736-453C-4A59-A5DB-1F9FE618E79A}"/>
    <cellStyle name="40% - Accent5 9 5 2 5" xfId="29073" xr:uid="{EE1BF42E-5581-4303-B42D-2FAD8CF44CCF}"/>
    <cellStyle name="40% - Accent5 9 5 3" xfId="6972" xr:uid="{00000000-0005-0000-0000-0000444D0000}"/>
    <cellStyle name="40% - Accent5 9 5 3 2" xfId="14944" xr:uid="{00000000-0005-0000-0000-0000454D0000}"/>
    <cellStyle name="40% - Accent5 9 5 3 2 2" xfId="38787" xr:uid="{5C03B44A-9E68-4982-944A-33BE587C12DD}"/>
    <cellStyle name="40% - Accent5 9 5 3 3" xfId="22891" xr:uid="{00000000-0005-0000-0000-0000464D0000}"/>
    <cellStyle name="40% - Accent5 9 5 3 3 2" xfId="46724" xr:uid="{ABED6D17-C427-4A82-AF60-639D6FDF0306}"/>
    <cellStyle name="40% - Accent5 9 5 3 4" xfId="30846" xr:uid="{28AAEE3D-26B4-41C4-9081-9C57D47B7540}"/>
    <cellStyle name="40% - Accent5 9 5 4" xfId="11408" xr:uid="{00000000-0005-0000-0000-0000474D0000}"/>
    <cellStyle name="40% - Accent5 9 5 4 2" xfId="35258" xr:uid="{B343A9B8-F9E3-4B8C-9C04-F869A5A9154B}"/>
    <cellStyle name="40% - Accent5 9 5 5" xfId="19363" xr:uid="{00000000-0005-0000-0000-0000484D0000}"/>
    <cellStyle name="40% - Accent5 9 5 5 2" xfId="43196" xr:uid="{FA6E44A8-B7A8-4555-8845-08AC0EF139C8}"/>
    <cellStyle name="40% - Accent5 9 5 6" xfId="27316" xr:uid="{794945D2-872E-4D32-A346-167C89113F9B}"/>
    <cellStyle name="40% - Accent5 9 5_Exh G" xfId="3304" xr:uid="{00000000-0005-0000-0000-0000494D0000}"/>
    <cellStyle name="40% - Accent5 9 6" xfId="4261" xr:uid="{00000000-0005-0000-0000-00004A4D0000}"/>
    <cellStyle name="40% - Accent5 9 6 2" xfId="7853" xr:uid="{00000000-0005-0000-0000-00004B4D0000}"/>
    <cellStyle name="40% - Accent5 9 6 2 2" xfId="15824" xr:uid="{00000000-0005-0000-0000-00004C4D0000}"/>
    <cellStyle name="40% - Accent5 9 6 2 2 2" xfId="39667" xr:uid="{B61D4CB4-2F43-4A95-9D07-B724917A5675}"/>
    <cellStyle name="40% - Accent5 9 6 2 3" xfId="23770" xr:uid="{00000000-0005-0000-0000-00004D4D0000}"/>
    <cellStyle name="40% - Accent5 9 6 2 3 2" xfId="47603" xr:uid="{7D825926-2A66-485B-9E62-E3EA54756530}"/>
    <cellStyle name="40% - Accent5 9 6 2 4" xfId="31726" xr:uid="{B43CE5BD-F8B5-48FD-9FAE-6D06E13EBB19}"/>
    <cellStyle name="40% - Accent5 9 6 3" xfId="12286" xr:uid="{00000000-0005-0000-0000-00004E4D0000}"/>
    <cellStyle name="40% - Accent5 9 6 3 2" xfId="36136" xr:uid="{794B724D-22D2-47FC-8729-8FE304F36DEC}"/>
    <cellStyle name="40% - Accent5 9 6 4" xfId="20241" xr:uid="{00000000-0005-0000-0000-00004F4D0000}"/>
    <cellStyle name="40% - Accent5 9 6 4 2" xfId="44074" xr:uid="{83D654D6-B8AC-4159-9BE0-451CD3BB6414}"/>
    <cellStyle name="40% - Accent5 9 6 5" xfId="28195" xr:uid="{E1947BA1-FFB4-4056-9B79-237B12F163F5}"/>
    <cellStyle name="40% - Accent5 9 7" xfId="6081" xr:uid="{00000000-0005-0000-0000-0000504D0000}"/>
    <cellStyle name="40% - Accent5 9 7 2" xfId="14065" xr:uid="{00000000-0005-0000-0000-0000514D0000}"/>
    <cellStyle name="40% - Accent5 9 7 2 2" xfId="37909" xr:uid="{2E0E5D5B-395B-42C6-9016-333A3277FE4C}"/>
    <cellStyle name="40% - Accent5 9 7 3" xfId="22013" xr:uid="{00000000-0005-0000-0000-0000524D0000}"/>
    <cellStyle name="40% - Accent5 9 7 3 2" xfId="45846" xr:uid="{293074ED-145E-462F-84B6-FA175E474ED1}"/>
    <cellStyle name="40% - Accent5 9 7 4" xfId="29968" xr:uid="{16CB0D22-3F2D-4885-BCB1-7C636FD705F3}"/>
    <cellStyle name="40% - Accent5 9 8" xfId="9634" xr:uid="{00000000-0005-0000-0000-0000534D0000}"/>
    <cellStyle name="40% - Accent5 9 8 2" xfId="17592" xr:uid="{00000000-0005-0000-0000-0000544D0000}"/>
    <cellStyle name="40% - Accent5 9 8 2 2" xfId="41433" xr:uid="{5BA5669E-B7B0-4920-92AC-4ED23EC7D09A}"/>
    <cellStyle name="40% - Accent5 9 8 3" xfId="25536" xr:uid="{00000000-0005-0000-0000-0000554D0000}"/>
    <cellStyle name="40% - Accent5 9 8 3 2" xfId="49369" xr:uid="{C71646DE-88E0-43F8-9171-7845A2DDEBA6}"/>
    <cellStyle name="40% - Accent5 9 8 4" xfId="33492" xr:uid="{14211868-2712-4914-AA68-26169FAE3224}"/>
    <cellStyle name="40% - Accent5 9 9" xfId="10530" xr:uid="{00000000-0005-0000-0000-0000564D0000}"/>
    <cellStyle name="40% - Accent5 9 9 2" xfId="34380" xr:uid="{99A2D7A7-5B17-4E9C-AB6E-A2DAAD4D65ED}"/>
    <cellStyle name="40% - Accent5 9_Exh G" xfId="3295" xr:uid="{00000000-0005-0000-0000-0000574D0000}"/>
    <cellStyle name="40% - Accent6" xfId="49708" builtinId="51" customBuiltin="1"/>
    <cellStyle name="40% - Accent6 10" xfId="586" xr:uid="{00000000-0005-0000-0000-0000584D0000}"/>
    <cellStyle name="40% - Accent6 10 10" xfId="18489" xr:uid="{00000000-0005-0000-0000-0000594D0000}"/>
    <cellStyle name="40% - Accent6 10 10 2" xfId="42322" xr:uid="{711E9522-E500-4D4B-8799-42EEA5F9F38D}"/>
    <cellStyle name="40% - Accent6 10 11" xfId="26442" xr:uid="{859CCBE5-55CF-4AFE-AF47-CF27AEBDF0F2}"/>
    <cellStyle name="40% - Accent6 10 2" xfId="587" xr:uid="{00000000-0005-0000-0000-00005A4D0000}"/>
    <cellStyle name="40% - Accent6 10 2 2" xfId="588" xr:uid="{00000000-0005-0000-0000-00005B4D0000}"/>
    <cellStyle name="40% - Accent6 10 2 2 2" xfId="1616" xr:uid="{00000000-0005-0000-0000-00005C4D0000}"/>
    <cellStyle name="40% - Accent6 10 2 2 2 2" xfId="5146" xr:uid="{00000000-0005-0000-0000-00005D4D0000}"/>
    <cellStyle name="40% - Accent6 10 2 2 2 2 2" xfId="8737" xr:uid="{00000000-0005-0000-0000-00005E4D0000}"/>
    <cellStyle name="40% - Accent6 10 2 2 2 2 2 2" xfId="16708" xr:uid="{00000000-0005-0000-0000-00005F4D0000}"/>
    <cellStyle name="40% - Accent6 10 2 2 2 2 2 2 2" xfId="40551" xr:uid="{704BCE6D-5196-4B89-991F-B00A7F7C24D2}"/>
    <cellStyle name="40% - Accent6 10 2 2 2 2 2 3" xfId="24654" xr:uid="{00000000-0005-0000-0000-0000604D0000}"/>
    <cellStyle name="40% - Accent6 10 2 2 2 2 2 3 2" xfId="48487" xr:uid="{1DE7F05C-3166-46C5-8157-CE4FFD8E18B8}"/>
    <cellStyle name="40% - Accent6 10 2 2 2 2 2 4" xfId="32610" xr:uid="{48A17AB4-DB52-4CEA-8A9F-8941E4BB10A7}"/>
    <cellStyle name="40% - Accent6 10 2 2 2 2 3" xfId="13170" xr:uid="{00000000-0005-0000-0000-0000614D0000}"/>
    <cellStyle name="40% - Accent6 10 2 2 2 2 3 2" xfId="37020" xr:uid="{65944BD8-60DF-451F-8F57-EED20C194AA6}"/>
    <cellStyle name="40% - Accent6 10 2 2 2 2 4" xfId="21125" xr:uid="{00000000-0005-0000-0000-0000624D0000}"/>
    <cellStyle name="40% - Accent6 10 2 2 2 2 4 2" xfId="44958" xr:uid="{D49A86DD-3C2E-49E8-9E8D-D0DA872B4A97}"/>
    <cellStyle name="40% - Accent6 10 2 2 2 2 5" xfId="29079" xr:uid="{2C6AA7C2-77F9-4798-831A-31767D06FFD3}"/>
    <cellStyle name="40% - Accent6 10 2 2 2 3" xfId="6978" xr:uid="{00000000-0005-0000-0000-0000634D0000}"/>
    <cellStyle name="40% - Accent6 10 2 2 2 3 2" xfId="14950" xr:uid="{00000000-0005-0000-0000-0000644D0000}"/>
    <cellStyle name="40% - Accent6 10 2 2 2 3 2 2" xfId="38793" xr:uid="{19B5A5B6-BA32-46B5-A490-BCF782488790}"/>
    <cellStyle name="40% - Accent6 10 2 2 2 3 3" xfId="22897" xr:uid="{00000000-0005-0000-0000-0000654D0000}"/>
    <cellStyle name="40% - Accent6 10 2 2 2 3 3 2" xfId="46730" xr:uid="{835DC7D9-D15A-4A8B-A0D1-E075649C9079}"/>
    <cellStyle name="40% - Accent6 10 2 2 2 3 4" xfId="30852" xr:uid="{99D5B102-6794-43C3-BB1C-744014A4F179}"/>
    <cellStyle name="40% - Accent6 10 2 2 2 4" xfId="11414" xr:uid="{00000000-0005-0000-0000-0000664D0000}"/>
    <cellStyle name="40% - Accent6 10 2 2 2 4 2" xfId="35264" xr:uid="{6EBDF403-3BD6-46B2-97B1-A0745514513F}"/>
    <cellStyle name="40% - Accent6 10 2 2 2 5" xfId="19369" xr:uid="{00000000-0005-0000-0000-0000674D0000}"/>
    <cellStyle name="40% - Accent6 10 2 2 2 5 2" xfId="43202" xr:uid="{D1021EA1-7C0E-45FD-9A8A-15217D24B809}"/>
    <cellStyle name="40% - Accent6 10 2 2 2 6" xfId="27322" xr:uid="{6CFF244C-7019-4201-B0FC-D00F76459C1D}"/>
    <cellStyle name="40% - Accent6 10 2 2 2_Exh G" xfId="3308" xr:uid="{00000000-0005-0000-0000-0000684D0000}"/>
    <cellStyle name="40% - Accent6 10 2 2 3" xfId="4267" xr:uid="{00000000-0005-0000-0000-0000694D0000}"/>
    <cellStyle name="40% - Accent6 10 2 2 3 2" xfId="7859" xr:uid="{00000000-0005-0000-0000-00006A4D0000}"/>
    <cellStyle name="40% - Accent6 10 2 2 3 2 2" xfId="15830" xr:uid="{00000000-0005-0000-0000-00006B4D0000}"/>
    <cellStyle name="40% - Accent6 10 2 2 3 2 2 2" xfId="39673" xr:uid="{7C0CAD97-8E2A-4E4C-9B7F-0C944669F9DD}"/>
    <cellStyle name="40% - Accent6 10 2 2 3 2 3" xfId="23776" xr:uid="{00000000-0005-0000-0000-00006C4D0000}"/>
    <cellStyle name="40% - Accent6 10 2 2 3 2 3 2" xfId="47609" xr:uid="{ECD7772C-8F2E-4315-BD96-293398818724}"/>
    <cellStyle name="40% - Accent6 10 2 2 3 2 4" xfId="31732" xr:uid="{A1B9EA16-6578-4ADF-A63C-771EEAF57D36}"/>
    <cellStyle name="40% - Accent6 10 2 2 3 3" xfId="12292" xr:uid="{00000000-0005-0000-0000-00006D4D0000}"/>
    <cellStyle name="40% - Accent6 10 2 2 3 3 2" xfId="36142" xr:uid="{A2BC2E53-94A2-4E5A-B266-5DA7B4A44BBD}"/>
    <cellStyle name="40% - Accent6 10 2 2 3 4" xfId="20247" xr:uid="{00000000-0005-0000-0000-00006E4D0000}"/>
    <cellStyle name="40% - Accent6 10 2 2 3 4 2" xfId="44080" xr:uid="{5EC8C6DD-A8AF-49FC-A71A-A27185A4847B}"/>
    <cellStyle name="40% - Accent6 10 2 2 3 5" xfId="28201" xr:uid="{65969554-1CBE-4AE0-A25A-788249BEA433}"/>
    <cellStyle name="40% - Accent6 10 2 2 4" xfId="6087" xr:uid="{00000000-0005-0000-0000-00006F4D0000}"/>
    <cellStyle name="40% - Accent6 10 2 2 4 2" xfId="14071" xr:uid="{00000000-0005-0000-0000-0000704D0000}"/>
    <cellStyle name="40% - Accent6 10 2 2 4 2 2" xfId="37915" xr:uid="{66FDBCB9-7529-4C4C-A2B8-3B3D66254021}"/>
    <cellStyle name="40% - Accent6 10 2 2 4 3" xfId="22019" xr:uid="{00000000-0005-0000-0000-0000714D0000}"/>
    <cellStyle name="40% - Accent6 10 2 2 4 3 2" xfId="45852" xr:uid="{0636D5B3-FDDB-419C-A3F3-CD5654EC1226}"/>
    <cellStyle name="40% - Accent6 10 2 2 4 4" xfId="29974" xr:uid="{893E5BC9-C782-42FE-B563-FFB69EB49FF2}"/>
    <cellStyle name="40% - Accent6 10 2 2 5" xfId="9640" xr:uid="{00000000-0005-0000-0000-0000724D0000}"/>
    <cellStyle name="40% - Accent6 10 2 2 5 2" xfId="17598" xr:uid="{00000000-0005-0000-0000-0000734D0000}"/>
    <cellStyle name="40% - Accent6 10 2 2 5 2 2" xfId="41439" xr:uid="{13FA3367-E009-4D08-B852-BDD18FEE8132}"/>
    <cellStyle name="40% - Accent6 10 2 2 5 3" xfId="25542" xr:uid="{00000000-0005-0000-0000-0000744D0000}"/>
    <cellStyle name="40% - Accent6 10 2 2 5 3 2" xfId="49375" xr:uid="{1FF19894-8FE3-4A6D-BAA5-4E455D76A9EA}"/>
    <cellStyle name="40% - Accent6 10 2 2 5 4" xfId="33498" xr:uid="{0A9E1CA7-DBF5-412E-B4CF-86343A5E42E2}"/>
    <cellStyle name="40% - Accent6 10 2 2 6" xfId="10536" xr:uid="{00000000-0005-0000-0000-0000754D0000}"/>
    <cellStyle name="40% - Accent6 10 2 2 6 2" xfId="34386" xr:uid="{B7827EAF-2855-4C43-9284-3DE01C637A88}"/>
    <cellStyle name="40% - Accent6 10 2 2 7" xfId="18491" xr:uid="{00000000-0005-0000-0000-0000764D0000}"/>
    <cellStyle name="40% - Accent6 10 2 2 7 2" xfId="42324" xr:uid="{FDA4659F-BDFC-4E33-A9B8-69A6B0B0F43E}"/>
    <cellStyle name="40% - Accent6 10 2 2 8" xfId="26444" xr:uid="{79D38505-941C-4188-AC0B-B38C32FB9245}"/>
    <cellStyle name="40% - Accent6 10 2 2_Exh G" xfId="3307" xr:uid="{00000000-0005-0000-0000-0000774D0000}"/>
    <cellStyle name="40% - Accent6 10 2 3" xfId="1615" xr:uid="{00000000-0005-0000-0000-0000784D0000}"/>
    <cellStyle name="40% - Accent6 10 2 3 2" xfId="5145" xr:uid="{00000000-0005-0000-0000-0000794D0000}"/>
    <cellStyle name="40% - Accent6 10 2 3 2 2" xfId="8736" xr:uid="{00000000-0005-0000-0000-00007A4D0000}"/>
    <cellStyle name="40% - Accent6 10 2 3 2 2 2" xfId="16707" xr:uid="{00000000-0005-0000-0000-00007B4D0000}"/>
    <cellStyle name="40% - Accent6 10 2 3 2 2 2 2" xfId="40550" xr:uid="{1EBA7996-7126-4F74-98DF-E4030034B882}"/>
    <cellStyle name="40% - Accent6 10 2 3 2 2 3" xfId="24653" xr:uid="{00000000-0005-0000-0000-00007C4D0000}"/>
    <cellStyle name="40% - Accent6 10 2 3 2 2 3 2" xfId="48486" xr:uid="{23A8F3FB-E3AD-40C4-83CC-5394C155138A}"/>
    <cellStyle name="40% - Accent6 10 2 3 2 2 4" xfId="32609" xr:uid="{1CE8BD68-533C-405A-A1A7-17ECF5083550}"/>
    <cellStyle name="40% - Accent6 10 2 3 2 3" xfId="13169" xr:uid="{00000000-0005-0000-0000-00007D4D0000}"/>
    <cellStyle name="40% - Accent6 10 2 3 2 3 2" xfId="37019" xr:uid="{1A302752-3769-4DBA-AE09-56C968ECD897}"/>
    <cellStyle name="40% - Accent6 10 2 3 2 4" xfId="21124" xr:uid="{00000000-0005-0000-0000-00007E4D0000}"/>
    <cellStyle name="40% - Accent6 10 2 3 2 4 2" xfId="44957" xr:uid="{07587F63-96F3-447B-B768-A71D2B85F6FF}"/>
    <cellStyle name="40% - Accent6 10 2 3 2 5" xfId="29078" xr:uid="{59B8AA5E-F043-46EC-81DE-7AE19C579519}"/>
    <cellStyle name="40% - Accent6 10 2 3 3" xfId="6977" xr:uid="{00000000-0005-0000-0000-00007F4D0000}"/>
    <cellStyle name="40% - Accent6 10 2 3 3 2" xfId="14949" xr:uid="{00000000-0005-0000-0000-0000804D0000}"/>
    <cellStyle name="40% - Accent6 10 2 3 3 2 2" xfId="38792" xr:uid="{671AA9B3-7F30-41E1-B798-BA3E016CC789}"/>
    <cellStyle name="40% - Accent6 10 2 3 3 3" xfId="22896" xr:uid="{00000000-0005-0000-0000-0000814D0000}"/>
    <cellStyle name="40% - Accent6 10 2 3 3 3 2" xfId="46729" xr:uid="{7558957D-817E-4237-8FC2-2E9025F597ED}"/>
    <cellStyle name="40% - Accent6 10 2 3 3 4" xfId="30851" xr:uid="{BD7A4D71-933F-43ED-8157-E1B95940BB8F}"/>
    <cellStyle name="40% - Accent6 10 2 3 4" xfId="11413" xr:uid="{00000000-0005-0000-0000-0000824D0000}"/>
    <cellStyle name="40% - Accent6 10 2 3 4 2" xfId="35263" xr:uid="{D66C6FE3-66EA-4C2F-9E87-B268D810F36B}"/>
    <cellStyle name="40% - Accent6 10 2 3 5" xfId="19368" xr:uid="{00000000-0005-0000-0000-0000834D0000}"/>
    <cellStyle name="40% - Accent6 10 2 3 5 2" xfId="43201" xr:uid="{C2F774FF-0CD6-464F-825F-E56D54E04159}"/>
    <cellStyle name="40% - Accent6 10 2 3 6" xfId="27321" xr:uid="{AD46EBAD-96C3-401B-BE6D-07E2D28ACB16}"/>
    <cellStyle name="40% - Accent6 10 2 3_Exh G" xfId="3309" xr:uid="{00000000-0005-0000-0000-0000844D0000}"/>
    <cellStyle name="40% - Accent6 10 2 4" xfId="4266" xr:uid="{00000000-0005-0000-0000-0000854D0000}"/>
    <cellStyle name="40% - Accent6 10 2 4 2" xfId="7858" xr:uid="{00000000-0005-0000-0000-0000864D0000}"/>
    <cellStyle name="40% - Accent6 10 2 4 2 2" xfId="15829" xr:uid="{00000000-0005-0000-0000-0000874D0000}"/>
    <cellStyle name="40% - Accent6 10 2 4 2 2 2" xfId="39672" xr:uid="{0A1FC345-8295-43EF-B89C-11374E2164F7}"/>
    <cellStyle name="40% - Accent6 10 2 4 2 3" xfId="23775" xr:uid="{00000000-0005-0000-0000-0000884D0000}"/>
    <cellStyle name="40% - Accent6 10 2 4 2 3 2" xfId="47608" xr:uid="{5363513F-8EF7-4EE2-9932-D4301C8D6948}"/>
    <cellStyle name="40% - Accent6 10 2 4 2 4" xfId="31731" xr:uid="{F474397D-118C-4B2A-9A92-FB8ED229FFDF}"/>
    <cellStyle name="40% - Accent6 10 2 4 3" xfId="12291" xr:uid="{00000000-0005-0000-0000-0000894D0000}"/>
    <cellStyle name="40% - Accent6 10 2 4 3 2" xfId="36141" xr:uid="{9B22239E-AAB8-4716-AC3C-B5CF83EBFF22}"/>
    <cellStyle name="40% - Accent6 10 2 4 4" xfId="20246" xr:uid="{00000000-0005-0000-0000-00008A4D0000}"/>
    <cellStyle name="40% - Accent6 10 2 4 4 2" xfId="44079" xr:uid="{C2AD7C6D-4930-4071-93CE-35216B7CA815}"/>
    <cellStyle name="40% - Accent6 10 2 4 5" xfId="28200" xr:uid="{C12D5C4D-91B9-4D71-BFBE-11EE47E5B023}"/>
    <cellStyle name="40% - Accent6 10 2 5" xfId="6086" xr:uid="{00000000-0005-0000-0000-00008B4D0000}"/>
    <cellStyle name="40% - Accent6 10 2 5 2" xfId="14070" xr:uid="{00000000-0005-0000-0000-00008C4D0000}"/>
    <cellStyle name="40% - Accent6 10 2 5 2 2" xfId="37914" xr:uid="{A2321A46-1BC5-471F-BBED-A61C900EA991}"/>
    <cellStyle name="40% - Accent6 10 2 5 3" xfId="22018" xr:uid="{00000000-0005-0000-0000-00008D4D0000}"/>
    <cellStyle name="40% - Accent6 10 2 5 3 2" xfId="45851" xr:uid="{2A6A6599-7646-4CE6-8451-FD518BC7A9D2}"/>
    <cellStyle name="40% - Accent6 10 2 5 4" xfId="29973" xr:uid="{D1617804-4D02-4BD1-9AED-037E9B3622A8}"/>
    <cellStyle name="40% - Accent6 10 2 6" xfId="9639" xr:uid="{00000000-0005-0000-0000-00008E4D0000}"/>
    <cellStyle name="40% - Accent6 10 2 6 2" xfId="17597" xr:uid="{00000000-0005-0000-0000-00008F4D0000}"/>
    <cellStyle name="40% - Accent6 10 2 6 2 2" xfId="41438" xr:uid="{100398E3-1937-446C-8D80-8AE0DB196FB0}"/>
    <cellStyle name="40% - Accent6 10 2 6 3" xfId="25541" xr:uid="{00000000-0005-0000-0000-0000904D0000}"/>
    <cellStyle name="40% - Accent6 10 2 6 3 2" xfId="49374" xr:uid="{15D52DE6-4FD6-4DA7-82E4-E415D8017D6B}"/>
    <cellStyle name="40% - Accent6 10 2 6 4" xfId="33497" xr:uid="{286811BA-E7BB-497E-8F99-2F2EA680375F}"/>
    <cellStyle name="40% - Accent6 10 2 7" xfId="10535" xr:uid="{00000000-0005-0000-0000-0000914D0000}"/>
    <cellStyle name="40% - Accent6 10 2 7 2" xfId="34385" xr:uid="{80B2DA4D-E252-495D-B1C1-7AA8579A900A}"/>
    <cellStyle name="40% - Accent6 10 2 8" xfId="18490" xr:uid="{00000000-0005-0000-0000-0000924D0000}"/>
    <cellStyle name="40% - Accent6 10 2 8 2" xfId="42323" xr:uid="{08808FF0-705B-42F6-9384-01F0F6D78804}"/>
    <cellStyle name="40% - Accent6 10 2 9" xfId="26443" xr:uid="{936C8368-07B9-404D-9BF9-6BB6DA67A78E}"/>
    <cellStyle name="40% - Accent6 10 2_Exh G" xfId="3306" xr:uid="{00000000-0005-0000-0000-0000934D0000}"/>
    <cellStyle name="40% - Accent6 10 3" xfId="589" xr:uid="{00000000-0005-0000-0000-0000944D0000}"/>
    <cellStyle name="40% - Accent6 10 3 2" xfId="1617" xr:uid="{00000000-0005-0000-0000-0000954D0000}"/>
    <cellStyle name="40% - Accent6 10 3 2 2" xfId="5147" xr:uid="{00000000-0005-0000-0000-0000964D0000}"/>
    <cellStyle name="40% - Accent6 10 3 2 2 2" xfId="8738" xr:uid="{00000000-0005-0000-0000-0000974D0000}"/>
    <cellStyle name="40% - Accent6 10 3 2 2 2 2" xfId="16709" xr:uid="{00000000-0005-0000-0000-0000984D0000}"/>
    <cellStyle name="40% - Accent6 10 3 2 2 2 2 2" xfId="40552" xr:uid="{56F0456A-DA32-4CA2-81FB-38A5A35A4DF1}"/>
    <cellStyle name="40% - Accent6 10 3 2 2 2 3" xfId="24655" xr:uid="{00000000-0005-0000-0000-0000994D0000}"/>
    <cellStyle name="40% - Accent6 10 3 2 2 2 3 2" xfId="48488" xr:uid="{44F7D573-0984-4EB8-BE14-2D6B00D94E93}"/>
    <cellStyle name="40% - Accent6 10 3 2 2 2 4" xfId="32611" xr:uid="{3514905D-A50D-453F-A80B-330C10D596C2}"/>
    <cellStyle name="40% - Accent6 10 3 2 2 3" xfId="13171" xr:uid="{00000000-0005-0000-0000-00009A4D0000}"/>
    <cellStyle name="40% - Accent6 10 3 2 2 3 2" xfId="37021" xr:uid="{24455027-61FC-4041-9A84-0EBCB64E0B33}"/>
    <cellStyle name="40% - Accent6 10 3 2 2 4" xfId="21126" xr:uid="{00000000-0005-0000-0000-00009B4D0000}"/>
    <cellStyle name="40% - Accent6 10 3 2 2 4 2" xfId="44959" xr:uid="{D85F6D1D-898B-434B-8045-86DC5416E092}"/>
    <cellStyle name="40% - Accent6 10 3 2 2 5" xfId="29080" xr:uid="{47C349ED-4877-4B56-B2DE-95616B0BEFCB}"/>
    <cellStyle name="40% - Accent6 10 3 2 3" xfId="6979" xr:uid="{00000000-0005-0000-0000-00009C4D0000}"/>
    <cellStyle name="40% - Accent6 10 3 2 3 2" xfId="14951" xr:uid="{00000000-0005-0000-0000-00009D4D0000}"/>
    <cellStyle name="40% - Accent6 10 3 2 3 2 2" xfId="38794" xr:uid="{D16C46C1-B904-41BD-A8E8-E32B3E62F336}"/>
    <cellStyle name="40% - Accent6 10 3 2 3 3" xfId="22898" xr:uid="{00000000-0005-0000-0000-00009E4D0000}"/>
    <cellStyle name="40% - Accent6 10 3 2 3 3 2" xfId="46731" xr:uid="{4222BDE3-02C7-48DA-B72F-628AD99AE6BE}"/>
    <cellStyle name="40% - Accent6 10 3 2 3 4" xfId="30853" xr:uid="{2A75152B-827F-4796-A721-1CC843374AFA}"/>
    <cellStyle name="40% - Accent6 10 3 2 4" xfId="11415" xr:uid="{00000000-0005-0000-0000-00009F4D0000}"/>
    <cellStyle name="40% - Accent6 10 3 2 4 2" xfId="35265" xr:uid="{0D505FC1-B726-4EBA-B61C-8008006D96CE}"/>
    <cellStyle name="40% - Accent6 10 3 2 5" xfId="19370" xr:uid="{00000000-0005-0000-0000-0000A04D0000}"/>
    <cellStyle name="40% - Accent6 10 3 2 5 2" xfId="43203" xr:uid="{90DDA907-7005-4396-98A4-2A404FD4F99A}"/>
    <cellStyle name="40% - Accent6 10 3 2 6" xfId="27323" xr:uid="{1FF29AD1-8486-4099-955D-465157D0CF7C}"/>
    <cellStyle name="40% - Accent6 10 3 2_Exh G" xfId="3311" xr:uid="{00000000-0005-0000-0000-0000A14D0000}"/>
    <cellStyle name="40% - Accent6 10 3 3" xfId="4268" xr:uid="{00000000-0005-0000-0000-0000A24D0000}"/>
    <cellStyle name="40% - Accent6 10 3 3 2" xfId="7860" xr:uid="{00000000-0005-0000-0000-0000A34D0000}"/>
    <cellStyle name="40% - Accent6 10 3 3 2 2" xfId="15831" xr:uid="{00000000-0005-0000-0000-0000A44D0000}"/>
    <cellStyle name="40% - Accent6 10 3 3 2 2 2" xfId="39674" xr:uid="{5E5A45B3-F9F9-4C5D-A49C-DC7E16E063DA}"/>
    <cellStyle name="40% - Accent6 10 3 3 2 3" xfId="23777" xr:uid="{00000000-0005-0000-0000-0000A54D0000}"/>
    <cellStyle name="40% - Accent6 10 3 3 2 3 2" xfId="47610" xr:uid="{F123159D-2115-41AC-8353-DF02EEFCE9F5}"/>
    <cellStyle name="40% - Accent6 10 3 3 2 4" xfId="31733" xr:uid="{839762B2-8BFC-47BC-8622-D4A86BD56613}"/>
    <cellStyle name="40% - Accent6 10 3 3 3" xfId="12293" xr:uid="{00000000-0005-0000-0000-0000A64D0000}"/>
    <cellStyle name="40% - Accent6 10 3 3 3 2" xfId="36143" xr:uid="{0F91BC2E-D1B3-43C2-B87B-F4C18BCC20F3}"/>
    <cellStyle name="40% - Accent6 10 3 3 4" xfId="20248" xr:uid="{00000000-0005-0000-0000-0000A74D0000}"/>
    <cellStyle name="40% - Accent6 10 3 3 4 2" xfId="44081" xr:uid="{4863DFD4-143D-4B93-BFFC-08DABD5FBB72}"/>
    <cellStyle name="40% - Accent6 10 3 3 5" xfId="28202" xr:uid="{0CA154AC-A69B-440E-815F-076D08DB67D7}"/>
    <cellStyle name="40% - Accent6 10 3 4" xfId="6088" xr:uid="{00000000-0005-0000-0000-0000A84D0000}"/>
    <cellStyle name="40% - Accent6 10 3 4 2" xfId="14072" xr:uid="{00000000-0005-0000-0000-0000A94D0000}"/>
    <cellStyle name="40% - Accent6 10 3 4 2 2" xfId="37916" xr:uid="{F8237FBF-CB5A-4BD6-BCF1-1DFB205C5ED2}"/>
    <cellStyle name="40% - Accent6 10 3 4 3" xfId="22020" xr:uid="{00000000-0005-0000-0000-0000AA4D0000}"/>
    <cellStyle name="40% - Accent6 10 3 4 3 2" xfId="45853" xr:uid="{8E6E31C0-2359-445C-88FB-A2FA60DD9CF9}"/>
    <cellStyle name="40% - Accent6 10 3 4 4" xfId="29975" xr:uid="{635C1856-778B-45E3-994F-FDD1573B989B}"/>
    <cellStyle name="40% - Accent6 10 3 5" xfId="9641" xr:uid="{00000000-0005-0000-0000-0000AB4D0000}"/>
    <cellStyle name="40% - Accent6 10 3 5 2" xfId="17599" xr:uid="{00000000-0005-0000-0000-0000AC4D0000}"/>
    <cellStyle name="40% - Accent6 10 3 5 2 2" xfId="41440" xr:uid="{576FE573-2CF6-41E2-BFF8-745FBA9E371D}"/>
    <cellStyle name="40% - Accent6 10 3 5 3" xfId="25543" xr:uid="{00000000-0005-0000-0000-0000AD4D0000}"/>
    <cellStyle name="40% - Accent6 10 3 5 3 2" xfId="49376" xr:uid="{6FE0173D-6BD9-40C1-A20A-0FA6CC8494FB}"/>
    <cellStyle name="40% - Accent6 10 3 5 4" xfId="33499" xr:uid="{723F72D0-4E47-4520-85E1-04E5C92E3CCE}"/>
    <cellStyle name="40% - Accent6 10 3 6" xfId="10537" xr:uid="{00000000-0005-0000-0000-0000AE4D0000}"/>
    <cellStyle name="40% - Accent6 10 3 6 2" xfId="34387" xr:uid="{EE71F9A6-5CDB-44FE-84CD-B5A7059BF091}"/>
    <cellStyle name="40% - Accent6 10 3 7" xfId="18492" xr:uid="{00000000-0005-0000-0000-0000AF4D0000}"/>
    <cellStyle name="40% - Accent6 10 3 7 2" xfId="42325" xr:uid="{97D7E2B1-2FAF-40AC-A8C2-96A3E7D45AEF}"/>
    <cellStyle name="40% - Accent6 10 3 8" xfId="26445" xr:uid="{31C001CC-0454-42EF-9207-F22BBF81813A}"/>
    <cellStyle name="40% - Accent6 10 3_Exh G" xfId="3310" xr:uid="{00000000-0005-0000-0000-0000B04D0000}"/>
    <cellStyle name="40% - Accent6 10 4" xfId="994" xr:uid="{00000000-0005-0000-0000-0000B14D0000}"/>
    <cellStyle name="40% - Accent6 10 5" xfId="1614" xr:uid="{00000000-0005-0000-0000-0000B24D0000}"/>
    <cellStyle name="40% - Accent6 10 5 2" xfId="5144" xr:uid="{00000000-0005-0000-0000-0000B34D0000}"/>
    <cellStyle name="40% - Accent6 10 5 2 2" xfId="8735" xr:uid="{00000000-0005-0000-0000-0000B44D0000}"/>
    <cellStyle name="40% - Accent6 10 5 2 2 2" xfId="16706" xr:uid="{00000000-0005-0000-0000-0000B54D0000}"/>
    <cellStyle name="40% - Accent6 10 5 2 2 2 2" xfId="40549" xr:uid="{12CBA9D7-6E4D-4806-A003-72AFA6F69C9B}"/>
    <cellStyle name="40% - Accent6 10 5 2 2 3" xfId="24652" xr:uid="{00000000-0005-0000-0000-0000B64D0000}"/>
    <cellStyle name="40% - Accent6 10 5 2 2 3 2" xfId="48485" xr:uid="{55C5F541-57CB-48CD-A950-6BAFA6553884}"/>
    <cellStyle name="40% - Accent6 10 5 2 2 4" xfId="32608" xr:uid="{B64685CF-4723-4A93-BE0F-75F60D14A1D8}"/>
    <cellStyle name="40% - Accent6 10 5 2 3" xfId="13168" xr:uid="{00000000-0005-0000-0000-0000B74D0000}"/>
    <cellStyle name="40% - Accent6 10 5 2 3 2" xfId="37018" xr:uid="{A7FDEF32-8A9A-4AFA-A744-6CA54240FBF5}"/>
    <cellStyle name="40% - Accent6 10 5 2 4" xfId="21123" xr:uid="{00000000-0005-0000-0000-0000B84D0000}"/>
    <cellStyle name="40% - Accent6 10 5 2 4 2" xfId="44956" xr:uid="{09A95014-BD58-4F67-B3B4-74D9A4739918}"/>
    <cellStyle name="40% - Accent6 10 5 2 5" xfId="29077" xr:uid="{15D30809-0AAC-4B53-92B6-DF37B97919DB}"/>
    <cellStyle name="40% - Accent6 10 5 3" xfId="6976" xr:uid="{00000000-0005-0000-0000-0000B94D0000}"/>
    <cellStyle name="40% - Accent6 10 5 3 2" xfId="14948" xr:uid="{00000000-0005-0000-0000-0000BA4D0000}"/>
    <cellStyle name="40% - Accent6 10 5 3 2 2" xfId="38791" xr:uid="{1C0318FD-34BA-4086-970C-6F843E59BB1E}"/>
    <cellStyle name="40% - Accent6 10 5 3 3" xfId="22895" xr:uid="{00000000-0005-0000-0000-0000BB4D0000}"/>
    <cellStyle name="40% - Accent6 10 5 3 3 2" xfId="46728" xr:uid="{C5F08704-680A-46A0-BC80-E2C90204E00E}"/>
    <cellStyle name="40% - Accent6 10 5 3 4" xfId="30850" xr:uid="{814721FD-A385-44A8-BC7A-27286DE733AD}"/>
    <cellStyle name="40% - Accent6 10 5 4" xfId="11412" xr:uid="{00000000-0005-0000-0000-0000BC4D0000}"/>
    <cellStyle name="40% - Accent6 10 5 4 2" xfId="35262" xr:uid="{B62792AA-46A9-4381-A0A9-52699FF2F61A}"/>
    <cellStyle name="40% - Accent6 10 5 5" xfId="19367" xr:uid="{00000000-0005-0000-0000-0000BD4D0000}"/>
    <cellStyle name="40% - Accent6 10 5 5 2" xfId="43200" xr:uid="{1D6E915A-5F05-42F4-9988-EAC1E007CE2D}"/>
    <cellStyle name="40% - Accent6 10 5 6" xfId="27320" xr:uid="{9D26519A-1F4B-49B9-BE01-6F2A1CF5F749}"/>
    <cellStyle name="40% - Accent6 10 5_Exh G" xfId="3312" xr:uid="{00000000-0005-0000-0000-0000BE4D0000}"/>
    <cellStyle name="40% - Accent6 10 6" xfId="4265" xr:uid="{00000000-0005-0000-0000-0000BF4D0000}"/>
    <cellStyle name="40% - Accent6 10 6 2" xfId="7857" xr:uid="{00000000-0005-0000-0000-0000C04D0000}"/>
    <cellStyle name="40% - Accent6 10 6 2 2" xfId="15828" xr:uid="{00000000-0005-0000-0000-0000C14D0000}"/>
    <cellStyle name="40% - Accent6 10 6 2 2 2" xfId="39671" xr:uid="{76688DAB-A65C-41BB-A878-B97AEC131549}"/>
    <cellStyle name="40% - Accent6 10 6 2 3" xfId="23774" xr:uid="{00000000-0005-0000-0000-0000C24D0000}"/>
    <cellStyle name="40% - Accent6 10 6 2 3 2" xfId="47607" xr:uid="{44EAE260-37A4-41A2-82F3-F8F8A87EC728}"/>
    <cellStyle name="40% - Accent6 10 6 2 4" xfId="31730" xr:uid="{D3B66A57-4541-4376-BBF6-465DDB0F68DF}"/>
    <cellStyle name="40% - Accent6 10 6 3" xfId="12290" xr:uid="{00000000-0005-0000-0000-0000C34D0000}"/>
    <cellStyle name="40% - Accent6 10 6 3 2" xfId="36140" xr:uid="{CD0FA8CC-8BE2-4D0B-AF8E-0C78155EE11F}"/>
    <cellStyle name="40% - Accent6 10 6 4" xfId="20245" xr:uid="{00000000-0005-0000-0000-0000C44D0000}"/>
    <cellStyle name="40% - Accent6 10 6 4 2" xfId="44078" xr:uid="{9C62DD88-1F4D-4CDE-9F07-AFD882FDABB8}"/>
    <cellStyle name="40% - Accent6 10 6 5" xfId="28199" xr:uid="{41EF9CE4-438E-41DE-89F3-28025554C006}"/>
    <cellStyle name="40% - Accent6 10 7" xfId="6085" xr:uid="{00000000-0005-0000-0000-0000C54D0000}"/>
    <cellStyle name="40% - Accent6 10 7 2" xfId="14069" xr:uid="{00000000-0005-0000-0000-0000C64D0000}"/>
    <cellStyle name="40% - Accent6 10 7 2 2" xfId="37913" xr:uid="{1F178808-073D-4ECA-B738-C5B3778726F0}"/>
    <cellStyle name="40% - Accent6 10 7 3" xfId="22017" xr:uid="{00000000-0005-0000-0000-0000C74D0000}"/>
    <cellStyle name="40% - Accent6 10 7 3 2" xfId="45850" xr:uid="{C13440B2-0A5D-4646-B59F-530359AE16EE}"/>
    <cellStyle name="40% - Accent6 10 7 4" xfId="29972" xr:uid="{2C997FEE-3A80-4388-A461-F3A9F09FAF32}"/>
    <cellStyle name="40% - Accent6 10 8" xfId="9638" xr:uid="{00000000-0005-0000-0000-0000C84D0000}"/>
    <cellStyle name="40% - Accent6 10 8 2" xfId="17596" xr:uid="{00000000-0005-0000-0000-0000C94D0000}"/>
    <cellStyle name="40% - Accent6 10 8 2 2" xfId="41437" xr:uid="{5B8BD411-3118-49DD-9714-59DC0D0CF483}"/>
    <cellStyle name="40% - Accent6 10 8 3" xfId="25540" xr:uid="{00000000-0005-0000-0000-0000CA4D0000}"/>
    <cellStyle name="40% - Accent6 10 8 3 2" xfId="49373" xr:uid="{690CBF9F-520A-4358-B45D-F7B7CDC56CB8}"/>
    <cellStyle name="40% - Accent6 10 8 4" xfId="33496" xr:uid="{FACB211D-66BE-48B6-8C0F-FC15F69D55A8}"/>
    <cellStyle name="40% - Accent6 10 9" xfId="10534" xr:uid="{00000000-0005-0000-0000-0000CB4D0000}"/>
    <cellStyle name="40% - Accent6 10 9 2" xfId="34384" xr:uid="{220E7DCF-523B-45AB-88B6-24AB05DE958C}"/>
    <cellStyle name="40% - Accent6 10_Exh G" xfId="3305" xr:uid="{00000000-0005-0000-0000-0000CC4D0000}"/>
    <cellStyle name="40% - Accent6 11" xfId="590" xr:uid="{00000000-0005-0000-0000-0000CD4D0000}"/>
    <cellStyle name="40% - Accent6 11 10" xfId="26446" xr:uid="{4A3139DD-6FB2-4D47-8EC1-CF7625379295}"/>
    <cellStyle name="40% - Accent6 11 2" xfId="591" xr:uid="{00000000-0005-0000-0000-0000CE4D0000}"/>
    <cellStyle name="40% - Accent6 11 2 2" xfId="592" xr:uid="{00000000-0005-0000-0000-0000CF4D0000}"/>
    <cellStyle name="40% - Accent6 11 2 2 2" xfId="1620" xr:uid="{00000000-0005-0000-0000-0000D04D0000}"/>
    <cellStyle name="40% - Accent6 11 2 2 2 2" xfId="5150" xr:uid="{00000000-0005-0000-0000-0000D14D0000}"/>
    <cellStyle name="40% - Accent6 11 2 2 2 2 2" xfId="8741" xr:uid="{00000000-0005-0000-0000-0000D24D0000}"/>
    <cellStyle name="40% - Accent6 11 2 2 2 2 2 2" xfId="16712" xr:uid="{00000000-0005-0000-0000-0000D34D0000}"/>
    <cellStyle name="40% - Accent6 11 2 2 2 2 2 2 2" xfId="40555" xr:uid="{B80BF61D-CC6A-4D37-80B2-01F5ADBB7FC9}"/>
    <cellStyle name="40% - Accent6 11 2 2 2 2 2 3" xfId="24658" xr:uid="{00000000-0005-0000-0000-0000D44D0000}"/>
    <cellStyle name="40% - Accent6 11 2 2 2 2 2 3 2" xfId="48491" xr:uid="{0657BA20-1F6A-4DE3-B383-46DB1E537167}"/>
    <cellStyle name="40% - Accent6 11 2 2 2 2 2 4" xfId="32614" xr:uid="{E905AD80-9F6D-470C-8690-3E9FDC9A207E}"/>
    <cellStyle name="40% - Accent6 11 2 2 2 2 3" xfId="13174" xr:uid="{00000000-0005-0000-0000-0000D54D0000}"/>
    <cellStyle name="40% - Accent6 11 2 2 2 2 3 2" xfId="37024" xr:uid="{073CDDDC-05E3-46F2-A2F4-847774A80A3E}"/>
    <cellStyle name="40% - Accent6 11 2 2 2 2 4" xfId="21129" xr:uid="{00000000-0005-0000-0000-0000D64D0000}"/>
    <cellStyle name="40% - Accent6 11 2 2 2 2 4 2" xfId="44962" xr:uid="{70CE5366-6AC8-47DC-84FE-7AD1A1A70F89}"/>
    <cellStyle name="40% - Accent6 11 2 2 2 2 5" xfId="29083" xr:uid="{0655B802-9252-46EC-98BB-646CFA2EF2FE}"/>
    <cellStyle name="40% - Accent6 11 2 2 2 3" xfId="6982" xr:uid="{00000000-0005-0000-0000-0000D74D0000}"/>
    <cellStyle name="40% - Accent6 11 2 2 2 3 2" xfId="14954" xr:uid="{00000000-0005-0000-0000-0000D84D0000}"/>
    <cellStyle name="40% - Accent6 11 2 2 2 3 2 2" xfId="38797" xr:uid="{F60AA926-7B27-4449-9098-129C810E40E4}"/>
    <cellStyle name="40% - Accent6 11 2 2 2 3 3" xfId="22901" xr:uid="{00000000-0005-0000-0000-0000D94D0000}"/>
    <cellStyle name="40% - Accent6 11 2 2 2 3 3 2" xfId="46734" xr:uid="{2B4FD8E7-3674-40E3-9958-70EAF14AB4E3}"/>
    <cellStyle name="40% - Accent6 11 2 2 2 3 4" xfId="30856" xr:uid="{824DA858-B39D-474F-B9BA-71AA54E99507}"/>
    <cellStyle name="40% - Accent6 11 2 2 2 4" xfId="11418" xr:uid="{00000000-0005-0000-0000-0000DA4D0000}"/>
    <cellStyle name="40% - Accent6 11 2 2 2 4 2" xfId="35268" xr:uid="{0E4F9A97-1DF7-41A4-ABC5-0774D5266DB9}"/>
    <cellStyle name="40% - Accent6 11 2 2 2 5" xfId="19373" xr:uid="{00000000-0005-0000-0000-0000DB4D0000}"/>
    <cellStyle name="40% - Accent6 11 2 2 2 5 2" xfId="43206" xr:uid="{E7ACB8C0-CAE0-45F2-B3B8-1AD2C143C87A}"/>
    <cellStyle name="40% - Accent6 11 2 2 2 6" xfId="27326" xr:uid="{E79708CE-0F9C-4D08-804F-312C85AD42F5}"/>
    <cellStyle name="40% - Accent6 11 2 2 2_Exh G" xfId="3316" xr:uid="{00000000-0005-0000-0000-0000DC4D0000}"/>
    <cellStyle name="40% - Accent6 11 2 2 3" xfId="4271" xr:uid="{00000000-0005-0000-0000-0000DD4D0000}"/>
    <cellStyle name="40% - Accent6 11 2 2 3 2" xfId="7863" xr:uid="{00000000-0005-0000-0000-0000DE4D0000}"/>
    <cellStyle name="40% - Accent6 11 2 2 3 2 2" xfId="15834" xr:uid="{00000000-0005-0000-0000-0000DF4D0000}"/>
    <cellStyle name="40% - Accent6 11 2 2 3 2 2 2" xfId="39677" xr:uid="{15C3C64F-5DD8-4FEB-9209-71975A202692}"/>
    <cellStyle name="40% - Accent6 11 2 2 3 2 3" xfId="23780" xr:uid="{00000000-0005-0000-0000-0000E04D0000}"/>
    <cellStyle name="40% - Accent6 11 2 2 3 2 3 2" xfId="47613" xr:uid="{65F47ADF-FCAE-49AC-9ECE-864D957BB08D}"/>
    <cellStyle name="40% - Accent6 11 2 2 3 2 4" xfId="31736" xr:uid="{0C962DE3-F64D-465B-8AD9-C69A2CFCF5E5}"/>
    <cellStyle name="40% - Accent6 11 2 2 3 3" xfId="12296" xr:uid="{00000000-0005-0000-0000-0000E14D0000}"/>
    <cellStyle name="40% - Accent6 11 2 2 3 3 2" xfId="36146" xr:uid="{07951154-08AE-4957-BFAE-01539F720E9B}"/>
    <cellStyle name="40% - Accent6 11 2 2 3 4" xfId="20251" xr:uid="{00000000-0005-0000-0000-0000E24D0000}"/>
    <cellStyle name="40% - Accent6 11 2 2 3 4 2" xfId="44084" xr:uid="{03622DAE-8126-4D4F-981C-419509A8CF5E}"/>
    <cellStyle name="40% - Accent6 11 2 2 3 5" xfId="28205" xr:uid="{9E28213C-5E97-4595-9BAF-77A97B0E6F1A}"/>
    <cellStyle name="40% - Accent6 11 2 2 4" xfId="6091" xr:uid="{00000000-0005-0000-0000-0000E34D0000}"/>
    <cellStyle name="40% - Accent6 11 2 2 4 2" xfId="14075" xr:uid="{00000000-0005-0000-0000-0000E44D0000}"/>
    <cellStyle name="40% - Accent6 11 2 2 4 2 2" xfId="37919" xr:uid="{5AB37C4A-6693-499E-9168-29F8BDF7A3C5}"/>
    <cellStyle name="40% - Accent6 11 2 2 4 3" xfId="22023" xr:uid="{00000000-0005-0000-0000-0000E54D0000}"/>
    <cellStyle name="40% - Accent6 11 2 2 4 3 2" xfId="45856" xr:uid="{91619AA6-0773-41B2-A233-81B6073F43FE}"/>
    <cellStyle name="40% - Accent6 11 2 2 4 4" xfId="29978" xr:uid="{D4441B7E-E064-44AA-9839-FA96E8A5308D}"/>
    <cellStyle name="40% - Accent6 11 2 2 5" xfId="9644" xr:uid="{00000000-0005-0000-0000-0000E64D0000}"/>
    <cellStyle name="40% - Accent6 11 2 2 5 2" xfId="17602" xr:uid="{00000000-0005-0000-0000-0000E74D0000}"/>
    <cellStyle name="40% - Accent6 11 2 2 5 2 2" xfId="41443" xr:uid="{83AE5343-40B4-438F-B199-6987BBAA5E0F}"/>
    <cellStyle name="40% - Accent6 11 2 2 5 3" xfId="25546" xr:uid="{00000000-0005-0000-0000-0000E84D0000}"/>
    <cellStyle name="40% - Accent6 11 2 2 5 3 2" xfId="49379" xr:uid="{9CEABE42-FBAA-4ACE-A6BE-0842B58D85CA}"/>
    <cellStyle name="40% - Accent6 11 2 2 5 4" xfId="33502" xr:uid="{B510FAAF-F640-4E70-A57B-CE7E21D7F1F9}"/>
    <cellStyle name="40% - Accent6 11 2 2 6" xfId="10540" xr:uid="{00000000-0005-0000-0000-0000E94D0000}"/>
    <cellStyle name="40% - Accent6 11 2 2 6 2" xfId="34390" xr:uid="{5EE5C6D4-5280-4D5D-BED0-7085CF3B5CD4}"/>
    <cellStyle name="40% - Accent6 11 2 2 7" xfId="18495" xr:uid="{00000000-0005-0000-0000-0000EA4D0000}"/>
    <cellStyle name="40% - Accent6 11 2 2 7 2" xfId="42328" xr:uid="{4270BE51-60EF-4D61-85ED-235BD3B706FA}"/>
    <cellStyle name="40% - Accent6 11 2 2 8" xfId="26448" xr:uid="{0E5DB2D3-F706-48C5-A7A4-BB4F7E19BB30}"/>
    <cellStyle name="40% - Accent6 11 2 2_Exh G" xfId="3315" xr:uid="{00000000-0005-0000-0000-0000EB4D0000}"/>
    <cellStyle name="40% - Accent6 11 2 3" xfId="1619" xr:uid="{00000000-0005-0000-0000-0000EC4D0000}"/>
    <cellStyle name="40% - Accent6 11 2 3 2" xfId="5149" xr:uid="{00000000-0005-0000-0000-0000ED4D0000}"/>
    <cellStyle name="40% - Accent6 11 2 3 2 2" xfId="8740" xr:uid="{00000000-0005-0000-0000-0000EE4D0000}"/>
    <cellStyle name="40% - Accent6 11 2 3 2 2 2" xfId="16711" xr:uid="{00000000-0005-0000-0000-0000EF4D0000}"/>
    <cellStyle name="40% - Accent6 11 2 3 2 2 2 2" xfId="40554" xr:uid="{83BDD598-1850-430A-ACF4-593D6683AFEF}"/>
    <cellStyle name="40% - Accent6 11 2 3 2 2 3" xfId="24657" xr:uid="{00000000-0005-0000-0000-0000F04D0000}"/>
    <cellStyle name="40% - Accent6 11 2 3 2 2 3 2" xfId="48490" xr:uid="{2D7E2AB7-26D3-486F-823D-06D457443A7F}"/>
    <cellStyle name="40% - Accent6 11 2 3 2 2 4" xfId="32613" xr:uid="{63ADD42F-9CB3-4C21-9FB3-A72682BD9E85}"/>
    <cellStyle name="40% - Accent6 11 2 3 2 3" xfId="13173" xr:uid="{00000000-0005-0000-0000-0000F14D0000}"/>
    <cellStyle name="40% - Accent6 11 2 3 2 3 2" xfId="37023" xr:uid="{8711B3F6-D5D0-4FCD-880F-EA28633A8FC0}"/>
    <cellStyle name="40% - Accent6 11 2 3 2 4" xfId="21128" xr:uid="{00000000-0005-0000-0000-0000F24D0000}"/>
    <cellStyle name="40% - Accent6 11 2 3 2 4 2" xfId="44961" xr:uid="{993DC123-1F7F-484B-B763-359C20A9E8F6}"/>
    <cellStyle name="40% - Accent6 11 2 3 2 5" xfId="29082" xr:uid="{7B0BE791-25F4-416D-8CC5-4BE1A43ED912}"/>
    <cellStyle name="40% - Accent6 11 2 3 3" xfId="6981" xr:uid="{00000000-0005-0000-0000-0000F34D0000}"/>
    <cellStyle name="40% - Accent6 11 2 3 3 2" xfId="14953" xr:uid="{00000000-0005-0000-0000-0000F44D0000}"/>
    <cellStyle name="40% - Accent6 11 2 3 3 2 2" xfId="38796" xr:uid="{AFDD3730-7D0F-4D5E-A9FA-83E9A70DC099}"/>
    <cellStyle name="40% - Accent6 11 2 3 3 3" xfId="22900" xr:uid="{00000000-0005-0000-0000-0000F54D0000}"/>
    <cellStyle name="40% - Accent6 11 2 3 3 3 2" xfId="46733" xr:uid="{C750590E-DCBF-4923-AC27-C2CA80180AEF}"/>
    <cellStyle name="40% - Accent6 11 2 3 3 4" xfId="30855" xr:uid="{6888A365-A42F-4282-867B-8E1E6DF2D991}"/>
    <cellStyle name="40% - Accent6 11 2 3 4" xfId="11417" xr:uid="{00000000-0005-0000-0000-0000F64D0000}"/>
    <cellStyle name="40% - Accent6 11 2 3 4 2" xfId="35267" xr:uid="{AE758203-C690-42C2-8252-35E03428F465}"/>
    <cellStyle name="40% - Accent6 11 2 3 5" xfId="19372" xr:uid="{00000000-0005-0000-0000-0000F74D0000}"/>
    <cellStyle name="40% - Accent6 11 2 3 5 2" xfId="43205" xr:uid="{DF538288-E7D4-4140-892B-2FE94F5FE160}"/>
    <cellStyle name="40% - Accent6 11 2 3 6" xfId="27325" xr:uid="{8D8966B6-D2BB-40B1-8A34-FA65E52ECE7E}"/>
    <cellStyle name="40% - Accent6 11 2 3_Exh G" xfId="3317" xr:uid="{00000000-0005-0000-0000-0000F84D0000}"/>
    <cellStyle name="40% - Accent6 11 2 4" xfId="4270" xr:uid="{00000000-0005-0000-0000-0000F94D0000}"/>
    <cellStyle name="40% - Accent6 11 2 4 2" xfId="7862" xr:uid="{00000000-0005-0000-0000-0000FA4D0000}"/>
    <cellStyle name="40% - Accent6 11 2 4 2 2" xfId="15833" xr:uid="{00000000-0005-0000-0000-0000FB4D0000}"/>
    <cellStyle name="40% - Accent6 11 2 4 2 2 2" xfId="39676" xr:uid="{76D07E3E-F5EA-432C-98C9-84ABBA944496}"/>
    <cellStyle name="40% - Accent6 11 2 4 2 3" xfId="23779" xr:uid="{00000000-0005-0000-0000-0000FC4D0000}"/>
    <cellStyle name="40% - Accent6 11 2 4 2 3 2" xfId="47612" xr:uid="{6E20F50D-BB89-4CB5-A515-3E596E3B157E}"/>
    <cellStyle name="40% - Accent6 11 2 4 2 4" xfId="31735" xr:uid="{44170964-D4D3-4046-BC54-68BD6698D3AC}"/>
    <cellStyle name="40% - Accent6 11 2 4 3" xfId="12295" xr:uid="{00000000-0005-0000-0000-0000FD4D0000}"/>
    <cellStyle name="40% - Accent6 11 2 4 3 2" xfId="36145" xr:uid="{73D2A1F5-A638-4168-8E8D-801A54EEE91A}"/>
    <cellStyle name="40% - Accent6 11 2 4 4" xfId="20250" xr:uid="{00000000-0005-0000-0000-0000FE4D0000}"/>
    <cellStyle name="40% - Accent6 11 2 4 4 2" xfId="44083" xr:uid="{6DC24B3D-0EFE-4938-A038-B708DA3E1921}"/>
    <cellStyle name="40% - Accent6 11 2 4 5" xfId="28204" xr:uid="{AC656167-33BE-4E78-B478-AD2402F75BB3}"/>
    <cellStyle name="40% - Accent6 11 2 5" xfId="6090" xr:uid="{00000000-0005-0000-0000-0000FF4D0000}"/>
    <cellStyle name="40% - Accent6 11 2 5 2" xfId="14074" xr:uid="{00000000-0005-0000-0000-0000004E0000}"/>
    <cellStyle name="40% - Accent6 11 2 5 2 2" xfId="37918" xr:uid="{455B329F-8756-487A-AB64-3391E33C2F9F}"/>
    <cellStyle name="40% - Accent6 11 2 5 3" xfId="22022" xr:uid="{00000000-0005-0000-0000-0000014E0000}"/>
    <cellStyle name="40% - Accent6 11 2 5 3 2" xfId="45855" xr:uid="{DFD251B3-ABA9-42DA-97FF-5632A953EC16}"/>
    <cellStyle name="40% - Accent6 11 2 5 4" xfId="29977" xr:uid="{BCEBAA53-FBEC-4D66-8843-0502CD3CFD36}"/>
    <cellStyle name="40% - Accent6 11 2 6" xfId="9643" xr:uid="{00000000-0005-0000-0000-0000024E0000}"/>
    <cellStyle name="40% - Accent6 11 2 6 2" xfId="17601" xr:uid="{00000000-0005-0000-0000-0000034E0000}"/>
    <cellStyle name="40% - Accent6 11 2 6 2 2" xfId="41442" xr:uid="{CFCFC146-C6FF-4CFC-9D18-44566FBABC2C}"/>
    <cellStyle name="40% - Accent6 11 2 6 3" xfId="25545" xr:uid="{00000000-0005-0000-0000-0000044E0000}"/>
    <cellStyle name="40% - Accent6 11 2 6 3 2" xfId="49378" xr:uid="{A342492A-B15B-48F1-B0D7-6323B0D77084}"/>
    <cellStyle name="40% - Accent6 11 2 6 4" xfId="33501" xr:uid="{B1EC1D90-8D1A-4346-BD93-C7B046702672}"/>
    <cellStyle name="40% - Accent6 11 2 7" xfId="10539" xr:uid="{00000000-0005-0000-0000-0000054E0000}"/>
    <cellStyle name="40% - Accent6 11 2 7 2" xfId="34389" xr:uid="{489C1EF3-0444-4831-A500-0EF4F38E0F60}"/>
    <cellStyle name="40% - Accent6 11 2 8" xfId="18494" xr:uid="{00000000-0005-0000-0000-0000064E0000}"/>
    <cellStyle name="40% - Accent6 11 2 8 2" xfId="42327" xr:uid="{EFAA89E6-C72A-490C-8432-0B999A2AC7CB}"/>
    <cellStyle name="40% - Accent6 11 2 9" xfId="26447" xr:uid="{36D9E933-DF63-48F2-9398-B3087D7EF80D}"/>
    <cellStyle name="40% - Accent6 11 2_Exh G" xfId="3314" xr:uid="{00000000-0005-0000-0000-0000074E0000}"/>
    <cellStyle name="40% - Accent6 11 3" xfId="593" xr:uid="{00000000-0005-0000-0000-0000084E0000}"/>
    <cellStyle name="40% - Accent6 11 3 2" xfId="1621" xr:uid="{00000000-0005-0000-0000-0000094E0000}"/>
    <cellStyle name="40% - Accent6 11 3 2 2" xfId="5151" xr:uid="{00000000-0005-0000-0000-00000A4E0000}"/>
    <cellStyle name="40% - Accent6 11 3 2 2 2" xfId="8742" xr:uid="{00000000-0005-0000-0000-00000B4E0000}"/>
    <cellStyle name="40% - Accent6 11 3 2 2 2 2" xfId="16713" xr:uid="{00000000-0005-0000-0000-00000C4E0000}"/>
    <cellStyle name="40% - Accent6 11 3 2 2 2 2 2" xfId="40556" xr:uid="{4DB18539-1ED3-442E-B05B-42CD4E62CBCF}"/>
    <cellStyle name="40% - Accent6 11 3 2 2 2 3" xfId="24659" xr:uid="{00000000-0005-0000-0000-00000D4E0000}"/>
    <cellStyle name="40% - Accent6 11 3 2 2 2 3 2" xfId="48492" xr:uid="{46810ED8-DF6A-46C2-80E0-04AAEDABDCFF}"/>
    <cellStyle name="40% - Accent6 11 3 2 2 2 4" xfId="32615" xr:uid="{3B7CE559-6CD2-4D31-A96A-11361D4E425A}"/>
    <cellStyle name="40% - Accent6 11 3 2 2 3" xfId="13175" xr:uid="{00000000-0005-0000-0000-00000E4E0000}"/>
    <cellStyle name="40% - Accent6 11 3 2 2 3 2" xfId="37025" xr:uid="{9D736D82-D9F1-46E9-ACBB-39D1CDE0CEE9}"/>
    <cellStyle name="40% - Accent6 11 3 2 2 4" xfId="21130" xr:uid="{00000000-0005-0000-0000-00000F4E0000}"/>
    <cellStyle name="40% - Accent6 11 3 2 2 4 2" xfId="44963" xr:uid="{6089CA90-E8AE-452D-8C60-E153B0151720}"/>
    <cellStyle name="40% - Accent6 11 3 2 2 5" xfId="29084" xr:uid="{C44A14E9-F150-439F-A481-7DA456D5DE34}"/>
    <cellStyle name="40% - Accent6 11 3 2 3" xfId="6983" xr:uid="{00000000-0005-0000-0000-0000104E0000}"/>
    <cellStyle name="40% - Accent6 11 3 2 3 2" xfId="14955" xr:uid="{00000000-0005-0000-0000-0000114E0000}"/>
    <cellStyle name="40% - Accent6 11 3 2 3 2 2" xfId="38798" xr:uid="{C2A7BC0A-B07D-4013-81E6-3805B43FB611}"/>
    <cellStyle name="40% - Accent6 11 3 2 3 3" xfId="22902" xr:uid="{00000000-0005-0000-0000-0000124E0000}"/>
    <cellStyle name="40% - Accent6 11 3 2 3 3 2" xfId="46735" xr:uid="{C4087560-86C9-4E8A-82FC-FDF7095AB49D}"/>
    <cellStyle name="40% - Accent6 11 3 2 3 4" xfId="30857" xr:uid="{357385A2-37A3-4069-A251-A684A2CCA466}"/>
    <cellStyle name="40% - Accent6 11 3 2 4" xfId="11419" xr:uid="{00000000-0005-0000-0000-0000134E0000}"/>
    <cellStyle name="40% - Accent6 11 3 2 4 2" xfId="35269" xr:uid="{759F7AFA-EAB7-4F98-BAD2-85A764BAC2D1}"/>
    <cellStyle name="40% - Accent6 11 3 2 5" xfId="19374" xr:uid="{00000000-0005-0000-0000-0000144E0000}"/>
    <cellStyle name="40% - Accent6 11 3 2 5 2" xfId="43207" xr:uid="{55A35217-4C1F-4995-8C93-E8E7171B5BC2}"/>
    <cellStyle name="40% - Accent6 11 3 2 6" xfId="27327" xr:uid="{99A45488-0C24-46B7-9364-E455B6CF897F}"/>
    <cellStyle name="40% - Accent6 11 3 2_Exh G" xfId="3319" xr:uid="{00000000-0005-0000-0000-0000154E0000}"/>
    <cellStyle name="40% - Accent6 11 3 3" xfId="4272" xr:uid="{00000000-0005-0000-0000-0000164E0000}"/>
    <cellStyle name="40% - Accent6 11 3 3 2" xfId="7864" xr:uid="{00000000-0005-0000-0000-0000174E0000}"/>
    <cellStyle name="40% - Accent6 11 3 3 2 2" xfId="15835" xr:uid="{00000000-0005-0000-0000-0000184E0000}"/>
    <cellStyle name="40% - Accent6 11 3 3 2 2 2" xfId="39678" xr:uid="{7FA81BFB-D2D2-46F6-8F7A-10B3BED8FB97}"/>
    <cellStyle name="40% - Accent6 11 3 3 2 3" xfId="23781" xr:uid="{00000000-0005-0000-0000-0000194E0000}"/>
    <cellStyle name="40% - Accent6 11 3 3 2 3 2" xfId="47614" xr:uid="{F7533613-787D-48DD-9B32-F4D596D1A63F}"/>
    <cellStyle name="40% - Accent6 11 3 3 2 4" xfId="31737" xr:uid="{AD0C754A-5D28-4A39-8012-44CF738302A7}"/>
    <cellStyle name="40% - Accent6 11 3 3 3" xfId="12297" xr:uid="{00000000-0005-0000-0000-00001A4E0000}"/>
    <cellStyle name="40% - Accent6 11 3 3 3 2" xfId="36147" xr:uid="{3750AEF8-C6C0-4C55-941C-81EDFAA2EB12}"/>
    <cellStyle name="40% - Accent6 11 3 3 4" xfId="20252" xr:uid="{00000000-0005-0000-0000-00001B4E0000}"/>
    <cellStyle name="40% - Accent6 11 3 3 4 2" xfId="44085" xr:uid="{ACA4A2DF-1245-45C1-AB0C-EAAB408A25D7}"/>
    <cellStyle name="40% - Accent6 11 3 3 5" xfId="28206" xr:uid="{B99D9FF5-3D81-41D7-ADAA-49DED2B61DF9}"/>
    <cellStyle name="40% - Accent6 11 3 4" xfId="6092" xr:uid="{00000000-0005-0000-0000-00001C4E0000}"/>
    <cellStyle name="40% - Accent6 11 3 4 2" xfId="14076" xr:uid="{00000000-0005-0000-0000-00001D4E0000}"/>
    <cellStyle name="40% - Accent6 11 3 4 2 2" xfId="37920" xr:uid="{43315198-E63C-4EEA-901D-8AECC7701FFA}"/>
    <cellStyle name="40% - Accent6 11 3 4 3" xfId="22024" xr:uid="{00000000-0005-0000-0000-00001E4E0000}"/>
    <cellStyle name="40% - Accent6 11 3 4 3 2" xfId="45857" xr:uid="{2148B695-2A2B-42BE-A51C-CB4225ECD44D}"/>
    <cellStyle name="40% - Accent6 11 3 4 4" xfId="29979" xr:uid="{55914546-7111-4651-BEFB-CB73B69DC962}"/>
    <cellStyle name="40% - Accent6 11 3 5" xfId="9645" xr:uid="{00000000-0005-0000-0000-00001F4E0000}"/>
    <cellStyle name="40% - Accent6 11 3 5 2" xfId="17603" xr:uid="{00000000-0005-0000-0000-0000204E0000}"/>
    <cellStyle name="40% - Accent6 11 3 5 2 2" xfId="41444" xr:uid="{3BD550AA-1334-47A0-AE64-91D4AF7A8E15}"/>
    <cellStyle name="40% - Accent6 11 3 5 3" xfId="25547" xr:uid="{00000000-0005-0000-0000-0000214E0000}"/>
    <cellStyle name="40% - Accent6 11 3 5 3 2" xfId="49380" xr:uid="{46B45D6F-5E71-4F01-9921-D58D24C3426E}"/>
    <cellStyle name="40% - Accent6 11 3 5 4" xfId="33503" xr:uid="{ABEEA01B-6FAE-43AB-9D16-BE9FBECD96E1}"/>
    <cellStyle name="40% - Accent6 11 3 6" xfId="10541" xr:uid="{00000000-0005-0000-0000-0000224E0000}"/>
    <cellStyle name="40% - Accent6 11 3 6 2" xfId="34391" xr:uid="{DE6C507F-E39B-4CA2-9E71-DDC1FA8D1B4D}"/>
    <cellStyle name="40% - Accent6 11 3 7" xfId="18496" xr:uid="{00000000-0005-0000-0000-0000234E0000}"/>
    <cellStyle name="40% - Accent6 11 3 7 2" xfId="42329" xr:uid="{803372EB-9501-4212-B2FB-CE3F5E16FC5B}"/>
    <cellStyle name="40% - Accent6 11 3 8" xfId="26449" xr:uid="{0DD8FB62-EE63-489B-BAA6-227C788B1AC5}"/>
    <cellStyle name="40% - Accent6 11 3_Exh G" xfId="3318" xr:uid="{00000000-0005-0000-0000-0000244E0000}"/>
    <cellStyle name="40% - Accent6 11 4" xfId="1618" xr:uid="{00000000-0005-0000-0000-0000254E0000}"/>
    <cellStyle name="40% - Accent6 11 4 2" xfId="5148" xr:uid="{00000000-0005-0000-0000-0000264E0000}"/>
    <cellStyle name="40% - Accent6 11 4 2 2" xfId="8739" xr:uid="{00000000-0005-0000-0000-0000274E0000}"/>
    <cellStyle name="40% - Accent6 11 4 2 2 2" xfId="16710" xr:uid="{00000000-0005-0000-0000-0000284E0000}"/>
    <cellStyle name="40% - Accent6 11 4 2 2 2 2" xfId="40553" xr:uid="{696B0F06-2263-4974-820E-0D53C62326E7}"/>
    <cellStyle name="40% - Accent6 11 4 2 2 3" xfId="24656" xr:uid="{00000000-0005-0000-0000-0000294E0000}"/>
    <cellStyle name="40% - Accent6 11 4 2 2 3 2" xfId="48489" xr:uid="{01A03CA7-87DB-4162-A019-FF4768B5A114}"/>
    <cellStyle name="40% - Accent6 11 4 2 2 4" xfId="32612" xr:uid="{C89F8E62-1AF1-49AB-9147-076BAED31278}"/>
    <cellStyle name="40% - Accent6 11 4 2 3" xfId="13172" xr:uid="{00000000-0005-0000-0000-00002A4E0000}"/>
    <cellStyle name="40% - Accent6 11 4 2 3 2" xfId="37022" xr:uid="{51445915-73D6-4226-9B9F-840F6F336012}"/>
    <cellStyle name="40% - Accent6 11 4 2 4" xfId="21127" xr:uid="{00000000-0005-0000-0000-00002B4E0000}"/>
    <cellStyle name="40% - Accent6 11 4 2 4 2" xfId="44960" xr:uid="{252AC84A-7435-4318-BAC2-F13C8D34EC61}"/>
    <cellStyle name="40% - Accent6 11 4 2 5" xfId="29081" xr:uid="{24777F3A-80A5-47B6-AFA6-FF281E4CFCD0}"/>
    <cellStyle name="40% - Accent6 11 4 3" xfId="6980" xr:uid="{00000000-0005-0000-0000-00002C4E0000}"/>
    <cellStyle name="40% - Accent6 11 4 3 2" xfId="14952" xr:uid="{00000000-0005-0000-0000-00002D4E0000}"/>
    <cellStyle name="40% - Accent6 11 4 3 2 2" xfId="38795" xr:uid="{45004ADF-3B4C-49B6-AC31-5C35A941BC9D}"/>
    <cellStyle name="40% - Accent6 11 4 3 3" xfId="22899" xr:uid="{00000000-0005-0000-0000-00002E4E0000}"/>
    <cellStyle name="40% - Accent6 11 4 3 3 2" xfId="46732" xr:uid="{6C9683B1-8FC9-43BB-9C05-AE01D9266F6E}"/>
    <cellStyle name="40% - Accent6 11 4 3 4" xfId="30854" xr:uid="{2D94B5E9-E4CA-4842-9BCB-4A120CD792C8}"/>
    <cellStyle name="40% - Accent6 11 4 4" xfId="11416" xr:uid="{00000000-0005-0000-0000-00002F4E0000}"/>
    <cellStyle name="40% - Accent6 11 4 4 2" xfId="35266" xr:uid="{FC5C1E47-7BB2-49D4-A3D0-D5F60819A92B}"/>
    <cellStyle name="40% - Accent6 11 4 5" xfId="19371" xr:uid="{00000000-0005-0000-0000-0000304E0000}"/>
    <cellStyle name="40% - Accent6 11 4 5 2" xfId="43204" xr:uid="{E2628E14-2B86-4E63-BF0F-D95426E69D3C}"/>
    <cellStyle name="40% - Accent6 11 4 6" xfId="27324" xr:uid="{62A5A8B7-D09D-40AD-A05F-7853C8C3751B}"/>
    <cellStyle name="40% - Accent6 11 4_Exh G" xfId="3320" xr:uid="{00000000-0005-0000-0000-0000314E0000}"/>
    <cellStyle name="40% - Accent6 11 5" xfId="4269" xr:uid="{00000000-0005-0000-0000-0000324E0000}"/>
    <cellStyle name="40% - Accent6 11 5 2" xfId="7861" xr:uid="{00000000-0005-0000-0000-0000334E0000}"/>
    <cellStyle name="40% - Accent6 11 5 2 2" xfId="15832" xr:uid="{00000000-0005-0000-0000-0000344E0000}"/>
    <cellStyle name="40% - Accent6 11 5 2 2 2" xfId="39675" xr:uid="{E88FE910-F19B-42A7-975E-C790BCA2F2D3}"/>
    <cellStyle name="40% - Accent6 11 5 2 3" xfId="23778" xr:uid="{00000000-0005-0000-0000-0000354E0000}"/>
    <cellStyle name="40% - Accent6 11 5 2 3 2" xfId="47611" xr:uid="{5C4A288D-7A6A-4FFA-8AD5-382C02C1C98F}"/>
    <cellStyle name="40% - Accent6 11 5 2 4" xfId="31734" xr:uid="{EC47CDCC-63FD-4415-9A92-1967502E2EE8}"/>
    <cellStyle name="40% - Accent6 11 5 3" xfId="12294" xr:uid="{00000000-0005-0000-0000-0000364E0000}"/>
    <cellStyle name="40% - Accent6 11 5 3 2" xfId="36144" xr:uid="{6C09CCA7-6EB9-4871-8FD3-0FE7D0A3AD63}"/>
    <cellStyle name="40% - Accent6 11 5 4" xfId="20249" xr:uid="{00000000-0005-0000-0000-0000374E0000}"/>
    <cellStyle name="40% - Accent6 11 5 4 2" xfId="44082" xr:uid="{9FBA9EB3-6C32-4D28-B7D5-3EBA29991034}"/>
    <cellStyle name="40% - Accent6 11 5 5" xfId="28203" xr:uid="{D75D7011-24F6-48DC-921D-A33BB46DAC1D}"/>
    <cellStyle name="40% - Accent6 11 6" xfId="6089" xr:uid="{00000000-0005-0000-0000-0000384E0000}"/>
    <cellStyle name="40% - Accent6 11 6 2" xfId="14073" xr:uid="{00000000-0005-0000-0000-0000394E0000}"/>
    <cellStyle name="40% - Accent6 11 6 2 2" xfId="37917" xr:uid="{1E3396C9-F950-49C9-BFD3-24B5E48354F7}"/>
    <cellStyle name="40% - Accent6 11 6 3" xfId="22021" xr:uid="{00000000-0005-0000-0000-00003A4E0000}"/>
    <cellStyle name="40% - Accent6 11 6 3 2" xfId="45854" xr:uid="{DA1DF59F-1A1B-48F8-B84E-48AC73482200}"/>
    <cellStyle name="40% - Accent6 11 6 4" xfId="29976" xr:uid="{DAE70194-7C88-4DDF-B07B-913A55D04E0D}"/>
    <cellStyle name="40% - Accent6 11 7" xfId="9642" xr:uid="{00000000-0005-0000-0000-00003B4E0000}"/>
    <cellStyle name="40% - Accent6 11 7 2" xfId="17600" xr:uid="{00000000-0005-0000-0000-00003C4E0000}"/>
    <cellStyle name="40% - Accent6 11 7 2 2" xfId="41441" xr:uid="{3F008CEA-A3BC-47A8-8224-3B4BC80FFE85}"/>
    <cellStyle name="40% - Accent6 11 7 3" xfId="25544" xr:uid="{00000000-0005-0000-0000-00003D4E0000}"/>
    <cellStyle name="40% - Accent6 11 7 3 2" xfId="49377" xr:uid="{AA452C3E-D462-4A49-AFC2-A5D000B28027}"/>
    <cellStyle name="40% - Accent6 11 7 4" xfId="33500" xr:uid="{154529C9-3383-4041-B8D4-928E71B6DDBA}"/>
    <cellStyle name="40% - Accent6 11 8" xfId="10538" xr:uid="{00000000-0005-0000-0000-00003E4E0000}"/>
    <cellStyle name="40% - Accent6 11 8 2" xfId="34388" xr:uid="{CD06679E-49EC-42E4-B5A7-2A4858135C8E}"/>
    <cellStyle name="40% - Accent6 11 9" xfId="18493" xr:uid="{00000000-0005-0000-0000-00003F4E0000}"/>
    <cellStyle name="40% - Accent6 11 9 2" xfId="42326" xr:uid="{AA2EA53C-4866-41EA-B468-134DC39CA57A}"/>
    <cellStyle name="40% - Accent6 11_Exh G" xfId="3313" xr:uid="{00000000-0005-0000-0000-0000404E0000}"/>
    <cellStyle name="40% - Accent6 12" xfId="594" xr:uid="{00000000-0005-0000-0000-0000414E0000}"/>
    <cellStyle name="40% - Accent6 12 10" xfId="26450" xr:uid="{838669D4-E039-426D-BB80-31960C534BE0}"/>
    <cellStyle name="40% - Accent6 12 2" xfId="595" xr:uid="{00000000-0005-0000-0000-0000424E0000}"/>
    <cellStyle name="40% - Accent6 12 2 2" xfId="596" xr:uid="{00000000-0005-0000-0000-0000434E0000}"/>
    <cellStyle name="40% - Accent6 12 2 2 2" xfId="1624" xr:uid="{00000000-0005-0000-0000-0000444E0000}"/>
    <cellStyle name="40% - Accent6 12 2 2 2 2" xfId="5154" xr:uid="{00000000-0005-0000-0000-0000454E0000}"/>
    <cellStyle name="40% - Accent6 12 2 2 2 2 2" xfId="8745" xr:uid="{00000000-0005-0000-0000-0000464E0000}"/>
    <cellStyle name="40% - Accent6 12 2 2 2 2 2 2" xfId="16716" xr:uid="{00000000-0005-0000-0000-0000474E0000}"/>
    <cellStyle name="40% - Accent6 12 2 2 2 2 2 2 2" xfId="40559" xr:uid="{C903B7D4-DD60-4FCF-9811-117298C28414}"/>
    <cellStyle name="40% - Accent6 12 2 2 2 2 2 3" xfId="24662" xr:uid="{00000000-0005-0000-0000-0000484E0000}"/>
    <cellStyle name="40% - Accent6 12 2 2 2 2 2 3 2" xfId="48495" xr:uid="{F511C493-C576-4D17-8B64-EDD01764CF91}"/>
    <cellStyle name="40% - Accent6 12 2 2 2 2 2 4" xfId="32618" xr:uid="{8412EB2D-BA62-432E-8F06-B6522FAC5EBF}"/>
    <cellStyle name="40% - Accent6 12 2 2 2 2 3" xfId="13178" xr:uid="{00000000-0005-0000-0000-0000494E0000}"/>
    <cellStyle name="40% - Accent6 12 2 2 2 2 3 2" xfId="37028" xr:uid="{AD47CC54-959E-4F6B-808C-1A3E54ED4011}"/>
    <cellStyle name="40% - Accent6 12 2 2 2 2 4" xfId="21133" xr:uid="{00000000-0005-0000-0000-00004A4E0000}"/>
    <cellStyle name="40% - Accent6 12 2 2 2 2 4 2" xfId="44966" xr:uid="{929AABBE-1A0D-453F-A78C-5FF01F6472D9}"/>
    <cellStyle name="40% - Accent6 12 2 2 2 2 5" xfId="29087" xr:uid="{771EC530-3D90-4513-8969-CFE89C55B1B4}"/>
    <cellStyle name="40% - Accent6 12 2 2 2 3" xfId="6986" xr:uid="{00000000-0005-0000-0000-00004B4E0000}"/>
    <cellStyle name="40% - Accent6 12 2 2 2 3 2" xfId="14958" xr:uid="{00000000-0005-0000-0000-00004C4E0000}"/>
    <cellStyle name="40% - Accent6 12 2 2 2 3 2 2" xfId="38801" xr:uid="{CD32904B-188A-4D27-9697-0D2E225B1E90}"/>
    <cellStyle name="40% - Accent6 12 2 2 2 3 3" xfId="22905" xr:uid="{00000000-0005-0000-0000-00004D4E0000}"/>
    <cellStyle name="40% - Accent6 12 2 2 2 3 3 2" xfId="46738" xr:uid="{1AA49533-1F92-4A79-90BE-25258EB4CA8C}"/>
    <cellStyle name="40% - Accent6 12 2 2 2 3 4" xfId="30860" xr:uid="{5B38EC1B-FE48-4EAA-A6AA-57F6EC2866EA}"/>
    <cellStyle name="40% - Accent6 12 2 2 2 4" xfId="11422" xr:uid="{00000000-0005-0000-0000-00004E4E0000}"/>
    <cellStyle name="40% - Accent6 12 2 2 2 4 2" xfId="35272" xr:uid="{35271EDA-D142-46F7-BD2E-6B415A3489E2}"/>
    <cellStyle name="40% - Accent6 12 2 2 2 5" xfId="19377" xr:uid="{00000000-0005-0000-0000-00004F4E0000}"/>
    <cellStyle name="40% - Accent6 12 2 2 2 5 2" xfId="43210" xr:uid="{8ADF4032-F31B-42AE-832B-740BD195BD86}"/>
    <cellStyle name="40% - Accent6 12 2 2 2 6" xfId="27330" xr:uid="{79094F44-CB67-45E9-9143-CAFB296989B4}"/>
    <cellStyle name="40% - Accent6 12 2 2 2_Exh G" xfId="3324" xr:uid="{00000000-0005-0000-0000-0000504E0000}"/>
    <cellStyle name="40% - Accent6 12 2 2 3" xfId="4275" xr:uid="{00000000-0005-0000-0000-0000514E0000}"/>
    <cellStyle name="40% - Accent6 12 2 2 3 2" xfId="7867" xr:uid="{00000000-0005-0000-0000-0000524E0000}"/>
    <cellStyle name="40% - Accent6 12 2 2 3 2 2" xfId="15838" xr:uid="{00000000-0005-0000-0000-0000534E0000}"/>
    <cellStyle name="40% - Accent6 12 2 2 3 2 2 2" xfId="39681" xr:uid="{BC1B86D1-C84D-4C55-AB24-8B7C2B9EBA6A}"/>
    <cellStyle name="40% - Accent6 12 2 2 3 2 3" xfId="23784" xr:uid="{00000000-0005-0000-0000-0000544E0000}"/>
    <cellStyle name="40% - Accent6 12 2 2 3 2 3 2" xfId="47617" xr:uid="{C8175389-33AF-480A-8AD6-12DE91BC4FC3}"/>
    <cellStyle name="40% - Accent6 12 2 2 3 2 4" xfId="31740" xr:uid="{C912A2F6-97D2-43B7-B1A5-86E35230F411}"/>
    <cellStyle name="40% - Accent6 12 2 2 3 3" xfId="12300" xr:uid="{00000000-0005-0000-0000-0000554E0000}"/>
    <cellStyle name="40% - Accent6 12 2 2 3 3 2" xfId="36150" xr:uid="{19B230C9-5277-411E-9FF9-5A9C4D2BD52B}"/>
    <cellStyle name="40% - Accent6 12 2 2 3 4" xfId="20255" xr:uid="{00000000-0005-0000-0000-0000564E0000}"/>
    <cellStyle name="40% - Accent6 12 2 2 3 4 2" xfId="44088" xr:uid="{736BE086-2DD1-4EE6-A8B3-968CCC9AE958}"/>
    <cellStyle name="40% - Accent6 12 2 2 3 5" xfId="28209" xr:uid="{DAFB93FC-AC47-4189-A0B4-1CFE6DBAF831}"/>
    <cellStyle name="40% - Accent6 12 2 2 4" xfId="6095" xr:uid="{00000000-0005-0000-0000-0000574E0000}"/>
    <cellStyle name="40% - Accent6 12 2 2 4 2" xfId="14079" xr:uid="{00000000-0005-0000-0000-0000584E0000}"/>
    <cellStyle name="40% - Accent6 12 2 2 4 2 2" xfId="37923" xr:uid="{1AD9F2F7-98F1-4DDA-8915-936AE89552EF}"/>
    <cellStyle name="40% - Accent6 12 2 2 4 3" xfId="22027" xr:uid="{00000000-0005-0000-0000-0000594E0000}"/>
    <cellStyle name="40% - Accent6 12 2 2 4 3 2" xfId="45860" xr:uid="{CD130710-E485-4C9F-80E0-B9D14471B363}"/>
    <cellStyle name="40% - Accent6 12 2 2 4 4" xfId="29982" xr:uid="{A7364623-9903-4E9C-9E72-316A00CE1A7B}"/>
    <cellStyle name="40% - Accent6 12 2 2 5" xfId="9648" xr:uid="{00000000-0005-0000-0000-00005A4E0000}"/>
    <cellStyle name="40% - Accent6 12 2 2 5 2" xfId="17606" xr:uid="{00000000-0005-0000-0000-00005B4E0000}"/>
    <cellStyle name="40% - Accent6 12 2 2 5 2 2" xfId="41447" xr:uid="{7ED82BA8-2756-4793-BD82-135723B5E63F}"/>
    <cellStyle name="40% - Accent6 12 2 2 5 3" xfId="25550" xr:uid="{00000000-0005-0000-0000-00005C4E0000}"/>
    <cellStyle name="40% - Accent6 12 2 2 5 3 2" xfId="49383" xr:uid="{C0BE43A8-4B9D-4B72-84E9-5B3E4E0DAE60}"/>
    <cellStyle name="40% - Accent6 12 2 2 5 4" xfId="33506" xr:uid="{D930F811-ECF1-4294-A516-048AE53C6165}"/>
    <cellStyle name="40% - Accent6 12 2 2 6" xfId="10544" xr:uid="{00000000-0005-0000-0000-00005D4E0000}"/>
    <cellStyle name="40% - Accent6 12 2 2 6 2" xfId="34394" xr:uid="{1174482C-47D5-4649-BAB5-383F9277FA94}"/>
    <cellStyle name="40% - Accent6 12 2 2 7" xfId="18499" xr:uid="{00000000-0005-0000-0000-00005E4E0000}"/>
    <cellStyle name="40% - Accent6 12 2 2 7 2" xfId="42332" xr:uid="{FC14F1FD-9B91-45B9-9A62-78B16EFFC07F}"/>
    <cellStyle name="40% - Accent6 12 2 2 8" xfId="26452" xr:uid="{60B79F44-A83B-4DD8-A850-900A3A2E9D42}"/>
    <cellStyle name="40% - Accent6 12 2 2_Exh G" xfId="3323" xr:uid="{00000000-0005-0000-0000-00005F4E0000}"/>
    <cellStyle name="40% - Accent6 12 2 3" xfId="1623" xr:uid="{00000000-0005-0000-0000-0000604E0000}"/>
    <cellStyle name="40% - Accent6 12 2 3 2" xfId="5153" xr:uid="{00000000-0005-0000-0000-0000614E0000}"/>
    <cellStyle name="40% - Accent6 12 2 3 2 2" xfId="8744" xr:uid="{00000000-0005-0000-0000-0000624E0000}"/>
    <cellStyle name="40% - Accent6 12 2 3 2 2 2" xfId="16715" xr:uid="{00000000-0005-0000-0000-0000634E0000}"/>
    <cellStyle name="40% - Accent6 12 2 3 2 2 2 2" xfId="40558" xr:uid="{6AA8C190-2301-4189-AEAE-416B2CC0BF4D}"/>
    <cellStyle name="40% - Accent6 12 2 3 2 2 3" xfId="24661" xr:uid="{00000000-0005-0000-0000-0000644E0000}"/>
    <cellStyle name="40% - Accent6 12 2 3 2 2 3 2" xfId="48494" xr:uid="{D4218ACF-C178-4416-BA0F-3E4FDB8B7FD5}"/>
    <cellStyle name="40% - Accent6 12 2 3 2 2 4" xfId="32617" xr:uid="{CAEACF78-B1FC-4C0A-9529-909CC50BF87C}"/>
    <cellStyle name="40% - Accent6 12 2 3 2 3" xfId="13177" xr:uid="{00000000-0005-0000-0000-0000654E0000}"/>
    <cellStyle name="40% - Accent6 12 2 3 2 3 2" xfId="37027" xr:uid="{67DFA8D8-C22A-49AD-9D02-D5B5CA85E025}"/>
    <cellStyle name="40% - Accent6 12 2 3 2 4" xfId="21132" xr:uid="{00000000-0005-0000-0000-0000664E0000}"/>
    <cellStyle name="40% - Accent6 12 2 3 2 4 2" xfId="44965" xr:uid="{A80DBBBA-125D-4A20-BAEE-D3A40BDDFDC6}"/>
    <cellStyle name="40% - Accent6 12 2 3 2 5" xfId="29086" xr:uid="{334AB455-0E2D-4272-B379-2F3F5442779D}"/>
    <cellStyle name="40% - Accent6 12 2 3 3" xfId="6985" xr:uid="{00000000-0005-0000-0000-0000674E0000}"/>
    <cellStyle name="40% - Accent6 12 2 3 3 2" xfId="14957" xr:uid="{00000000-0005-0000-0000-0000684E0000}"/>
    <cellStyle name="40% - Accent6 12 2 3 3 2 2" xfId="38800" xr:uid="{EDD819BD-2BD2-4921-A1AF-BE59629EBEF1}"/>
    <cellStyle name="40% - Accent6 12 2 3 3 3" xfId="22904" xr:uid="{00000000-0005-0000-0000-0000694E0000}"/>
    <cellStyle name="40% - Accent6 12 2 3 3 3 2" xfId="46737" xr:uid="{32CB583D-FE73-42A8-9095-97C41787B343}"/>
    <cellStyle name="40% - Accent6 12 2 3 3 4" xfId="30859" xr:uid="{56F2F341-F1D0-496D-8AC4-0481B8E0D3FF}"/>
    <cellStyle name="40% - Accent6 12 2 3 4" xfId="11421" xr:uid="{00000000-0005-0000-0000-00006A4E0000}"/>
    <cellStyle name="40% - Accent6 12 2 3 4 2" xfId="35271" xr:uid="{B23016A5-D426-4EC6-BB9E-7C72E445A1B9}"/>
    <cellStyle name="40% - Accent6 12 2 3 5" xfId="19376" xr:uid="{00000000-0005-0000-0000-00006B4E0000}"/>
    <cellStyle name="40% - Accent6 12 2 3 5 2" xfId="43209" xr:uid="{1B259A7D-D47F-4844-9307-D1E849C543CE}"/>
    <cellStyle name="40% - Accent6 12 2 3 6" xfId="27329" xr:uid="{83338F7C-B3DF-415B-AD29-64896311A037}"/>
    <cellStyle name="40% - Accent6 12 2 3_Exh G" xfId="3325" xr:uid="{00000000-0005-0000-0000-00006C4E0000}"/>
    <cellStyle name="40% - Accent6 12 2 4" xfId="4274" xr:uid="{00000000-0005-0000-0000-00006D4E0000}"/>
    <cellStyle name="40% - Accent6 12 2 4 2" xfId="7866" xr:uid="{00000000-0005-0000-0000-00006E4E0000}"/>
    <cellStyle name="40% - Accent6 12 2 4 2 2" xfId="15837" xr:uid="{00000000-0005-0000-0000-00006F4E0000}"/>
    <cellStyle name="40% - Accent6 12 2 4 2 2 2" xfId="39680" xr:uid="{B604F74A-D90B-4653-A928-B54CABF76BFB}"/>
    <cellStyle name="40% - Accent6 12 2 4 2 3" xfId="23783" xr:uid="{00000000-0005-0000-0000-0000704E0000}"/>
    <cellStyle name="40% - Accent6 12 2 4 2 3 2" xfId="47616" xr:uid="{AB26A4BE-08F4-4E49-9EAA-17CF0BD65471}"/>
    <cellStyle name="40% - Accent6 12 2 4 2 4" xfId="31739" xr:uid="{CCBC793D-B8E6-4479-937B-B01A7F943A51}"/>
    <cellStyle name="40% - Accent6 12 2 4 3" xfId="12299" xr:uid="{00000000-0005-0000-0000-0000714E0000}"/>
    <cellStyle name="40% - Accent6 12 2 4 3 2" xfId="36149" xr:uid="{C0BB5CBA-5BAB-4689-AE3A-BDC55BBEE174}"/>
    <cellStyle name="40% - Accent6 12 2 4 4" xfId="20254" xr:uid="{00000000-0005-0000-0000-0000724E0000}"/>
    <cellStyle name="40% - Accent6 12 2 4 4 2" xfId="44087" xr:uid="{DEEA99DA-371A-4EC7-B48A-1B395DAB1D9B}"/>
    <cellStyle name="40% - Accent6 12 2 4 5" xfId="28208" xr:uid="{460F1B8E-9C0C-48C5-88BF-EDBCEA1BA08B}"/>
    <cellStyle name="40% - Accent6 12 2 5" xfId="6094" xr:uid="{00000000-0005-0000-0000-0000734E0000}"/>
    <cellStyle name="40% - Accent6 12 2 5 2" xfId="14078" xr:uid="{00000000-0005-0000-0000-0000744E0000}"/>
    <cellStyle name="40% - Accent6 12 2 5 2 2" xfId="37922" xr:uid="{EDF6898F-808F-4A36-AA0B-55A7FC7F24F6}"/>
    <cellStyle name="40% - Accent6 12 2 5 3" xfId="22026" xr:uid="{00000000-0005-0000-0000-0000754E0000}"/>
    <cellStyle name="40% - Accent6 12 2 5 3 2" xfId="45859" xr:uid="{B700D6DF-EBCD-45AD-83FA-FD4EE37F9F80}"/>
    <cellStyle name="40% - Accent6 12 2 5 4" xfId="29981" xr:uid="{6E6B8193-05AC-4B98-B314-605076D2FABB}"/>
    <cellStyle name="40% - Accent6 12 2 6" xfId="9647" xr:uid="{00000000-0005-0000-0000-0000764E0000}"/>
    <cellStyle name="40% - Accent6 12 2 6 2" xfId="17605" xr:uid="{00000000-0005-0000-0000-0000774E0000}"/>
    <cellStyle name="40% - Accent6 12 2 6 2 2" xfId="41446" xr:uid="{D2F54594-532D-44AE-B952-ACA3927FC91B}"/>
    <cellStyle name="40% - Accent6 12 2 6 3" xfId="25549" xr:uid="{00000000-0005-0000-0000-0000784E0000}"/>
    <cellStyle name="40% - Accent6 12 2 6 3 2" xfId="49382" xr:uid="{2675CA8C-CDE2-423B-81C1-CB254A688ABD}"/>
    <cellStyle name="40% - Accent6 12 2 6 4" xfId="33505" xr:uid="{EE0C75CC-DEDB-4AF7-9151-16299E7FBD30}"/>
    <cellStyle name="40% - Accent6 12 2 7" xfId="10543" xr:uid="{00000000-0005-0000-0000-0000794E0000}"/>
    <cellStyle name="40% - Accent6 12 2 7 2" xfId="34393" xr:uid="{9BC2FC3F-6D65-4F56-8E5C-C99782D2F3CD}"/>
    <cellStyle name="40% - Accent6 12 2 8" xfId="18498" xr:uid="{00000000-0005-0000-0000-00007A4E0000}"/>
    <cellStyle name="40% - Accent6 12 2 8 2" xfId="42331" xr:uid="{7E45734B-7C15-4000-8652-55A7F1A35CD5}"/>
    <cellStyle name="40% - Accent6 12 2 9" xfId="26451" xr:uid="{779D421B-7213-48EC-805D-4F21AF7219A0}"/>
    <cellStyle name="40% - Accent6 12 2_Exh G" xfId="3322" xr:uid="{00000000-0005-0000-0000-00007B4E0000}"/>
    <cellStyle name="40% - Accent6 12 3" xfId="597" xr:uid="{00000000-0005-0000-0000-00007C4E0000}"/>
    <cellStyle name="40% - Accent6 12 3 2" xfId="1625" xr:uid="{00000000-0005-0000-0000-00007D4E0000}"/>
    <cellStyle name="40% - Accent6 12 3 2 2" xfId="5155" xr:uid="{00000000-0005-0000-0000-00007E4E0000}"/>
    <cellStyle name="40% - Accent6 12 3 2 2 2" xfId="8746" xr:uid="{00000000-0005-0000-0000-00007F4E0000}"/>
    <cellStyle name="40% - Accent6 12 3 2 2 2 2" xfId="16717" xr:uid="{00000000-0005-0000-0000-0000804E0000}"/>
    <cellStyle name="40% - Accent6 12 3 2 2 2 2 2" xfId="40560" xr:uid="{AF9F1937-D4C7-4CB5-B866-2A1741793F8C}"/>
    <cellStyle name="40% - Accent6 12 3 2 2 2 3" xfId="24663" xr:uid="{00000000-0005-0000-0000-0000814E0000}"/>
    <cellStyle name="40% - Accent6 12 3 2 2 2 3 2" xfId="48496" xr:uid="{B1B2E8C0-E977-4479-A96A-18B224F12F04}"/>
    <cellStyle name="40% - Accent6 12 3 2 2 2 4" xfId="32619" xr:uid="{DFA9E4F6-38DF-4A4B-9513-37DA84089FD9}"/>
    <cellStyle name="40% - Accent6 12 3 2 2 3" xfId="13179" xr:uid="{00000000-0005-0000-0000-0000824E0000}"/>
    <cellStyle name="40% - Accent6 12 3 2 2 3 2" xfId="37029" xr:uid="{88767EA5-EF8A-4209-ABC5-7A38C65DC1C1}"/>
    <cellStyle name="40% - Accent6 12 3 2 2 4" xfId="21134" xr:uid="{00000000-0005-0000-0000-0000834E0000}"/>
    <cellStyle name="40% - Accent6 12 3 2 2 4 2" xfId="44967" xr:uid="{B8187AA5-F9AC-45E2-9549-C583B4E498A9}"/>
    <cellStyle name="40% - Accent6 12 3 2 2 5" xfId="29088" xr:uid="{FC662CD0-3031-4637-9A41-234F72D75CB9}"/>
    <cellStyle name="40% - Accent6 12 3 2 3" xfId="6987" xr:uid="{00000000-0005-0000-0000-0000844E0000}"/>
    <cellStyle name="40% - Accent6 12 3 2 3 2" xfId="14959" xr:uid="{00000000-0005-0000-0000-0000854E0000}"/>
    <cellStyle name="40% - Accent6 12 3 2 3 2 2" xfId="38802" xr:uid="{37EB941C-8467-41B3-905F-A72CF357F9BE}"/>
    <cellStyle name="40% - Accent6 12 3 2 3 3" xfId="22906" xr:uid="{00000000-0005-0000-0000-0000864E0000}"/>
    <cellStyle name="40% - Accent6 12 3 2 3 3 2" xfId="46739" xr:uid="{22E938C8-083D-40BC-B871-0A4CF9F596E8}"/>
    <cellStyle name="40% - Accent6 12 3 2 3 4" xfId="30861" xr:uid="{BA22233D-45BC-4025-B991-30C03019589D}"/>
    <cellStyle name="40% - Accent6 12 3 2 4" xfId="11423" xr:uid="{00000000-0005-0000-0000-0000874E0000}"/>
    <cellStyle name="40% - Accent6 12 3 2 4 2" xfId="35273" xr:uid="{7BD8FB5F-521B-47A9-B5ED-124C8570CF6D}"/>
    <cellStyle name="40% - Accent6 12 3 2 5" xfId="19378" xr:uid="{00000000-0005-0000-0000-0000884E0000}"/>
    <cellStyle name="40% - Accent6 12 3 2 5 2" xfId="43211" xr:uid="{26F2FB4F-7F36-40A9-B306-68993E6512EC}"/>
    <cellStyle name="40% - Accent6 12 3 2 6" xfId="27331" xr:uid="{CC59A57A-B85E-4041-B73C-2A70B7841C52}"/>
    <cellStyle name="40% - Accent6 12 3 2_Exh G" xfId="3327" xr:uid="{00000000-0005-0000-0000-0000894E0000}"/>
    <cellStyle name="40% - Accent6 12 3 3" xfId="4276" xr:uid="{00000000-0005-0000-0000-00008A4E0000}"/>
    <cellStyle name="40% - Accent6 12 3 3 2" xfId="7868" xr:uid="{00000000-0005-0000-0000-00008B4E0000}"/>
    <cellStyle name="40% - Accent6 12 3 3 2 2" xfId="15839" xr:uid="{00000000-0005-0000-0000-00008C4E0000}"/>
    <cellStyle name="40% - Accent6 12 3 3 2 2 2" xfId="39682" xr:uid="{31963C68-E3B3-4D53-8394-1BD2ACDC1E29}"/>
    <cellStyle name="40% - Accent6 12 3 3 2 3" xfId="23785" xr:uid="{00000000-0005-0000-0000-00008D4E0000}"/>
    <cellStyle name="40% - Accent6 12 3 3 2 3 2" xfId="47618" xr:uid="{7D16B79A-C184-4060-AC4A-712741A557D4}"/>
    <cellStyle name="40% - Accent6 12 3 3 2 4" xfId="31741" xr:uid="{927A3AC6-5793-40D7-BBBF-55D4BCA2562A}"/>
    <cellStyle name="40% - Accent6 12 3 3 3" xfId="12301" xr:uid="{00000000-0005-0000-0000-00008E4E0000}"/>
    <cellStyle name="40% - Accent6 12 3 3 3 2" xfId="36151" xr:uid="{DFDAC0FE-A652-4BBC-BABA-5FFAE046DCA0}"/>
    <cellStyle name="40% - Accent6 12 3 3 4" xfId="20256" xr:uid="{00000000-0005-0000-0000-00008F4E0000}"/>
    <cellStyle name="40% - Accent6 12 3 3 4 2" xfId="44089" xr:uid="{BDF78CC8-7EAD-4A70-B38B-C9F9DB34D3D8}"/>
    <cellStyle name="40% - Accent6 12 3 3 5" xfId="28210" xr:uid="{C48F767F-1224-4CFB-9B5B-748913120676}"/>
    <cellStyle name="40% - Accent6 12 3 4" xfId="6096" xr:uid="{00000000-0005-0000-0000-0000904E0000}"/>
    <cellStyle name="40% - Accent6 12 3 4 2" xfId="14080" xr:uid="{00000000-0005-0000-0000-0000914E0000}"/>
    <cellStyle name="40% - Accent6 12 3 4 2 2" xfId="37924" xr:uid="{BEF52A95-35BA-4944-9AE4-645E833211DD}"/>
    <cellStyle name="40% - Accent6 12 3 4 3" xfId="22028" xr:uid="{00000000-0005-0000-0000-0000924E0000}"/>
    <cellStyle name="40% - Accent6 12 3 4 3 2" xfId="45861" xr:uid="{3D87E29C-3E18-4173-BF86-FA173F8EB80C}"/>
    <cellStyle name="40% - Accent6 12 3 4 4" xfId="29983" xr:uid="{656F6EA9-D178-45BA-904D-2D3147103032}"/>
    <cellStyle name="40% - Accent6 12 3 5" xfId="9649" xr:uid="{00000000-0005-0000-0000-0000934E0000}"/>
    <cellStyle name="40% - Accent6 12 3 5 2" xfId="17607" xr:uid="{00000000-0005-0000-0000-0000944E0000}"/>
    <cellStyle name="40% - Accent6 12 3 5 2 2" xfId="41448" xr:uid="{2D37AD5D-1909-419B-B482-49AC25BE10C5}"/>
    <cellStyle name="40% - Accent6 12 3 5 3" xfId="25551" xr:uid="{00000000-0005-0000-0000-0000954E0000}"/>
    <cellStyle name="40% - Accent6 12 3 5 3 2" xfId="49384" xr:uid="{CCB5D460-CF55-4CAD-AAA8-867FCB0CD895}"/>
    <cellStyle name="40% - Accent6 12 3 5 4" xfId="33507" xr:uid="{6507054F-C4D2-4840-9275-2DDCA9698A8E}"/>
    <cellStyle name="40% - Accent6 12 3 6" xfId="10545" xr:uid="{00000000-0005-0000-0000-0000964E0000}"/>
    <cellStyle name="40% - Accent6 12 3 6 2" xfId="34395" xr:uid="{DF54314E-6892-4273-AB60-EEA6A997B844}"/>
    <cellStyle name="40% - Accent6 12 3 7" xfId="18500" xr:uid="{00000000-0005-0000-0000-0000974E0000}"/>
    <cellStyle name="40% - Accent6 12 3 7 2" xfId="42333" xr:uid="{9523C2CD-320A-4B9A-AFC6-9A764AF17C0B}"/>
    <cellStyle name="40% - Accent6 12 3 8" xfId="26453" xr:uid="{28BABC4E-B440-4C85-869D-624FE6B9D0D8}"/>
    <cellStyle name="40% - Accent6 12 3_Exh G" xfId="3326" xr:uid="{00000000-0005-0000-0000-0000984E0000}"/>
    <cellStyle name="40% - Accent6 12 4" xfId="1622" xr:uid="{00000000-0005-0000-0000-0000994E0000}"/>
    <cellStyle name="40% - Accent6 12 4 2" xfId="5152" xr:uid="{00000000-0005-0000-0000-00009A4E0000}"/>
    <cellStyle name="40% - Accent6 12 4 2 2" xfId="8743" xr:uid="{00000000-0005-0000-0000-00009B4E0000}"/>
    <cellStyle name="40% - Accent6 12 4 2 2 2" xfId="16714" xr:uid="{00000000-0005-0000-0000-00009C4E0000}"/>
    <cellStyle name="40% - Accent6 12 4 2 2 2 2" xfId="40557" xr:uid="{803D257E-7E12-4DF4-8F54-48664A03258D}"/>
    <cellStyle name="40% - Accent6 12 4 2 2 3" xfId="24660" xr:uid="{00000000-0005-0000-0000-00009D4E0000}"/>
    <cellStyle name="40% - Accent6 12 4 2 2 3 2" xfId="48493" xr:uid="{F797AD22-8B76-48D3-98AE-76BBE4784159}"/>
    <cellStyle name="40% - Accent6 12 4 2 2 4" xfId="32616" xr:uid="{275EAC53-C9E7-49A2-A712-455126F6FB3E}"/>
    <cellStyle name="40% - Accent6 12 4 2 3" xfId="13176" xr:uid="{00000000-0005-0000-0000-00009E4E0000}"/>
    <cellStyle name="40% - Accent6 12 4 2 3 2" xfId="37026" xr:uid="{10D16F25-D21A-4869-B985-B176667758C9}"/>
    <cellStyle name="40% - Accent6 12 4 2 4" xfId="21131" xr:uid="{00000000-0005-0000-0000-00009F4E0000}"/>
    <cellStyle name="40% - Accent6 12 4 2 4 2" xfId="44964" xr:uid="{B666E84A-AAC2-4FDD-86A0-01BC2A143CDC}"/>
    <cellStyle name="40% - Accent6 12 4 2 5" xfId="29085" xr:uid="{5A29F785-9036-4024-BB7E-BF610EED5B42}"/>
    <cellStyle name="40% - Accent6 12 4 3" xfId="6984" xr:uid="{00000000-0005-0000-0000-0000A04E0000}"/>
    <cellStyle name="40% - Accent6 12 4 3 2" xfId="14956" xr:uid="{00000000-0005-0000-0000-0000A14E0000}"/>
    <cellStyle name="40% - Accent6 12 4 3 2 2" xfId="38799" xr:uid="{07FDF0F0-B120-44D4-9C14-9689701B860B}"/>
    <cellStyle name="40% - Accent6 12 4 3 3" xfId="22903" xr:uid="{00000000-0005-0000-0000-0000A24E0000}"/>
    <cellStyle name="40% - Accent6 12 4 3 3 2" xfId="46736" xr:uid="{A08EB1B4-49EA-4E4A-BFDB-F627A4BD3F45}"/>
    <cellStyle name="40% - Accent6 12 4 3 4" xfId="30858" xr:uid="{5586122F-E3E7-41F9-8480-7F8E88730DA7}"/>
    <cellStyle name="40% - Accent6 12 4 4" xfId="11420" xr:uid="{00000000-0005-0000-0000-0000A34E0000}"/>
    <cellStyle name="40% - Accent6 12 4 4 2" xfId="35270" xr:uid="{4ABE757F-6295-4F2E-9950-0521578CF3F6}"/>
    <cellStyle name="40% - Accent6 12 4 5" xfId="19375" xr:uid="{00000000-0005-0000-0000-0000A44E0000}"/>
    <cellStyle name="40% - Accent6 12 4 5 2" xfId="43208" xr:uid="{3E990BF7-0920-4F38-806B-681CD4DA7FD6}"/>
    <cellStyle name="40% - Accent6 12 4 6" xfId="27328" xr:uid="{09219B32-2B38-4249-90A9-BA998C832343}"/>
    <cellStyle name="40% - Accent6 12 4_Exh G" xfId="3328" xr:uid="{00000000-0005-0000-0000-0000A54E0000}"/>
    <cellStyle name="40% - Accent6 12 5" xfId="4273" xr:uid="{00000000-0005-0000-0000-0000A64E0000}"/>
    <cellStyle name="40% - Accent6 12 5 2" xfId="7865" xr:uid="{00000000-0005-0000-0000-0000A74E0000}"/>
    <cellStyle name="40% - Accent6 12 5 2 2" xfId="15836" xr:uid="{00000000-0005-0000-0000-0000A84E0000}"/>
    <cellStyle name="40% - Accent6 12 5 2 2 2" xfId="39679" xr:uid="{6F292139-5F6A-4E2C-8099-A2E1F9660534}"/>
    <cellStyle name="40% - Accent6 12 5 2 3" xfId="23782" xr:uid="{00000000-0005-0000-0000-0000A94E0000}"/>
    <cellStyle name="40% - Accent6 12 5 2 3 2" xfId="47615" xr:uid="{44A4F26A-8786-49A9-8A73-BD67CA0836F7}"/>
    <cellStyle name="40% - Accent6 12 5 2 4" xfId="31738" xr:uid="{486BB3FF-23C6-42F1-A9C9-D7EDBC45446C}"/>
    <cellStyle name="40% - Accent6 12 5 3" xfId="12298" xr:uid="{00000000-0005-0000-0000-0000AA4E0000}"/>
    <cellStyle name="40% - Accent6 12 5 3 2" xfId="36148" xr:uid="{47D6E677-AC3F-46D6-8D6B-439B604B977B}"/>
    <cellStyle name="40% - Accent6 12 5 4" xfId="20253" xr:uid="{00000000-0005-0000-0000-0000AB4E0000}"/>
    <cellStyle name="40% - Accent6 12 5 4 2" xfId="44086" xr:uid="{69E590E1-5243-4B87-B925-7824A1956C16}"/>
    <cellStyle name="40% - Accent6 12 5 5" xfId="28207" xr:uid="{0B07C1BB-B18B-4A83-BDB7-587404CFBC55}"/>
    <cellStyle name="40% - Accent6 12 6" xfId="6093" xr:uid="{00000000-0005-0000-0000-0000AC4E0000}"/>
    <cellStyle name="40% - Accent6 12 6 2" xfId="14077" xr:uid="{00000000-0005-0000-0000-0000AD4E0000}"/>
    <cellStyle name="40% - Accent6 12 6 2 2" xfId="37921" xr:uid="{65688D79-1190-4AF4-A853-E38B9F5E0455}"/>
    <cellStyle name="40% - Accent6 12 6 3" xfId="22025" xr:uid="{00000000-0005-0000-0000-0000AE4E0000}"/>
    <cellStyle name="40% - Accent6 12 6 3 2" xfId="45858" xr:uid="{7AB81C59-0502-48E0-AA8A-59887CAD0401}"/>
    <cellStyle name="40% - Accent6 12 6 4" xfId="29980" xr:uid="{CBB2D579-52F7-478F-B8B7-6D3EB5597D51}"/>
    <cellStyle name="40% - Accent6 12 7" xfId="9646" xr:uid="{00000000-0005-0000-0000-0000AF4E0000}"/>
    <cellStyle name="40% - Accent6 12 7 2" xfId="17604" xr:uid="{00000000-0005-0000-0000-0000B04E0000}"/>
    <cellStyle name="40% - Accent6 12 7 2 2" xfId="41445" xr:uid="{7D55C233-E6E3-48CC-98E0-A9F68CF3EE4D}"/>
    <cellStyle name="40% - Accent6 12 7 3" xfId="25548" xr:uid="{00000000-0005-0000-0000-0000B14E0000}"/>
    <cellStyle name="40% - Accent6 12 7 3 2" xfId="49381" xr:uid="{B49DBB0A-3316-4CA1-9047-24B1260FE041}"/>
    <cellStyle name="40% - Accent6 12 7 4" xfId="33504" xr:uid="{3653BD26-F221-4C9D-86C1-4C6308369CF5}"/>
    <cellStyle name="40% - Accent6 12 8" xfId="10542" xr:uid="{00000000-0005-0000-0000-0000B24E0000}"/>
    <cellStyle name="40% - Accent6 12 8 2" xfId="34392" xr:uid="{1BA8D7EE-1483-43DE-83B8-B27F0545F6A6}"/>
    <cellStyle name="40% - Accent6 12 9" xfId="18497" xr:uid="{00000000-0005-0000-0000-0000B34E0000}"/>
    <cellStyle name="40% - Accent6 12 9 2" xfId="42330" xr:uid="{C22BC1ED-AE57-43AF-9E15-902386CAAC75}"/>
    <cellStyle name="40% - Accent6 12_Exh G" xfId="3321" xr:uid="{00000000-0005-0000-0000-0000B44E0000}"/>
    <cellStyle name="40% - Accent6 13" xfId="598" xr:uid="{00000000-0005-0000-0000-0000B54E0000}"/>
    <cellStyle name="40% - Accent6 13 10" xfId="26454" xr:uid="{BD8FF37D-1E8C-4B1A-99EB-01AB4C6172BB}"/>
    <cellStyle name="40% - Accent6 13 2" xfId="599" xr:uid="{00000000-0005-0000-0000-0000B64E0000}"/>
    <cellStyle name="40% - Accent6 13 2 2" xfId="600" xr:uid="{00000000-0005-0000-0000-0000B74E0000}"/>
    <cellStyle name="40% - Accent6 13 2 2 2" xfId="1628" xr:uid="{00000000-0005-0000-0000-0000B84E0000}"/>
    <cellStyle name="40% - Accent6 13 2 2 2 2" xfId="5158" xr:uid="{00000000-0005-0000-0000-0000B94E0000}"/>
    <cellStyle name="40% - Accent6 13 2 2 2 2 2" xfId="8749" xr:uid="{00000000-0005-0000-0000-0000BA4E0000}"/>
    <cellStyle name="40% - Accent6 13 2 2 2 2 2 2" xfId="16720" xr:uid="{00000000-0005-0000-0000-0000BB4E0000}"/>
    <cellStyle name="40% - Accent6 13 2 2 2 2 2 2 2" xfId="40563" xr:uid="{687EA56E-1FA6-483E-A77A-D695BA4019C7}"/>
    <cellStyle name="40% - Accent6 13 2 2 2 2 2 3" xfId="24666" xr:uid="{00000000-0005-0000-0000-0000BC4E0000}"/>
    <cellStyle name="40% - Accent6 13 2 2 2 2 2 3 2" xfId="48499" xr:uid="{BBF95A95-B010-48BE-A415-21C4A2F7817F}"/>
    <cellStyle name="40% - Accent6 13 2 2 2 2 2 4" xfId="32622" xr:uid="{9461BA1B-1C6E-45D4-A53F-D870B6C146DA}"/>
    <cellStyle name="40% - Accent6 13 2 2 2 2 3" xfId="13182" xr:uid="{00000000-0005-0000-0000-0000BD4E0000}"/>
    <cellStyle name="40% - Accent6 13 2 2 2 2 3 2" xfId="37032" xr:uid="{4857CBCC-D255-4386-991C-AFB780F680B2}"/>
    <cellStyle name="40% - Accent6 13 2 2 2 2 4" xfId="21137" xr:uid="{00000000-0005-0000-0000-0000BE4E0000}"/>
    <cellStyle name="40% - Accent6 13 2 2 2 2 4 2" xfId="44970" xr:uid="{FDC75A8B-0C2E-4D74-9C3C-E76DD6394BB2}"/>
    <cellStyle name="40% - Accent6 13 2 2 2 2 5" xfId="29091" xr:uid="{8134DD7F-7C1B-4661-9CDF-6D0002C0514F}"/>
    <cellStyle name="40% - Accent6 13 2 2 2 3" xfId="6990" xr:uid="{00000000-0005-0000-0000-0000BF4E0000}"/>
    <cellStyle name="40% - Accent6 13 2 2 2 3 2" xfId="14962" xr:uid="{00000000-0005-0000-0000-0000C04E0000}"/>
    <cellStyle name="40% - Accent6 13 2 2 2 3 2 2" xfId="38805" xr:uid="{FF4A03C4-B56E-43B2-9ED9-5A5153E2C2C5}"/>
    <cellStyle name="40% - Accent6 13 2 2 2 3 3" xfId="22909" xr:uid="{00000000-0005-0000-0000-0000C14E0000}"/>
    <cellStyle name="40% - Accent6 13 2 2 2 3 3 2" xfId="46742" xr:uid="{E398AF1B-C3B2-4B9E-98AA-2FAE37BF27AE}"/>
    <cellStyle name="40% - Accent6 13 2 2 2 3 4" xfId="30864" xr:uid="{C87F0359-4393-4760-BF25-78CE426F64B1}"/>
    <cellStyle name="40% - Accent6 13 2 2 2 4" xfId="11426" xr:uid="{00000000-0005-0000-0000-0000C24E0000}"/>
    <cellStyle name="40% - Accent6 13 2 2 2 4 2" xfId="35276" xr:uid="{9FC0424F-0746-4E4F-BDF1-FAA7053FCF9C}"/>
    <cellStyle name="40% - Accent6 13 2 2 2 5" xfId="19381" xr:uid="{00000000-0005-0000-0000-0000C34E0000}"/>
    <cellStyle name="40% - Accent6 13 2 2 2 5 2" xfId="43214" xr:uid="{A28346E1-7CCC-4699-9E11-79156EA1BEFB}"/>
    <cellStyle name="40% - Accent6 13 2 2 2 6" xfId="27334" xr:uid="{FDC04EDC-1FD2-4919-98E9-35D6AACEC64F}"/>
    <cellStyle name="40% - Accent6 13 2 2 2_Exh G" xfId="3332" xr:uid="{00000000-0005-0000-0000-0000C44E0000}"/>
    <cellStyle name="40% - Accent6 13 2 2 3" xfId="4279" xr:uid="{00000000-0005-0000-0000-0000C54E0000}"/>
    <cellStyle name="40% - Accent6 13 2 2 3 2" xfId="7871" xr:uid="{00000000-0005-0000-0000-0000C64E0000}"/>
    <cellStyle name="40% - Accent6 13 2 2 3 2 2" xfId="15842" xr:uid="{00000000-0005-0000-0000-0000C74E0000}"/>
    <cellStyle name="40% - Accent6 13 2 2 3 2 2 2" xfId="39685" xr:uid="{85345EAF-CF1F-4F9B-823F-FC0A2FEE606A}"/>
    <cellStyle name="40% - Accent6 13 2 2 3 2 3" xfId="23788" xr:uid="{00000000-0005-0000-0000-0000C84E0000}"/>
    <cellStyle name="40% - Accent6 13 2 2 3 2 3 2" xfId="47621" xr:uid="{65AA3BD9-7A0F-40EC-B03A-A6CBCD048E99}"/>
    <cellStyle name="40% - Accent6 13 2 2 3 2 4" xfId="31744" xr:uid="{3862C4B9-BDAA-44F1-B9F1-78FC2484C5A1}"/>
    <cellStyle name="40% - Accent6 13 2 2 3 3" xfId="12304" xr:uid="{00000000-0005-0000-0000-0000C94E0000}"/>
    <cellStyle name="40% - Accent6 13 2 2 3 3 2" xfId="36154" xr:uid="{3BAD96AB-D574-4049-996D-4A6103A50B16}"/>
    <cellStyle name="40% - Accent6 13 2 2 3 4" xfId="20259" xr:uid="{00000000-0005-0000-0000-0000CA4E0000}"/>
    <cellStyle name="40% - Accent6 13 2 2 3 4 2" xfId="44092" xr:uid="{F0BF1981-3A3B-48D4-BB51-86331DA49E70}"/>
    <cellStyle name="40% - Accent6 13 2 2 3 5" xfId="28213" xr:uid="{7298E4DF-5DCF-4A05-9BBE-9ED8C707DB74}"/>
    <cellStyle name="40% - Accent6 13 2 2 4" xfId="6099" xr:uid="{00000000-0005-0000-0000-0000CB4E0000}"/>
    <cellStyle name="40% - Accent6 13 2 2 4 2" xfId="14083" xr:uid="{00000000-0005-0000-0000-0000CC4E0000}"/>
    <cellStyle name="40% - Accent6 13 2 2 4 2 2" xfId="37927" xr:uid="{C38EAA28-E7F4-459E-A644-BD355214B00B}"/>
    <cellStyle name="40% - Accent6 13 2 2 4 3" xfId="22031" xr:uid="{00000000-0005-0000-0000-0000CD4E0000}"/>
    <cellStyle name="40% - Accent6 13 2 2 4 3 2" xfId="45864" xr:uid="{3C61CD33-ACA9-452D-8A7E-2452CA35CD76}"/>
    <cellStyle name="40% - Accent6 13 2 2 4 4" xfId="29986" xr:uid="{56C97C2C-ACBB-41A0-8C27-DF0085D4403B}"/>
    <cellStyle name="40% - Accent6 13 2 2 5" xfId="9652" xr:uid="{00000000-0005-0000-0000-0000CE4E0000}"/>
    <cellStyle name="40% - Accent6 13 2 2 5 2" xfId="17610" xr:uid="{00000000-0005-0000-0000-0000CF4E0000}"/>
    <cellStyle name="40% - Accent6 13 2 2 5 2 2" xfId="41451" xr:uid="{8BE12EFE-E946-48B5-B709-9DBAAAFD3F6B}"/>
    <cellStyle name="40% - Accent6 13 2 2 5 3" xfId="25554" xr:uid="{00000000-0005-0000-0000-0000D04E0000}"/>
    <cellStyle name="40% - Accent6 13 2 2 5 3 2" xfId="49387" xr:uid="{059EBFF4-65A3-404F-8318-5CEB1694C442}"/>
    <cellStyle name="40% - Accent6 13 2 2 5 4" xfId="33510" xr:uid="{7AE4A69B-EE44-4332-A540-FC75B7531B7C}"/>
    <cellStyle name="40% - Accent6 13 2 2 6" xfId="10548" xr:uid="{00000000-0005-0000-0000-0000D14E0000}"/>
    <cellStyle name="40% - Accent6 13 2 2 6 2" xfId="34398" xr:uid="{C0C87A0D-7C95-4926-B344-D08895F9CD95}"/>
    <cellStyle name="40% - Accent6 13 2 2 7" xfId="18503" xr:uid="{00000000-0005-0000-0000-0000D24E0000}"/>
    <cellStyle name="40% - Accent6 13 2 2 7 2" xfId="42336" xr:uid="{39871377-2FAA-4DBC-8C51-8E6756B7946A}"/>
    <cellStyle name="40% - Accent6 13 2 2 8" xfId="26456" xr:uid="{2C3E9769-00FB-474C-94E5-2CB0D5C34A95}"/>
    <cellStyle name="40% - Accent6 13 2 2_Exh G" xfId="3331" xr:uid="{00000000-0005-0000-0000-0000D34E0000}"/>
    <cellStyle name="40% - Accent6 13 2 3" xfId="1627" xr:uid="{00000000-0005-0000-0000-0000D44E0000}"/>
    <cellStyle name="40% - Accent6 13 2 3 2" xfId="5157" xr:uid="{00000000-0005-0000-0000-0000D54E0000}"/>
    <cellStyle name="40% - Accent6 13 2 3 2 2" xfId="8748" xr:uid="{00000000-0005-0000-0000-0000D64E0000}"/>
    <cellStyle name="40% - Accent6 13 2 3 2 2 2" xfId="16719" xr:uid="{00000000-0005-0000-0000-0000D74E0000}"/>
    <cellStyle name="40% - Accent6 13 2 3 2 2 2 2" xfId="40562" xr:uid="{110A90FC-FF9F-481C-8956-FFC0D8C9C9FA}"/>
    <cellStyle name="40% - Accent6 13 2 3 2 2 3" xfId="24665" xr:uid="{00000000-0005-0000-0000-0000D84E0000}"/>
    <cellStyle name="40% - Accent6 13 2 3 2 2 3 2" xfId="48498" xr:uid="{E30FAA49-BFA2-4494-B81A-46E5D778DE50}"/>
    <cellStyle name="40% - Accent6 13 2 3 2 2 4" xfId="32621" xr:uid="{8D85E1B2-5BEA-4737-B565-B0B6B81DD2DF}"/>
    <cellStyle name="40% - Accent6 13 2 3 2 3" xfId="13181" xr:uid="{00000000-0005-0000-0000-0000D94E0000}"/>
    <cellStyle name="40% - Accent6 13 2 3 2 3 2" xfId="37031" xr:uid="{22C1BC09-0FAF-413E-98F5-0166B3E0A228}"/>
    <cellStyle name="40% - Accent6 13 2 3 2 4" xfId="21136" xr:uid="{00000000-0005-0000-0000-0000DA4E0000}"/>
    <cellStyle name="40% - Accent6 13 2 3 2 4 2" xfId="44969" xr:uid="{8B8D96F7-9E84-4D69-9E4B-AD85710D1BA8}"/>
    <cellStyle name="40% - Accent6 13 2 3 2 5" xfId="29090" xr:uid="{8D95D218-8B60-40AF-8BF9-BD34F1C06675}"/>
    <cellStyle name="40% - Accent6 13 2 3 3" xfId="6989" xr:uid="{00000000-0005-0000-0000-0000DB4E0000}"/>
    <cellStyle name="40% - Accent6 13 2 3 3 2" xfId="14961" xr:uid="{00000000-0005-0000-0000-0000DC4E0000}"/>
    <cellStyle name="40% - Accent6 13 2 3 3 2 2" xfId="38804" xr:uid="{95E19137-B0A6-4ABD-8C68-D0E57EC03C65}"/>
    <cellStyle name="40% - Accent6 13 2 3 3 3" xfId="22908" xr:uid="{00000000-0005-0000-0000-0000DD4E0000}"/>
    <cellStyle name="40% - Accent6 13 2 3 3 3 2" xfId="46741" xr:uid="{D67DB538-4F33-4367-8D1C-B9F2844BD56E}"/>
    <cellStyle name="40% - Accent6 13 2 3 3 4" xfId="30863" xr:uid="{0DB19163-2E35-4805-BE9B-6CAEADE3A1FA}"/>
    <cellStyle name="40% - Accent6 13 2 3 4" xfId="11425" xr:uid="{00000000-0005-0000-0000-0000DE4E0000}"/>
    <cellStyle name="40% - Accent6 13 2 3 4 2" xfId="35275" xr:uid="{FA5A838B-0BDA-47E8-A96E-212258789F39}"/>
    <cellStyle name="40% - Accent6 13 2 3 5" xfId="19380" xr:uid="{00000000-0005-0000-0000-0000DF4E0000}"/>
    <cellStyle name="40% - Accent6 13 2 3 5 2" xfId="43213" xr:uid="{7CBC8007-D8FB-4D8F-BEBA-456FFF3A023B}"/>
    <cellStyle name="40% - Accent6 13 2 3 6" xfId="27333" xr:uid="{A8040863-0F5F-45DF-9001-79AE1BC918F7}"/>
    <cellStyle name="40% - Accent6 13 2 3_Exh G" xfId="3333" xr:uid="{00000000-0005-0000-0000-0000E04E0000}"/>
    <cellStyle name="40% - Accent6 13 2 4" xfId="4278" xr:uid="{00000000-0005-0000-0000-0000E14E0000}"/>
    <cellStyle name="40% - Accent6 13 2 4 2" xfId="7870" xr:uid="{00000000-0005-0000-0000-0000E24E0000}"/>
    <cellStyle name="40% - Accent6 13 2 4 2 2" xfId="15841" xr:uid="{00000000-0005-0000-0000-0000E34E0000}"/>
    <cellStyle name="40% - Accent6 13 2 4 2 2 2" xfId="39684" xr:uid="{2816BDFE-CD54-4DB3-B934-8BF063B26829}"/>
    <cellStyle name="40% - Accent6 13 2 4 2 3" xfId="23787" xr:uid="{00000000-0005-0000-0000-0000E44E0000}"/>
    <cellStyle name="40% - Accent6 13 2 4 2 3 2" xfId="47620" xr:uid="{602DE5AD-FD37-4217-94B0-C3DD46CFA56E}"/>
    <cellStyle name="40% - Accent6 13 2 4 2 4" xfId="31743" xr:uid="{0C1E4696-E4D3-42E7-B3DB-FB7BB875D22D}"/>
    <cellStyle name="40% - Accent6 13 2 4 3" xfId="12303" xr:uid="{00000000-0005-0000-0000-0000E54E0000}"/>
    <cellStyle name="40% - Accent6 13 2 4 3 2" xfId="36153" xr:uid="{F27BCF1B-30E3-4C1D-835C-22A19CE12B60}"/>
    <cellStyle name="40% - Accent6 13 2 4 4" xfId="20258" xr:uid="{00000000-0005-0000-0000-0000E64E0000}"/>
    <cellStyle name="40% - Accent6 13 2 4 4 2" xfId="44091" xr:uid="{A4158BB0-8443-4C1D-B094-9C76BEE0D57B}"/>
    <cellStyle name="40% - Accent6 13 2 4 5" xfId="28212" xr:uid="{A2F5B466-C202-4401-A182-1311D6543C0C}"/>
    <cellStyle name="40% - Accent6 13 2 5" xfId="6098" xr:uid="{00000000-0005-0000-0000-0000E74E0000}"/>
    <cellStyle name="40% - Accent6 13 2 5 2" xfId="14082" xr:uid="{00000000-0005-0000-0000-0000E84E0000}"/>
    <cellStyle name="40% - Accent6 13 2 5 2 2" xfId="37926" xr:uid="{812F4D51-B245-492F-8365-BF38E15EB70A}"/>
    <cellStyle name="40% - Accent6 13 2 5 3" xfId="22030" xr:uid="{00000000-0005-0000-0000-0000E94E0000}"/>
    <cellStyle name="40% - Accent6 13 2 5 3 2" xfId="45863" xr:uid="{CBEC5D54-9781-47F0-83D4-C7E3E8A37CF2}"/>
    <cellStyle name="40% - Accent6 13 2 5 4" xfId="29985" xr:uid="{F49092AF-383F-49D8-83FA-E0B741508A69}"/>
    <cellStyle name="40% - Accent6 13 2 6" xfId="9651" xr:uid="{00000000-0005-0000-0000-0000EA4E0000}"/>
    <cellStyle name="40% - Accent6 13 2 6 2" xfId="17609" xr:uid="{00000000-0005-0000-0000-0000EB4E0000}"/>
    <cellStyle name="40% - Accent6 13 2 6 2 2" xfId="41450" xr:uid="{49A21290-4701-4EAE-8297-F4264B873C01}"/>
    <cellStyle name="40% - Accent6 13 2 6 3" xfId="25553" xr:uid="{00000000-0005-0000-0000-0000EC4E0000}"/>
    <cellStyle name="40% - Accent6 13 2 6 3 2" xfId="49386" xr:uid="{A910BD7A-0C9F-4207-B119-B81A64D36330}"/>
    <cellStyle name="40% - Accent6 13 2 6 4" xfId="33509" xr:uid="{28330480-7CB3-4A66-8EB4-D4972F61A6B6}"/>
    <cellStyle name="40% - Accent6 13 2 7" xfId="10547" xr:uid="{00000000-0005-0000-0000-0000ED4E0000}"/>
    <cellStyle name="40% - Accent6 13 2 7 2" xfId="34397" xr:uid="{D28EDD39-AC1F-4207-AA45-BB7BB875963A}"/>
    <cellStyle name="40% - Accent6 13 2 8" xfId="18502" xr:uid="{00000000-0005-0000-0000-0000EE4E0000}"/>
    <cellStyle name="40% - Accent6 13 2 8 2" xfId="42335" xr:uid="{3C2FAE36-9334-4F7F-962C-4BFA8B8F4C1F}"/>
    <cellStyle name="40% - Accent6 13 2 9" xfId="26455" xr:uid="{26C618BB-D9C7-4BB1-BB95-8660F39E31CF}"/>
    <cellStyle name="40% - Accent6 13 2_Exh G" xfId="3330" xr:uid="{00000000-0005-0000-0000-0000EF4E0000}"/>
    <cellStyle name="40% - Accent6 13 3" xfId="601" xr:uid="{00000000-0005-0000-0000-0000F04E0000}"/>
    <cellStyle name="40% - Accent6 13 3 2" xfId="1629" xr:uid="{00000000-0005-0000-0000-0000F14E0000}"/>
    <cellStyle name="40% - Accent6 13 3 2 2" xfId="5159" xr:uid="{00000000-0005-0000-0000-0000F24E0000}"/>
    <cellStyle name="40% - Accent6 13 3 2 2 2" xfId="8750" xr:uid="{00000000-0005-0000-0000-0000F34E0000}"/>
    <cellStyle name="40% - Accent6 13 3 2 2 2 2" xfId="16721" xr:uid="{00000000-0005-0000-0000-0000F44E0000}"/>
    <cellStyle name="40% - Accent6 13 3 2 2 2 2 2" xfId="40564" xr:uid="{3C1B7537-8FAA-43F0-92AD-F51C1CE63A57}"/>
    <cellStyle name="40% - Accent6 13 3 2 2 2 3" xfId="24667" xr:uid="{00000000-0005-0000-0000-0000F54E0000}"/>
    <cellStyle name="40% - Accent6 13 3 2 2 2 3 2" xfId="48500" xr:uid="{E663D143-25B9-49CC-A927-00181DFEA14E}"/>
    <cellStyle name="40% - Accent6 13 3 2 2 2 4" xfId="32623" xr:uid="{A87CDEB4-40D1-40D8-B05A-87C504F58F72}"/>
    <cellStyle name="40% - Accent6 13 3 2 2 3" xfId="13183" xr:uid="{00000000-0005-0000-0000-0000F64E0000}"/>
    <cellStyle name="40% - Accent6 13 3 2 2 3 2" xfId="37033" xr:uid="{C1441AB9-446C-453D-9F29-9D02A501BE54}"/>
    <cellStyle name="40% - Accent6 13 3 2 2 4" xfId="21138" xr:uid="{00000000-0005-0000-0000-0000F74E0000}"/>
    <cellStyle name="40% - Accent6 13 3 2 2 4 2" xfId="44971" xr:uid="{1BD60D0E-2F1A-4AE7-A02C-A454DA985297}"/>
    <cellStyle name="40% - Accent6 13 3 2 2 5" xfId="29092" xr:uid="{B910B580-B0CE-447E-8446-3ABDC8858655}"/>
    <cellStyle name="40% - Accent6 13 3 2 3" xfId="6991" xr:uid="{00000000-0005-0000-0000-0000F84E0000}"/>
    <cellStyle name="40% - Accent6 13 3 2 3 2" xfId="14963" xr:uid="{00000000-0005-0000-0000-0000F94E0000}"/>
    <cellStyle name="40% - Accent6 13 3 2 3 2 2" xfId="38806" xr:uid="{810F274E-C2C6-498C-9C37-3D2010DCA6D8}"/>
    <cellStyle name="40% - Accent6 13 3 2 3 3" xfId="22910" xr:uid="{00000000-0005-0000-0000-0000FA4E0000}"/>
    <cellStyle name="40% - Accent6 13 3 2 3 3 2" xfId="46743" xr:uid="{FD0EB66C-C99F-4BD2-BD11-7B97DA66CCD5}"/>
    <cellStyle name="40% - Accent6 13 3 2 3 4" xfId="30865" xr:uid="{FD43B38B-9545-4350-8B18-709B8CFFBE62}"/>
    <cellStyle name="40% - Accent6 13 3 2 4" xfId="11427" xr:uid="{00000000-0005-0000-0000-0000FB4E0000}"/>
    <cellStyle name="40% - Accent6 13 3 2 4 2" xfId="35277" xr:uid="{6A7107C6-5DA5-4F5A-951A-456197BF25B3}"/>
    <cellStyle name="40% - Accent6 13 3 2 5" xfId="19382" xr:uid="{00000000-0005-0000-0000-0000FC4E0000}"/>
    <cellStyle name="40% - Accent6 13 3 2 5 2" xfId="43215" xr:uid="{5DE6EF7C-AFC4-47D7-9635-E4D99A41B6EA}"/>
    <cellStyle name="40% - Accent6 13 3 2 6" xfId="27335" xr:uid="{1EB46127-150F-4CEA-BB38-5B4D727FE063}"/>
    <cellStyle name="40% - Accent6 13 3 2_Exh G" xfId="3335" xr:uid="{00000000-0005-0000-0000-0000FD4E0000}"/>
    <cellStyle name="40% - Accent6 13 3 3" xfId="4280" xr:uid="{00000000-0005-0000-0000-0000FE4E0000}"/>
    <cellStyle name="40% - Accent6 13 3 3 2" xfId="7872" xr:uid="{00000000-0005-0000-0000-0000FF4E0000}"/>
    <cellStyle name="40% - Accent6 13 3 3 2 2" xfId="15843" xr:uid="{00000000-0005-0000-0000-0000004F0000}"/>
    <cellStyle name="40% - Accent6 13 3 3 2 2 2" xfId="39686" xr:uid="{881B940F-9F41-4F9B-B03F-B649D5A94573}"/>
    <cellStyle name="40% - Accent6 13 3 3 2 3" xfId="23789" xr:uid="{00000000-0005-0000-0000-0000014F0000}"/>
    <cellStyle name="40% - Accent6 13 3 3 2 3 2" xfId="47622" xr:uid="{30E0405D-6D35-4A87-8DAB-313D10DFF98A}"/>
    <cellStyle name="40% - Accent6 13 3 3 2 4" xfId="31745" xr:uid="{EFD8D327-3222-4656-85E1-32E65A78A164}"/>
    <cellStyle name="40% - Accent6 13 3 3 3" xfId="12305" xr:uid="{00000000-0005-0000-0000-0000024F0000}"/>
    <cellStyle name="40% - Accent6 13 3 3 3 2" xfId="36155" xr:uid="{F59FBCE7-6CC5-4A35-B946-489D177711E3}"/>
    <cellStyle name="40% - Accent6 13 3 3 4" xfId="20260" xr:uid="{00000000-0005-0000-0000-0000034F0000}"/>
    <cellStyle name="40% - Accent6 13 3 3 4 2" xfId="44093" xr:uid="{FACBB11D-D143-475D-B3D4-61042692E856}"/>
    <cellStyle name="40% - Accent6 13 3 3 5" xfId="28214" xr:uid="{A60B35C6-316F-45D7-B31A-70FC1623C15A}"/>
    <cellStyle name="40% - Accent6 13 3 4" xfId="6100" xr:uid="{00000000-0005-0000-0000-0000044F0000}"/>
    <cellStyle name="40% - Accent6 13 3 4 2" xfId="14084" xr:uid="{00000000-0005-0000-0000-0000054F0000}"/>
    <cellStyle name="40% - Accent6 13 3 4 2 2" xfId="37928" xr:uid="{CEA5ED9D-E4E7-4920-ABB8-FCDCA0EA6013}"/>
    <cellStyle name="40% - Accent6 13 3 4 3" xfId="22032" xr:uid="{00000000-0005-0000-0000-0000064F0000}"/>
    <cellStyle name="40% - Accent6 13 3 4 3 2" xfId="45865" xr:uid="{0070FAC9-6B0A-4423-A851-FF44EAB340EC}"/>
    <cellStyle name="40% - Accent6 13 3 4 4" xfId="29987" xr:uid="{D62880D8-5A93-4B13-8073-C0F2F1E09EC7}"/>
    <cellStyle name="40% - Accent6 13 3 5" xfId="9653" xr:uid="{00000000-0005-0000-0000-0000074F0000}"/>
    <cellStyle name="40% - Accent6 13 3 5 2" xfId="17611" xr:uid="{00000000-0005-0000-0000-0000084F0000}"/>
    <cellStyle name="40% - Accent6 13 3 5 2 2" xfId="41452" xr:uid="{4A36CB07-A234-4B76-BFB5-5E852B70ACFE}"/>
    <cellStyle name="40% - Accent6 13 3 5 3" xfId="25555" xr:uid="{00000000-0005-0000-0000-0000094F0000}"/>
    <cellStyle name="40% - Accent6 13 3 5 3 2" xfId="49388" xr:uid="{F72FDCD3-3848-489B-8737-9F58517AC825}"/>
    <cellStyle name="40% - Accent6 13 3 5 4" xfId="33511" xr:uid="{25566508-15B6-49E6-896E-1F065391EEF3}"/>
    <cellStyle name="40% - Accent6 13 3 6" xfId="10549" xr:uid="{00000000-0005-0000-0000-00000A4F0000}"/>
    <cellStyle name="40% - Accent6 13 3 6 2" xfId="34399" xr:uid="{799B287D-DEAA-4B83-A02B-4951B5552BD3}"/>
    <cellStyle name="40% - Accent6 13 3 7" xfId="18504" xr:uid="{00000000-0005-0000-0000-00000B4F0000}"/>
    <cellStyle name="40% - Accent6 13 3 7 2" xfId="42337" xr:uid="{42D6AF88-F634-44CE-B73C-E81C4F9ACE18}"/>
    <cellStyle name="40% - Accent6 13 3 8" xfId="26457" xr:uid="{E5D4DE1A-57CA-42D8-B5E2-06D2BD4DA666}"/>
    <cellStyle name="40% - Accent6 13 3_Exh G" xfId="3334" xr:uid="{00000000-0005-0000-0000-00000C4F0000}"/>
    <cellStyle name="40% - Accent6 13 4" xfId="1626" xr:uid="{00000000-0005-0000-0000-00000D4F0000}"/>
    <cellStyle name="40% - Accent6 13 4 2" xfId="5156" xr:uid="{00000000-0005-0000-0000-00000E4F0000}"/>
    <cellStyle name="40% - Accent6 13 4 2 2" xfId="8747" xr:uid="{00000000-0005-0000-0000-00000F4F0000}"/>
    <cellStyle name="40% - Accent6 13 4 2 2 2" xfId="16718" xr:uid="{00000000-0005-0000-0000-0000104F0000}"/>
    <cellStyle name="40% - Accent6 13 4 2 2 2 2" xfId="40561" xr:uid="{690885BE-9C09-4758-96F5-F08EA0448619}"/>
    <cellStyle name="40% - Accent6 13 4 2 2 3" xfId="24664" xr:uid="{00000000-0005-0000-0000-0000114F0000}"/>
    <cellStyle name="40% - Accent6 13 4 2 2 3 2" xfId="48497" xr:uid="{D7270F71-48B8-4535-8752-00863CD53D76}"/>
    <cellStyle name="40% - Accent6 13 4 2 2 4" xfId="32620" xr:uid="{8924E062-8451-43BD-B28B-1A3A768C565D}"/>
    <cellStyle name="40% - Accent6 13 4 2 3" xfId="13180" xr:uid="{00000000-0005-0000-0000-0000124F0000}"/>
    <cellStyle name="40% - Accent6 13 4 2 3 2" xfId="37030" xr:uid="{B2413D92-0A46-44BB-8ED8-59E31B0CBC0B}"/>
    <cellStyle name="40% - Accent6 13 4 2 4" xfId="21135" xr:uid="{00000000-0005-0000-0000-0000134F0000}"/>
    <cellStyle name="40% - Accent6 13 4 2 4 2" xfId="44968" xr:uid="{013A694F-8982-4248-AE73-4B7F0DC44091}"/>
    <cellStyle name="40% - Accent6 13 4 2 5" xfId="29089" xr:uid="{C909859D-4E66-406C-91D8-1C1F943A76DD}"/>
    <cellStyle name="40% - Accent6 13 4 3" xfId="6988" xr:uid="{00000000-0005-0000-0000-0000144F0000}"/>
    <cellStyle name="40% - Accent6 13 4 3 2" xfId="14960" xr:uid="{00000000-0005-0000-0000-0000154F0000}"/>
    <cellStyle name="40% - Accent6 13 4 3 2 2" xfId="38803" xr:uid="{4DA13CA1-DC9C-462D-9522-47B060D762E2}"/>
    <cellStyle name="40% - Accent6 13 4 3 3" xfId="22907" xr:uid="{00000000-0005-0000-0000-0000164F0000}"/>
    <cellStyle name="40% - Accent6 13 4 3 3 2" xfId="46740" xr:uid="{B67E7E79-C6F7-4B6B-8238-0B1BE4B89E60}"/>
    <cellStyle name="40% - Accent6 13 4 3 4" xfId="30862" xr:uid="{0ADCBF7D-2E71-4B19-980B-3F230E9B7F75}"/>
    <cellStyle name="40% - Accent6 13 4 4" xfId="11424" xr:uid="{00000000-0005-0000-0000-0000174F0000}"/>
    <cellStyle name="40% - Accent6 13 4 4 2" xfId="35274" xr:uid="{D7C634A9-ED30-4485-B310-3B005A3D456E}"/>
    <cellStyle name="40% - Accent6 13 4 5" xfId="19379" xr:uid="{00000000-0005-0000-0000-0000184F0000}"/>
    <cellStyle name="40% - Accent6 13 4 5 2" xfId="43212" xr:uid="{E990AC40-F40E-4A7C-8568-179DB737E745}"/>
    <cellStyle name="40% - Accent6 13 4 6" xfId="27332" xr:uid="{5138E3C7-6790-4E25-AD7F-92BDE872404C}"/>
    <cellStyle name="40% - Accent6 13 4_Exh G" xfId="3336" xr:uid="{00000000-0005-0000-0000-0000194F0000}"/>
    <cellStyle name="40% - Accent6 13 5" xfId="4277" xr:uid="{00000000-0005-0000-0000-00001A4F0000}"/>
    <cellStyle name="40% - Accent6 13 5 2" xfId="7869" xr:uid="{00000000-0005-0000-0000-00001B4F0000}"/>
    <cellStyle name="40% - Accent6 13 5 2 2" xfId="15840" xr:uid="{00000000-0005-0000-0000-00001C4F0000}"/>
    <cellStyle name="40% - Accent6 13 5 2 2 2" xfId="39683" xr:uid="{A347BF4B-A351-4F00-8A7B-E664D6AD9511}"/>
    <cellStyle name="40% - Accent6 13 5 2 3" xfId="23786" xr:uid="{00000000-0005-0000-0000-00001D4F0000}"/>
    <cellStyle name="40% - Accent6 13 5 2 3 2" xfId="47619" xr:uid="{1CD41C1B-B70E-41BB-B1F4-CF3C5892531C}"/>
    <cellStyle name="40% - Accent6 13 5 2 4" xfId="31742" xr:uid="{942E5366-B369-42B5-A160-808ECB6C6982}"/>
    <cellStyle name="40% - Accent6 13 5 3" xfId="12302" xr:uid="{00000000-0005-0000-0000-00001E4F0000}"/>
    <cellStyle name="40% - Accent6 13 5 3 2" xfId="36152" xr:uid="{2D78B08A-D6C2-4232-BFE3-F46676C0D0E8}"/>
    <cellStyle name="40% - Accent6 13 5 4" xfId="20257" xr:uid="{00000000-0005-0000-0000-00001F4F0000}"/>
    <cellStyle name="40% - Accent6 13 5 4 2" xfId="44090" xr:uid="{A8B528DB-5715-44A2-9390-3DE87149F61F}"/>
    <cellStyle name="40% - Accent6 13 5 5" xfId="28211" xr:uid="{08DAFFE3-5505-4A81-A0F3-B2F00BACCBFE}"/>
    <cellStyle name="40% - Accent6 13 6" xfId="6097" xr:uid="{00000000-0005-0000-0000-0000204F0000}"/>
    <cellStyle name="40% - Accent6 13 6 2" xfId="14081" xr:uid="{00000000-0005-0000-0000-0000214F0000}"/>
    <cellStyle name="40% - Accent6 13 6 2 2" xfId="37925" xr:uid="{E15EB9A4-CBB0-4190-BD4C-E23FB85AEC0D}"/>
    <cellStyle name="40% - Accent6 13 6 3" xfId="22029" xr:uid="{00000000-0005-0000-0000-0000224F0000}"/>
    <cellStyle name="40% - Accent6 13 6 3 2" xfId="45862" xr:uid="{18CA4BD7-1EEF-451B-8FDD-330B13C42230}"/>
    <cellStyle name="40% - Accent6 13 6 4" xfId="29984" xr:uid="{D3574647-1D60-424F-8011-DF8708B0607D}"/>
    <cellStyle name="40% - Accent6 13 7" xfId="9650" xr:uid="{00000000-0005-0000-0000-0000234F0000}"/>
    <cellStyle name="40% - Accent6 13 7 2" xfId="17608" xr:uid="{00000000-0005-0000-0000-0000244F0000}"/>
    <cellStyle name="40% - Accent6 13 7 2 2" xfId="41449" xr:uid="{D3A67D05-2DA0-4C58-AC75-0198A6D577C0}"/>
    <cellStyle name="40% - Accent6 13 7 3" xfId="25552" xr:uid="{00000000-0005-0000-0000-0000254F0000}"/>
    <cellStyle name="40% - Accent6 13 7 3 2" xfId="49385" xr:uid="{B11DBF0C-EF32-4F0D-AF73-B3889BA18105}"/>
    <cellStyle name="40% - Accent6 13 7 4" xfId="33508" xr:uid="{BCEA795E-FAFF-4B89-8573-C9E5DB8AC0EA}"/>
    <cellStyle name="40% - Accent6 13 8" xfId="10546" xr:uid="{00000000-0005-0000-0000-0000264F0000}"/>
    <cellStyle name="40% - Accent6 13 8 2" xfId="34396" xr:uid="{37C226D1-2EEE-4376-B5D0-C115088F04EE}"/>
    <cellStyle name="40% - Accent6 13 9" xfId="18501" xr:uid="{00000000-0005-0000-0000-0000274F0000}"/>
    <cellStyle name="40% - Accent6 13 9 2" xfId="42334" xr:uid="{93DEB3E3-1485-4313-AC37-E8042C74F228}"/>
    <cellStyle name="40% - Accent6 13_Exh G" xfId="3329" xr:uid="{00000000-0005-0000-0000-0000284F0000}"/>
    <cellStyle name="40% - Accent6 14" xfId="602" xr:uid="{00000000-0005-0000-0000-0000294F0000}"/>
    <cellStyle name="40% - Accent6 14 2" xfId="603" xr:uid="{00000000-0005-0000-0000-00002A4F0000}"/>
    <cellStyle name="40% - Accent6 14 2 2" xfId="1631" xr:uid="{00000000-0005-0000-0000-00002B4F0000}"/>
    <cellStyle name="40% - Accent6 14 2 2 2" xfId="5161" xr:uid="{00000000-0005-0000-0000-00002C4F0000}"/>
    <cellStyle name="40% - Accent6 14 2 2 2 2" xfId="8752" xr:uid="{00000000-0005-0000-0000-00002D4F0000}"/>
    <cellStyle name="40% - Accent6 14 2 2 2 2 2" xfId="16723" xr:uid="{00000000-0005-0000-0000-00002E4F0000}"/>
    <cellStyle name="40% - Accent6 14 2 2 2 2 2 2" xfId="40566" xr:uid="{54BE03F7-4747-43F1-8CFF-409227FB741F}"/>
    <cellStyle name="40% - Accent6 14 2 2 2 2 3" xfId="24669" xr:uid="{00000000-0005-0000-0000-00002F4F0000}"/>
    <cellStyle name="40% - Accent6 14 2 2 2 2 3 2" xfId="48502" xr:uid="{E0E54839-573F-4719-8F20-E86F7EC3B0DA}"/>
    <cellStyle name="40% - Accent6 14 2 2 2 2 4" xfId="32625" xr:uid="{F1F28B8B-5FF2-4C0A-8C04-0ADD01137F82}"/>
    <cellStyle name="40% - Accent6 14 2 2 2 3" xfId="13185" xr:uid="{00000000-0005-0000-0000-0000304F0000}"/>
    <cellStyle name="40% - Accent6 14 2 2 2 3 2" xfId="37035" xr:uid="{1AFC36B1-1870-41D4-AF6F-04259366DB06}"/>
    <cellStyle name="40% - Accent6 14 2 2 2 4" xfId="21140" xr:uid="{00000000-0005-0000-0000-0000314F0000}"/>
    <cellStyle name="40% - Accent6 14 2 2 2 4 2" xfId="44973" xr:uid="{A91D43CA-FB22-4128-AE59-71EFFA1B37CE}"/>
    <cellStyle name="40% - Accent6 14 2 2 2 5" xfId="29094" xr:uid="{CED1C5F0-60C8-42CC-B261-61A221B4256C}"/>
    <cellStyle name="40% - Accent6 14 2 2 3" xfId="6993" xr:uid="{00000000-0005-0000-0000-0000324F0000}"/>
    <cellStyle name="40% - Accent6 14 2 2 3 2" xfId="14965" xr:uid="{00000000-0005-0000-0000-0000334F0000}"/>
    <cellStyle name="40% - Accent6 14 2 2 3 2 2" xfId="38808" xr:uid="{5B17B0F7-136E-4902-AE72-E661C42F07EC}"/>
    <cellStyle name="40% - Accent6 14 2 2 3 3" xfId="22912" xr:uid="{00000000-0005-0000-0000-0000344F0000}"/>
    <cellStyle name="40% - Accent6 14 2 2 3 3 2" xfId="46745" xr:uid="{A086197B-74C6-4ECD-A13E-4F86234E7AC0}"/>
    <cellStyle name="40% - Accent6 14 2 2 3 4" xfId="30867" xr:uid="{05155DA2-9413-4311-8548-AAEEB25FD8C2}"/>
    <cellStyle name="40% - Accent6 14 2 2 4" xfId="11429" xr:uid="{00000000-0005-0000-0000-0000354F0000}"/>
    <cellStyle name="40% - Accent6 14 2 2 4 2" xfId="35279" xr:uid="{3B3667E2-A00C-4258-A91F-6C59C8B70277}"/>
    <cellStyle name="40% - Accent6 14 2 2 5" xfId="19384" xr:uid="{00000000-0005-0000-0000-0000364F0000}"/>
    <cellStyle name="40% - Accent6 14 2 2 5 2" xfId="43217" xr:uid="{5C12AEED-8178-418F-9446-57626B6B83F4}"/>
    <cellStyle name="40% - Accent6 14 2 2 6" xfId="27337" xr:uid="{A83373A6-948D-429C-BB50-AAB1F2F8E533}"/>
    <cellStyle name="40% - Accent6 14 2 2_Exh G" xfId="3339" xr:uid="{00000000-0005-0000-0000-0000374F0000}"/>
    <cellStyle name="40% - Accent6 14 2 3" xfId="4282" xr:uid="{00000000-0005-0000-0000-0000384F0000}"/>
    <cellStyle name="40% - Accent6 14 2 3 2" xfId="7874" xr:uid="{00000000-0005-0000-0000-0000394F0000}"/>
    <cellStyle name="40% - Accent6 14 2 3 2 2" xfId="15845" xr:uid="{00000000-0005-0000-0000-00003A4F0000}"/>
    <cellStyle name="40% - Accent6 14 2 3 2 2 2" xfId="39688" xr:uid="{6AC5FDE1-6B1D-41F4-ACFC-474F88A12427}"/>
    <cellStyle name="40% - Accent6 14 2 3 2 3" xfId="23791" xr:uid="{00000000-0005-0000-0000-00003B4F0000}"/>
    <cellStyle name="40% - Accent6 14 2 3 2 3 2" xfId="47624" xr:uid="{30A15886-A2F9-49FF-94EC-7AE3F502687D}"/>
    <cellStyle name="40% - Accent6 14 2 3 2 4" xfId="31747" xr:uid="{BBF962D8-65DB-4367-9974-6B7F3C546C65}"/>
    <cellStyle name="40% - Accent6 14 2 3 3" xfId="12307" xr:uid="{00000000-0005-0000-0000-00003C4F0000}"/>
    <cellStyle name="40% - Accent6 14 2 3 3 2" xfId="36157" xr:uid="{57C7C76D-61AA-4532-A447-2474CAE8B9BD}"/>
    <cellStyle name="40% - Accent6 14 2 3 4" xfId="20262" xr:uid="{00000000-0005-0000-0000-00003D4F0000}"/>
    <cellStyle name="40% - Accent6 14 2 3 4 2" xfId="44095" xr:uid="{A13C191F-0455-4B6A-88B5-9063C3C8CE4E}"/>
    <cellStyle name="40% - Accent6 14 2 3 5" xfId="28216" xr:uid="{7C67E300-5BE2-4CEA-BFD3-4AA074F0FE97}"/>
    <cellStyle name="40% - Accent6 14 2 4" xfId="6102" xr:uid="{00000000-0005-0000-0000-00003E4F0000}"/>
    <cellStyle name="40% - Accent6 14 2 4 2" xfId="14086" xr:uid="{00000000-0005-0000-0000-00003F4F0000}"/>
    <cellStyle name="40% - Accent6 14 2 4 2 2" xfId="37930" xr:uid="{FD1E5ECB-1131-4773-AD8D-D29DD9B9716F}"/>
    <cellStyle name="40% - Accent6 14 2 4 3" xfId="22034" xr:uid="{00000000-0005-0000-0000-0000404F0000}"/>
    <cellStyle name="40% - Accent6 14 2 4 3 2" xfId="45867" xr:uid="{A9127CDA-17DE-46F6-B1AC-E2864E0A5EF7}"/>
    <cellStyle name="40% - Accent6 14 2 4 4" xfId="29989" xr:uid="{64973D88-9E26-4B6F-A028-E1FE7DC1EED1}"/>
    <cellStyle name="40% - Accent6 14 2 5" xfId="9655" xr:uid="{00000000-0005-0000-0000-0000414F0000}"/>
    <cellStyle name="40% - Accent6 14 2 5 2" xfId="17613" xr:uid="{00000000-0005-0000-0000-0000424F0000}"/>
    <cellStyle name="40% - Accent6 14 2 5 2 2" xfId="41454" xr:uid="{ECB234DB-14E2-497B-B582-16E9BF3DF834}"/>
    <cellStyle name="40% - Accent6 14 2 5 3" xfId="25557" xr:uid="{00000000-0005-0000-0000-0000434F0000}"/>
    <cellStyle name="40% - Accent6 14 2 5 3 2" xfId="49390" xr:uid="{A37FDEAA-FB33-4FC5-B716-20FD06B760A7}"/>
    <cellStyle name="40% - Accent6 14 2 5 4" xfId="33513" xr:uid="{863817CC-6D18-4BD0-B12A-2A7E03D63110}"/>
    <cellStyle name="40% - Accent6 14 2 6" xfId="10551" xr:uid="{00000000-0005-0000-0000-0000444F0000}"/>
    <cellStyle name="40% - Accent6 14 2 6 2" xfId="34401" xr:uid="{03C49DEA-23C7-4899-A206-1FA84B75551D}"/>
    <cellStyle name="40% - Accent6 14 2 7" xfId="18506" xr:uid="{00000000-0005-0000-0000-0000454F0000}"/>
    <cellStyle name="40% - Accent6 14 2 7 2" xfId="42339" xr:uid="{E9077067-7074-4F02-87DA-815C5DEBDCB6}"/>
    <cellStyle name="40% - Accent6 14 2 8" xfId="26459" xr:uid="{1F8D13EE-859C-4088-B484-6B106A8A4757}"/>
    <cellStyle name="40% - Accent6 14 2_Exh G" xfId="3338" xr:uid="{00000000-0005-0000-0000-0000464F0000}"/>
    <cellStyle name="40% - Accent6 14 3" xfId="1630" xr:uid="{00000000-0005-0000-0000-0000474F0000}"/>
    <cellStyle name="40% - Accent6 14 3 2" xfId="5160" xr:uid="{00000000-0005-0000-0000-0000484F0000}"/>
    <cellStyle name="40% - Accent6 14 3 2 2" xfId="8751" xr:uid="{00000000-0005-0000-0000-0000494F0000}"/>
    <cellStyle name="40% - Accent6 14 3 2 2 2" xfId="16722" xr:uid="{00000000-0005-0000-0000-00004A4F0000}"/>
    <cellStyle name="40% - Accent6 14 3 2 2 2 2" xfId="40565" xr:uid="{84B68975-6A69-4297-B03C-6B9DEF8A5B5B}"/>
    <cellStyle name="40% - Accent6 14 3 2 2 3" xfId="24668" xr:uid="{00000000-0005-0000-0000-00004B4F0000}"/>
    <cellStyle name="40% - Accent6 14 3 2 2 3 2" xfId="48501" xr:uid="{6C82EB69-2341-48DD-AC16-5A79982982B9}"/>
    <cellStyle name="40% - Accent6 14 3 2 2 4" xfId="32624" xr:uid="{18B9A2EF-09F6-4B6B-8DFC-B74D95B9FD5A}"/>
    <cellStyle name="40% - Accent6 14 3 2 3" xfId="13184" xr:uid="{00000000-0005-0000-0000-00004C4F0000}"/>
    <cellStyle name="40% - Accent6 14 3 2 3 2" xfId="37034" xr:uid="{4D145607-E77E-4410-9975-16A4CA577A0B}"/>
    <cellStyle name="40% - Accent6 14 3 2 4" xfId="21139" xr:uid="{00000000-0005-0000-0000-00004D4F0000}"/>
    <cellStyle name="40% - Accent6 14 3 2 4 2" xfId="44972" xr:uid="{732D6C89-BB09-4381-B9D3-2070E54BAC5C}"/>
    <cellStyle name="40% - Accent6 14 3 2 5" xfId="29093" xr:uid="{ED4C7B5A-7CAF-43FD-9A88-B5F6A34BACB2}"/>
    <cellStyle name="40% - Accent6 14 3 3" xfId="6992" xr:uid="{00000000-0005-0000-0000-00004E4F0000}"/>
    <cellStyle name="40% - Accent6 14 3 3 2" xfId="14964" xr:uid="{00000000-0005-0000-0000-00004F4F0000}"/>
    <cellStyle name="40% - Accent6 14 3 3 2 2" xfId="38807" xr:uid="{712AB943-F848-4685-A18A-F76AF6039407}"/>
    <cellStyle name="40% - Accent6 14 3 3 3" xfId="22911" xr:uid="{00000000-0005-0000-0000-0000504F0000}"/>
    <cellStyle name="40% - Accent6 14 3 3 3 2" xfId="46744" xr:uid="{D89F9174-2688-4D8E-84F4-8308AFAD504F}"/>
    <cellStyle name="40% - Accent6 14 3 3 4" xfId="30866" xr:uid="{44920894-CB3D-4A49-90B4-1D9B592D6F15}"/>
    <cellStyle name="40% - Accent6 14 3 4" xfId="11428" xr:uid="{00000000-0005-0000-0000-0000514F0000}"/>
    <cellStyle name="40% - Accent6 14 3 4 2" xfId="35278" xr:uid="{0FC9706A-EAE3-4DB6-AEA4-E12C87E6C83B}"/>
    <cellStyle name="40% - Accent6 14 3 5" xfId="19383" xr:uid="{00000000-0005-0000-0000-0000524F0000}"/>
    <cellStyle name="40% - Accent6 14 3 5 2" xfId="43216" xr:uid="{48963939-FA55-4F67-93E9-53960190CE81}"/>
    <cellStyle name="40% - Accent6 14 3 6" xfId="27336" xr:uid="{361B0EDF-4B75-4904-A095-F068DCB050C1}"/>
    <cellStyle name="40% - Accent6 14 3_Exh G" xfId="3340" xr:uid="{00000000-0005-0000-0000-0000534F0000}"/>
    <cellStyle name="40% - Accent6 14 4" xfId="4281" xr:uid="{00000000-0005-0000-0000-0000544F0000}"/>
    <cellStyle name="40% - Accent6 14 4 2" xfId="7873" xr:uid="{00000000-0005-0000-0000-0000554F0000}"/>
    <cellStyle name="40% - Accent6 14 4 2 2" xfId="15844" xr:uid="{00000000-0005-0000-0000-0000564F0000}"/>
    <cellStyle name="40% - Accent6 14 4 2 2 2" xfId="39687" xr:uid="{8BCD82A1-C7E8-49EE-9A35-D34443EE3D9F}"/>
    <cellStyle name="40% - Accent6 14 4 2 3" xfId="23790" xr:uid="{00000000-0005-0000-0000-0000574F0000}"/>
    <cellStyle name="40% - Accent6 14 4 2 3 2" xfId="47623" xr:uid="{5B746F7B-64CA-4BE0-8348-273544489FC0}"/>
    <cellStyle name="40% - Accent6 14 4 2 4" xfId="31746" xr:uid="{8BFE80B6-84D7-45F7-B951-6CB5382ACE69}"/>
    <cellStyle name="40% - Accent6 14 4 3" xfId="12306" xr:uid="{00000000-0005-0000-0000-0000584F0000}"/>
    <cellStyle name="40% - Accent6 14 4 3 2" xfId="36156" xr:uid="{3501362A-BD02-4275-AD34-8344E02E1BD0}"/>
    <cellStyle name="40% - Accent6 14 4 4" xfId="20261" xr:uid="{00000000-0005-0000-0000-0000594F0000}"/>
    <cellStyle name="40% - Accent6 14 4 4 2" xfId="44094" xr:uid="{0D8E2ED4-8A17-4F60-A82A-0B54A08F9DB0}"/>
    <cellStyle name="40% - Accent6 14 4 5" xfId="28215" xr:uid="{512F533A-7D5F-4B11-93B9-1BB61B77D9E1}"/>
    <cellStyle name="40% - Accent6 14 5" xfId="6101" xr:uid="{00000000-0005-0000-0000-00005A4F0000}"/>
    <cellStyle name="40% - Accent6 14 5 2" xfId="14085" xr:uid="{00000000-0005-0000-0000-00005B4F0000}"/>
    <cellStyle name="40% - Accent6 14 5 2 2" xfId="37929" xr:uid="{D46EA710-869C-426E-A8FC-1B0F25906D8F}"/>
    <cellStyle name="40% - Accent6 14 5 3" xfId="22033" xr:uid="{00000000-0005-0000-0000-00005C4F0000}"/>
    <cellStyle name="40% - Accent6 14 5 3 2" xfId="45866" xr:uid="{BC5910F1-DA75-4DC8-ACB2-D27852F82319}"/>
    <cellStyle name="40% - Accent6 14 5 4" xfId="29988" xr:uid="{C91461BF-FB6E-47C2-9A7D-28AEAC96424C}"/>
    <cellStyle name="40% - Accent6 14 6" xfId="9654" xr:uid="{00000000-0005-0000-0000-00005D4F0000}"/>
    <cellStyle name="40% - Accent6 14 6 2" xfId="17612" xr:uid="{00000000-0005-0000-0000-00005E4F0000}"/>
    <cellStyle name="40% - Accent6 14 6 2 2" xfId="41453" xr:uid="{CDAC3103-B99F-439D-A582-D8D0F031F653}"/>
    <cellStyle name="40% - Accent6 14 6 3" xfId="25556" xr:uid="{00000000-0005-0000-0000-00005F4F0000}"/>
    <cellStyle name="40% - Accent6 14 6 3 2" xfId="49389" xr:uid="{092448B4-0F74-45A1-9C88-63A1FD717AB9}"/>
    <cellStyle name="40% - Accent6 14 6 4" xfId="33512" xr:uid="{488633EB-9FFD-40A1-8F87-363A71589E0E}"/>
    <cellStyle name="40% - Accent6 14 7" xfId="10550" xr:uid="{00000000-0005-0000-0000-0000604F0000}"/>
    <cellStyle name="40% - Accent6 14 7 2" xfId="34400" xr:uid="{061F3336-3CC0-462C-AE9C-AB57ACEA7425}"/>
    <cellStyle name="40% - Accent6 14 8" xfId="18505" xr:uid="{00000000-0005-0000-0000-0000614F0000}"/>
    <cellStyle name="40% - Accent6 14 8 2" xfId="42338" xr:uid="{5AC7B77C-827C-44D8-B7A8-80F80E282A17}"/>
    <cellStyle name="40% - Accent6 14 9" xfId="26458" xr:uid="{40684131-A3F8-439E-8783-81B604E60292}"/>
    <cellStyle name="40% - Accent6 14_Exh G" xfId="3337" xr:uid="{00000000-0005-0000-0000-0000624F0000}"/>
    <cellStyle name="40% - Accent6 15" xfId="604" xr:uid="{00000000-0005-0000-0000-0000634F0000}"/>
    <cellStyle name="40% - Accent6 15 2" xfId="1632" xr:uid="{00000000-0005-0000-0000-0000644F0000}"/>
    <cellStyle name="40% - Accent6 15 2 2" xfId="5162" xr:uid="{00000000-0005-0000-0000-0000654F0000}"/>
    <cellStyle name="40% - Accent6 15 2 2 2" xfId="8753" xr:uid="{00000000-0005-0000-0000-0000664F0000}"/>
    <cellStyle name="40% - Accent6 15 2 2 2 2" xfId="16724" xr:uid="{00000000-0005-0000-0000-0000674F0000}"/>
    <cellStyle name="40% - Accent6 15 2 2 2 2 2" xfId="40567" xr:uid="{AA0AF1E6-7D02-4AB8-8D4A-B76822EAFDD5}"/>
    <cellStyle name="40% - Accent6 15 2 2 2 3" xfId="24670" xr:uid="{00000000-0005-0000-0000-0000684F0000}"/>
    <cellStyle name="40% - Accent6 15 2 2 2 3 2" xfId="48503" xr:uid="{00134CBC-7960-4257-9EE5-19017FC49452}"/>
    <cellStyle name="40% - Accent6 15 2 2 2 4" xfId="32626" xr:uid="{BAE6E5DC-A89D-4533-A404-6F96BF2C9ABE}"/>
    <cellStyle name="40% - Accent6 15 2 2 3" xfId="13186" xr:uid="{00000000-0005-0000-0000-0000694F0000}"/>
    <cellStyle name="40% - Accent6 15 2 2 3 2" xfId="37036" xr:uid="{6E9CFC0D-C9C8-44B0-9533-579DCBF149A2}"/>
    <cellStyle name="40% - Accent6 15 2 2 4" xfId="21141" xr:uid="{00000000-0005-0000-0000-00006A4F0000}"/>
    <cellStyle name="40% - Accent6 15 2 2 4 2" xfId="44974" xr:uid="{1A37D55E-BC12-4FA3-AF31-DE12C95D5E68}"/>
    <cellStyle name="40% - Accent6 15 2 2 5" xfId="29095" xr:uid="{6C7DC56D-4102-420C-B30A-973FE0D7A609}"/>
    <cellStyle name="40% - Accent6 15 2 3" xfId="6994" xr:uid="{00000000-0005-0000-0000-00006B4F0000}"/>
    <cellStyle name="40% - Accent6 15 2 3 2" xfId="14966" xr:uid="{00000000-0005-0000-0000-00006C4F0000}"/>
    <cellStyle name="40% - Accent6 15 2 3 2 2" xfId="38809" xr:uid="{229CAE57-E992-4872-B826-EA1FD038A3FF}"/>
    <cellStyle name="40% - Accent6 15 2 3 3" xfId="22913" xr:uid="{00000000-0005-0000-0000-00006D4F0000}"/>
    <cellStyle name="40% - Accent6 15 2 3 3 2" xfId="46746" xr:uid="{E9D35DE3-8ACF-4508-BD52-EAB34B95ECB5}"/>
    <cellStyle name="40% - Accent6 15 2 3 4" xfId="30868" xr:uid="{6CE9CC83-687F-4442-A89D-EFCE65F0B244}"/>
    <cellStyle name="40% - Accent6 15 2 4" xfId="11430" xr:uid="{00000000-0005-0000-0000-00006E4F0000}"/>
    <cellStyle name="40% - Accent6 15 2 4 2" xfId="35280" xr:uid="{D0AC08A7-A5F0-4F2E-BD29-5BA2A3ACD69D}"/>
    <cellStyle name="40% - Accent6 15 2 5" xfId="19385" xr:uid="{00000000-0005-0000-0000-00006F4F0000}"/>
    <cellStyle name="40% - Accent6 15 2 5 2" xfId="43218" xr:uid="{02373AA5-BA7B-490E-ACC4-2034FE066633}"/>
    <cellStyle name="40% - Accent6 15 2 6" xfId="27338" xr:uid="{3439C69E-2669-4EE2-8131-29441448FABB}"/>
    <cellStyle name="40% - Accent6 15 2_Exh G" xfId="3342" xr:uid="{00000000-0005-0000-0000-0000704F0000}"/>
    <cellStyle name="40% - Accent6 15 3" xfId="4283" xr:uid="{00000000-0005-0000-0000-0000714F0000}"/>
    <cellStyle name="40% - Accent6 15 3 2" xfId="7875" xr:uid="{00000000-0005-0000-0000-0000724F0000}"/>
    <cellStyle name="40% - Accent6 15 3 2 2" xfId="15846" xr:uid="{00000000-0005-0000-0000-0000734F0000}"/>
    <cellStyle name="40% - Accent6 15 3 2 2 2" xfId="39689" xr:uid="{22B70888-0299-4C93-A87C-E9F63A9CAD9E}"/>
    <cellStyle name="40% - Accent6 15 3 2 3" xfId="23792" xr:uid="{00000000-0005-0000-0000-0000744F0000}"/>
    <cellStyle name="40% - Accent6 15 3 2 3 2" xfId="47625" xr:uid="{B7249B57-A007-4CBF-9267-69852F423A85}"/>
    <cellStyle name="40% - Accent6 15 3 2 4" xfId="31748" xr:uid="{FB5C66AF-EE0C-41C8-9843-5AFE8C815B6B}"/>
    <cellStyle name="40% - Accent6 15 3 3" xfId="12308" xr:uid="{00000000-0005-0000-0000-0000754F0000}"/>
    <cellStyle name="40% - Accent6 15 3 3 2" xfId="36158" xr:uid="{B23624E7-8C65-4D05-A448-CBE7CF8B2306}"/>
    <cellStyle name="40% - Accent6 15 3 4" xfId="20263" xr:uid="{00000000-0005-0000-0000-0000764F0000}"/>
    <cellStyle name="40% - Accent6 15 3 4 2" xfId="44096" xr:uid="{21B7BDB2-9EFB-41D2-AD97-08BB111299E0}"/>
    <cellStyle name="40% - Accent6 15 3 5" xfId="28217" xr:uid="{6AD5F9E5-4DCC-423C-A709-9016D6146C80}"/>
    <cellStyle name="40% - Accent6 15 4" xfId="6103" xr:uid="{00000000-0005-0000-0000-0000774F0000}"/>
    <cellStyle name="40% - Accent6 15 4 2" xfId="14087" xr:uid="{00000000-0005-0000-0000-0000784F0000}"/>
    <cellStyle name="40% - Accent6 15 4 2 2" xfId="37931" xr:uid="{16623FCC-D328-4D2C-999F-F49742044B22}"/>
    <cellStyle name="40% - Accent6 15 4 3" xfId="22035" xr:uid="{00000000-0005-0000-0000-0000794F0000}"/>
    <cellStyle name="40% - Accent6 15 4 3 2" xfId="45868" xr:uid="{D02C0ADC-69E5-48A9-AFBF-5E9A04EBBB51}"/>
    <cellStyle name="40% - Accent6 15 4 4" xfId="29990" xr:uid="{E4C4E25F-FDC5-4F8D-AB2F-F0178E70DB18}"/>
    <cellStyle name="40% - Accent6 15 5" xfId="9656" xr:uid="{00000000-0005-0000-0000-00007A4F0000}"/>
    <cellStyle name="40% - Accent6 15 5 2" xfId="17614" xr:uid="{00000000-0005-0000-0000-00007B4F0000}"/>
    <cellStyle name="40% - Accent6 15 5 2 2" xfId="41455" xr:uid="{2B64B88B-62C4-4186-8534-0DDB137B9CAF}"/>
    <cellStyle name="40% - Accent6 15 5 3" xfId="25558" xr:uid="{00000000-0005-0000-0000-00007C4F0000}"/>
    <cellStyle name="40% - Accent6 15 5 3 2" xfId="49391" xr:uid="{6F21AA96-4EDA-418E-A83E-EC3270AFBCFB}"/>
    <cellStyle name="40% - Accent6 15 5 4" xfId="33514" xr:uid="{3758FC94-F787-4319-92F8-AAD5402B03BE}"/>
    <cellStyle name="40% - Accent6 15 6" xfId="10552" xr:uid="{00000000-0005-0000-0000-00007D4F0000}"/>
    <cellStyle name="40% - Accent6 15 6 2" xfId="34402" xr:uid="{4084343F-DCD6-47D4-AAFA-19C010F925ED}"/>
    <cellStyle name="40% - Accent6 15 7" xfId="18507" xr:uid="{00000000-0005-0000-0000-00007E4F0000}"/>
    <cellStyle name="40% - Accent6 15 7 2" xfId="42340" xr:uid="{AABA78D8-FC27-4A78-BB06-D8CBDA99B2EA}"/>
    <cellStyle name="40% - Accent6 15 8" xfId="26460" xr:uid="{70597E3F-39ED-4FD9-8F58-5D904D1FEF6F}"/>
    <cellStyle name="40% - Accent6 15_Exh G" xfId="3341" xr:uid="{00000000-0005-0000-0000-00007F4F0000}"/>
    <cellStyle name="40% - Accent6 16" xfId="854" xr:uid="{00000000-0005-0000-0000-0000804F0000}"/>
    <cellStyle name="40% - Accent6 16 2" xfId="1793" xr:uid="{00000000-0005-0000-0000-0000814F0000}"/>
    <cellStyle name="40% - Accent6 16 2 2" xfId="5314" xr:uid="{00000000-0005-0000-0000-0000824F0000}"/>
    <cellStyle name="40% - Accent6 16 2 2 2" xfId="8905" xr:uid="{00000000-0005-0000-0000-0000834F0000}"/>
    <cellStyle name="40% - Accent6 16 2 2 2 2" xfId="16876" xr:uid="{00000000-0005-0000-0000-0000844F0000}"/>
    <cellStyle name="40% - Accent6 16 2 2 2 2 2" xfId="40719" xr:uid="{6BF90B9C-A18F-49CE-81A1-3002F59386E3}"/>
    <cellStyle name="40% - Accent6 16 2 2 2 3" xfId="24822" xr:uid="{00000000-0005-0000-0000-0000854F0000}"/>
    <cellStyle name="40% - Accent6 16 2 2 2 3 2" xfId="48655" xr:uid="{936EDFF9-E8EF-4A4D-862D-79397C6FB29B}"/>
    <cellStyle name="40% - Accent6 16 2 2 2 4" xfId="32778" xr:uid="{CB659100-3566-4DB6-8D22-F58A792C56B4}"/>
    <cellStyle name="40% - Accent6 16 2 2 3" xfId="13338" xr:uid="{00000000-0005-0000-0000-0000864F0000}"/>
    <cellStyle name="40% - Accent6 16 2 2 3 2" xfId="37188" xr:uid="{D49653FB-B60B-4C18-BA3E-3030DF37BC5C}"/>
    <cellStyle name="40% - Accent6 16 2 2 4" xfId="21293" xr:uid="{00000000-0005-0000-0000-0000874F0000}"/>
    <cellStyle name="40% - Accent6 16 2 2 4 2" xfId="45126" xr:uid="{D5FDCEEE-8AB2-45FA-9F67-07A6E1B64AB3}"/>
    <cellStyle name="40% - Accent6 16 2 2 5" xfId="29247" xr:uid="{307DC634-445D-4102-9271-FBA6F17811D2}"/>
    <cellStyle name="40% - Accent6 16 2 3" xfId="7146" xr:uid="{00000000-0005-0000-0000-0000884F0000}"/>
    <cellStyle name="40% - Accent6 16 2 3 2" xfId="15118" xr:uid="{00000000-0005-0000-0000-0000894F0000}"/>
    <cellStyle name="40% - Accent6 16 2 3 2 2" xfId="38961" xr:uid="{7D791E97-DF8F-4064-804B-DBE5FC8172D9}"/>
    <cellStyle name="40% - Accent6 16 2 3 3" xfId="23065" xr:uid="{00000000-0005-0000-0000-00008A4F0000}"/>
    <cellStyle name="40% - Accent6 16 2 3 3 2" xfId="46898" xr:uid="{90DE0E44-5670-4CB3-972E-8970B0717665}"/>
    <cellStyle name="40% - Accent6 16 2 3 4" xfId="31020" xr:uid="{A2CD1E5D-A3FE-429A-914F-3DB537D6CDC7}"/>
    <cellStyle name="40% - Accent6 16 2 4" xfId="11582" xr:uid="{00000000-0005-0000-0000-00008B4F0000}"/>
    <cellStyle name="40% - Accent6 16 2 4 2" xfId="35432" xr:uid="{AC325946-D885-4BA5-81DE-0DF8CE72AF6A}"/>
    <cellStyle name="40% - Accent6 16 2 5" xfId="19537" xr:uid="{00000000-0005-0000-0000-00008C4F0000}"/>
    <cellStyle name="40% - Accent6 16 2 5 2" xfId="43370" xr:uid="{2DFD7DB7-7535-4B1E-9EEB-222FBC8400BE}"/>
    <cellStyle name="40% - Accent6 16 2 6" xfId="27490" xr:uid="{16279FE3-0F97-4298-AE18-E81148E8AC10}"/>
    <cellStyle name="40% - Accent6 16 2_Exh G" xfId="3344" xr:uid="{00000000-0005-0000-0000-00008D4F0000}"/>
    <cellStyle name="40% - Accent6 16 3" xfId="4435" xr:uid="{00000000-0005-0000-0000-00008E4F0000}"/>
    <cellStyle name="40% - Accent6 16 3 2" xfId="8027" xr:uid="{00000000-0005-0000-0000-00008F4F0000}"/>
    <cellStyle name="40% - Accent6 16 3 2 2" xfId="15998" xr:uid="{00000000-0005-0000-0000-0000904F0000}"/>
    <cellStyle name="40% - Accent6 16 3 2 2 2" xfId="39841" xr:uid="{BFB5F1B5-0232-4C82-A44D-1B862F9A853F}"/>
    <cellStyle name="40% - Accent6 16 3 2 3" xfId="23944" xr:uid="{00000000-0005-0000-0000-0000914F0000}"/>
    <cellStyle name="40% - Accent6 16 3 2 3 2" xfId="47777" xr:uid="{9C0A2721-B9A1-4BC3-8588-6E598E8E03A6}"/>
    <cellStyle name="40% - Accent6 16 3 2 4" xfId="31900" xr:uid="{02E249AC-C630-46BA-A036-05B31966738D}"/>
    <cellStyle name="40% - Accent6 16 3 3" xfId="12460" xr:uid="{00000000-0005-0000-0000-0000924F0000}"/>
    <cellStyle name="40% - Accent6 16 3 3 2" xfId="36310" xr:uid="{3EDA14EE-963D-445C-9DBE-C515B1342758}"/>
    <cellStyle name="40% - Accent6 16 3 4" xfId="20415" xr:uid="{00000000-0005-0000-0000-0000934F0000}"/>
    <cellStyle name="40% - Accent6 16 3 4 2" xfId="44248" xr:uid="{666015CE-1FC3-472A-BDFB-5B06A1EECF26}"/>
    <cellStyle name="40% - Accent6 16 3 5" xfId="28369" xr:uid="{86865F4D-C901-4524-A01D-A4BF775494B3}"/>
    <cellStyle name="40% - Accent6 16 4" xfId="6265" xr:uid="{00000000-0005-0000-0000-0000944F0000}"/>
    <cellStyle name="40% - Accent6 16 4 2" xfId="14240" xr:uid="{00000000-0005-0000-0000-0000954F0000}"/>
    <cellStyle name="40% - Accent6 16 4 2 2" xfId="38083" xr:uid="{5C8C2345-D055-4EBD-B509-E89FBFF9A2AB}"/>
    <cellStyle name="40% - Accent6 16 4 3" xfId="22187" xr:uid="{00000000-0005-0000-0000-0000964F0000}"/>
    <cellStyle name="40% - Accent6 16 4 3 2" xfId="46020" xr:uid="{E6E3FBBA-C000-4499-BB9A-A69D3021D8A5}"/>
    <cellStyle name="40% - Accent6 16 4 4" xfId="30142" xr:uid="{62EC8CA9-E488-4ABF-AF71-DA56FD10A932}"/>
    <cellStyle name="40% - Accent6 16 5" xfId="9808" xr:uid="{00000000-0005-0000-0000-0000974F0000}"/>
    <cellStyle name="40% - Accent6 16 5 2" xfId="17766" xr:uid="{00000000-0005-0000-0000-0000984F0000}"/>
    <cellStyle name="40% - Accent6 16 5 2 2" xfId="41607" xr:uid="{52D17F3E-A79B-43B5-AFF6-3E023D04529E}"/>
    <cellStyle name="40% - Accent6 16 5 3" xfId="25710" xr:uid="{00000000-0005-0000-0000-0000994F0000}"/>
    <cellStyle name="40% - Accent6 16 5 3 2" xfId="49543" xr:uid="{DFC74780-16C6-4E7D-B766-7E3FAA5A037D}"/>
    <cellStyle name="40% - Accent6 16 5 4" xfId="33666" xr:uid="{2DEDE8C2-B90A-4A0D-8123-D5CCCF113DBD}"/>
    <cellStyle name="40% - Accent6 16 6" xfId="10704" xr:uid="{00000000-0005-0000-0000-00009A4F0000}"/>
    <cellStyle name="40% - Accent6 16 6 2" xfId="34554" xr:uid="{3D573962-D560-43A8-B2CF-C0918E93CFB5}"/>
    <cellStyle name="40% - Accent6 16 7" xfId="18659" xr:uid="{00000000-0005-0000-0000-00009B4F0000}"/>
    <cellStyle name="40% - Accent6 16 7 2" xfId="42492" xr:uid="{B0F578D6-AF57-40D4-A8D5-31D7B54337C3}"/>
    <cellStyle name="40% - Accent6 16 8" xfId="26612" xr:uid="{F4B5477C-01B5-40F9-B21D-F5D4045D6B8B}"/>
    <cellStyle name="40% - Accent6 16_Exh G" xfId="3343" xr:uid="{00000000-0005-0000-0000-00009C4F0000}"/>
    <cellStyle name="40% - Accent6 17" xfId="49806" xr:uid="{60AD41B5-0542-4FE1-8B26-83CEFE52DEAC}"/>
    <cellStyle name="40% - Accent6 2" xfId="605" xr:uid="{00000000-0005-0000-0000-00009D4F0000}"/>
    <cellStyle name="40% - Accent6 2 10" xfId="18508" xr:uid="{00000000-0005-0000-0000-00009E4F0000}"/>
    <cellStyle name="40% - Accent6 2 10 2" xfId="42341" xr:uid="{5FF041EF-CE50-444F-A116-6F512827CA4F}"/>
    <cellStyle name="40% - Accent6 2 11" xfId="26461" xr:uid="{D93C9509-9238-4FC8-987E-CF1610111F58}"/>
    <cellStyle name="40% - Accent6 2 12" xfId="49791" xr:uid="{175283D7-0F46-41BF-8D02-EBBBCDC91C77}"/>
    <cellStyle name="40% - Accent6 2 13" xfId="49819" xr:uid="{E4A7DADC-2FAE-4279-B5E9-85ACB7F036E4}"/>
    <cellStyle name="40% - Accent6 2 2" xfId="606" xr:uid="{00000000-0005-0000-0000-00009F4F0000}"/>
    <cellStyle name="40% - Accent6 2 2 10" xfId="26462" xr:uid="{192F8296-3361-4498-ADE5-3F326A9B17D0}"/>
    <cellStyle name="40% - Accent6 2 2 2" xfId="607" xr:uid="{00000000-0005-0000-0000-0000A04F0000}"/>
    <cellStyle name="40% - Accent6 2 2 2 2" xfId="1635" xr:uid="{00000000-0005-0000-0000-0000A14F0000}"/>
    <cellStyle name="40% - Accent6 2 2 2 2 2" xfId="5165" xr:uid="{00000000-0005-0000-0000-0000A24F0000}"/>
    <cellStyle name="40% - Accent6 2 2 2 2 2 2" xfId="8756" xr:uid="{00000000-0005-0000-0000-0000A34F0000}"/>
    <cellStyle name="40% - Accent6 2 2 2 2 2 2 2" xfId="16727" xr:uid="{00000000-0005-0000-0000-0000A44F0000}"/>
    <cellStyle name="40% - Accent6 2 2 2 2 2 2 2 2" xfId="40570" xr:uid="{CD851387-620B-482D-AD05-65F956CAFAEA}"/>
    <cellStyle name="40% - Accent6 2 2 2 2 2 2 3" xfId="24673" xr:uid="{00000000-0005-0000-0000-0000A54F0000}"/>
    <cellStyle name="40% - Accent6 2 2 2 2 2 2 3 2" xfId="48506" xr:uid="{D5F4A459-4493-47CC-9870-72B5AD0EA324}"/>
    <cellStyle name="40% - Accent6 2 2 2 2 2 2 4" xfId="32629" xr:uid="{0B5C4C9D-A938-441A-89C8-49895E60807D}"/>
    <cellStyle name="40% - Accent6 2 2 2 2 2 3" xfId="13189" xr:uid="{00000000-0005-0000-0000-0000A64F0000}"/>
    <cellStyle name="40% - Accent6 2 2 2 2 2 3 2" xfId="37039" xr:uid="{C4E0D618-ACBE-460C-AFBC-8B94902F2D69}"/>
    <cellStyle name="40% - Accent6 2 2 2 2 2 4" xfId="21144" xr:uid="{00000000-0005-0000-0000-0000A74F0000}"/>
    <cellStyle name="40% - Accent6 2 2 2 2 2 4 2" xfId="44977" xr:uid="{E2DC602B-A25D-41F2-BDBB-61D8F716DD53}"/>
    <cellStyle name="40% - Accent6 2 2 2 2 2 5" xfId="29098" xr:uid="{EB1FDEA4-776C-46E9-89B0-9AAEC48575D4}"/>
    <cellStyle name="40% - Accent6 2 2 2 2 3" xfId="6997" xr:uid="{00000000-0005-0000-0000-0000A84F0000}"/>
    <cellStyle name="40% - Accent6 2 2 2 2 3 2" xfId="14969" xr:uid="{00000000-0005-0000-0000-0000A94F0000}"/>
    <cellStyle name="40% - Accent6 2 2 2 2 3 2 2" xfId="38812" xr:uid="{0D060449-CC96-4712-B232-375F149107C2}"/>
    <cellStyle name="40% - Accent6 2 2 2 2 3 3" xfId="22916" xr:uid="{00000000-0005-0000-0000-0000AA4F0000}"/>
    <cellStyle name="40% - Accent6 2 2 2 2 3 3 2" xfId="46749" xr:uid="{29520847-803C-4DE8-92C3-6505A1673F4B}"/>
    <cellStyle name="40% - Accent6 2 2 2 2 3 4" xfId="30871" xr:uid="{3384C2B0-0976-417F-B2F4-02F67FBEB379}"/>
    <cellStyle name="40% - Accent6 2 2 2 2 4" xfId="11433" xr:uid="{00000000-0005-0000-0000-0000AB4F0000}"/>
    <cellStyle name="40% - Accent6 2 2 2 2 4 2" xfId="35283" xr:uid="{016D12C0-64C8-4AC2-8372-DAED88AF549F}"/>
    <cellStyle name="40% - Accent6 2 2 2 2 5" xfId="19388" xr:uid="{00000000-0005-0000-0000-0000AC4F0000}"/>
    <cellStyle name="40% - Accent6 2 2 2 2 5 2" xfId="43221" xr:uid="{74737B67-2EFF-480B-B2F8-757682683FAB}"/>
    <cellStyle name="40% - Accent6 2 2 2 2 6" xfId="27341" xr:uid="{5974C96C-4F27-4F04-A453-DED02BC04EB8}"/>
    <cellStyle name="40% - Accent6 2 2 2 2_Exh G" xfId="3348" xr:uid="{00000000-0005-0000-0000-0000AD4F0000}"/>
    <cellStyle name="40% - Accent6 2 2 2 3" xfId="4286" xr:uid="{00000000-0005-0000-0000-0000AE4F0000}"/>
    <cellStyle name="40% - Accent6 2 2 2 3 2" xfId="7878" xr:uid="{00000000-0005-0000-0000-0000AF4F0000}"/>
    <cellStyle name="40% - Accent6 2 2 2 3 2 2" xfId="15849" xr:uid="{00000000-0005-0000-0000-0000B04F0000}"/>
    <cellStyle name="40% - Accent6 2 2 2 3 2 2 2" xfId="39692" xr:uid="{3C30CC71-2B3B-4964-AC6C-AE779AEBFF13}"/>
    <cellStyle name="40% - Accent6 2 2 2 3 2 3" xfId="23795" xr:uid="{00000000-0005-0000-0000-0000B14F0000}"/>
    <cellStyle name="40% - Accent6 2 2 2 3 2 3 2" xfId="47628" xr:uid="{49F6CE24-22FA-4426-A4B5-8A4E54E78C80}"/>
    <cellStyle name="40% - Accent6 2 2 2 3 2 4" xfId="31751" xr:uid="{A842E899-0C96-46D0-9336-B05C188129B8}"/>
    <cellStyle name="40% - Accent6 2 2 2 3 3" xfId="12311" xr:uid="{00000000-0005-0000-0000-0000B24F0000}"/>
    <cellStyle name="40% - Accent6 2 2 2 3 3 2" xfId="36161" xr:uid="{07896E57-A170-485F-9FD4-674DF250223B}"/>
    <cellStyle name="40% - Accent6 2 2 2 3 4" xfId="20266" xr:uid="{00000000-0005-0000-0000-0000B34F0000}"/>
    <cellStyle name="40% - Accent6 2 2 2 3 4 2" xfId="44099" xr:uid="{A577424B-C67E-4678-A700-61520A563DAE}"/>
    <cellStyle name="40% - Accent6 2 2 2 3 5" xfId="28220" xr:uid="{0A83A990-AAE3-4C3D-9FF6-6CD80957B2EF}"/>
    <cellStyle name="40% - Accent6 2 2 2 4" xfId="6106" xr:uid="{00000000-0005-0000-0000-0000B44F0000}"/>
    <cellStyle name="40% - Accent6 2 2 2 4 2" xfId="14090" xr:uid="{00000000-0005-0000-0000-0000B54F0000}"/>
    <cellStyle name="40% - Accent6 2 2 2 4 2 2" xfId="37934" xr:uid="{34A1DE59-0476-49B7-83E1-784F7DDC8339}"/>
    <cellStyle name="40% - Accent6 2 2 2 4 3" xfId="22038" xr:uid="{00000000-0005-0000-0000-0000B64F0000}"/>
    <cellStyle name="40% - Accent6 2 2 2 4 3 2" xfId="45871" xr:uid="{D2411554-DC84-484E-B22D-10ABBA0C1535}"/>
    <cellStyle name="40% - Accent6 2 2 2 4 4" xfId="29993" xr:uid="{15339FC7-EDAC-46D2-970D-627DDBC5A781}"/>
    <cellStyle name="40% - Accent6 2 2 2 5" xfId="9659" xr:uid="{00000000-0005-0000-0000-0000B74F0000}"/>
    <cellStyle name="40% - Accent6 2 2 2 5 2" xfId="17617" xr:uid="{00000000-0005-0000-0000-0000B84F0000}"/>
    <cellStyle name="40% - Accent6 2 2 2 5 2 2" xfId="41458" xr:uid="{818C43B5-FDA7-4AE1-BF15-41456CE398F0}"/>
    <cellStyle name="40% - Accent6 2 2 2 5 3" xfId="25561" xr:uid="{00000000-0005-0000-0000-0000B94F0000}"/>
    <cellStyle name="40% - Accent6 2 2 2 5 3 2" xfId="49394" xr:uid="{6FE336F7-37F5-457A-AFAD-D548CAE12F0A}"/>
    <cellStyle name="40% - Accent6 2 2 2 5 4" xfId="33517" xr:uid="{9BCB1B53-1B8F-457F-9CDA-DF6AD376C54B}"/>
    <cellStyle name="40% - Accent6 2 2 2 6" xfId="10555" xr:uid="{00000000-0005-0000-0000-0000BA4F0000}"/>
    <cellStyle name="40% - Accent6 2 2 2 6 2" xfId="34405" xr:uid="{79AD3B10-DBE0-4A2B-A246-B524883C887A}"/>
    <cellStyle name="40% - Accent6 2 2 2 7" xfId="18510" xr:uid="{00000000-0005-0000-0000-0000BB4F0000}"/>
    <cellStyle name="40% - Accent6 2 2 2 7 2" xfId="42343" xr:uid="{7488CE5A-DF2F-4254-BACA-2DBA64AF8D6D}"/>
    <cellStyle name="40% - Accent6 2 2 2 8" xfId="26463" xr:uid="{DC13BFFE-678B-4ED7-A92F-2535A0F7D071}"/>
    <cellStyle name="40% - Accent6 2 2 2_Exh G" xfId="3347" xr:uid="{00000000-0005-0000-0000-0000BC4F0000}"/>
    <cellStyle name="40% - Accent6 2 2 3" xfId="996" xr:uid="{00000000-0005-0000-0000-0000BD4F0000}"/>
    <cellStyle name="40% - Accent6 2 2 3 2" xfId="1910" xr:uid="{00000000-0005-0000-0000-0000BE4F0000}"/>
    <cellStyle name="40% - Accent6 2 2 3 2 2" xfId="5428" xr:uid="{00000000-0005-0000-0000-0000BF4F0000}"/>
    <cellStyle name="40% - Accent6 2 2 3 2 2 2" xfId="9019" xr:uid="{00000000-0005-0000-0000-0000C04F0000}"/>
    <cellStyle name="40% - Accent6 2 2 3 2 2 2 2" xfId="16990" xr:uid="{00000000-0005-0000-0000-0000C14F0000}"/>
    <cellStyle name="40% - Accent6 2 2 3 2 2 2 2 2" xfId="40833" xr:uid="{92E2F511-F3F2-485D-A089-68FB8BC4A8F8}"/>
    <cellStyle name="40% - Accent6 2 2 3 2 2 2 3" xfId="24936" xr:uid="{00000000-0005-0000-0000-0000C24F0000}"/>
    <cellStyle name="40% - Accent6 2 2 3 2 2 2 3 2" xfId="48769" xr:uid="{78E6C9EC-BD86-480C-8009-8A0F3B38A30A}"/>
    <cellStyle name="40% - Accent6 2 2 3 2 2 2 4" xfId="32892" xr:uid="{80A033E2-0752-49E6-B0B4-BF8EEB8F1F58}"/>
    <cellStyle name="40% - Accent6 2 2 3 2 2 3" xfId="13452" xr:uid="{00000000-0005-0000-0000-0000C34F0000}"/>
    <cellStyle name="40% - Accent6 2 2 3 2 2 3 2" xfId="37302" xr:uid="{92637EA3-13FE-4BFC-819D-5FD45230035F}"/>
    <cellStyle name="40% - Accent6 2 2 3 2 2 4" xfId="21407" xr:uid="{00000000-0005-0000-0000-0000C44F0000}"/>
    <cellStyle name="40% - Accent6 2 2 3 2 2 4 2" xfId="45240" xr:uid="{CEC2CED0-3E3A-4EAD-9A8D-7721DD242EDE}"/>
    <cellStyle name="40% - Accent6 2 2 3 2 2 5" xfId="29361" xr:uid="{6AEF02F6-B890-4D20-8253-F8A0A417714E}"/>
    <cellStyle name="40% - Accent6 2 2 3 2 3" xfId="7260" xr:uid="{00000000-0005-0000-0000-0000C54F0000}"/>
    <cellStyle name="40% - Accent6 2 2 3 2 3 2" xfId="15232" xr:uid="{00000000-0005-0000-0000-0000C64F0000}"/>
    <cellStyle name="40% - Accent6 2 2 3 2 3 2 2" xfId="39075" xr:uid="{5491F8B1-D9C1-412F-91C8-06521F97B2C3}"/>
    <cellStyle name="40% - Accent6 2 2 3 2 3 3" xfId="23179" xr:uid="{00000000-0005-0000-0000-0000C74F0000}"/>
    <cellStyle name="40% - Accent6 2 2 3 2 3 3 2" xfId="47012" xr:uid="{F469C348-AC8D-4D44-98B3-866EF090AB9D}"/>
    <cellStyle name="40% - Accent6 2 2 3 2 3 4" xfId="31134" xr:uid="{F1E47ABB-A6F0-4120-926A-1B8829852383}"/>
    <cellStyle name="40% - Accent6 2 2 3 2 4" xfId="11696" xr:uid="{00000000-0005-0000-0000-0000C84F0000}"/>
    <cellStyle name="40% - Accent6 2 2 3 2 4 2" xfId="35546" xr:uid="{2E65BC09-146B-4797-BCC5-9FB5824A8F6A}"/>
    <cellStyle name="40% - Accent6 2 2 3 2 5" xfId="19651" xr:uid="{00000000-0005-0000-0000-0000C94F0000}"/>
    <cellStyle name="40% - Accent6 2 2 3 2 5 2" xfId="43484" xr:uid="{C5E36A12-493C-4C9E-9758-06D936CD7B10}"/>
    <cellStyle name="40% - Accent6 2 2 3 2 6" xfId="27604" xr:uid="{AE59B789-7F96-4A44-B3B5-9A7777851519}"/>
    <cellStyle name="40% - Accent6 2 2 3 2_Exh G" xfId="3350" xr:uid="{00000000-0005-0000-0000-0000CA4F0000}"/>
    <cellStyle name="40% - Accent6 2 2 3 3" xfId="4549" xr:uid="{00000000-0005-0000-0000-0000CB4F0000}"/>
    <cellStyle name="40% - Accent6 2 2 3 3 2" xfId="8141" xr:uid="{00000000-0005-0000-0000-0000CC4F0000}"/>
    <cellStyle name="40% - Accent6 2 2 3 3 2 2" xfId="16112" xr:uid="{00000000-0005-0000-0000-0000CD4F0000}"/>
    <cellStyle name="40% - Accent6 2 2 3 3 2 2 2" xfId="39955" xr:uid="{597879F1-3B36-436C-AB2C-363A6A66B2EC}"/>
    <cellStyle name="40% - Accent6 2 2 3 3 2 3" xfId="24058" xr:uid="{00000000-0005-0000-0000-0000CE4F0000}"/>
    <cellStyle name="40% - Accent6 2 2 3 3 2 3 2" xfId="47891" xr:uid="{C6A46B81-64CA-42BC-95B3-0E115CB13CB5}"/>
    <cellStyle name="40% - Accent6 2 2 3 3 2 4" xfId="32014" xr:uid="{F3E44702-152D-4F44-BC18-18D8DA189E40}"/>
    <cellStyle name="40% - Accent6 2 2 3 3 3" xfId="12574" xr:uid="{00000000-0005-0000-0000-0000CF4F0000}"/>
    <cellStyle name="40% - Accent6 2 2 3 3 3 2" xfId="36424" xr:uid="{9DA805B0-238A-417A-9C16-FDB7AD0ED1A6}"/>
    <cellStyle name="40% - Accent6 2 2 3 3 4" xfId="20529" xr:uid="{00000000-0005-0000-0000-0000D04F0000}"/>
    <cellStyle name="40% - Accent6 2 2 3 3 4 2" xfId="44362" xr:uid="{1B5D4F49-D72A-4374-87C1-DD2254A2C2E5}"/>
    <cellStyle name="40% - Accent6 2 2 3 3 5" xfId="28483" xr:uid="{4E66315B-4C47-4074-AA44-29C9D8CF92CB}"/>
    <cellStyle name="40% - Accent6 2 2 3 4" xfId="6379" xr:uid="{00000000-0005-0000-0000-0000D14F0000}"/>
    <cellStyle name="40% - Accent6 2 2 3 4 2" xfId="14354" xr:uid="{00000000-0005-0000-0000-0000D24F0000}"/>
    <cellStyle name="40% - Accent6 2 2 3 4 2 2" xfId="38197" xr:uid="{C103F86B-D618-46F1-AF80-64FF97B10085}"/>
    <cellStyle name="40% - Accent6 2 2 3 4 3" xfId="22301" xr:uid="{00000000-0005-0000-0000-0000D34F0000}"/>
    <cellStyle name="40% - Accent6 2 2 3 4 3 2" xfId="46134" xr:uid="{AC009930-D884-4ECA-87AC-2EF16E0E034C}"/>
    <cellStyle name="40% - Accent6 2 2 3 4 4" xfId="30256" xr:uid="{2050C034-BA14-4424-B87B-F6CB04EFA1B9}"/>
    <cellStyle name="40% - Accent6 2 2 3 5" xfId="9922" xr:uid="{00000000-0005-0000-0000-0000D44F0000}"/>
    <cellStyle name="40% - Accent6 2 2 3 5 2" xfId="17880" xr:uid="{00000000-0005-0000-0000-0000D54F0000}"/>
    <cellStyle name="40% - Accent6 2 2 3 5 2 2" xfId="41721" xr:uid="{80638169-CF82-4C18-ADCE-14394A8831E0}"/>
    <cellStyle name="40% - Accent6 2 2 3 5 3" xfId="25824" xr:uid="{00000000-0005-0000-0000-0000D64F0000}"/>
    <cellStyle name="40% - Accent6 2 2 3 5 3 2" xfId="49657" xr:uid="{9576FAA3-B262-43B1-8617-D4A267D8FC18}"/>
    <cellStyle name="40% - Accent6 2 2 3 5 4" xfId="33780" xr:uid="{8810780F-F732-4D24-B31F-7ACC43211A08}"/>
    <cellStyle name="40% - Accent6 2 2 3 6" xfId="10818" xr:uid="{00000000-0005-0000-0000-0000D74F0000}"/>
    <cellStyle name="40% - Accent6 2 2 3 6 2" xfId="34668" xr:uid="{B389DA91-BEBF-467E-9BCE-8EEB0C7ED58B}"/>
    <cellStyle name="40% - Accent6 2 2 3 7" xfId="18773" xr:uid="{00000000-0005-0000-0000-0000D84F0000}"/>
    <cellStyle name="40% - Accent6 2 2 3 7 2" xfId="42606" xr:uid="{62B507EE-C278-4F20-A5C7-576CADA7AF5D}"/>
    <cellStyle name="40% - Accent6 2 2 3 8" xfId="26726" xr:uid="{7723A5CB-E822-45A9-B9D4-05EBCBD0A197}"/>
    <cellStyle name="40% - Accent6 2 2 3_Exh G" xfId="3349" xr:uid="{00000000-0005-0000-0000-0000D94F0000}"/>
    <cellStyle name="40% - Accent6 2 2 4" xfId="1634" xr:uid="{00000000-0005-0000-0000-0000DA4F0000}"/>
    <cellStyle name="40% - Accent6 2 2 4 2" xfId="5164" xr:uid="{00000000-0005-0000-0000-0000DB4F0000}"/>
    <cellStyle name="40% - Accent6 2 2 4 2 2" xfId="8755" xr:uid="{00000000-0005-0000-0000-0000DC4F0000}"/>
    <cellStyle name="40% - Accent6 2 2 4 2 2 2" xfId="16726" xr:uid="{00000000-0005-0000-0000-0000DD4F0000}"/>
    <cellStyle name="40% - Accent6 2 2 4 2 2 2 2" xfId="40569" xr:uid="{B34CF830-8DA6-4BEC-8530-9FDCAC5C081C}"/>
    <cellStyle name="40% - Accent6 2 2 4 2 2 3" xfId="24672" xr:uid="{00000000-0005-0000-0000-0000DE4F0000}"/>
    <cellStyle name="40% - Accent6 2 2 4 2 2 3 2" xfId="48505" xr:uid="{F04643DA-813A-4BBD-9B1D-06F155ACB946}"/>
    <cellStyle name="40% - Accent6 2 2 4 2 2 4" xfId="32628" xr:uid="{F3ED2823-828D-4D0C-817F-4BC69F1DF6EC}"/>
    <cellStyle name="40% - Accent6 2 2 4 2 3" xfId="13188" xr:uid="{00000000-0005-0000-0000-0000DF4F0000}"/>
    <cellStyle name="40% - Accent6 2 2 4 2 3 2" xfId="37038" xr:uid="{B2A00C70-25B0-4AD7-B6BF-37810F2364BC}"/>
    <cellStyle name="40% - Accent6 2 2 4 2 4" xfId="21143" xr:uid="{00000000-0005-0000-0000-0000E04F0000}"/>
    <cellStyle name="40% - Accent6 2 2 4 2 4 2" xfId="44976" xr:uid="{8FE7A1A2-F577-49C9-88B5-F258DC767E1D}"/>
    <cellStyle name="40% - Accent6 2 2 4 2 5" xfId="29097" xr:uid="{2F648A23-A6F9-4A3F-85F0-124F5BCD90C5}"/>
    <cellStyle name="40% - Accent6 2 2 4 3" xfId="6996" xr:uid="{00000000-0005-0000-0000-0000E14F0000}"/>
    <cellStyle name="40% - Accent6 2 2 4 3 2" xfId="14968" xr:uid="{00000000-0005-0000-0000-0000E24F0000}"/>
    <cellStyle name="40% - Accent6 2 2 4 3 2 2" xfId="38811" xr:uid="{1499494A-9196-4B7F-ACC3-5EE396617273}"/>
    <cellStyle name="40% - Accent6 2 2 4 3 3" xfId="22915" xr:uid="{00000000-0005-0000-0000-0000E34F0000}"/>
    <cellStyle name="40% - Accent6 2 2 4 3 3 2" xfId="46748" xr:uid="{FD882CC5-F33D-470A-A8D3-7CE628D8E0FA}"/>
    <cellStyle name="40% - Accent6 2 2 4 3 4" xfId="30870" xr:uid="{CDE861DC-C0DB-47FD-B0A5-57C1EBAF4A9C}"/>
    <cellStyle name="40% - Accent6 2 2 4 4" xfId="11432" xr:uid="{00000000-0005-0000-0000-0000E44F0000}"/>
    <cellStyle name="40% - Accent6 2 2 4 4 2" xfId="35282" xr:uid="{D2F3B6A6-60B8-480F-8804-2F3C977E1692}"/>
    <cellStyle name="40% - Accent6 2 2 4 5" xfId="19387" xr:uid="{00000000-0005-0000-0000-0000E54F0000}"/>
    <cellStyle name="40% - Accent6 2 2 4 5 2" xfId="43220" xr:uid="{75157F5D-C7D7-4E73-852F-5CED0E054D87}"/>
    <cellStyle name="40% - Accent6 2 2 4 6" xfId="27340" xr:uid="{DFE232E7-B9AE-4ECC-BE34-EAF6CED8C4E6}"/>
    <cellStyle name="40% - Accent6 2 2 4_Exh G" xfId="3351" xr:uid="{00000000-0005-0000-0000-0000E64F0000}"/>
    <cellStyle name="40% - Accent6 2 2 5" xfId="4285" xr:uid="{00000000-0005-0000-0000-0000E74F0000}"/>
    <cellStyle name="40% - Accent6 2 2 5 2" xfId="7877" xr:uid="{00000000-0005-0000-0000-0000E84F0000}"/>
    <cellStyle name="40% - Accent6 2 2 5 2 2" xfId="15848" xr:uid="{00000000-0005-0000-0000-0000E94F0000}"/>
    <cellStyle name="40% - Accent6 2 2 5 2 2 2" xfId="39691" xr:uid="{452C1CD2-A8F3-4286-80CB-F41779BD9AAB}"/>
    <cellStyle name="40% - Accent6 2 2 5 2 3" xfId="23794" xr:uid="{00000000-0005-0000-0000-0000EA4F0000}"/>
    <cellStyle name="40% - Accent6 2 2 5 2 3 2" xfId="47627" xr:uid="{3FA51536-9969-4CE8-B01E-8A164313662C}"/>
    <cellStyle name="40% - Accent6 2 2 5 2 4" xfId="31750" xr:uid="{DF88DD38-FC2F-4AD9-832D-FF3FDED351AB}"/>
    <cellStyle name="40% - Accent6 2 2 5 3" xfId="12310" xr:uid="{00000000-0005-0000-0000-0000EB4F0000}"/>
    <cellStyle name="40% - Accent6 2 2 5 3 2" xfId="36160" xr:uid="{4DEE56EA-3203-4833-868C-07AF9B75207B}"/>
    <cellStyle name="40% - Accent6 2 2 5 4" xfId="20265" xr:uid="{00000000-0005-0000-0000-0000EC4F0000}"/>
    <cellStyle name="40% - Accent6 2 2 5 4 2" xfId="44098" xr:uid="{8559EDAE-ADCA-44C0-93B7-9BE164874252}"/>
    <cellStyle name="40% - Accent6 2 2 5 5" xfId="28219" xr:uid="{7311A4F5-35E8-4B10-828B-863CAFA225CC}"/>
    <cellStyle name="40% - Accent6 2 2 6" xfId="6105" xr:uid="{00000000-0005-0000-0000-0000ED4F0000}"/>
    <cellStyle name="40% - Accent6 2 2 6 2" xfId="14089" xr:uid="{00000000-0005-0000-0000-0000EE4F0000}"/>
    <cellStyle name="40% - Accent6 2 2 6 2 2" xfId="37933" xr:uid="{A395C6A2-9368-45CF-B5E3-B1E90FC4B91B}"/>
    <cellStyle name="40% - Accent6 2 2 6 3" xfId="22037" xr:uid="{00000000-0005-0000-0000-0000EF4F0000}"/>
    <cellStyle name="40% - Accent6 2 2 6 3 2" xfId="45870" xr:uid="{A48B708C-8F68-4B50-B837-0B3D0F4AF2E8}"/>
    <cellStyle name="40% - Accent6 2 2 6 4" xfId="29992" xr:uid="{408E9FAF-BBF0-4908-BB32-593F94E54564}"/>
    <cellStyle name="40% - Accent6 2 2 7" xfId="9658" xr:uid="{00000000-0005-0000-0000-0000F04F0000}"/>
    <cellStyle name="40% - Accent6 2 2 7 2" xfId="17616" xr:uid="{00000000-0005-0000-0000-0000F14F0000}"/>
    <cellStyle name="40% - Accent6 2 2 7 2 2" xfId="41457" xr:uid="{89392616-BAB2-4AC1-929E-953123B352AA}"/>
    <cellStyle name="40% - Accent6 2 2 7 3" xfId="25560" xr:uid="{00000000-0005-0000-0000-0000F24F0000}"/>
    <cellStyle name="40% - Accent6 2 2 7 3 2" xfId="49393" xr:uid="{4640FED4-803A-4D2B-A6B6-B26FBFBE945A}"/>
    <cellStyle name="40% - Accent6 2 2 7 4" xfId="33516" xr:uid="{C3D0B778-7C89-4866-8112-D11E7145C04C}"/>
    <cellStyle name="40% - Accent6 2 2 8" xfId="10554" xr:uid="{00000000-0005-0000-0000-0000F34F0000}"/>
    <cellStyle name="40% - Accent6 2 2 8 2" xfId="34404" xr:uid="{D1C3ED96-2012-48E0-9B39-25FA37FB81A9}"/>
    <cellStyle name="40% - Accent6 2 2 9" xfId="18509" xr:uid="{00000000-0005-0000-0000-0000F44F0000}"/>
    <cellStyle name="40% - Accent6 2 2 9 2" xfId="42342" xr:uid="{B5200C83-FFA7-4353-889E-B1BE188E25F6}"/>
    <cellStyle name="40% - Accent6 2 2_Exh G" xfId="3346" xr:uid="{00000000-0005-0000-0000-0000F54F0000}"/>
    <cellStyle name="40% - Accent6 2 3" xfId="608" xr:uid="{00000000-0005-0000-0000-0000F64F0000}"/>
    <cellStyle name="40% - Accent6 2 3 2" xfId="1636" xr:uid="{00000000-0005-0000-0000-0000F74F0000}"/>
    <cellStyle name="40% - Accent6 2 3 2 2" xfId="5166" xr:uid="{00000000-0005-0000-0000-0000F84F0000}"/>
    <cellStyle name="40% - Accent6 2 3 2 2 2" xfId="8757" xr:uid="{00000000-0005-0000-0000-0000F94F0000}"/>
    <cellStyle name="40% - Accent6 2 3 2 2 2 2" xfId="16728" xr:uid="{00000000-0005-0000-0000-0000FA4F0000}"/>
    <cellStyle name="40% - Accent6 2 3 2 2 2 2 2" xfId="40571" xr:uid="{9A6D42DC-9AA5-487A-AE04-21D146EBD145}"/>
    <cellStyle name="40% - Accent6 2 3 2 2 2 3" xfId="24674" xr:uid="{00000000-0005-0000-0000-0000FB4F0000}"/>
    <cellStyle name="40% - Accent6 2 3 2 2 2 3 2" xfId="48507" xr:uid="{E910EE80-C296-4C81-9B36-634F08C3D0E1}"/>
    <cellStyle name="40% - Accent6 2 3 2 2 2 4" xfId="32630" xr:uid="{2A589C8C-720E-46B4-BCF0-1CD9073F4736}"/>
    <cellStyle name="40% - Accent6 2 3 2 2 3" xfId="13190" xr:uid="{00000000-0005-0000-0000-0000FC4F0000}"/>
    <cellStyle name="40% - Accent6 2 3 2 2 3 2" xfId="37040" xr:uid="{E7329E87-D2F3-4312-A91B-543732ED010F}"/>
    <cellStyle name="40% - Accent6 2 3 2 2 4" xfId="21145" xr:uid="{00000000-0005-0000-0000-0000FD4F0000}"/>
    <cellStyle name="40% - Accent6 2 3 2 2 4 2" xfId="44978" xr:uid="{31CD9FCE-E9B2-4EE2-BE90-B6F4507B4F55}"/>
    <cellStyle name="40% - Accent6 2 3 2 2 5" xfId="29099" xr:uid="{81D6DAB6-7D30-422B-AAF2-C297B0797BED}"/>
    <cellStyle name="40% - Accent6 2 3 2 3" xfId="6998" xr:uid="{00000000-0005-0000-0000-0000FE4F0000}"/>
    <cellStyle name="40% - Accent6 2 3 2 3 2" xfId="14970" xr:uid="{00000000-0005-0000-0000-0000FF4F0000}"/>
    <cellStyle name="40% - Accent6 2 3 2 3 2 2" xfId="38813" xr:uid="{125EEC2B-14F2-4FF4-ACB2-1EE76ECBE6F9}"/>
    <cellStyle name="40% - Accent6 2 3 2 3 3" xfId="22917" xr:uid="{00000000-0005-0000-0000-000000500000}"/>
    <cellStyle name="40% - Accent6 2 3 2 3 3 2" xfId="46750" xr:uid="{41105193-1125-459D-9004-A74B9C6D3054}"/>
    <cellStyle name="40% - Accent6 2 3 2 3 4" xfId="30872" xr:uid="{6D80BE45-78E8-4CE3-9FF9-B98EFCF695B1}"/>
    <cellStyle name="40% - Accent6 2 3 2 4" xfId="11434" xr:uid="{00000000-0005-0000-0000-000001500000}"/>
    <cellStyle name="40% - Accent6 2 3 2 4 2" xfId="35284" xr:uid="{7D613177-B954-4689-8330-DD11D0086EA6}"/>
    <cellStyle name="40% - Accent6 2 3 2 5" xfId="19389" xr:uid="{00000000-0005-0000-0000-000002500000}"/>
    <cellStyle name="40% - Accent6 2 3 2 5 2" xfId="43222" xr:uid="{4A17AEBA-FB61-4E6D-B7F3-B28220B8D55B}"/>
    <cellStyle name="40% - Accent6 2 3 2 6" xfId="27342" xr:uid="{53D0A9F6-41F1-4493-A7BF-5BFE1613EF95}"/>
    <cellStyle name="40% - Accent6 2 3 2_Exh G" xfId="3353" xr:uid="{00000000-0005-0000-0000-000003500000}"/>
    <cellStyle name="40% - Accent6 2 3 3" xfId="4287" xr:uid="{00000000-0005-0000-0000-000004500000}"/>
    <cellStyle name="40% - Accent6 2 3 3 2" xfId="7879" xr:uid="{00000000-0005-0000-0000-000005500000}"/>
    <cellStyle name="40% - Accent6 2 3 3 2 2" xfId="15850" xr:uid="{00000000-0005-0000-0000-000006500000}"/>
    <cellStyle name="40% - Accent6 2 3 3 2 2 2" xfId="39693" xr:uid="{3A13FAD6-16C1-4EE6-87E2-78A10D941A3A}"/>
    <cellStyle name="40% - Accent6 2 3 3 2 3" xfId="23796" xr:uid="{00000000-0005-0000-0000-000007500000}"/>
    <cellStyle name="40% - Accent6 2 3 3 2 3 2" xfId="47629" xr:uid="{559C39D7-9446-41FF-861E-DD9D9C275F26}"/>
    <cellStyle name="40% - Accent6 2 3 3 2 4" xfId="31752" xr:uid="{A229FEE6-FFC7-417A-8A8D-537E9D0A3316}"/>
    <cellStyle name="40% - Accent6 2 3 3 3" xfId="12312" xr:uid="{00000000-0005-0000-0000-000008500000}"/>
    <cellStyle name="40% - Accent6 2 3 3 3 2" xfId="36162" xr:uid="{B6F7C44F-E6E2-4539-BEA0-CAC75A7CCF88}"/>
    <cellStyle name="40% - Accent6 2 3 3 4" xfId="20267" xr:uid="{00000000-0005-0000-0000-000009500000}"/>
    <cellStyle name="40% - Accent6 2 3 3 4 2" xfId="44100" xr:uid="{78CD1330-3CA5-44B8-BA92-6416B47DC47F}"/>
    <cellStyle name="40% - Accent6 2 3 3 5" xfId="28221" xr:uid="{8ED40D9C-60B3-4AD4-B855-D73BB67D4252}"/>
    <cellStyle name="40% - Accent6 2 3 4" xfId="6107" xr:uid="{00000000-0005-0000-0000-00000A500000}"/>
    <cellStyle name="40% - Accent6 2 3 4 2" xfId="14091" xr:uid="{00000000-0005-0000-0000-00000B500000}"/>
    <cellStyle name="40% - Accent6 2 3 4 2 2" xfId="37935" xr:uid="{6DF4A13A-A008-4232-B30F-36B1C92C8027}"/>
    <cellStyle name="40% - Accent6 2 3 4 3" xfId="22039" xr:uid="{00000000-0005-0000-0000-00000C500000}"/>
    <cellStyle name="40% - Accent6 2 3 4 3 2" xfId="45872" xr:uid="{FCAFEE4B-FBD9-49EB-8248-509059A9625E}"/>
    <cellStyle name="40% - Accent6 2 3 4 4" xfId="29994" xr:uid="{7A581268-A1A0-4E1C-B1AF-C3203FA2C90B}"/>
    <cellStyle name="40% - Accent6 2 3 5" xfId="9660" xr:uid="{00000000-0005-0000-0000-00000D500000}"/>
    <cellStyle name="40% - Accent6 2 3 5 2" xfId="17618" xr:uid="{00000000-0005-0000-0000-00000E500000}"/>
    <cellStyle name="40% - Accent6 2 3 5 2 2" xfId="41459" xr:uid="{5A0463AB-62D5-4257-BFDD-FEC30ACD19E8}"/>
    <cellStyle name="40% - Accent6 2 3 5 3" xfId="25562" xr:uid="{00000000-0005-0000-0000-00000F500000}"/>
    <cellStyle name="40% - Accent6 2 3 5 3 2" xfId="49395" xr:uid="{094DAC3F-6478-4961-A89F-9AC5304F0A55}"/>
    <cellStyle name="40% - Accent6 2 3 5 4" xfId="33518" xr:uid="{EA425899-406D-42D6-8C83-7DCFA2B3C73F}"/>
    <cellStyle name="40% - Accent6 2 3 6" xfId="10556" xr:uid="{00000000-0005-0000-0000-000010500000}"/>
    <cellStyle name="40% - Accent6 2 3 6 2" xfId="34406" xr:uid="{8F14E62D-E6BF-4958-A462-3F3F8BEA5CF4}"/>
    <cellStyle name="40% - Accent6 2 3 7" xfId="18511" xr:uid="{00000000-0005-0000-0000-000011500000}"/>
    <cellStyle name="40% - Accent6 2 3 7 2" xfId="42344" xr:uid="{2AC5F2CD-364F-4DB4-85C0-B7909F3CD155}"/>
    <cellStyle name="40% - Accent6 2 3 8" xfId="26464" xr:uid="{26BBF15F-BF76-4564-AEBF-66E3CD6748C8}"/>
    <cellStyle name="40% - Accent6 2 3_Exh G" xfId="3352" xr:uid="{00000000-0005-0000-0000-000012500000}"/>
    <cellStyle name="40% - Accent6 2 4" xfId="995" xr:uid="{00000000-0005-0000-0000-000013500000}"/>
    <cellStyle name="40% - Accent6 2 4 2" xfId="1909" xr:uid="{00000000-0005-0000-0000-000014500000}"/>
    <cellStyle name="40% - Accent6 2 4 2 2" xfId="5427" xr:uid="{00000000-0005-0000-0000-000015500000}"/>
    <cellStyle name="40% - Accent6 2 4 2 2 2" xfId="9018" xr:uid="{00000000-0005-0000-0000-000016500000}"/>
    <cellStyle name="40% - Accent6 2 4 2 2 2 2" xfId="16989" xr:uid="{00000000-0005-0000-0000-000017500000}"/>
    <cellStyle name="40% - Accent6 2 4 2 2 2 2 2" xfId="40832" xr:uid="{EDE0A371-19F7-4092-9EA1-6A9565183AD7}"/>
    <cellStyle name="40% - Accent6 2 4 2 2 2 3" xfId="24935" xr:uid="{00000000-0005-0000-0000-000018500000}"/>
    <cellStyle name="40% - Accent6 2 4 2 2 2 3 2" xfId="48768" xr:uid="{9F7B1345-51EF-4AE5-9794-DDE550F8AD66}"/>
    <cellStyle name="40% - Accent6 2 4 2 2 2 4" xfId="32891" xr:uid="{12228A7D-CD85-40B5-8832-2942207CF734}"/>
    <cellStyle name="40% - Accent6 2 4 2 2 3" xfId="13451" xr:uid="{00000000-0005-0000-0000-000019500000}"/>
    <cellStyle name="40% - Accent6 2 4 2 2 3 2" xfId="37301" xr:uid="{F9C8D3CB-DB39-4803-9789-32397AF14A97}"/>
    <cellStyle name="40% - Accent6 2 4 2 2 4" xfId="21406" xr:uid="{00000000-0005-0000-0000-00001A500000}"/>
    <cellStyle name="40% - Accent6 2 4 2 2 4 2" xfId="45239" xr:uid="{2FC6A38C-099A-4F1C-87C4-996676514824}"/>
    <cellStyle name="40% - Accent6 2 4 2 2 5" xfId="29360" xr:uid="{9C6F60CA-EF5B-443B-B228-770ADDD8ED5F}"/>
    <cellStyle name="40% - Accent6 2 4 2 3" xfId="7259" xr:uid="{00000000-0005-0000-0000-00001B500000}"/>
    <cellStyle name="40% - Accent6 2 4 2 3 2" xfId="15231" xr:uid="{00000000-0005-0000-0000-00001C500000}"/>
    <cellStyle name="40% - Accent6 2 4 2 3 2 2" xfId="39074" xr:uid="{5DAC30A8-5AC1-40F7-8E98-22AFBD2195CA}"/>
    <cellStyle name="40% - Accent6 2 4 2 3 3" xfId="23178" xr:uid="{00000000-0005-0000-0000-00001D500000}"/>
    <cellStyle name="40% - Accent6 2 4 2 3 3 2" xfId="47011" xr:uid="{D03F8FA7-FCA6-4543-81F5-75CD8CC595F9}"/>
    <cellStyle name="40% - Accent6 2 4 2 3 4" xfId="31133" xr:uid="{AF13B4D7-2548-414B-9E1C-8E622A0992E0}"/>
    <cellStyle name="40% - Accent6 2 4 2 4" xfId="11695" xr:uid="{00000000-0005-0000-0000-00001E500000}"/>
    <cellStyle name="40% - Accent6 2 4 2 4 2" xfId="35545" xr:uid="{9136739B-9A55-44AD-8E58-F37A1A6F2001}"/>
    <cellStyle name="40% - Accent6 2 4 2 5" xfId="19650" xr:uid="{00000000-0005-0000-0000-00001F500000}"/>
    <cellStyle name="40% - Accent6 2 4 2 5 2" xfId="43483" xr:uid="{504F4D3C-4E02-4289-93C6-E0A287DD32B5}"/>
    <cellStyle name="40% - Accent6 2 4 2 6" xfId="27603" xr:uid="{4248D35E-A3F1-4629-BC8D-D247723D897E}"/>
    <cellStyle name="40% - Accent6 2 4 2_Exh G" xfId="3355" xr:uid="{00000000-0005-0000-0000-000020500000}"/>
    <cellStyle name="40% - Accent6 2 4 3" xfId="4548" xr:uid="{00000000-0005-0000-0000-000021500000}"/>
    <cellStyle name="40% - Accent6 2 4 3 2" xfId="8140" xr:uid="{00000000-0005-0000-0000-000022500000}"/>
    <cellStyle name="40% - Accent6 2 4 3 2 2" xfId="16111" xr:uid="{00000000-0005-0000-0000-000023500000}"/>
    <cellStyle name="40% - Accent6 2 4 3 2 2 2" xfId="39954" xr:uid="{E7D53730-549D-4C97-8AFB-006E33F88BDE}"/>
    <cellStyle name="40% - Accent6 2 4 3 2 3" xfId="24057" xr:uid="{00000000-0005-0000-0000-000024500000}"/>
    <cellStyle name="40% - Accent6 2 4 3 2 3 2" xfId="47890" xr:uid="{FC4BC907-799F-4A19-8F05-F57A7D800611}"/>
    <cellStyle name="40% - Accent6 2 4 3 2 4" xfId="32013" xr:uid="{D0F0FDFC-0382-4211-B531-EA24F89C0BF9}"/>
    <cellStyle name="40% - Accent6 2 4 3 3" xfId="12573" xr:uid="{00000000-0005-0000-0000-000025500000}"/>
    <cellStyle name="40% - Accent6 2 4 3 3 2" xfId="36423" xr:uid="{2202397F-D517-4BD2-BEA9-7F79B826E014}"/>
    <cellStyle name="40% - Accent6 2 4 3 4" xfId="20528" xr:uid="{00000000-0005-0000-0000-000026500000}"/>
    <cellStyle name="40% - Accent6 2 4 3 4 2" xfId="44361" xr:uid="{1A79527D-EF50-4E70-B7BD-DDCA575F246A}"/>
    <cellStyle name="40% - Accent6 2 4 3 5" xfId="28482" xr:uid="{5E32DAC9-3DF8-416E-8767-2CE6D1E27CB8}"/>
    <cellStyle name="40% - Accent6 2 4 4" xfId="6378" xr:uid="{00000000-0005-0000-0000-000027500000}"/>
    <cellStyle name="40% - Accent6 2 4 4 2" xfId="14353" xr:uid="{00000000-0005-0000-0000-000028500000}"/>
    <cellStyle name="40% - Accent6 2 4 4 2 2" xfId="38196" xr:uid="{A6457EA7-9880-411B-A1A8-6EABE80ADAF1}"/>
    <cellStyle name="40% - Accent6 2 4 4 3" xfId="22300" xr:uid="{00000000-0005-0000-0000-000029500000}"/>
    <cellStyle name="40% - Accent6 2 4 4 3 2" xfId="46133" xr:uid="{C33D3268-9F29-4458-AE15-61C071D76530}"/>
    <cellStyle name="40% - Accent6 2 4 4 4" xfId="30255" xr:uid="{B59C47C2-4618-47AB-99B2-1D8CA3DF2B74}"/>
    <cellStyle name="40% - Accent6 2 4 5" xfId="9921" xr:uid="{00000000-0005-0000-0000-00002A500000}"/>
    <cellStyle name="40% - Accent6 2 4 5 2" xfId="17879" xr:uid="{00000000-0005-0000-0000-00002B500000}"/>
    <cellStyle name="40% - Accent6 2 4 5 2 2" xfId="41720" xr:uid="{8ECF5975-E440-407E-96F8-67E573D94FC4}"/>
    <cellStyle name="40% - Accent6 2 4 5 3" xfId="25823" xr:uid="{00000000-0005-0000-0000-00002C500000}"/>
    <cellStyle name="40% - Accent6 2 4 5 3 2" xfId="49656" xr:uid="{BFEE44EB-CAA7-421E-8F60-059BEAAB6FD0}"/>
    <cellStyle name="40% - Accent6 2 4 5 4" xfId="33779" xr:uid="{A404773B-3DF5-4462-BA02-21F5FDCF5002}"/>
    <cellStyle name="40% - Accent6 2 4 6" xfId="10817" xr:uid="{00000000-0005-0000-0000-00002D500000}"/>
    <cellStyle name="40% - Accent6 2 4 6 2" xfId="34667" xr:uid="{0E82D043-0DA9-432B-965D-0E469A681C81}"/>
    <cellStyle name="40% - Accent6 2 4 7" xfId="18772" xr:uid="{00000000-0005-0000-0000-00002E500000}"/>
    <cellStyle name="40% - Accent6 2 4 7 2" xfId="42605" xr:uid="{3274C5A6-5F4B-4EE4-906B-AD5291DB2AA5}"/>
    <cellStyle name="40% - Accent6 2 4 8" xfId="26725" xr:uid="{E33FB468-A554-4B77-BC09-D842A5A59023}"/>
    <cellStyle name="40% - Accent6 2 4_Exh G" xfId="3354" xr:uid="{00000000-0005-0000-0000-00002F500000}"/>
    <cellStyle name="40% - Accent6 2 5" xfId="1633" xr:uid="{00000000-0005-0000-0000-000030500000}"/>
    <cellStyle name="40% - Accent6 2 5 2" xfId="5163" xr:uid="{00000000-0005-0000-0000-000031500000}"/>
    <cellStyle name="40% - Accent6 2 5 2 2" xfId="8754" xr:uid="{00000000-0005-0000-0000-000032500000}"/>
    <cellStyle name="40% - Accent6 2 5 2 2 2" xfId="16725" xr:uid="{00000000-0005-0000-0000-000033500000}"/>
    <cellStyle name="40% - Accent6 2 5 2 2 2 2" xfId="40568" xr:uid="{E8AF5AD7-E4F4-4A22-85BA-3FBABC14E012}"/>
    <cellStyle name="40% - Accent6 2 5 2 2 3" xfId="24671" xr:uid="{00000000-0005-0000-0000-000034500000}"/>
    <cellStyle name="40% - Accent6 2 5 2 2 3 2" xfId="48504" xr:uid="{2DF777C4-6799-41CB-9ABE-9C9EC13E834B}"/>
    <cellStyle name="40% - Accent6 2 5 2 2 4" xfId="32627" xr:uid="{15A5795F-BB17-49A4-8020-15800AA8B782}"/>
    <cellStyle name="40% - Accent6 2 5 2 3" xfId="13187" xr:uid="{00000000-0005-0000-0000-000035500000}"/>
    <cellStyle name="40% - Accent6 2 5 2 3 2" xfId="37037" xr:uid="{607789A1-84C4-4BCD-ABC8-2BB7E7702B93}"/>
    <cellStyle name="40% - Accent6 2 5 2 4" xfId="21142" xr:uid="{00000000-0005-0000-0000-000036500000}"/>
    <cellStyle name="40% - Accent6 2 5 2 4 2" xfId="44975" xr:uid="{72FECBC7-29E9-41DF-A7E4-3A9D09DCA2E7}"/>
    <cellStyle name="40% - Accent6 2 5 2 5" xfId="29096" xr:uid="{EF8BF902-EC45-435D-8E2B-0F1FD6915CDF}"/>
    <cellStyle name="40% - Accent6 2 5 3" xfId="6995" xr:uid="{00000000-0005-0000-0000-000037500000}"/>
    <cellStyle name="40% - Accent6 2 5 3 2" xfId="14967" xr:uid="{00000000-0005-0000-0000-000038500000}"/>
    <cellStyle name="40% - Accent6 2 5 3 2 2" xfId="38810" xr:uid="{41C672BB-7FB3-4EBD-8B92-8B93C97ADF01}"/>
    <cellStyle name="40% - Accent6 2 5 3 3" xfId="22914" xr:uid="{00000000-0005-0000-0000-000039500000}"/>
    <cellStyle name="40% - Accent6 2 5 3 3 2" xfId="46747" xr:uid="{1FDB1FE8-DCA5-46FE-B400-B238635A43A5}"/>
    <cellStyle name="40% - Accent6 2 5 3 4" xfId="30869" xr:uid="{F2649440-AF0B-43A4-A629-FD201D7D496F}"/>
    <cellStyle name="40% - Accent6 2 5 4" xfId="11431" xr:uid="{00000000-0005-0000-0000-00003A500000}"/>
    <cellStyle name="40% - Accent6 2 5 4 2" xfId="35281" xr:uid="{1D895AE6-EF32-4EE2-A6C4-8C4D1BE38C13}"/>
    <cellStyle name="40% - Accent6 2 5 5" xfId="19386" xr:uid="{00000000-0005-0000-0000-00003B500000}"/>
    <cellStyle name="40% - Accent6 2 5 5 2" xfId="43219" xr:uid="{56C2BB4A-FD3C-4570-B005-AECDD2148CF9}"/>
    <cellStyle name="40% - Accent6 2 5 6" xfId="27339" xr:uid="{0FDA655D-132B-4C8D-8DF5-49E396B1BD89}"/>
    <cellStyle name="40% - Accent6 2 5_Exh G" xfId="3356" xr:uid="{00000000-0005-0000-0000-00003C500000}"/>
    <cellStyle name="40% - Accent6 2 6" xfId="4284" xr:uid="{00000000-0005-0000-0000-00003D500000}"/>
    <cellStyle name="40% - Accent6 2 6 2" xfId="7876" xr:uid="{00000000-0005-0000-0000-00003E500000}"/>
    <cellStyle name="40% - Accent6 2 6 2 2" xfId="15847" xr:uid="{00000000-0005-0000-0000-00003F500000}"/>
    <cellStyle name="40% - Accent6 2 6 2 2 2" xfId="39690" xr:uid="{D7D99038-40B3-460E-A4B8-BCF83EC70D6B}"/>
    <cellStyle name="40% - Accent6 2 6 2 3" xfId="23793" xr:uid="{00000000-0005-0000-0000-000040500000}"/>
    <cellStyle name="40% - Accent6 2 6 2 3 2" xfId="47626" xr:uid="{8CB813BA-446B-47BD-A421-E367EE9ACCE9}"/>
    <cellStyle name="40% - Accent6 2 6 2 4" xfId="31749" xr:uid="{CD299C41-738D-4C84-9280-FB43282F0560}"/>
    <cellStyle name="40% - Accent6 2 6 3" xfId="12309" xr:uid="{00000000-0005-0000-0000-000041500000}"/>
    <cellStyle name="40% - Accent6 2 6 3 2" xfId="36159" xr:uid="{A06A3684-610B-4C0C-B148-FCB02E5C6F73}"/>
    <cellStyle name="40% - Accent6 2 6 4" xfId="20264" xr:uid="{00000000-0005-0000-0000-000042500000}"/>
    <cellStyle name="40% - Accent6 2 6 4 2" xfId="44097" xr:uid="{6679C25D-FE13-4141-8F7C-ED6A712CC6C0}"/>
    <cellStyle name="40% - Accent6 2 6 5" xfId="28218" xr:uid="{35FE7DD1-C5D1-4DE2-BD09-2DC7D7AEB43B}"/>
    <cellStyle name="40% - Accent6 2 7" xfId="6104" xr:uid="{00000000-0005-0000-0000-000043500000}"/>
    <cellStyle name="40% - Accent6 2 7 2" xfId="14088" xr:uid="{00000000-0005-0000-0000-000044500000}"/>
    <cellStyle name="40% - Accent6 2 7 2 2" xfId="37932" xr:uid="{365DB7C7-A70F-44C4-AE10-6163342C61CA}"/>
    <cellStyle name="40% - Accent6 2 7 3" xfId="22036" xr:uid="{00000000-0005-0000-0000-000045500000}"/>
    <cellStyle name="40% - Accent6 2 7 3 2" xfId="45869" xr:uid="{E1767211-2083-41FD-9958-19653FC43DDC}"/>
    <cellStyle name="40% - Accent6 2 7 4" xfId="29991" xr:uid="{0D7F0C37-9117-4C2D-9A44-B976FBC340E4}"/>
    <cellStyle name="40% - Accent6 2 8" xfId="9657" xr:uid="{00000000-0005-0000-0000-000046500000}"/>
    <cellStyle name="40% - Accent6 2 8 2" xfId="17615" xr:uid="{00000000-0005-0000-0000-000047500000}"/>
    <cellStyle name="40% - Accent6 2 8 2 2" xfId="41456" xr:uid="{53A74AB6-9A9A-4E6D-8ED5-1E1550DB4757}"/>
    <cellStyle name="40% - Accent6 2 8 3" xfId="25559" xr:uid="{00000000-0005-0000-0000-000048500000}"/>
    <cellStyle name="40% - Accent6 2 8 3 2" xfId="49392" xr:uid="{20F2414E-894F-4A99-9646-E4EF6BF9B1C5}"/>
    <cellStyle name="40% - Accent6 2 8 4" xfId="33515" xr:uid="{C38FBC85-C6D0-444E-95D2-2D3ADE60E08C}"/>
    <cellStyle name="40% - Accent6 2 9" xfId="10553" xr:uid="{00000000-0005-0000-0000-000049500000}"/>
    <cellStyle name="40% - Accent6 2 9 2" xfId="34403" xr:uid="{A6AB9402-D7E8-4FD4-BE12-288DAF134A1C}"/>
    <cellStyle name="40% - Accent6 2_Exh G" xfId="3345" xr:uid="{00000000-0005-0000-0000-00004A500000}"/>
    <cellStyle name="40% - Accent6 3" xfId="609" xr:uid="{00000000-0005-0000-0000-00004B500000}"/>
    <cellStyle name="40% - Accent6 3 10" xfId="18512" xr:uid="{00000000-0005-0000-0000-00004C500000}"/>
    <cellStyle name="40% - Accent6 3 10 2" xfId="42345" xr:uid="{ED179ECE-3E59-41C5-A925-5F9704E094A5}"/>
    <cellStyle name="40% - Accent6 3 11" xfId="26465" xr:uid="{DE378BB5-6DF7-4264-91FB-70CC211A16CD}"/>
    <cellStyle name="40% - Accent6 3 12" xfId="49777" xr:uid="{DC3A46B5-4EAF-4E11-8C9A-2EB334DF966A}"/>
    <cellStyle name="40% - Accent6 3 13" xfId="49831" xr:uid="{73E4ADF5-EEDD-49EB-9881-6910580C8D2B}"/>
    <cellStyle name="40% - Accent6 3 2" xfId="610" xr:uid="{00000000-0005-0000-0000-00004D500000}"/>
    <cellStyle name="40% - Accent6 3 2 10" xfId="26466" xr:uid="{FAF63C38-5226-4CC5-8863-29E3FDB6D3D9}"/>
    <cellStyle name="40% - Accent6 3 2 2" xfId="611" xr:uid="{00000000-0005-0000-0000-00004E500000}"/>
    <cellStyle name="40% - Accent6 3 2 2 2" xfId="1639" xr:uid="{00000000-0005-0000-0000-00004F500000}"/>
    <cellStyle name="40% - Accent6 3 2 2 2 2" xfId="5169" xr:uid="{00000000-0005-0000-0000-000050500000}"/>
    <cellStyle name="40% - Accent6 3 2 2 2 2 2" xfId="8760" xr:uid="{00000000-0005-0000-0000-000051500000}"/>
    <cellStyle name="40% - Accent6 3 2 2 2 2 2 2" xfId="16731" xr:uid="{00000000-0005-0000-0000-000052500000}"/>
    <cellStyle name="40% - Accent6 3 2 2 2 2 2 2 2" xfId="40574" xr:uid="{749B2BC3-3D98-4822-BFC5-9D824EA1E35A}"/>
    <cellStyle name="40% - Accent6 3 2 2 2 2 2 3" xfId="24677" xr:uid="{00000000-0005-0000-0000-000053500000}"/>
    <cellStyle name="40% - Accent6 3 2 2 2 2 2 3 2" xfId="48510" xr:uid="{7F6B221F-0D3F-4687-9925-64C2D9DD6A7A}"/>
    <cellStyle name="40% - Accent6 3 2 2 2 2 2 4" xfId="32633" xr:uid="{08E148C2-369E-4FE8-BE2F-197237C7B8F8}"/>
    <cellStyle name="40% - Accent6 3 2 2 2 2 3" xfId="13193" xr:uid="{00000000-0005-0000-0000-000054500000}"/>
    <cellStyle name="40% - Accent6 3 2 2 2 2 3 2" xfId="37043" xr:uid="{78B6D18B-0434-4BD9-BD92-7B49655C68F8}"/>
    <cellStyle name="40% - Accent6 3 2 2 2 2 4" xfId="21148" xr:uid="{00000000-0005-0000-0000-000055500000}"/>
    <cellStyle name="40% - Accent6 3 2 2 2 2 4 2" xfId="44981" xr:uid="{C13A035D-4978-45B6-93FE-765DD96A777D}"/>
    <cellStyle name="40% - Accent6 3 2 2 2 2 5" xfId="29102" xr:uid="{D0788C64-2BF3-43DB-9856-3AB165DCA994}"/>
    <cellStyle name="40% - Accent6 3 2 2 2 3" xfId="7001" xr:uid="{00000000-0005-0000-0000-000056500000}"/>
    <cellStyle name="40% - Accent6 3 2 2 2 3 2" xfId="14973" xr:uid="{00000000-0005-0000-0000-000057500000}"/>
    <cellStyle name="40% - Accent6 3 2 2 2 3 2 2" xfId="38816" xr:uid="{F549EE15-5AC0-438C-960C-5B727DF444DA}"/>
    <cellStyle name="40% - Accent6 3 2 2 2 3 3" xfId="22920" xr:uid="{00000000-0005-0000-0000-000058500000}"/>
    <cellStyle name="40% - Accent6 3 2 2 2 3 3 2" xfId="46753" xr:uid="{DA7BDE21-F895-48EB-A6E2-00EA9B4CFC0F}"/>
    <cellStyle name="40% - Accent6 3 2 2 2 3 4" xfId="30875" xr:uid="{0740F41B-A497-4235-B010-E0AF6A9117D2}"/>
    <cellStyle name="40% - Accent6 3 2 2 2 4" xfId="11437" xr:uid="{00000000-0005-0000-0000-000059500000}"/>
    <cellStyle name="40% - Accent6 3 2 2 2 4 2" xfId="35287" xr:uid="{4528134B-0C14-4EAF-A832-54E4B6DDB9B3}"/>
    <cellStyle name="40% - Accent6 3 2 2 2 5" xfId="19392" xr:uid="{00000000-0005-0000-0000-00005A500000}"/>
    <cellStyle name="40% - Accent6 3 2 2 2 5 2" xfId="43225" xr:uid="{A894472D-F649-4E97-AE7C-27C3D5CE8597}"/>
    <cellStyle name="40% - Accent6 3 2 2 2 6" xfId="27345" xr:uid="{82296D70-61AF-4BA4-89E1-AA44FA513770}"/>
    <cellStyle name="40% - Accent6 3 2 2 2_Exh G" xfId="3360" xr:uid="{00000000-0005-0000-0000-00005B500000}"/>
    <cellStyle name="40% - Accent6 3 2 2 3" xfId="4290" xr:uid="{00000000-0005-0000-0000-00005C500000}"/>
    <cellStyle name="40% - Accent6 3 2 2 3 2" xfId="7882" xr:uid="{00000000-0005-0000-0000-00005D500000}"/>
    <cellStyle name="40% - Accent6 3 2 2 3 2 2" xfId="15853" xr:uid="{00000000-0005-0000-0000-00005E500000}"/>
    <cellStyle name="40% - Accent6 3 2 2 3 2 2 2" xfId="39696" xr:uid="{7AE1AA2A-D2C2-447F-8DFD-2BE31608F989}"/>
    <cellStyle name="40% - Accent6 3 2 2 3 2 3" xfId="23799" xr:uid="{00000000-0005-0000-0000-00005F500000}"/>
    <cellStyle name="40% - Accent6 3 2 2 3 2 3 2" xfId="47632" xr:uid="{1B545B99-1CC5-4E1C-8342-AD7418EA5C39}"/>
    <cellStyle name="40% - Accent6 3 2 2 3 2 4" xfId="31755" xr:uid="{2EF6B657-FF2B-4A7A-9AB7-4BFA0BACEF81}"/>
    <cellStyle name="40% - Accent6 3 2 2 3 3" xfId="12315" xr:uid="{00000000-0005-0000-0000-000060500000}"/>
    <cellStyle name="40% - Accent6 3 2 2 3 3 2" xfId="36165" xr:uid="{02936483-CE93-4523-8866-95DC75E65DFB}"/>
    <cellStyle name="40% - Accent6 3 2 2 3 4" xfId="20270" xr:uid="{00000000-0005-0000-0000-000061500000}"/>
    <cellStyle name="40% - Accent6 3 2 2 3 4 2" xfId="44103" xr:uid="{5F67C393-FE36-48B5-9FFB-641509800990}"/>
    <cellStyle name="40% - Accent6 3 2 2 3 5" xfId="28224" xr:uid="{9D43893C-B068-4DDC-8BCA-CE481AC5635D}"/>
    <cellStyle name="40% - Accent6 3 2 2 4" xfId="6110" xr:uid="{00000000-0005-0000-0000-000062500000}"/>
    <cellStyle name="40% - Accent6 3 2 2 4 2" xfId="14094" xr:uid="{00000000-0005-0000-0000-000063500000}"/>
    <cellStyle name="40% - Accent6 3 2 2 4 2 2" xfId="37938" xr:uid="{7DC6A1E4-5C1D-40FD-93AE-CDE0CF5C5D55}"/>
    <cellStyle name="40% - Accent6 3 2 2 4 3" xfId="22042" xr:uid="{00000000-0005-0000-0000-000064500000}"/>
    <cellStyle name="40% - Accent6 3 2 2 4 3 2" xfId="45875" xr:uid="{F863B094-8B1B-4011-838E-99F2124D84D9}"/>
    <cellStyle name="40% - Accent6 3 2 2 4 4" xfId="29997" xr:uid="{0AEA1CB5-D804-497F-AE0B-97BA9AAC2619}"/>
    <cellStyle name="40% - Accent6 3 2 2 5" xfId="9663" xr:uid="{00000000-0005-0000-0000-000065500000}"/>
    <cellStyle name="40% - Accent6 3 2 2 5 2" xfId="17621" xr:uid="{00000000-0005-0000-0000-000066500000}"/>
    <cellStyle name="40% - Accent6 3 2 2 5 2 2" xfId="41462" xr:uid="{52F0A6D6-D107-463B-A675-64F1E66B4EAE}"/>
    <cellStyle name="40% - Accent6 3 2 2 5 3" xfId="25565" xr:uid="{00000000-0005-0000-0000-000067500000}"/>
    <cellStyle name="40% - Accent6 3 2 2 5 3 2" xfId="49398" xr:uid="{0A805B59-95EE-434E-910D-33E4F20CCA5B}"/>
    <cellStyle name="40% - Accent6 3 2 2 5 4" xfId="33521" xr:uid="{FE6DED5F-7118-47A5-BF79-D6EEF2830E68}"/>
    <cellStyle name="40% - Accent6 3 2 2 6" xfId="10559" xr:uid="{00000000-0005-0000-0000-000068500000}"/>
    <cellStyle name="40% - Accent6 3 2 2 6 2" xfId="34409" xr:uid="{5396B941-C847-4E79-A759-8E2941FEE7CD}"/>
    <cellStyle name="40% - Accent6 3 2 2 7" xfId="18514" xr:uid="{00000000-0005-0000-0000-000069500000}"/>
    <cellStyle name="40% - Accent6 3 2 2 7 2" xfId="42347" xr:uid="{81704ECA-6A14-4D46-A618-B1198BF6DAB5}"/>
    <cellStyle name="40% - Accent6 3 2 2 8" xfId="26467" xr:uid="{E6C63614-57CE-4020-925C-DD3A3DC8F593}"/>
    <cellStyle name="40% - Accent6 3 2 2_Exh G" xfId="3359" xr:uid="{00000000-0005-0000-0000-00006A500000}"/>
    <cellStyle name="40% - Accent6 3 2 3" xfId="998" xr:uid="{00000000-0005-0000-0000-00006B500000}"/>
    <cellStyle name="40% - Accent6 3 2 3 2" xfId="1912" xr:uid="{00000000-0005-0000-0000-00006C500000}"/>
    <cellStyle name="40% - Accent6 3 2 3 2 2" xfId="5430" xr:uid="{00000000-0005-0000-0000-00006D500000}"/>
    <cellStyle name="40% - Accent6 3 2 3 2 2 2" xfId="9021" xr:uid="{00000000-0005-0000-0000-00006E500000}"/>
    <cellStyle name="40% - Accent6 3 2 3 2 2 2 2" xfId="16992" xr:uid="{00000000-0005-0000-0000-00006F500000}"/>
    <cellStyle name="40% - Accent6 3 2 3 2 2 2 2 2" xfId="40835" xr:uid="{6F4300BB-3DBC-4CFA-9E45-B854E1A8375A}"/>
    <cellStyle name="40% - Accent6 3 2 3 2 2 2 3" xfId="24938" xr:uid="{00000000-0005-0000-0000-000070500000}"/>
    <cellStyle name="40% - Accent6 3 2 3 2 2 2 3 2" xfId="48771" xr:uid="{C19F4356-848B-4D83-9211-1C47AD21EDB5}"/>
    <cellStyle name="40% - Accent6 3 2 3 2 2 2 4" xfId="32894" xr:uid="{52F1AADE-C6B4-4E77-A71F-36B033A42CEF}"/>
    <cellStyle name="40% - Accent6 3 2 3 2 2 3" xfId="13454" xr:uid="{00000000-0005-0000-0000-000071500000}"/>
    <cellStyle name="40% - Accent6 3 2 3 2 2 3 2" xfId="37304" xr:uid="{8F27F693-B32B-4CD2-8F6F-4D18A2B27442}"/>
    <cellStyle name="40% - Accent6 3 2 3 2 2 4" xfId="21409" xr:uid="{00000000-0005-0000-0000-000072500000}"/>
    <cellStyle name="40% - Accent6 3 2 3 2 2 4 2" xfId="45242" xr:uid="{24225DF7-C4D2-4B03-B51B-FE49419706C1}"/>
    <cellStyle name="40% - Accent6 3 2 3 2 2 5" xfId="29363" xr:uid="{5EEBFF25-99D8-4077-B4F3-7BE9907590AF}"/>
    <cellStyle name="40% - Accent6 3 2 3 2 3" xfId="7262" xr:uid="{00000000-0005-0000-0000-000073500000}"/>
    <cellStyle name="40% - Accent6 3 2 3 2 3 2" xfId="15234" xr:uid="{00000000-0005-0000-0000-000074500000}"/>
    <cellStyle name="40% - Accent6 3 2 3 2 3 2 2" xfId="39077" xr:uid="{9B8127A8-603C-461C-AFFA-5F7FC1DDBBD8}"/>
    <cellStyle name="40% - Accent6 3 2 3 2 3 3" xfId="23181" xr:uid="{00000000-0005-0000-0000-000075500000}"/>
    <cellStyle name="40% - Accent6 3 2 3 2 3 3 2" xfId="47014" xr:uid="{5844FA93-BC8E-4707-A425-039CFC3C1CB5}"/>
    <cellStyle name="40% - Accent6 3 2 3 2 3 4" xfId="31136" xr:uid="{FFD75291-1380-4FA7-8D99-C21F1EAB6B7E}"/>
    <cellStyle name="40% - Accent6 3 2 3 2 4" xfId="11698" xr:uid="{00000000-0005-0000-0000-000076500000}"/>
    <cellStyle name="40% - Accent6 3 2 3 2 4 2" xfId="35548" xr:uid="{DECEE99C-1874-4D98-AAF6-DA1A29D9396E}"/>
    <cellStyle name="40% - Accent6 3 2 3 2 5" xfId="19653" xr:uid="{00000000-0005-0000-0000-000077500000}"/>
    <cellStyle name="40% - Accent6 3 2 3 2 5 2" xfId="43486" xr:uid="{8DBD2DE1-084C-4872-A4B5-102886F79E31}"/>
    <cellStyle name="40% - Accent6 3 2 3 2 6" xfId="27606" xr:uid="{19C76554-2680-4E69-95DF-D929305DB77F}"/>
    <cellStyle name="40% - Accent6 3 2 3 2_Exh G" xfId="3362" xr:uid="{00000000-0005-0000-0000-000078500000}"/>
    <cellStyle name="40% - Accent6 3 2 3 3" xfId="4551" xr:uid="{00000000-0005-0000-0000-000079500000}"/>
    <cellStyle name="40% - Accent6 3 2 3 3 2" xfId="8143" xr:uid="{00000000-0005-0000-0000-00007A500000}"/>
    <cellStyle name="40% - Accent6 3 2 3 3 2 2" xfId="16114" xr:uid="{00000000-0005-0000-0000-00007B500000}"/>
    <cellStyle name="40% - Accent6 3 2 3 3 2 2 2" xfId="39957" xr:uid="{C1ED38F7-8AD5-425F-B7F8-8715E534C4A9}"/>
    <cellStyle name="40% - Accent6 3 2 3 3 2 3" xfId="24060" xr:uid="{00000000-0005-0000-0000-00007C500000}"/>
    <cellStyle name="40% - Accent6 3 2 3 3 2 3 2" xfId="47893" xr:uid="{263E6A77-80C5-42E8-8D87-0D56510742BB}"/>
    <cellStyle name="40% - Accent6 3 2 3 3 2 4" xfId="32016" xr:uid="{705D4E86-4C1D-4947-9457-6DE6F9533708}"/>
    <cellStyle name="40% - Accent6 3 2 3 3 3" xfId="12576" xr:uid="{00000000-0005-0000-0000-00007D500000}"/>
    <cellStyle name="40% - Accent6 3 2 3 3 3 2" xfId="36426" xr:uid="{9BE98E0F-9A7E-466D-A8B8-EB4DCB0CC34E}"/>
    <cellStyle name="40% - Accent6 3 2 3 3 4" xfId="20531" xr:uid="{00000000-0005-0000-0000-00007E500000}"/>
    <cellStyle name="40% - Accent6 3 2 3 3 4 2" xfId="44364" xr:uid="{533CB998-2182-4F73-B49D-5AA63E801D5E}"/>
    <cellStyle name="40% - Accent6 3 2 3 3 5" xfId="28485" xr:uid="{9730647F-4EBA-4136-B95E-CAB849511F2B}"/>
    <cellStyle name="40% - Accent6 3 2 3 4" xfId="6381" xr:uid="{00000000-0005-0000-0000-00007F500000}"/>
    <cellStyle name="40% - Accent6 3 2 3 4 2" xfId="14356" xr:uid="{00000000-0005-0000-0000-000080500000}"/>
    <cellStyle name="40% - Accent6 3 2 3 4 2 2" xfId="38199" xr:uid="{8E4E2544-A3FD-49B2-AC06-274B486AE028}"/>
    <cellStyle name="40% - Accent6 3 2 3 4 3" xfId="22303" xr:uid="{00000000-0005-0000-0000-000081500000}"/>
    <cellStyle name="40% - Accent6 3 2 3 4 3 2" xfId="46136" xr:uid="{C488D37F-DA1D-4588-B3FD-4F5816A09E6D}"/>
    <cellStyle name="40% - Accent6 3 2 3 4 4" xfId="30258" xr:uid="{557451F0-6E16-4099-8FF2-374F27FE6B8E}"/>
    <cellStyle name="40% - Accent6 3 2 3 5" xfId="9924" xr:uid="{00000000-0005-0000-0000-000082500000}"/>
    <cellStyle name="40% - Accent6 3 2 3 5 2" xfId="17882" xr:uid="{00000000-0005-0000-0000-000083500000}"/>
    <cellStyle name="40% - Accent6 3 2 3 5 2 2" xfId="41723" xr:uid="{8B04EFBC-4DE8-400A-9AF7-E916BABF6816}"/>
    <cellStyle name="40% - Accent6 3 2 3 5 3" xfId="25826" xr:uid="{00000000-0005-0000-0000-000084500000}"/>
    <cellStyle name="40% - Accent6 3 2 3 5 3 2" xfId="49659" xr:uid="{6793384E-355E-47F6-BBA6-92DBD16F5A0F}"/>
    <cellStyle name="40% - Accent6 3 2 3 5 4" xfId="33782" xr:uid="{654C7F14-B192-40D5-B24B-2EC86A92B1D1}"/>
    <cellStyle name="40% - Accent6 3 2 3 6" xfId="10820" xr:uid="{00000000-0005-0000-0000-000085500000}"/>
    <cellStyle name="40% - Accent6 3 2 3 6 2" xfId="34670" xr:uid="{18113516-05D3-48FB-B321-6F73242C1AF3}"/>
    <cellStyle name="40% - Accent6 3 2 3 7" xfId="18775" xr:uid="{00000000-0005-0000-0000-000086500000}"/>
    <cellStyle name="40% - Accent6 3 2 3 7 2" xfId="42608" xr:uid="{F1011FE8-D421-4334-AD0C-A7DD01FCE605}"/>
    <cellStyle name="40% - Accent6 3 2 3 8" xfId="26728" xr:uid="{6FE996C2-504D-4F67-AC18-42423854B326}"/>
    <cellStyle name="40% - Accent6 3 2 3_Exh G" xfId="3361" xr:uid="{00000000-0005-0000-0000-000087500000}"/>
    <cellStyle name="40% - Accent6 3 2 4" xfId="1638" xr:uid="{00000000-0005-0000-0000-000088500000}"/>
    <cellStyle name="40% - Accent6 3 2 4 2" xfId="5168" xr:uid="{00000000-0005-0000-0000-000089500000}"/>
    <cellStyle name="40% - Accent6 3 2 4 2 2" xfId="8759" xr:uid="{00000000-0005-0000-0000-00008A500000}"/>
    <cellStyle name="40% - Accent6 3 2 4 2 2 2" xfId="16730" xr:uid="{00000000-0005-0000-0000-00008B500000}"/>
    <cellStyle name="40% - Accent6 3 2 4 2 2 2 2" xfId="40573" xr:uid="{1D8419A5-3FE4-42C3-9638-15906D1122B4}"/>
    <cellStyle name="40% - Accent6 3 2 4 2 2 3" xfId="24676" xr:uid="{00000000-0005-0000-0000-00008C500000}"/>
    <cellStyle name="40% - Accent6 3 2 4 2 2 3 2" xfId="48509" xr:uid="{C9F9FA28-90CC-4A69-A7A1-57100D7BE31B}"/>
    <cellStyle name="40% - Accent6 3 2 4 2 2 4" xfId="32632" xr:uid="{723A51AA-1535-4AD9-AE13-E9F4622F88C5}"/>
    <cellStyle name="40% - Accent6 3 2 4 2 3" xfId="13192" xr:uid="{00000000-0005-0000-0000-00008D500000}"/>
    <cellStyle name="40% - Accent6 3 2 4 2 3 2" xfId="37042" xr:uid="{B9EF425C-A607-4D31-AFA4-6D28D7D600A8}"/>
    <cellStyle name="40% - Accent6 3 2 4 2 4" xfId="21147" xr:uid="{00000000-0005-0000-0000-00008E500000}"/>
    <cellStyle name="40% - Accent6 3 2 4 2 4 2" xfId="44980" xr:uid="{B5D7490A-4F71-4E9D-8BE8-81089C4A735A}"/>
    <cellStyle name="40% - Accent6 3 2 4 2 5" xfId="29101" xr:uid="{B4B32EA0-362B-4E12-931D-672E5B7B71E3}"/>
    <cellStyle name="40% - Accent6 3 2 4 3" xfId="7000" xr:uid="{00000000-0005-0000-0000-00008F500000}"/>
    <cellStyle name="40% - Accent6 3 2 4 3 2" xfId="14972" xr:uid="{00000000-0005-0000-0000-000090500000}"/>
    <cellStyle name="40% - Accent6 3 2 4 3 2 2" xfId="38815" xr:uid="{73CEA714-7343-41A0-8FC0-FE08961DD6E9}"/>
    <cellStyle name="40% - Accent6 3 2 4 3 3" xfId="22919" xr:uid="{00000000-0005-0000-0000-000091500000}"/>
    <cellStyle name="40% - Accent6 3 2 4 3 3 2" xfId="46752" xr:uid="{C63B6FBF-A2A4-4B2C-81C5-CAFE35D80A45}"/>
    <cellStyle name="40% - Accent6 3 2 4 3 4" xfId="30874" xr:uid="{474C94AD-4330-45FC-94DA-3BF42A7A1C2D}"/>
    <cellStyle name="40% - Accent6 3 2 4 4" xfId="11436" xr:uid="{00000000-0005-0000-0000-000092500000}"/>
    <cellStyle name="40% - Accent6 3 2 4 4 2" xfId="35286" xr:uid="{55B8D664-4B02-4991-A185-F563856C525E}"/>
    <cellStyle name="40% - Accent6 3 2 4 5" xfId="19391" xr:uid="{00000000-0005-0000-0000-000093500000}"/>
    <cellStyle name="40% - Accent6 3 2 4 5 2" xfId="43224" xr:uid="{426C7735-C03E-46E2-BC3F-7DB2D4093422}"/>
    <cellStyle name="40% - Accent6 3 2 4 6" xfId="27344" xr:uid="{471BB871-9D53-401D-9B66-F526F94E19AD}"/>
    <cellStyle name="40% - Accent6 3 2 4_Exh G" xfId="3363" xr:uid="{00000000-0005-0000-0000-000094500000}"/>
    <cellStyle name="40% - Accent6 3 2 5" xfId="4289" xr:uid="{00000000-0005-0000-0000-000095500000}"/>
    <cellStyle name="40% - Accent6 3 2 5 2" xfId="7881" xr:uid="{00000000-0005-0000-0000-000096500000}"/>
    <cellStyle name="40% - Accent6 3 2 5 2 2" xfId="15852" xr:uid="{00000000-0005-0000-0000-000097500000}"/>
    <cellStyle name="40% - Accent6 3 2 5 2 2 2" xfId="39695" xr:uid="{04E63727-DF5F-4174-B731-4AB78412F36A}"/>
    <cellStyle name="40% - Accent6 3 2 5 2 3" xfId="23798" xr:uid="{00000000-0005-0000-0000-000098500000}"/>
    <cellStyle name="40% - Accent6 3 2 5 2 3 2" xfId="47631" xr:uid="{0756A74D-7E47-4BA5-8689-2140A39B92AF}"/>
    <cellStyle name="40% - Accent6 3 2 5 2 4" xfId="31754" xr:uid="{2A449A52-6BC2-433C-A506-105D67401A8C}"/>
    <cellStyle name="40% - Accent6 3 2 5 3" xfId="12314" xr:uid="{00000000-0005-0000-0000-000099500000}"/>
    <cellStyle name="40% - Accent6 3 2 5 3 2" xfId="36164" xr:uid="{C82A37F8-CD5A-48C9-AA84-CA6AFF7E6F1B}"/>
    <cellStyle name="40% - Accent6 3 2 5 4" xfId="20269" xr:uid="{00000000-0005-0000-0000-00009A500000}"/>
    <cellStyle name="40% - Accent6 3 2 5 4 2" xfId="44102" xr:uid="{A149329F-A0C7-4507-B603-BDDDFD1BDDEA}"/>
    <cellStyle name="40% - Accent6 3 2 5 5" xfId="28223" xr:uid="{4846405B-653B-4A51-BE7B-4835D9C9CA2A}"/>
    <cellStyle name="40% - Accent6 3 2 6" xfId="6109" xr:uid="{00000000-0005-0000-0000-00009B500000}"/>
    <cellStyle name="40% - Accent6 3 2 6 2" xfId="14093" xr:uid="{00000000-0005-0000-0000-00009C500000}"/>
    <cellStyle name="40% - Accent6 3 2 6 2 2" xfId="37937" xr:uid="{387253D6-48A9-405E-AFD7-A3E170144E1E}"/>
    <cellStyle name="40% - Accent6 3 2 6 3" xfId="22041" xr:uid="{00000000-0005-0000-0000-00009D500000}"/>
    <cellStyle name="40% - Accent6 3 2 6 3 2" xfId="45874" xr:uid="{48CE4A02-92FD-4FBF-AF17-27131132E9BF}"/>
    <cellStyle name="40% - Accent6 3 2 6 4" xfId="29996" xr:uid="{18303C00-509C-40AC-B0FB-92271C3320D8}"/>
    <cellStyle name="40% - Accent6 3 2 7" xfId="9662" xr:uid="{00000000-0005-0000-0000-00009E500000}"/>
    <cellStyle name="40% - Accent6 3 2 7 2" xfId="17620" xr:uid="{00000000-0005-0000-0000-00009F500000}"/>
    <cellStyle name="40% - Accent6 3 2 7 2 2" xfId="41461" xr:uid="{7DEA49FB-0A91-4598-A10D-0452ABA15142}"/>
    <cellStyle name="40% - Accent6 3 2 7 3" xfId="25564" xr:uid="{00000000-0005-0000-0000-0000A0500000}"/>
    <cellStyle name="40% - Accent6 3 2 7 3 2" xfId="49397" xr:uid="{D59F577D-5120-479F-BE4B-054F8AA196E0}"/>
    <cellStyle name="40% - Accent6 3 2 7 4" xfId="33520" xr:uid="{6D9E63DD-9F5D-4374-A430-21559AA8EC2C}"/>
    <cellStyle name="40% - Accent6 3 2 8" xfId="10558" xr:uid="{00000000-0005-0000-0000-0000A1500000}"/>
    <cellStyle name="40% - Accent6 3 2 8 2" xfId="34408" xr:uid="{E5B5EC6D-AE53-4F42-938D-4AE84FC3EE5F}"/>
    <cellStyle name="40% - Accent6 3 2 9" xfId="18513" xr:uid="{00000000-0005-0000-0000-0000A2500000}"/>
    <cellStyle name="40% - Accent6 3 2 9 2" xfId="42346" xr:uid="{E9B5F682-F820-40E3-861B-019D52086546}"/>
    <cellStyle name="40% - Accent6 3 2_Exh G" xfId="3358" xr:uid="{00000000-0005-0000-0000-0000A3500000}"/>
    <cellStyle name="40% - Accent6 3 3" xfId="612" xr:uid="{00000000-0005-0000-0000-0000A4500000}"/>
    <cellStyle name="40% - Accent6 3 3 2" xfId="1640" xr:uid="{00000000-0005-0000-0000-0000A5500000}"/>
    <cellStyle name="40% - Accent6 3 3 2 2" xfId="5170" xr:uid="{00000000-0005-0000-0000-0000A6500000}"/>
    <cellStyle name="40% - Accent6 3 3 2 2 2" xfId="8761" xr:uid="{00000000-0005-0000-0000-0000A7500000}"/>
    <cellStyle name="40% - Accent6 3 3 2 2 2 2" xfId="16732" xr:uid="{00000000-0005-0000-0000-0000A8500000}"/>
    <cellStyle name="40% - Accent6 3 3 2 2 2 2 2" xfId="40575" xr:uid="{0ED7A1BD-0402-419A-8ED1-3171841BF06A}"/>
    <cellStyle name="40% - Accent6 3 3 2 2 2 3" xfId="24678" xr:uid="{00000000-0005-0000-0000-0000A9500000}"/>
    <cellStyle name="40% - Accent6 3 3 2 2 2 3 2" xfId="48511" xr:uid="{6A194D71-05BE-46A2-98C4-E1E2599EC5AD}"/>
    <cellStyle name="40% - Accent6 3 3 2 2 2 4" xfId="32634" xr:uid="{3B70E7D7-DD9C-4EAB-B4AD-F13D7826401F}"/>
    <cellStyle name="40% - Accent6 3 3 2 2 3" xfId="13194" xr:uid="{00000000-0005-0000-0000-0000AA500000}"/>
    <cellStyle name="40% - Accent6 3 3 2 2 3 2" xfId="37044" xr:uid="{6BC675DE-5102-4074-9153-13A1A082F12D}"/>
    <cellStyle name="40% - Accent6 3 3 2 2 4" xfId="21149" xr:uid="{00000000-0005-0000-0000-0000AB500000}"/>
    <cellStyle name="40% - Accent6 3 3 2 2 4 2" xfId="44982" xr:uid="{1E0BAD41-E2B3-460B-859F-4C1C9EDE5F7C}"/>
    <cellStyle name="40% - Accent6 3 3 2 2 5" xfId="29103" xr:uid="{A7B7868B-82AF-443D-937B-E18EAB5C53BE}"/>
    <cellStyle name="40% - Accent6 3 3 2 3" xfId="7002" xr:uid="{00000000-0005-0000-0000-0000AC500000}"/>
    <cellStyle name="40% - Accent6 3 3 2 3 2" xfId="14974" xr:uid="{00000000-0005-0000-0000-0000AD500000}"/>
    <cellStyle name="40% - Accent6 3 3 2 3 2 2" xfId="38817" xr:uid="{C45EAD56-64BB-4C6B-ACDF-AC2A41F98FD5}"/>
    <cellStyle name="40% - Accent6 3 3 2 3 3" xfId="22921" xr:uid="{00000000-0005-0000-0000-0000AE500000}"/>
    <cellStyle name="40% - Accent6 3 3 2 3 3 2" xfId="46754" xr:uid="{FCF39C67-92AE-4B1E-9664-93B9E0DF38A6}"/>
    <cellStyle name="40% - Accent6 3 3 2 3 4" xfId="30876" xr:uid="{CA8436A2-4F03-4EBD-9CF9-E205F50BC975}"/>
    <cellStyle name="40% - Accent6 3 3 2 4" xfId="11438" xr:uid="{00000000-0005-0000-0000-0000AF500000}"/>
    <cellStyle name="40% - Accent6 3 3 2 4 2" xfId="35288" xr:uid="{D1B64DC0-EF99-4204-BCA7-09184676BAA8}"/>
    <cellStyle name="40% - Accent6 3 3 2 5" xfId="19393" xr:uid="{00000000-0005-0000-0000-0000B0500000}"/>
    <cellStyle name="40% - Accent6 3 3 2 5 2" xfId="43226" xr:uid="{760542C3-5A45-410D-B06D-B3804720AD72}"/>
    <cellStyle name="40% - Accent6 3 3 2 6" xfId="27346" xr:uid="{D2CE6724-E786-4128-866E-3AF6B1C71D59}"/>
    <cellStyle name="40% - Accent6 3 3 2_Exh G" xfId="3365" xr:uid="{00000000-0005-0000-0000-0000B1500000}"/>
    <cellStyle name="40% - Accent6 3 3 3" xfId="4291" xr:uid="{00000000-0005-0000-0000-0000B2500000}"/>
    <cellStyle name="40% - Accent6 3 3 3 2" xfId="7883" xr:uid="{00000000-0005-0000-0000-0000B3500000}"/>
    <cellStyle name="40% - Accent6 3 3 3 2 2" xfId="15854" xr:uid="{00000000-0005-0000-0000-0000B4500000}"/>
    <cellStyle name="40% - Accent6 3 3 3 2 2 2" xfId="39697" xr:uid="{C14CE241-34DB-43C3-AD9F-5508E28999D1}"/>
    <cellStyle name="40% - Accent6 3 3 3 2 3" xfId="23800" xr:uid="{00000000-0005-0000-0000-0000B5500000}"/>
    <cellStyle name="40% - Accent6 3 3 3 2 3 2" xfId="47633" xr:uid="{9535510F-4462-4C46-A5B6-251DD2C28AE6}"/>
    <cellStyle name="40% - Accent6 3 3 3 2 4" xfId="31756" xr:uid="{AA3BA393-EF3A-43BD-8416-1F34BE90F2FA}"/>
    <cellStyle name="40% - Accent6 3 3 3 3" xfId="12316" xr:uid="{00000000-0005-0000-0000-0000B6500000}"/>
    <cellStyle name="40% - Accent6 3 3 3 3 2" xfId="36166" xr:uid="{F88DC779-E2C2-4996-BCF9-A98C7928BE74}"/>
    <cellStyle name="40% - Accent6 3 3 3 4" xfId="20271" xr:uid="{00000000-0005-0000-0000-0000B7500000}"/>
    <cellStyle name="40% - Accent6 3 3 3 4 2" xfId="44104" xr:uid="{244997DF-802F-45BC-9A7C-BF685175EF20}"/>
    <cellStyle name="40% - Accent6 3 3 3 5" xfId="28225" xr:uid="{5A69778B-83F7-4300-8F8C-5CE6769684AB}"/>
    <cellStyle name="40% - Accent6 3 3 4" xfId="6111" xr:uid="{00000000-0005-0000-0000-0000B8500000}"/>
    <cellStyle name="40% - Accent6 3 3 4 2" xfId="14095" xr:uid="{00000000-0005-0000-0000-0000B9500000}"/>
    <cellStyle name="40% - Accent6 3 3 4 2 2" xfId="37939" xr:uid="{F0AA9854-55BA-475E-9FD8-C08E7B11FBA3}"/>
    <cellStyle name="40% - Accent6 3 3 4 3" xfId="22043" xr:uid="{00000000-0005-0000-0000-0000BA500000}"/>
    <cellStyle name="40% - Accent6 3 3 4 3 2" xfId="45876" xr:uid="{7738EAE0-9482-4A30-B758-FE675F8D6D1E}"/>
    <cellStyle name="40% - Accent6 3 3 4 4" xfId="29998" xr:uid="{DE453C16-632D-4DFE-AE11-B7A4ECAC5353}"/>
    <cellStyle name="40% - Accent6 3 3 5" xfId="9664" xr:uid="{00000000-0005-0000-0000-0000BB500000}"/>
    <cellStyle name="40% - Accent6 3 3 5 2" xfId="17622" xr:uid="{00000000-0005-0000-0000-0000BC500000}"/>
    <cellStyle name="40% - Accent6 3 3 5 2 2" xfId="41463" xr:uid="{38E4B7A4-8661-4A6A-AE9E-15AC8DC292EE}"/>
    <cellStyle name="40% - Accent6 3 3 5 3" xfId="25566" xr:uid="{00000000-0005-0000-0000-0000BD500000}"/>
    <cellStyle name="40% - Accent6 3 3 5 3 2" xfId="49399" xr:uid="{170CDDF6-C2A2-44C8-8A92-F357AA27BD7F}"/>
    <cellStyle name="40% - Accent6 3 3 5 4" xfId="33522" xr:uid="{109BB603-084C-4249-A2CD-A43F0BC5ABA4}"/>
    <cellStyle name="40% - Accent6 3 3 6" xfId="10560" xr:uid="{00000000-0005-0000-0000-0000BE500000}"/>
    <cellStyle name="40% - Accent6 3 3 6 2" xfId="34410" xr:uid="{B2ECA3B4-B5CA-476F-8BEC-30CBCB580F25}"/>
    <cellStyle name="40% - Accent6 3 3 7" xfId="18515" xr:uid="{00000000-0005-0000-0000-0000BF500000}"/>
    <cellStyle name="40% - Accent6 3 3 7 2" xfId="42348" xr:uid="{B7874429-3B7C-4867-BFA6-D7C24EC29928}"/>
    <cellStyle name="40% - Accent6 3 3 8" xfId="26468" xr:uid="{C5A2593A-A2DA-4DDC-96D8-348A23799574}"/>
    <cellStyle name="40% - Accent6 3 3_Exh G" xfId="3364" xr:uid="{00000000-0005-0000-0000-0000C0500000}"/>
    <cellStyle name="40% - Accent6 3 4" xfId="997" xr:uid="{00000000-0005-0000-0000-0000C1500000}"/>
    <cellStyle name="40% - Accent6 3 4 2" xfId="1911" xr:uid="{00000000-0005-0000-0000-0000C2500000}"/>
    <cellStyle name="40% - Accent6 3 4 2 2" xfId="5429" xr:uid="{00000000-0005-0000-0000-0000C3500000}"/>
    <cellStyle name="40% - Accent6 3 4 2 2 2" xfId="9020" xr:uid="{00000000-0005-0000-0000-0000C4500000}"/>
    <cellStyle name="40% - Accent6 3 4 2 2 2 2" xfId="16991" xr:uid="{00000000-0005-0000-0000-0000C5500000}"/>
    <cellStyle name="40% - Accent6 3 4 2 2 2 2 2" xfId="40834" xr:uid="{A65CA1A7-A7B6-4109-B6CD-9E3719BF2813}"/>
    <cellStyle name="40% - Accent6 3 4 2 2 2 3" xfId="24937" xr:uid="{00000000-0005-0000-0000-0000C6500000}"/>
    <cellStyle name="40% - Accent6 3 4 2 2 2 3 2" xfId="48770" xr:uid="{286788A1-24DE-4612-AFB4-89D58EED5A46}"/>
    <cellStyle name="40% - Accent6 3 4 2 2 2 4" xfId="32893" xr:uid="{1E6C2240-948B-4C95-B39B-5BAEF115CA2B}"/>
    <cellStyle name="40% - Accent6 3 4 2 2 3" xfId="13453" xr:uid="{00000000-0005-0000-0000-0000C7500000}"/>
    <cellStyle name="40% - Accent6 3 4 2 2 3 2" xfId="37303" xr:uid="{AA4EF23F-DFDC-4F06-8F2C-3D458697CCE0}"/>
    <cellStyle name="40% - Accent6 3 4 2 2 4" xfId="21408" xr:uid="{00000000-0005-0000-0000-0000C8500000}"/>
    <cellStyle name="40% - Accent6 3 4 2 2 4 2" xfId="45241" xr:uid="{EAE9E66C-C589-4DD4-8EF9-D5864291F7E7}"/>
    <cellStyle name="40% - Accent6 3 4 2 2 5" xfId="29362" xr:uid="{9B894ADE-2192-4E5E-AC4A-B34847B28281}"/>
    <cellStyle name="40% - Accent6 3 4 2 3" xfId="7261" xr:uid="{00000000-0005-0000-0000-0000C9500000}"/>
    <cellStyle name="40% - Accent6 3 4 2 3 2" xfId="15233" xr:uid="{00000000-0005-0000-0000-0000CA500000}"/>
    <cellStyle name="40% - Accent6 3 4 2 3 2 2" xfId="39076" xr:uid="{09E17CBD-7FBD-4BF7-8826-A1FDF95DEFE3}"/>
    <cellStyle name="40% - Accent6 3 4 2 3 3" xfId="23180" xr:uid="{00000000-0005-0000-0000-0000CB500000}"/>
    <cellStyle name="40% - Accent6 3 4 2 3 3 2" xfId="47013" xr:uid="{D4A622B2-4AB1-401C-B747-4C27243F79B0}"/>
    <cellStyle name="40% - Accent6 3 4 2 3 4" xfId="31135" xr:uid="{D951D9E9-7B7A-4A2A-AE83-F4DD15BE8A3F}"/>
    <cellStyle name="40% - Accent6 3 4 2 4" xfId="11697" xr:uid="{00000000-0005-0000-0000-0000CC500000}"/>
    <cellStyle name="40% - Accent6 3 4 2 4 2" xfId="35547" xr:uid="{23D9B7F2-1724-44B7-A282-8D2513165888}"/>
    <cellStyle name="40% - Accent6 3 4 2 5" xfId="19652" xr:uid="{00000000-0005-0000-0000-0000CD500000}"/>
    <cellStyle name="40% - Accent6 3 4 2 5 2" xfId="43485" xr:uid="{9A6A504B-4177-4B2F-B5F7-56F3B38AA224}"/>
    <cellStyle name="40% - Accent6 3 4 2 6" xfId="27605" xr:uid="{7165C0B1-AEE7-4BA7-9D61-8B3B6B64E8C5}"/>
    <cellStyle name="40% - Accent6 3 4 2_Exh G" xfId="3367" xr:uid="{00000000-0005-0000-0000-0000CE500000}"/>
    <cellStyle name="40% - Accent6 3 4 3" xfId="4550" xr:uid="{00000000-0005-0000-0000-0000CF500000}"/>
    <cellStyle name="40% - Accent6 3 4 3 2" xfId="8142" xr:uid="{00000000-0005-0000-0000-0000D0500000}"/>
    <cellStyle name="40% - Accent6 3 4 3 2 2" xfId="16113" xr:uid="{00000000-0005-0000-0000-0000D1500000}"/>
    <cellStyle name="40% - Accent6 3 4 3 2 2 2" xfId="39956" xr:uid="{E0E2F42E-AE47-4AC1-BAAD-459621D1FF23}"/>
    <cellStyle name="40% - Accent6 3 4 3 2 3" xfId="24059" xr:uid="{00000000-0005-0000-0000-0000D2500000}"/>
    <cellStyle name="40% - Accent6 3 4 3 2 3 2" xfId="47892" xr:uid="{92E3CF3F-00D7-4161-9E99-5019712E7461}"/>
    <cellStyle name="40% - Accent6 3 4 3 2 4" xfId="32015" xr:uid="{8D90DED0-7432-40C9-A8BF-1FEDE3D978C6}"/>
    <cellStyle name="40% - Accent6 3 4 3 3" xfId="12575" xr:uid="{00000000-0005-0000-0000-0000D3500000}"/>
    <cellStyle name="40% - Accent6 3 4 3 3 2" xfId="36425" xr:uid="{DB43D3B0-3BEC-4BDC-BAE5-6AB55196AD5A}"/>
    <cellStyle name="40% - Accent6 3 4 3 4" xfId="20530" xr:uid="{00000000-0005-0000-0000-0000D4500000}"/>
    <cellStyle name="40% - Accent6 3 4 3 4 2" xfId="44363" xr:uid="{E44066DA-160E-4F9F-918A-C010EC0FE611}"/>
    <cellStyle name="40% - Accent6 3 4 3 5" xfId="28484" xr:uid="{BCCF89CD-FD52-4CBF-99CD-F72BCD1DEE3F}"/>
    <cellStyle name="40% - Accent6 3 4 4" xfId="6380" xr:uid="{00000000-0005-0000-0000-0000D5500000}"/>
    <cellStyle name="40% - Accent6 3 4 4 2" xfId="14355" xr:uid="{00000000-0005-0000-0000-0000D6500000}"/>
    <cellStyle name="40% - Accent6 3 4 4 2 2" xfId="38198" xr:uid="{D86E8EA4-A502-4CDE-8B45-CEA2B8E7F19A}"/>
    <cellStyle name="40% - Accent6 3 4 4 3" xfId="22302" xr:uid="{00000000-0005-0000-0000-0000D7500000}"/>
    <cellStyle name="40% - Accent6 3 4 4 3 2" xfId="46135" xr:uid="{4EE29BA0-836F-4567-AFBD-EE60E712FF30}"/>
    <cellStyle name="40% - Accent6 3 4 4 4" xfId="30257" xr:uid="{A2FA0D9E-5361-48D9-B04B-AC0CDF019360}"/>
    <cellStyle name="40% - Accent6 3 4 5" xfId="9923" xr:uid="{00000000-0005-0000-0000-0000D8500000}"/>
    <cellStyle name="40% - Accent6 3 4 5 2" xfId="17881" xr:uid="{00000000-0005-0000-0000-0000D9500000}"/>
    <cellStyle name="40% - Accent6 3 4 5 2 2" xfId="41722" xr:uid="{5D6B915A-6509-4FAE-BD48-F98148C73371}"/>
    <cellStyle name="40% - Accent6 3 4 5 3" xfId="25825" xr:uid="{00000000-0005-0000-0000-0000DA500000}"/>
    <cellStyle name="40% - Accent6 3 4 5 3 2" xfId="49658" xr:uid="{76703A81-176F-4980-ADC0-FB4A53D1860C}"/>
    <cellStyle name="40% - Accent6 3 4 5 4" xfId="33781" xr:uid="{15F4340D-CE35-462A-902C-B22B5F36BDF3}"/>
    <cellStyle name="40% - Accent6 3 4 6" xfId="10819" xr:uid="{00000000-0005-0000-0000-0000DB500000}"/>
    <cellStyle name="40% - Accent6 3 4 6 2" xfId="34669" xr:uid="{D094C6E4-6072-4645-83C2-B8D40FC56FC6}"/>
    <cellStyle name="40% - Accent6 3 4 7" xfId="18774" xr:uid="{00000000-0005-0000-0000-0000DC500000}"/>
    <cellStyle name="40% - Accent6 3 4 7 2" xfId="42607" xr:uid="{FF9481D0-FAD5-4F9B-A0FE-C54E6067C4FD}"/>
    <cellStyle name="40% - Accent6 3 4 8" xfId="26727" xr:uid="{8030D0BF-2450-4DC6-9C15-B345708EFBB6}"/>
    <cellStyle name="40% - Accent6 3 4_Exh G" xfId="3366" xr:uid="{00000000-0005-0000-0000-0000DD500000}"/>
    <cellStyle name="40% - Accent6 3 5" xfId="1637" xr:uid="{00000000-0005-0000-0000-0000DE500000}"/>
    <cellStyle name="40% - Accent6 3 5 2" xfId="5167" xr:uid="{00000000-0005-0000-0000-0000DF500000}"/>
    <cellStyle name="40% - Accent6 3 5 2 2" xfId="8758" xr:uid="{00000000-0005-0000-0000-0000E0500000}"/>
    <cellStyle name="40% - Accent6 3 5 2 2 2" xfId="16729" xr:uid="{00000000-0005-0000-0000-0000E1500000}"/>
    <cellStyle name="40% - Accent6 3 5 2 2 2 2" xfId="40572" xr:uid="{746B1F3F-030D-4ED9-B6BA-46AF4D1391FD}"/>
    <cellStyle name="40% - Accent6 3 5 2 2 3" xfId="24675" xr:uid="{00000000-0005-0000-0000-0000E2500000}"/>
    <cellStyle name="40% - Accent6 3 5 2 2 3 2" xfId="48508" xr:uid="{025B0876-220C-4983-9F60-44CE49608308}"/>
    <cellStyle name="40% - Accent6 3 5 2 2 4" xfId="32631" xr:uid="{5C8D41BD-5B91-48B5-B003-43D43AA76649}"/>
    <cellStyle name="40% - Accent6 3 5 2 3" xfId="13191" xr:uid="{00000000-0005-0000-0000-0000E3500000}"/>
    <cellStyle name="40% - Accent6 3 5 2 3 2" xfId="37041" xr:uid="{99A8BA62-4E43-41D9-AF4A-410F4894DDD2}"/>
    <cellStyle name="40% - Accent6 3 5 2 4" xfId="21146" xr:uid="{00000000-0005-0000-0000-0000E4500000}"/>
    <cellStyle name="40% - Accent6 3 5 2 4 2" xfId="44979" xr:uid="{0828AC8A-BA82-4EC7-A6B2-DF4706F4E3D5}"/>
    <cellStyle name="40% - Accent6 3 5 2 5" xfId="29100" xr:uid="{6F3F733C-D738-4FB3-9520-CAEB64646592}"/>
    <cellStyle name="40% - Accent6 3 5 3" xfId="6999" xr:uid="{00000000-0005-0000-0000-0000E5500000}"/>
    <cellStyle name="40% - Accent6 3 5 3 2" xfId="14971" xr:uid="{00000000-0005-0000-0000-0000E6500000}"/>
    <cellStyle name="40% - Accent6 3 5 3 2 2" xfId="38814" xr:uid="{5D878F42-8883-4C17-849E-34167E57A17A}"/>
    <cellStyle name="40% - Accent6 3 5 3 3" xfId="22918" xr:uid="{00000000-0005-0000-0000-0000E7500000}"/>
    <cellStyle name="40% - Accent6 3 5 3 3 2" xfId="46751" xr:uid="{7DE609BB-43F2-4B17-A249-80E138DF02C2}"/>
    <cellStyle name="40% - Accent6 3 5 3 4" xfId="30873" xr:uid="{DDDDF15F-550A-4B9D-B7D6-A6934E796613}"/>
    <cellStyle name="40% - Accent6 3 5 4" xfId="11435" xr:uid="{00000000-0005-0000-0000-0000E8500000}"/>
    <cellStyle name="40% - Accent6 3 5 4 2" xfId="35285" xr:uid="{5C169740-BE9F-4484-8DAC-0A470E7AAED4}"/>
    <cellStyle name="40% - Accent6 3 5 5" xfId="19390" xr:uid="{00000000-0005-0000-0000-0000E9500000}"/>
    <cellStyle name="40% - Accent6 3 5 5 2" xfId="43223" xr:uid="{3AC271D7-1FD1-4E37-AF4D-EA1A64F6FCE0}"/>
    <cellStyle name="40% - Accent6 3 5 6" xfId="27343" xr:uid="{6D2F0A0F-F270-4066-9A6D-37CA3B8682D3}"/>
    <cellStyle name="40% - Accent6 3 5_Exh G" xfId="3368" xr:uid="{00000000-0005-0000-0000-0000EA500000}"/>
    <cellStyle name="40% - Accent6 3 6" xfId="4288" xr:uid="{00000000-0005-0000-0000-0000EB500000}"/>
    <cellStyle name="40% - Accent6 3 6 2" xfId="7880" xr:uid="{00000000-0005-0000-0000-0000EC500000}"/>
    <cellStyle name="40% - Accent6 3 6 2 2" xfId="15851" xr:uid="{00000000-0005-0000-0000-0000ED500000}"/>
    <cellStyle name="40% - Accent6 3 6 2 2 2" xfId="39694" xr:uid="{99BBEC8E-4CA1-4B50-92FF-15C3A681DC04}"/>
    <cellStyle name="40% - Accent6 3 6 2 3" xfId="23797" xr:uid="{00000000-0005-0000-0000-0000EE500000}"/>
    <cellStyle name="40% - Accent6 3 6 2 3 2" xfId="47630" xr:uid="{5F8892B0-4993-4D1B-9BF0-7DEF8F112C49}"/>
    <cellStyle name="40% - Accent6 3 6 2 4" xfId="31753" xr:uid="{C64F866A-B81A-46CB-A6FF-19C07F3A15AC}"/>
    <cellStyle name="40% - Accent6 3 6 3" xfId="12313" xr:uid="{00000000-0005-0000-0000-0000EF500000}"/>
    <cellStyle name="40% - Accent6 3 6 3 2" xfId="36163" xr:uid="{A6F43EB9-7EFB-4A2F-902E-EE9CC9B8592D}"/>
    <cellStyle name="40% - Accent6 3 6 4" xfId="20268" xr:uid="{00000000-0005-0000-0000-0000F0500000}"/>
    <cellStyle name="40% - Accent6 3 6 4 2" xfId="44101" xr:uid="{0FB52BE3-2D85-48BD-A47E-5D3A617280E3}"/>
    <cellStyle name="40% - Accent6 3 6 5" xfId="28222" xr:uid="{334693B9-03D7-4B4C-A76F-8378EBCB9004}"/>
    <cellStyle name="40% - Accent6 3 7" xfId="6108" xr:uid="{00000000-0005-0000-0000-0000F1500000}"/>
    <cellStyle name="40% - Accent6 3 7 2" xfId="14092" xr:uid="{00000000-0005-0000-0000-0000F2500000}"/>
    <cellStyle name="40% - Accent6 3 7 2 2" xfId="37936" xr:uid="{FCD519DE-5D39-4B65-8579-58263C6DF5F4}"/>
    <cellStyle name="40% - Accent6 3 7 3" xfId="22040" xr:uid="{00000000-0005-0000-0000-0000F3500000}"/>
    <cellStyle name="40% - Accent6 3 7 3 2" xfId="45873" xr:uid="{1D072422-C4E2-4102-B6AF-A6A87ECB5123}"/>
    <cellStyle name="40% - Accent6 3 7 4" xfId="29995" xr:uid="{DD1F0CB0-F99F-48B0-B417-05AAB11D43DA}"/>
    <cellStyle name="40% - Accent6 3 8" xfId="9661" xr:uid="{00000000-0005-0000-0000-0000F4500000}"/>
    <cellStyle name="40% - Accent6 3 8 2" xfId="17619" xr:uid="{00000000-0005-0000-0000-0000F5500000}"/>
    <cellStyle name="40% - Accent6 3 8 2 2" xfId="41460" xr:uid="{12709D2D-DA6B-4BEB-AA12-0AF45067312A}"/>
    <cellStyle name="40% - Accent6 3 8 3" xfId="25563" xr:uid="{00000000-0005-0000-0000-0000F6500000}"/>
    <cellStyle name="40% - Accent6 3 8 3 2" xfId="49396" xr:uid="{420F8A2E-AA5C-498B-BD9C-71CF6BB19423}"/>
    <cellStyle name="40% - Accent6 3 8 4" xfId="33519" xr:uid="{642681FD-17A6-4515-9180-2823C71F7A82}"/>
    <cellStyle name="40% - Accent6 3 9" xfId="10557" xr:uid="{00000000-0005-0000-0000-0000F7500000}"/>
    <cellStyle name="40% - Accent6 3 9 2" xfId="34407" xr:uid="{15DA9398-1414-4D97-A841-A68A5BC80A4B}"/>
    <cellStyle name="40% - Accent6 3_Exh G" xfId="3357" xr:uid="{00000000-0005-0000-0000-0000F8500000}"/>
    <cellStyle name="40% - Accent6 4" xfId="613" xr:uid="{00000000-0005-0000-0000-0000F9500000}"/>
    <cellStyle name="40% - Accent6 4 10" xfId="18516" xr:uid="{00000000-0005-0000-0000-0000FA500000}"/>
    <cellStyle name="40% - Accent6 4 10 2" xfId="42349" xr:uid="{6FD748B1-57EC-42E4-B019-2FD866D14311}"/>
    <cellStyle name="40% - Accent6 4 11" xfId="26469" xr:uid="{7B55A2BC-3896-4A20-9D70-CE149F7B9962}"/>
    <cellStyle name="40% - Accent6 4 2" xfId="614" xr:uid="{00000000-0005-0000-0000-0000FB500000}"/>
    <cellStyle name="40% - Accent6 4 2 10" xfId="26470" xr:uid="{28807FF4-B1D1-4A1F-A3F6-5473D5F27B28}"/>
    <cellStyle name="40% - Accent6 4 2 2" xfId="615" xr:uid="{00000000-0005-0000-0000-0000FC500000}"/>
    <cellStyle name="40% - Accent6 4 2 2 2" xfId="1643" xr:uid="{00000000-0005-0000-0000-0000FD500000}"/>
    <cellStyle name="40% - Accent6 4 2 2 2 2" xfId="5173" xr:uid="{00000000-0005-0000-0000-0000FE500000}"/>
    <cellStyle name="40% - Accent6 4 2 2 2 2 2" xfId="8764" xr:uid="{00000000-0005-0000-0000-0000FF500000}"/>
    <cellStyle name="40% - Accent6 4 2 2 2 2 2 2" xfId="16735" xr:uid="{00000000-0005-0000-0000-000000510000}"/>
    <cellStyle name="40% - Accent6 4 2 2 2 2 2 2 2" xfId="40578" xr:uid="{CC67D155-9288-44C3-BE67-0D982094A631}"/>
    <cellStyle name="40% - Accent6 4 2 2 2 2 2 3" xfId="24681" xr:uid="{00000000-0005-0000-0000-000001510000}"/>
    <cellStyle name="40% - Accent6 4 2 2 2 2 2 3 2" xfId="48514" xr:uid="{75F84C03-98A0-4F3A-9928-7B0DC338DD75}"/>
    <cellStyle name="40% - Accent6 4 2 2 2 2 2 4" xfId="32637" xr:uid="{C92E9FE8-B565-4E2D-969E-F76426A34598}"/>
    <cellStyle name="40% - Accent6 4 2 2 2 2 3" xfId="13197" xr:uid="{00000000-0005-0000-0000-000002510000}"/>
    <cellStyle name="40% - Accent6 4 2 2 2 2 3 2" xfId="37047" xr:uid="{D574968F-A7B9-4009-A937-6055A3E02618}"/>
    <cellStyle name="40% - Accent6 4 2 2 2 2 4" xfId="21152" xr:uid="{00000000-0005-0000-0000-000003510000}"/>
    <cellStyle name="40% - Accent6 4 2 2 2 2 4 2" xfId="44985" xr:uid="{A7B43D28-9B93-4C5B-BD34-469F4A58F137}"/>
    <cellStyle name="40% - Accent6 4 2 2 2 2 5" xfId="29106" xr:uid="{CB9DC330-7983-4A1E-9F0E-8E34B945CDFA}"/>
    <cellStyle name="40% - Accent6 4 2 2 2 3" xfId="7005" xr:uid="{00000000-0005-0000-0000-000004510000}"/>
    <cellStyle name="40% - Accent6 4 2 2 2 3 2" xfId="14977" xr:uid="{00000000-0005-0000-0000-000005510000}"/>
    <cellStyle name="40% - Accent6 4 2 2 2 3 2 2" xfId="38820" xr:uid="{D2E5409B-D0CB-46D1-AED2-5525FDEE5DEF}"/>
    <cellStyle name="40% - Accent6 4 2 2 2 3 3" xfId="22924" xr:uid="{00000000-0005-0000-0000-000006510000}"/>
    <cellStyle name="40% - Accent6 4 2 2 2 3 3 2" xfId="46757" xr:uid="{384D9D34-0276-4DB4-92B1-80769309C33C}"/>
    <cellStyle name="40% - Accent6 4 2 2 2 3 4" xfId="30879" xr:uid="{E52E9D89-1F18-429D-BEC3-DE2F88FD7492}"/>
    <cellStyle name="40% - Accent6 4 2 2 2 4" xfId="11441" xr:uid="{00000000-0005-0000-0000-000007510000}"/>
    <cellStyle name="40% - Accent6 4 2 2 2 4 2" xfId="35291" xr:uid="{286A73E7-6C6A-40CF-8199-FA5DCA8B7592}"/>
    <cellStyle name="40% - Accent6 4 2 2 2 5" xfId="19396" xr:uid="{00000000-0005-0000-0000-000008510000}"/>
    <cellStyle name="40% - Accent6 4 2 2 2 5 2" xfId="43229" xr:uid="{EF79CF26-1995-4328-81E8-E93BB9CB7D60}"/>
    <cellStyle name="40% - Accent6 4 2 2 2 6" xfId="27349" xr:uid="{A8D1B89B-9307-4DD2-8FED-ECDDD6FE4D90}"/>
    <cellStyle name="40% - Accent6 4 2 2 2_Exh G" xfId="3372" xr:uid="{00000000-0005-0000-0000-000009510000}"/>
    <cellStyle name="40% - Accent6 4 2 2 3" xfId="4294" xr:uid="{00000000-0005-0000-0000-00000A510000}"/>
    <cellStyle name="40% - Accent6 4 2 2 3 2" xfId="7886" xr:uid="{00000000-0005-0000-0000-00000B510000}"/>
    <cellStyle name="40% - Accent6 4 2 2 3 2 2" xfId="15857" xr:uid="{00000000-0005-0000-0000-00000C510000}"/>
    <cellStyle name="40% - Accent6 4 2 2 3 2 2 2" xfId="39700" xr:uid="{86C8958B-CBF2-4E0A-B137-5C364622391A}"/>
    <cellStyle name="40% - Accent6 4 2 2 3 2 3" xfId="23803" xr:uid="{00000000-0005-0000-0000-00000D510000}"/>
    <cellStyle name="40% - Accent6 4 2 2 3 2 3 2" xfId="47636" xr:uid="{617E82F5-01A6-46F3-A078-247EB7B35621}"/>
    <cellStyle name="40% - Accent6 4 2 2 3 2 4" xfId="31759" xr:uid="{0C5BA2F9-0E0F-42AD-B130-F1A5C4077376}"/>
    <cellStyle name="40% - Accent6 4 2 2 3 3" xfId="12319" xr:uid="{00000000-0005-0000-0000-00000E510000}"/>
    <cellStyle name="40% - Accent6 4 2 2 3 3 2" xfId="36169" xr:uid="{1CF0C9DB-2D8F-47DD-BDDC-6AFC57D45747}"/>
    <cellStyle name="40% - Accent6 4 2 2 3 4" xfId="20274" xr:uid="{00000000-0005-0000-0000-00000F510000}"/>
    <cellStyle name="40% - Accent6 4 2 2 3 4 2" xfId="44107" xr:uid="{B9772989-848C-4205-8654-5F0C26DE00E8}"/>
    <cellStyle name="40% - Accent6 4 2 2 3 5" xfId="28228" xr:uid="{96EDB814-A19E-4815-BFBF-7B63A3C43DFB}"/>
    <cellStyle name="40% - Accent6 4 2 2 4" xfId="6114" xr:uid="{00000000-0005-0000-0000-000010510000}"/>
    <cellStyle name="40% - Accent6 4 2 2 4 2" xfId="14098" xr:uid="{00000000-0005-0000-0000-000011510000}"/>
    <cellStyle name="40% - Accent6 4 2 2 4 2 2" xfId="37942" xr:uid="{E356F56D-CB0B-4535-AE61-6E87313D0C72}"/>
    <cellStyle name="40% - Accent6 4 2 2 4 3" xfId="22046" xr:uid="{00000000-0005-0000-0000-000012510000}"/>
    <cellStyle name="40% - Accent6 4 2 2 4 3 2" xfId="45879" xr:uid="{5A05A832-7F1E-45FD-BA5B-8CC0936573F5}"/>
    <cellStyle name="40% - Accent6 4 2 2 4 4" xfId="30001" xr:uid="{B35EC214-9FD6-41EE-B273-E2FB7585D7F8}"/>
    <cellStyle name="40% - Accent6 4 2 2 5" xfId="9667" xr:uid="{00000000-0005-0000-0000-000013510000}"/>
    <cellStyle name="40% - Accent6 4 2 2 5 2" xfId="17625" xr:uid="{00000000-0005-0000-0000-000014510000}"/>
    <cellStyle name="40% - Accent6 4 2 2 5 2 2" xfId="41466" xr:uid="{950D3116-4AE2-4A43-B460-598EC22CD971}"/>
    <cellStyle name="40% - Accent6 4 2 2 5 3" xfId="25569" xr:uid="{00000000-0005-0000-0000-000015510000}"/>
    <cellStyle name="40% - Accent6 4 2 2 5 3 2" xfId="49402" xr:uid="{EFC2C0AB-07AC-4B77-90DF-982E5D124726}"/>
    <cellStyle name="40% - Accent6 4 2 2 5 4" xfId="33525" xr:uid="{03BFBBD0-3B91-4C13-829F-5377492B9094}"/>
    <cellStyle name="40% - Accent6 4 2 2 6" xfId="10563" xr:uid="{00000000-0005-0000-0000-000016510000}"/>
    <cellStyle name="40% - Accent6 4 2 2 6 2" xfId="34413" xr:uid="{247ED26B-ECA3-41BC-978E-A920CFD6B000}"/>
    <cellStyle name="40% - Accent6 4 2 2 7" xfId="18518" xr:uid="{00000000-0005-0000-0000-000017510000}"/>
    <cellStyle name="40% - Accent6 4 2 2 7 2" xfId="42351" xr:uid="{7C61B77A-FD93-42C8-B79A-7059911228D7}"/>
    <cellStyle name="40% - Accent6 4 2 2 8" xfId="26471" xr:uid="{CCC29379-4847-4501-92F2-3D61C3C21989}"/>
    <cellStyle name="40% - Accent6 4 2 2_Exh G" xfId="3371" xr:uid="{00000000-0005-0000-0000-000018510000}"/>
    <cellStyle name="40% - Accent6 4 2 3" xfId="1000" xr:uid="{00000000-0005-0000-0000-000019510000}"/>
    <cellStyle name="40% - Accent6 4 2 3 2" xfId="1914" xr:uid="{00000000-0005-0000-0000-00001A510000}"/>
    <cellStyle name="40% - Accent6 4 2 3 2 2" xfId="5432" xr:uid="{00000000-0005-0000-0000-00001B510000}"/>
    <cellStyle name="40% - Accent6 4 2 3 2 2 2" xfId="9023" xr:uid="{00000000-0005-0000-0000-00001C510000}"/>
    <cellStyle name="40% - Accent6 4 2 3 2 2 2 2" xfId="16994" xr:uid="{00000000-0005-0000-0000-00001D510000}"/>
    <cellStyle name="40% - Accent6 4 2 3 2 2 2 2 2" xfId="40837" xr:uid="{91CD2E98-1591-49B1-A326-FC0F50F7E53E}"/>
    <cellStyle name="40% - Accent6 4 2 3 2 2 2 3" xfId="24940" xr:uid="{00000000-0005-0000-0000-00001E510000}"/>
    <cellStyle name="40% - Accent6 4 2 3 2 2 2 3 2" xfId="48773" xr:uid="{8418CB0E-AE41-4A5E-A062-5AAAC39DF3AB}"/>
    <cellStyle name="40% - Accent6 4 2 3 2 2 2 4" xfId="32896" xr:uid="{1D0B6784-69F6-4B2C-A995-A5F48DED5EAB}"/>
    <cellStyle name="40% - Accent6 4 2 3 2 2 3" xfId="13456" xr:uid="{00000000-0005-0000-0000-00001F510000}"/>
    <cellStyle name="40% - Accent6 4 2 3 2 2 3 2" xfId="37306" xr:uid="{E3785634-BB82-47E4-9533-F5F6A3A5F2D1}"/>
    <cellStyle name="40% - Accent6 4 2 3 2 2 4" xfId="21411" xr:uid="{00000000-0005-0000-0000-000020510000}"/>
    <cellStyle name="40% - Accent6 4 2 3 2 2 4 2" xfId="45244" xr:uid="{86276A09-512E-464C-B350-2D6ACF1CFAEE}"/>
    <cellStyle name="40% - Accent6 4 2 3 2 2 5" xfId="29365" xr:uid="{166F25BF-36FE-43CD-AA84-BDB735030906}"/>
    <cellStyle name="40% - Accent6 4 2 3 2 3" xfId="7264" xr:uid="{00000000-0005-0000-0000-000021510000}"/>
    <cellStyle name="40% - Accent6 4 2 3 2 3 2" xfId="15236" xr:uid="{00000000-0005-0000-0000-000022510000}"/>
    <cellStyle name="40% - Accent6 4 2 3 2 3 2 2" xfId="39079" xr:uid="{F2FD4050-44F1-42A5-B100-BA186BD3A920}"/>
    <cellStyle name="40% - Accent6 4 2 3 2 3 3" xfId="23183" xr:uid="{00000000-0005-0000-0000-000023510000}"/>
    <cellStyle name="40% - Accent6 4 2 3 2 3 3 2" xfId="47016" xr:uid="{89339B6A-52F2-4A31-B90C-0ED0E830A171}"/>
    <cellStyle name="40% - Accent6 4 2 3 2 3 4" xfId="31138" xr:uid="{198AF271-53E4-495C-BE6E-DF5F638FADBB}"/>
    <cellStyle name="40% - Accent6 4 2 3 2 4" xfId="11700" xr:uid="{00000000-0005-0000-0000-000024510000}"/>
    <cellStyle name="40% - Accent6 4 2 3 2 4 2" xfId="35550" xr:uid="{E9AE5A61-2A37-496C-A6F8-08B45348DC1A}"/>
    <cellStyle name="40% - Accent6 4 2 3 2 5" xfId="19655" xr:uid="{00000000-0005-0000-0000-000025510000}"/>
    <cellStyle name="40% - Accent6 4 2 3 2 5 2" xfId="43488" xr:uid="{3241E2B3-1A0C-4B9E-B646-B1B62156812C}"/>
    <cellStyle name="40% - Accent6 4 2 3 2 6" xfId="27608" xr:uid="{04EED3E4-7966-4FF0-BA4A-888D68C9AD42}"/>
    <cellStyle name="40% - Accent6 4 2 3 2_Exh G" xfId="3374" xr:uid="{00000000-0005-0000-0000-000026510000}"/>
    <cellStyle name="40% - Accent6 4 2 3 3" xfId="4553" xr:uid="{00000000-0005-0000-0000-000027510000}"/>
    <cellStyle name="40% - Accent6 4 2 3 3 2" xfId="8145" xr:uid="{00000000-0005-0000-0000-000028510000}"/>
    <cellStyle name="40% - Accent6 4 2 3 3 2 2" xfId="16116" xr:uid="{00000000-0005-0000-0000-000029510000}"/>
    <cellStyle name="40% - Accent6 4 2 3 3 2 2 2" xfId="39959" xr:uid="{5DD8BCA8-FC1B-4A8B-B2CF-E7DD1B1D5252}"/>
    <cellStyle name="40% - Accent6 4 2 3 3 2 3" xfId="24062" xr:uid="{00000000-0005-0000-0000-00002A510000}"/>
    <cellStyle name="40% - Accent6 4 2 3 3 2 3 2" xfId="47895" xr:uid="{79956D53-E554-40BD-90AA-F891DB2F5AB2}"/>
    <cellStyle name="40% - Accent6 4 2 3 3 2 4" xfId="32018" xr:uid="{BC9EB1A6-CB73-4175-83C6-95674E1D48E2}"/>
    <cellStyle name="40% - Accent6 4 2 3 3 3" xfId="12578" xr:uid="{00000000-0005-0000-0000-00002B510000}"/>
    <cellStyle name="40% - Accent6 4 2 3 3 3 2" xfId="36428" xr:uid="{71D0DB59-DF12-472B-8568-46FA96407C81}"/>
    <cellStyle name="40% - Accent6 4 2 3 3 4" xfId="20533" xr:uid="{00000000-0005-0000-0000-00002C510000}"/>
    <cellStyle name="40% - Accent6 4 2 3 3 4 2" xfId="44366" xr:uid="{3DF12F93-ACF0-4F55-90FA-A01A8B43F17E}"/>
    <cellStyle name="40% - Accent6 4 2 3 3 5" xfId="28487" xr:uid="{C0183457-ADE3-4594-9A4D-45BCABE68985}"/>
    <cellStyle name="40% - Accent6 4 2 3 4" xfId="6383" xr:uid="{00000000-0005-0000-0000-00002D510000}"/>
    <cellStyle name="40% - Accent6 4 2 3 4 2" xfId="14358" xr:uid="{00000000-0005-0000-0000-00002E510000}"/>
    <cellStyle name="40% - Accent6 4 2 3 4 2 2" xfId="38201" xr:uid="{E57EBF2D-2F65-4D70-B4CC-A8F259F43A3B}"/>
    <cellStyle name="40% - Accent6 4 2 3 4 3" xfId="22305" xr:uid="{00000000-0005-0000-0000-00002F510000}"/>
    <cellStyle name="40% - Accent6 4 2 3 4 3 2" xfId="46138" xr:uid="{52A0D707-E0EE-43D4-A81E-ABC30254245D}"/>
    <cellStyle name="40% - Accent6 4 2 3 4 4" xfId="30260" xr:uid="{03A9F307-0E80-4613-83EF-409D05A8DC3A}"/>
    <cellStyle name="40% - Accent6 4 2 3 5" xfId="9926" xr:uid="{00000000-0005-0000-0000-000030510000}"/>
    <cellStyle name="40% - Accent6 4 2 3 5 2" xfId="17884" xr:uid="{00000000-0005-0000-0000-000031510000}"/>
    <cellStyle name="40% - Accent6 4 2 3 5 2 2" xfId="41725" xr:uid="{7C5DAC19-2DC5-4A13-92ED-A08B955B1825}"/>
    <cellStyle name="40% - Accent6 4 2 3 5 3" xfId="25828" xr:uid="{00000000-0005-0000-0000-000032510000}"/>
    <cellStyle name="40% - Accent6 4 2 3 5 3 2" xfId="49661" xr:uid="{219CE6D8-C23F-42CE-A81B-C181C6F59A43}"/>
    <cellStyle name="40% - Accent6 4 2 3 5 4" xfId="33784" xr:uid="{1B0DEC84-C4E6-4871-96EE-856EA9787F5B}"/>
    <cellStyle name="40% - Accent6 4 2 3 6" xfId="10822" xr:uid="{00000000-0005-0000-0000-000033510000}"/>
    <cellStyle name="40% - Accent6 4 2 3 6 2" xfId="34672" xr:uid="{C0D0A47F-9653-4543-A976-FDEEB25B176C}"/>
    <cellStyle name="40% - Accent6 4 2 3 7" xfId="18777" xr:uid="{00000000-0005-0000-0000-000034510000}"/>
    <cellStyle name="40% - Accent6 4 2 3 7 2" xfId="42610" xr:uid="{271D7E1F-35E6-412E-ABCE-4CC02283A7DE}"/>
    <cellStyle name="40% - Accent6 4 2 3 8" xfId="26730" xr:uid="{E46CE0CB-A0C8-46BE-8D67-EFAF91A3910E}"/>
    <cellStyle name="40% - Accent6 4 2 3_Exh G" xfId="3373" xr:uid="{00000000-0005-0000-0000-000035510000}"/>
    <cellStyle name="40% - Accent6 4 2 4" xfId="1642" xr:uid="{00000000-0005-0000-0000-000036510000}"/>
    <cellStyle name="40% - Accent6 4 2 4 2" xfId="5172" xr:uid="{00000000-0005-0000-0000-000037510000}"/>
    <cellStyle name="40% - Accent6 4 2 4 2 2" xfId="8763" xr:uid="{00000000-0005-0000-0000-000038510000}"/>
    <cellStyle name="40% - Accent6 4 2 4 2 2 2" xfId="16734" xr:uid="{00000000-0005-0000-0000-000039510000}"/>
    <cellStyle name="40% - Accent6 4 2 4 2 2 2 2" xfId="40577" xr:uid="{8A8BD9E8-1292-4A12-9E5A-ED13E830BB66}"/>
    <cellStyle name="40% - Accent6 4 2 4 2 2 3" xfId="24680" xr:uid="{00000000-0005-0000-0000-00003A510000}"/>
    <cellStyle name="40% - Accent6 4 2 4 2 2 3 2" xfId="48513" xr:uid="{C4D56E69-A13A-4D2A-9B7D-BBBD3973677A}"/>
    <cellStyle name="40% - Accent6 4 2 4 2 2 4" xfId="32636" xr:uid="{98DA9053-7573-4FD6-9A3B-D4D9F3FD6A9E}"/>
    <cellStyle name="40% - Accent6 4 2 4 2 3" xfId="13196" xr:uid="{00000000-0005-0000-0000-00003B510000}"/>
    <cellStyle name="40% - Accent6 4 2 4 2 3 2" xfId="37046" xr:uid="{1288F343-F8DE-48B1-AA47-1B2F7083CE83}"/>
    <cellStyle name="40% - Accent6 4 2 4 2 4" xfId="21151" xr:uid="{00000000-0005-0000-0000-00003C510000}"/>
    <cellStyle name="40% - Accent6 4 2 4 2 4 2" xfId="44984" xr:uid="{8F90FC45-C782-4D96-A1A5-58BE192B148A}"/>
    <cellStyle name="40% - Accent6 4 2 4 2 5" xfId="29105" xr:uid="{6401DC63-FB87-4EDD-9F5D-8154792D9601}"/>
    <cellStyle name="40% - Accent6 4 2 4 3" xfId="7004" xr:uid="{00000000-0005-0000-0000-00003D510000}"/>
    <cellStyle name="40% - Accent6 4 2 4 3 2" xfId="14976" xr:uid="{00000000-0005-0000-0000-00003E510000}"/>
    <cellStyle name="40% - Accent6 4 2 4 3 2 2" xfId="38819" xr:uid="{3664429A-9442-4248-ADAE-7E2B3C834EF2}"/>
    <cellStyle name="40% - Accent6 4 2 4 3 3" xfId="22923" xr:uid="{00000000-0005-0000-0000-00003F510000}"/>
    <cellStyle name="40% - Accent6 4 2 4 3 3 2" xfId="46756" xr:uid="{C3EB66D9-C7E2-4C2A-A13A-EFF15F745649}"/>
    <cellStyle name="40% - Accent6 4 2 4 3 4" xfId="30878" xr:uid="{37068026-9171-4739-A44A-E57505371614}"/>
    <cellStyle name="40% - Accent6 4 2 4 4" xfId="11440" xr:uid="{00000000-0005-0000-0000-000040510000}"/>
    <cellStyle name="40% - Accent6 4 2 4 4 2" xfId="35290" xr:uid="{0DE36DBA-E316-47AE-B518-1495578482FC}"/>
    <cellStyle name="40% - Accent6 4 2 4 5" xfId="19395" xr:uid="{00000000-0005-0000-0000-000041510000}"/>
    <cellStyle name="40% - Accent6 4 2 4 5 2" xfId="43228" xr:uid="{86223D2C-E639-48A5-A10D-BFCDFC01DBD4}"/>
    <cellStyle name="40% - Accent6 4 2 4 6" xfId="27348" xr:uid="{375A0B94-0EE5-4B35-94EC-9FB25EAD1299}"/>
    <cellStyle name="40% - Accent6 4 2 4_Exh G" xfId="3375" xr:uid="{00000000-0005-0000-0000-000042510000}"/>
    <cellStyle name="40% - Accent6 4 2 5" xfId="4293" xr:uid="{00000000-0005-0000-0000-000043510000}"/>
    <cellStyle name="40% - Accent6 4 2 5 2" xfId="7885" xr:uid="{00000000-0005-0000-0000-000044510000}"/>
    <cellStyle name="40% - Accent6 4 2 5 2 2" xfId="15856" xr:uid="{00000000-0005-0000-0000-000045510000}"/>
    <cellStyle name="40% - Accent6 4 2 5 2 2 2" xfId="39699" xr:uid="{A3F57EB8-A6A0-467A-A614-726B3EECE392}"/>
    <cellStyle name="40% - Accent6 4 2 5 2 3" xfId="23802" xr:uid="{00000000-0005-0000-0000-000046510000}"/>
    <cellStyle name="40% - Accent6 4 2 5 2 3 2" xfId="47635" xr:uid="{5074350D-7D84-458D-B4B9-508651E0DB32}"/>
    <cellStyle name="40% - Accent6 4 2 5 2 4" xfId="31758" xr:uid="{F8E30698-58A1-4BBB-AE98-16AD0FC10EAD}"/>
    <cellStyle name="40% - Accent6 4 2 5 3" xfId="12318" xr:uid="{00000000-0005-0000-0000-000047510000}"/>
    <cellStyle name="40% - Accent6 4 2 5 3 2" xfId="36168" xr:uid="{B96999A8-E909-4187-AB46-71AC49CF7016}"/>
    <cellStyle name="40% - Accent6 4 2 5 4" xfId="20273" xr:uid="{00000000-0005-0000-0000-000048510000}"/>
    <cellStyle name="40% - Accent6 4 2 5 4 2" xfId="44106" xr:uid="{0B21973A-0421-402C-ACCB-A616EA2113FF}"/>
    <cellStyle name="40% - Accent6 4 2 5 5" xfId="28227" xr:uid="{3E3EA5B8-B91E-4EBD-ACBC-C6BC4B4E253E}"/>
    <cellStyle name="40% - Accent6 4 2 6" xfId="6113" xr:uid="{00000000-0005-0000-0000-000049510000}"/>
    <cellStyle name="40% - Accent6 4 2 6 2" xfId="14097" xr:uid="{00000000-0005-0000-0000-00004A510000}"/>
    <cellStyle name="40% - Accent6 4 2 6 2 2" xfId="37941" xr:uid="{EB7AF977-5D4F-42C1-84C3-8444AF1C7458}"/>
    <cellStyle name="40% - Accent6 4 2 6 3" xfId="22045" xr:uid="{00000000-0005-0000-0000-00004B510000}"/>
    <cellStyle name="40% - Accent6 4 2 6 3 2" xfId="45878" xr:uid="{39E2EDCC-1703-4F85-8759-4709807A201A}"/>
    <cellStyle name="40% - Accent6 4 2 6 4" xfId="30000" xr:uid="{1659D7DE-CC8F-4402-8D78-63293F0744A5}"/>
    <cellStyle name="40% - Accent6 4 2 7" xfId="9666" xr:uid="{00000000-0005-0000-0000-00004C510000}"/>
    <cellStyle name="40% - Accent6 4 2 7 2" xfId="17624" xr:uid="{00000000-0005-0000-0000-00004D510000}"/>
    <cellStyle name="40% - Accent6 4 2 7 2 2" xfId="41465" xr:uid="{8C5FAA2B-ED75-4068-B482-B79118FC1459}"/>
    <cellStyle name="40% - Accent6 4 2 7 3" xfId="25568" xr:uid="{00000000-0005-0000-0000-00004E510000}"/>
    <cellStyle name="40% - Accent6 4 2 7 3 2" xfId="49401" xr:uid="{1E0ABE2E-0C86-41FA-99C8-55EF6750AF41}"/>
    <cellStyle name="40% - Accent6 4 2 7 4" xfId="33524" xr:uid="{133A5CB9-770F-4F8F-A4DD-6976CDC26EA4}"/>
    <cellStyle name="40% - Accent6 4 2 8" xfId="10562" xr:uid="{00000000-0005-0000-0000-00004F510000}"/>
    <cellStyle name="40% - Accent6 4 2 8 2" xfId="34412" xr:uid="{B6DFF1C6-8507-43A6-9281-E5113C794C28}"/>
    <cellStyle name="40% - Accent6 4 2 9" xfId="18517" xr:uid="{00000000-0005-0000-0000-000050510000}"/>
    <cellStyle name="40% - Accent6 4 2 9 2" xfId="42350" xr:uid="{B28EBB3A-F0AB-4B02-82B8-166EEFE9DB62}"/>
    <cellStyle name="40% - Accent6 4 2_Exh G" xfId="3370" xr:uid="{00000000-0005-0000-0000-000051510000}"/>
    <cellStyle name="40% - Accent6 4 3" xfId="616" xr:uid="{00000000-0005-0000-0000-000052510000}"/>
    <cellStyle name="40% - Accent6 4 3 2" xfId="1644" xr:uid="{00000000-0005-0000-0000-000053510000}"/>
    <cellStyle name="40% - Accent6 4 3 2 2" xfId="5174" xr:uid="{00000000-0005-0000-0000-000054510000}"/>
    <cellStyle name="40% - Accent6 4 3 2 2 2" xfId="8765" xr:uid="{00000000-0005-0000-0000-000055510000}"/>
    <cellStyle name="40% - Accent6 4 3 2 2 2 2" xfId="16736" xr:uid="{00000000-0005-0000-0000-000056510000}"/>
    <cellStyle name="40% - Accent6 4 3 2 2 2 2 2" xfId="40579" xr:uid="{2C2842CA-DB78-436F-A28A-CDFC8C76C52F}"/>
    <cellStyle name="40% - Accent6 4 3 2 2 2 3" xfId="24682" xr:uid="{00000000-0005-0000-0000-000057510000}"/>
    <cellStyle name="40% - Accent6 4 3 2 2 2 3 2" xfId="48515" xr:uid="{D556AB9D-0BAD-4E24-8300-153265407179}"/>
    <cellStyle name="40% - Accent6 4 3 2 2 2 4" xfId="32638" xr:uid="{EEA4AAE2-D7F8-4E80-921D-14B4714D399F}"/>
    <cellStyle name="40% - Accent6 4 3 2 2 3" xfId="13198" xr:uid="{00000000-0005-0000-0000-000058510000}"/>
    <cellStyle name="40% - Accent6 4 3 2 2 3 2" xfId="37048" xr:uid="{8A13B110-5740-44ED-8D58-16B06BA7BE9A}"/>
    <cellStyle name="40% - Accent6 4 3 2 2 4" xfId="21153" xr:uid="{00000000-0005-0000-0000-000059510000}"/>
    <cellStyle name="40% - Accent6 4 3 2 2 4 2" xfId="44986" xr:uid="{24AFE7E2-6229-46C2-93E6-AFE28912697D}"/>
    <cellStyle name="40% - Accent6 4 3 2 2 5" xfId="29107" xr:uid="{AB021C4E-768C-44D7-A0FC-293A7A77C30E}"/>
    <cellStyle name="40% - Accent6 4 3 2 3" xfId="7006" xr:uid="{00000000-0005-0000-0000-00005A510000}"/>
    <cellStyle name="40% - Accent6 4 3 2 3 2" xfId="14978" xr:uid="{00000000-0005-0000-0000-00005B510000}"/>
    <cellStyle name="40% - Accent6 4 3 2 3 2 2" xfId="38821" xr:uid="{6B227A1C-3D0F-4608-9633-EFE58A62B524}"/>
    <cellStyle name="40% - Accent6 4 3 2 3 3" xfId="22925" xr:uid="{00000000-0005-0000-0000-00005C510000}"/>
    <cellStyle name="40% - Accent6 4 3 2 3 3 2" xfId="46758" xr:uid="{5E4C1597-74F9-4773-9D91-DBBF83DA4320}"/>
    <cellStyle name="40% - Accent6 4 3 2 3 4" xfId="30880" xr:uid="{F1FAD473-724E-45DC-A94C-768C697D4A13}"/>
    <cellStyle name="40% - Accent6 4 3 2 4" xfId="11442" xr:uid="{00000000-0005-0000-0000-00005D510000}"/>
    <cellStyle name="40% - Accent6 4 3 2 4 2" xfId="35292" xr:uid="{8BF64AA1-2956-42BA-964D-913F309917AE}"/>
    <cellStyle name="40% - Accent6 4 3 2 5" xfId="19397" xr:uid="{00000000-0005-0000-0000-00005E510000}"/>
    <cellStyle name="40% - Accent6 4 3 2 5 2" xfId="43230" xr:uid="{7091D34F-4265-42A3-AB62-AACD95467A34}"/>
    <cellStyle name="40% - Accent6 4 3 2 6" xfId="27350" xr:uid="{226AAC2A-D63E-431F-8DCC-1F131D3F79E2}"/>
    <cellStyle name="40% - Accent6 4 3 2_Exh G" xfId="3377" xr:uid="{00000000-0005-0000-0000-00005F510000}"/>
    <cellStyle name="40% - Accent6 4 3 3" xfId="4295" xr:uid="{00000000-0005-0000-0000-000060510000}"/>
    <cellStyle name="40% - Accent6 4 3 3 2" xfId="7887" xr:uid="{00000000-0005-0000-0000-000061510000}"/>
    <cellStyle name="40% - Accent6 4 3 3 2 2" xfId="15858" xr:uid="{00000000-0005-0000-0000-000062510000}"/>
    <cellStyle name="40% - Accent6 4 3 3 2 2 2" xfId="39701" xr:uid="{751F0896-A620-45CC-BADC-A7748A8DFE7C}"/>
    <cellStyle name="40% - Accent6 4 3 3 2 3" xfId="23804" xr:uid="{00000000-0005-0000-0000-000063510000}"/>
    <cellStyle name="40% - Accent6 4 3 3 2 3 2" xfId="47637" xr:uid="{4166F0C6-3FFF-49B1-A950-D166D6CC09E6}"/>
    <cellStyle name="40% - Accent6 4 3 3 2 4" xfId="31760" xr:uid="{4C3A7090-A04B-4F8A-B0BB-18A19C4AEAB0}"/>
    <cellStyle name="40% - Accent6 4 3 3 3" xfId="12320" xr:uid="{00000000-0005-0000-0000-000064510000}"/>
    <cellStyle name="40% - Accent6 4 3 3 3 2" xfId="36170" xr:uid="{90970A1A-F41F-4686-97DE-DD635E68B9B1}"/>
    <cellStyle name="40% - Accent6 4 3 3 4" xfId="20275" xr:uid="{00000000-0005-0000-0000-000065510000}"/>
    <cellStyle name="40% - Accent6 4 3 3 4 2" xfId="44108" xr:uid="{140245DA-0D21-4404-992F-EA769505479B}"/>
    <cellStyle name="40% - Accent6 4 3 3 5" xfId="28229" xr:uid="{9B5CFE0B-070B-48E5-82F7-ECE221B7BF89}"/>
    <cellStyle name="40% - Accent6 4 3 4" xfId="6115" xr:uid="{00000000-0005-0000-0000-000066510000}"/>
    <cellStyle name="40% - Accent6 4 3 4 2" xfId="14099" xr:uid="{00000000-0005-0000-0000-000067510000}"/>
    <cellStyle name="40% - Accent6 4 3 4 2 2" xfId="37943" xr:uid="{7BD3EA6C-9DE0-4D86-B0E7-0FC490D927BB}"/>
    <cellStyle name="40% - Accent6 4 3 4 3" xfId="22047" xr:uid="{00000000-0005-0000-0000-000068510000}"/>
    <cellStyle name="40% - Accent6 4 3 4 3 2" xfId="45880" xr:uid="{78EA692A-05E0-4C1A-8D31-76046BE4705B}"/>
    <cellStyle name="40% - Accent6 4 3 4 4" xfId="30002" xr:uid="{613300C9-FFE7-439D-AE91-F8D270667233}"/>
    <cellStyle name="40% - Accent6 4 3 5" xfId="9668" xr:uid="{00000000-0005-0000-0000-000069510000}"/>
    <cellStyle name="40% - Accent6 4 3 5 2" xfId="17626" xr:uid="{00000000-0005-0000-0000-00006A510000}"/>
    <cellStyle name="40% - Accent6 4 3 5 2 2" xfId="41467" xr:uid="{177A6548-1F9F-40DB-A0AC-9F9EC1E31714}"/>
    <cellStyle name="40% - Accent6 4 3 5 3" xfId="25570" xr:uid="{00000000-0005-0000-0000-00006B510000}"/>
    <cellStyle name="40% - Accent6 4 3 5 3 2" xfId="49403" xr:uid="{73331CFC-DA5C-4895-8206-1719D2B610CF}"/>
    <cellStyle name="40% - Accent6 4 3 5 4" xfId="33526" xr:uid="{0BD9CFC8-C54E-4409-8E9F-236140B781CD}"/>
    <cellStyle name="40% - Accent6 4 3 6" xfId="10564" xr:uid="{00000000-0005-0000-0000-00006C510000}"/>
    <cellStyle name="40% - Accent6 4 3 6 2" xfId="34414" xr:uid="{EA32FA7D-420F-44F8-8742-81D12FDE7D54}"/>
    <cellStyle name="40% - Accent6 4 3 7" xfId="18519" xr:uid="{00000000-0005-0000-0000-00006D510000}"/>
    <cellStyle name="40% - Accent6 4 3 7 2" xfId="42352" xr:uid="{A8336C2D-2DEA-4A10-8C14-C523D2FAB0EF}"/>
    <cellStyle name="40% - Accent6 4 3 8" xfId="26472" xr:uid="{6F358A0F-80D9-48F8-A88B-B3CD91D13623}"/>
    <cellStyle name="40% - Accent6 4 3_Exh G" xfId="3376" xr:uid="{00000000-0005-0000-0000-00006E510000}"/>
    <cellStyle name="40% - Accent6 4 4" xfId="999" xr:uid="{00000000-0005-0000-0000-00006F510000}"/>
    <cellStyle name="40% - Accent6 4 4 2" xfId="1913" xr:uid="{00000000-0005-0000-0000-000070510000}"/>
    <cellStyle name="40% - Accent6 4 4 2 2" xfId="5431" xr:uid="{00000000-0005-0000-0000-000071510000}"/>
    <cellStyle name="40% - Accent6 4 4 2 2 2" xfId="9022" xr:uid="{00000000-0005-0000-0000-000072510000}"/>
    <cellStyle name="40% - Accent6 4 4 2 2 2 2" xfId="16993" xr:uid="{00000000-0005-0000-0000-000073510000}"/>
    <cellStyle name="40% - Accent6 4 4 2 2 2 2 2" xfId="40836" xr:uid="{8C52A7C4-8D4E-4C31-BF18-8AB71EC58590}"/>
    <cellStyle name="40% - Accent6 4 4 2 2 2 3" xfId="24939" xr:uid="{00000000-0005-0000-0000-000074510000}"/>
    <cellStyle name="40% - Accent6 4 4 2 2 2 3 2" xfId="48772" xr:uid="{FA886DBE-D3A8-4647-AF00-3266B8849AB4}"/>
    <cellStyle name="40% - Accent6 4 4 2 2 2 4" xfId="32895" xr:uid="{5F52844E-DA99-4352-B34E-283CAD09C5E0}"/>
    <cellStyle name="40% - Accent6 4 4 2 2 3" xfId="13455" xr:uid="{00000000-0005-0000-0000-000075510000}"/>
    <cellStyle name="40% - Accent6 4 4 2 2 3 2" xfId="37305" xr:uid="{BE4B989F-B40C-47ED-85B3-402155C74128}"/>
    <cellStyle name="40% - Accent6 4 4 2 2 4" xfId="21410" xr:uid="{00000000-0005-0000-0000-000076510000}"/>
    <cellStyle name="40% - Accent6 4 4 2 2 4 2" xfId="45243" xr:uid="{E1AB5766-5B25-4FE0-A622-9200F706F489}"/>
    <cellStyle name="40% - Accent6 4 4 2 2 5" xfId="29364" xr:uid="{DE678693-1B57-4339-845B-6ACB05CAB2D8}"/>
    <cellStyle name="40% - Accent6 4 4 2 3" xfId="7263" xr:uid="{00000000-0005-0000-0000-000077510000}"/>
    <cellStyle name="40% - Accent6 4 4 2 3 2" xfId="15235" xr:uid="{00000000-0005-0000-0000-000078510000}"/>
    <cellStyle name="40% - Accent6 4 4 2 3 2 2" xfId="39078" xr:uid="{F6023DC4-9CB2-4060-94E7-5CB5662EC88A}"/>
    <cellStyle name="40% - Accent6 4 4 2 3 3" xfId="23182" xr:uid="{00000000-0005-0000-0000-000079510000}"/>
    <cellStyle name="40% - Accent6 4 4 2 3 3 2" xfId="47015" xr:uid="{8A0F4DB4-49D0-482A-BA6C-5D41C64347A8}"/>
    <cellStyle name="40% - Accent6 4 4 2 3 4" xfId="31137" xr:uid="{AA668814-5B65-44B3-B00B-27B6DD616B03}"/>
    <cellStyle name="40% - Accent6 4 4 2 4" xfId="11699" xr:uid="{00000000-0005-0000-0000-00007A510000}"/>
    <cellStyle name="40% - Accent6 4 4 2 4 2" xfId="35549" xr:uid="{8D9D2AA7-FC09-42A4-8C4B-A25E21C6AAEC}"/>
    <cellStyle name="40% - Accent6 4 4 2 5" xfId="19654" xr:uid="{00000000-0005-0000-0000-00007B510000}"/>
    <cellStyle name="40% - Accent6 4 4 2 5 2" xfId="43487" xr:uid="{82239EC3-C2E1-478B-835D-579E69154C3A}"/>
    <cellStyle name="40% - Accent6 4 4 2 6" xfId="27607" xr:uid="{401863DC-95EC-44D1-B506-4DC1BDEB0094}"/>
    <cellStyle name="40% - Accent6 4 4 2_Exh G" xfId="3379" xr:uid="{00000000-0005-0000-0000-00007C510000}"/>
    <cellStyle name="40% - Accent6 4 4 3" xfId="4552" xr:uid="{00000000-0005-0000-0000-00007D510000}"/>
    <cellStyle name="40% - Accent6 4 4 3 2" xfId="8144" xr:uid="{00000000-0005-0000-0000-00007E510000}"/>
    <cellStyle name="40% - Accent6 4 4 3 2 2" xfId="16115" xr:uid="{00000000-0005-0000-0000-00007F510000}"/>
    <cellStyle name="40% - Accent6 4 4 3 2 2 2" xfId="39958" xr:uid="{1C059893-CCC8-4E58-9B1A-6DE14F86A6D5}"/>
    <cellStyle name="40% - Accent6 4 4 3 2 3" xfId="24061" xr:uid="{00000000-0005-0000-0000-000080510000}"/>
    <cellStyle name="40% - Accent6 4 4 3 2 3 2" xfId="47894" xr:uid="{BF51CFCD-ACCD-40A0-BAE0-C8C4713DA835}"/>
    <cellStyle name="40% - Accent6 4 4 3 2 4" xfId="32017" xr:uid="{35C187DE-0C59-4551-B360-E8C7095544D9}"/>
    <cellStyle name="40% - Accent6 4 4 3 3" xfId="12577" xr:uid="{00000000-0005-0000-0000-000081510000}"/>
    <cellStyle name="40% - Accent6 4 4 3 3 2" xfId="36427" xr:uid="{769B5352-B0B2-4E7F-9C5A-C07257D20CE8}"/>
    <cellStyle name="40% - Accent6 4 4 3 4" xfId="20532" xr:uid="{00000000-0005-0000-0000-000082510000}"/>
    <cellStyle name="40% - Accent6 4 4 3 4 2" xfId="44365" xr:uid="{21761440-07F1-4D4C-B98E-47F779BE1C44}"/>
    <cellStyle name="40% - Accent6 4 4 3 5" xfId="28486" xr:uid="{B21B985B-0D55-46B5-AA44-50848BD37218}"/>
    <cellStyle name="40% - Accent6 4 4 4" xfId="6382" xr:uid="{00000000-0005-0000-0000-000083510000}"/>
    <cellStyle name="40% - Accent6 4 4 4 2" xfId="14357" xr:uid="{00000000-0005-0000-0000-000084510000}"/>
    <cellStyle name="40% - Accent6 4 4 4 2 2" xfId="38200" xr:uid="{484387E5-B95A-4E82-828B-91D3586FC199}"/>
    <cellStyle name="40% - Accent6 4 4 4 3" xfId="22304" xr:uid="{00000000-0005-0000-0000-000085510000}"/>
    <cellStyle name="40% - Accent6 4 4 4 3 2" xfId="46137" xr:uid="{B54EBDED-EF5D-43C6-939A-050A0913EF04}"/>
    <cellStyle name="40% - Accent6 4 4 4 4" xfId="30259" xr:uid="{A0D9CEDE-E1DA-44F1-9FE0-7D3BB8D24BD6}"/>
    <cellStyle name="40% - Accent6 4 4 5" xfId="9925" xr:uid="{00000000-0005-0000-0000-000086510000}"/>
    <cellStyle name="40% - Accent6 4 4 5 2" xfId="17883" xr:uid="{00000000-0005-0000-0000-000087510000}"/>
    <cellStyle name="40% - Accent6 4 4 5 2 2" xfId="41724" xr:uid="{69885435-F8EA-4BF0-BCC9-DD8E680C75B9}"/>
    <cellStyle name="40% - Accent6 4 4 5 3" xfId="25827" xr:uid="{00000000-0005-0000-0000-000088510000}"/>
    <cellStyle name="40% - Accent6 4 4 5 3 2" xfId="49660" xr:uid="{05C88E38-F96F-4AFB-A3AA-CE11DC0DFF7A}"/>
    <cellStyle name="40% - Accent6 4 4 5 4" xfId="33783" xr:uid="{3DC0955C-D2AF-4DFA-AD1C-AE7C9C98459A}"/>
    <cellStyle name="40% - Accent6 4 4 6" xfId="10821" xr:uid="{00000000-0005-0000-0000-000089510000}"/>
    <cellStyle name="40% - Accent6 4 4 6 2" xfId="34671" xr:uid="{A29D26D2-9D74-4694-8D66-5EFDD384DF88}"/>
    <cellStyle name="40% - Accent6 4 4 7" xfId="18776" xr:uid="{00000000-0005-0000-0000-00008A510000}"/>
    <cellStyle name="40% - Accent6 4 4 7 2" xfId="42609" xr:uid="{CB3BBB67-6C93-4662-9D79-EB47EC965CE5}"/>
    <cellStyle name="40% - Accent6 4 4 8" xfId="26729" xr:uid="{0860BD92-2023-47EC-BD91-20406C0AE3B9}"/>
    <cellStyle name="40% - Accent6 4 4_Exh G" xfId="3378" xr:uid="{00000000-0005-0000-0000-00008B510000}"/>
    <cellStyle name="40% - Accent6 4 5" xfId="1641" xr:uid="{00000000-0005-0000-0000-00008C510000}"/>
    <cellStyle name="40% - Accent6 4 5 2" xfId="5171" xr:uid="{00000000-0005-0000-0000-00008D510000}"/>
    <cellStyle name="40% - Accent6 4 5 2 2" xfId="8762" xr:uid="{00000000-0005-0000-0000-00008E510000}"/>
    <cellStyle name="40% - Accent6 4 5 2 2 2" xfId="16733" xr:uid="{00000000-0005-0000-0000-00008F510000}"/>
    <cellStyle name="40% - Accent6 4 5 2 2 2 2" xfId="40576" xr:uid="{812A0F73-38BB-4EC4-AE96-D6F325743AC8}"/>
    <cellStyle name="40% - Accent6 4 5 2 2 3" xfId="24679" xr:uid="{00000000-0005-0000-0000-000090510000}"/>
    <cellStyle name="40% - Accent6 4 5 2 2 3 2" xfId="48512" xr:uid="{3A87966C-3D3A-4A54-9558-02B2329985AC}"/>
    <cellStyle name="40% - Accent6 4 5 2 2 4" xfId="32635" xr:uid="{9088373D-2E84-4641-9447-B5434B930576}"/>
    <cellStyle name="40% - Accent6 4 5 2 3" xfId="13195" xr:uid="{00000000-0005-0000-0000-000091510000}"/>
    <cellStyle name="40% - Accent6 4 5 2 3 2" xfId="37045" xr:uid="{FDF7316E-3160-4713-BAB3-83011891662D}"/>
    <cellStyle name="40% - Accent6 4 5 2 4" xfId="21150" xr:uid="{00000000-0005-0000-0000-000092510000}"/>
    <cellStyle name="40% - Accent6 4 5 2 4 2" xfId="44983" xr:uid="{60171DCA-2475-4F25-9A4F-3671770AD5B5}"/>
    <cellStyle name="40% - Accent6 4 5 2 5" xfId="29104" xr:uid="{8D8D56A1-0450-4DFB-BF25-06B1EAD6F34A}"/>
    <cellStyle name="40% - Accent6 4 5 3" xfId="7003" xr:uid="{00000000-0005-0000-0000-000093510000}"/>
    <cellStyle name="40% - Accent6 4 5 3 2" xfId="14975" xr:uid="{00000000-0005-0000-0000-000094510000}"/>
    <cellStyle name="40% - Accent6 4 5 3 2 2" xfId="38818" xr:uid="{D67B139D-BDC4-4B2B-9730-7238B6DEC2A6}"/>
    <cellStyle name="40% - Accent6 4 5 3 3" xfId="22922" xr:uid="{00000000-0005-0000-0000-000095510000}"/>
    <cellStyle name="40% - Accent6 4 5 3 3 2" xfId="46755" xr:uid="{E42B14B6-4F6F-4217-9839-8D1229768FA8}"/>
    <cellStyle name="40% - Accent6 4 5 3 4" xfId="30877" xr:uid="{ACFBED31-B8A9-426E-91F9-D12A67A33587}"/>
    <cellStyle name="40% - Accent6 4 5 4" xfId="11439" xr:uid="{00000000-0005-0000-0000-000096510000}"/>
    <cellStyle name="40% - Accent6 4 5 4 2" xfId="35289" xr:uid="{21488BEC-041A-4AA6-8588-9629E90C7CBC}"/>
    <cellStyle name="40% - Accent6 4 5 5" xfId="19394" xr:uid="{00000000-0005-0000-0000-000097510000}"/>
    <cellStyle name="40% - Accent6 4 5 5 2" xfId="43227" xr:uid="{8E6EA14F-1927-4591-B08D-49017EB2E34F}"/>
    <cellStyle name="40% - Accent6 4 5 6" xfId="27347" xr:uid="{4CFF39EC-BCEE-4034-B261-B1A5FBC4E5A0}"/>
    <cellStyle name="40% - Accent6 4 5_Exh G" xfId="3380" xr:uid="{00000000-0005-0000-0000-000098510000}"/>
    <cellStyle name="40% - Accent6 4 6" xfId="4292" xr:uid="{00000000-0005-0000-0000-000099510000}"/>
    <cellStyle name="40% - Accent6 4 6 2" xfId="7884" xr:uid="{00000000-0005-0000-0000-00009A510000}"/>
    <cellStyle name="40% - Accent6 4 6 2 2" xfId="15855" xr:uid="{00000000-0005-0000-0000-00009B510000}"/>
    <cellStyle name="40% - Accent6 4 6 2 2 2" xfId="39698" xr:uid="{F5FF0AB5-01BB-48D9-B81C-59147F2A5DC0}"/>
    <cellStyle name="40% - Accent6 4 6 2 3" xfId="23801" xr:uid="{00000000-0005-0000-0000-00009C510000}"/>
    <cellStyle name="40% - Accent6 4 6 2 3 2" xfId="47634" xr:uid="{148D30EC-ED5B-4D17-8891-498A08547CF2}"/>
    <cellStyle name="40% - Accent6 4 6 2 4" xfId="31757" xr:uid="{EC5EAFF1-C2CF-445A-A9E0-660955A6A00F}"/>
    <cellStyle name="40% - Accent6 4 6 3" xfId="12317" xr:uid="{00000000-0005-0000-0000-00009D510000}"/>
    <cellStyle name="40% - Accent6 4 6 3 2" xfId="36167" xr:uid="{67ED891F-09E1-4D7E-9ECC-6DB92B8EB97E}"/>
    <cellStyle name="40% - Accent6 4 6 4" xfId="20272" xr:uid="{00000000-0005-0000-0000-00009E510000}"/>
    <cellStyle name="40% - Accent6 4 6 4 2" xfId="44105" xr:uid="{8A8BFC45-2702-45E8-983F-3F799A11BD7C}"/>
    <cellStyle name="40% - Accent6 4 6 5" xfId="28226" xr:uid="{08A76233-F66C-4288-BD5C-D7206B3BB6EE}"/>
    <cellStyle name="40% - Accent6 4 7" xfId="6112" xr:uid="{00000000-0005-0000-0000-00009F510000}"/>
    <cellStyle name="40% - Accent6 4 7 2" xfId="14096" xr:uid="{00000000-0005-0000-0000-0000A0510000}"/>
    <cellStyle name="40% - Accent6 4 7 2 2" xfId="37940" xr:uid="{8A203E6D-1FD1-4964-A9AE-05F3BD70E44A}"/>
    <cellStyle name="40% - Accent6 4 7 3" xfId="22044" xr:uid="{00000000-0005-0000-0000-0000A1510000}"/>
    <cellStyle name="40% - Accent6 4 7 3 2" xfId="45877" xr:uid="{3FDD310A-7CC3-4996-B03F-51D93BA1CE32}"/>
    <cellStyle name="40% - Accent6 4 7 4" xfId="29999" xr:uid="{AC07AAF5-D272-44F1-B7C5-5D9E47EFA148}"/>
    <cellStyle name="40% - Accent6 4 8" xfId="9665" xr:uid="{00000000-0005-0000-0000-0000A2510000}"/>
    <cellStyle name="40% - Accent6 4 8 2" xfId="17623" xr:uid="{00000000-0005-0000-0000-0000A3510000}"/>
    <cellStyle name="40% - Accent6 4 8 2 2" xfId="41464" xr:uid="{6762E14E-8533-49AA-BE1B-3021FF17D19A}"/>
    <cellStyle name="40% - Accent6 4 8 3" xfId="25567" xr:uid="{00000000-0005-0000-0000-0000A4510000}"/>
    <cellStyle name="40% - Accent6 4 8 3 2" xfId="49400" xr:uid="{98CB8B15-7501-41FD-A188-6B68CD321CE2}"/>
    <cellStyle name="40% - Accent6 4 8 4" xfId="33523" xr:uid="{8C971A4C-E60B-4E55-9310-DE879948320C}"/>
    <cellStyle name="40% - Accent6 4 9" xfId="10561" xr:uid="{00000000-0005-0000-0000-0000A5510000}"/>
    <cellStyle name="40% - Accent6 4 9 2" xfId="34411" xr:uid="{A2EDB1AD-EDFF-4EA2-9988-AD330A1095FD}"/>
    <cellStyle name="40% - Accent6 4_Exh G" xfId="3369" xr:uid="{00000000-0005-0000-0000-0000A6510000}"/>
    <cellStyle name="40% - Accent6 5" xfId="617" xr:uid="{00000000-0005-0000-0000-0000A7510000}"/>
    <cellStyle name="40% - Accent6 5 10" xfId="18520" xr:uid="{00000000-0005-0000-0000-0000A8510000}"/>
    <cellStyle name="40% - Accent6 5 10 2" xfId="42353" xr:uid="{F79F55D0-98DB-4457-B5B4-7C9296AEBF71}"/>
    <cellStyle name="40% - Accent6 5 11" xfId="26473" xr:uid="{1016D9C5-AF62-466F-8BD5-EF8D60F20105}"/>
    <cellStyle name="40% - Accent6 5 2" xfId="618" xr:uid="{00000000-0005-0000-0000-0000A9510000}"/>
    <cellStyle name="40% - Accent6 5 2 2" xfId="619" xr:uid="{00000000-0005-0000-0000-0000AA510000}"/>
    <cellStyle name="40% - Accent6 5 2 2 2" xfId="1647" xr:uid="{00000000-0005-0000-0000-0000AB510000}"/>
    <cellStyle name="40% - Accent6 5 2 2 2 2" xfId="5177" xr:uid="{00000000-0005-0000-0000-0000AC510000}"/>
    <cellStyle name="40% - Accent6 5 2 2 2 2 2" xfId="8768" xr:uid="{00000000-0005-0000-0000-0000AD510000}"/>
    <cellStyle name="40% - Accent6 5 2 2 2 2 2 2" xfId="16739" xr:uid="{00000000-0005-0000-0000-0000AE510000}"/>
    <cellStyle name="40% - Accent6 5 2 2 2 2 2 2 2" xfId="40582" xr:uid="{65EBA95E-2C20-4EDC-B029-AC1F6F9373F4}"/>
    <cellStyle name="40% - Accent6 5 2 2 2 2 2 3" xfId="24685" xr:uid="{00000000-0005-0000-0000-0000AF510000}"/>
    <cellStyle name="40% - Accent6 5 2 2 2 2 2 3 2" xfId="48518" xr:uid="{7DA43E45-724F-431B-8D00-240A48C2B680}"/>
    <cellStyle name="40% - Accent6 5 2 2 2 2 2 4" xfId="32641" xr:uid="{D0C6EF1B-FB31-45DF-B3AE-211F271772C5}"/>
    <cellStyle name="40% - Accent6 5 2 2 2 2 3" xfId="13201" xr:uid="{00000000-0005-0000-0000-0000B0510000}"/>
    <cellStyle name="40% - Accent6 5 2 2 2 2 3 2" xfId="37051" xr:uid="{42679A0C-9B24-484C-B1F2-D25EDED51130}"/>
    <cellStyle name="40% - Accent6 5 2 2 2 2 4" xfId="21156" xr:uid="{00000000-0005-0000-0000-0000B1510000}"/>
    <cellStyle name="40% - Accent6 5 2 2 2 2 4 2" xfId="44989" xr:uid="{BDA0D92B-E619-457A-96BA-5981477A8F35}"/>
    <cellStyle name="40% - Accent6 5 2 2 2 2 5" xfId="29110" xr:uid="{F4C404BA-E089-4D74-A44A-B6574B12DB26}"/>
    <cellStyle name="40% - Accent6 5 2 2 2 3" xfId="7009" xr:uid="{00000000-0005-0000-0000-0000B2510000}"/>
    <cellStyle name="40% - Accent6 5 2 2 2 3 2" xfId="14981" xr:uid="{00000000-0005-0000-0000-0000B3510000}"/>
    <cellStyle name="40% - Accent6 5 2 2 2 3 2 2" xfId="38824" xr:uid="{04800E31-78B4-439D-A3D9-482308E72414}"/>
    <cellStyle name="40% - Accent6 5 2 2 2 3 3" xfId="22928" xr:uid="{00000000-0005-0000-0000-0000B4510000}"/>
    <cellStyle name="40% - Accent6 5 2 2 2 3 3 2" xfId="46761" xr:uid="{E18F9149-892E-4B77-8933-C8F7A0E284A1}"/>
    <cellStyle name="40% - Accent6 5 2 2 2 3 4" xfId="30883" xr:uid="{7E52851D-8831-4BE8-9550-C7FE8DB63CDA}"/>
    <cellStyle name="40% - Accent6 5 2 2 2 4" xfId="11445" xr:uid="{00000000-0005-0000-0000-0000B5510000}"/>
    <cellStyle name="40% - Accent6 5 2 2 2 4 2" xfId="35295" xr:uid="{4B9E1D13-942D-486E-948A-9FA968279DE6}"/>
    <cellStyle name="40% - Accent6 5 2 2 2 5" xfId="19400" xr:uid="{00000000-0005-0000-0000-0000B6510000}"/>
    <cellStyle name="40% - Accent6 5 2 2 2 5 2" xfId="43233" xr:uid="{79E19183-EA32-417B-8778-CA02A1E8D21C}"/>
    <cellStyle name="40% - Accent6 5 2 2 2 6" xfId="27353" xr:uid="{9A7D67E8-AC21-4378-B6CE-95618CD07EC1}"/>
    <cellStyle name="40% - Accent6 5 2 2 2_Exh G" xfId="3384" xr:uid="{00000000-0005-0000-0000-0000B7510000}"/>
    <cellStyle name="40% - Accent6 5 2 2 3" xfId="4298" xr:uid="{00000000-0005-0000-0000-0000B8510000}"/>
    <cellStyle name="40% - Accent6 5 2 2 3 2" xfId="7890" xr:uid="{00000000-0005-0000-0000-0000B9510000}"/>
    <cellStyle name="40% - Accent6 5 2 2 3 2 2" xfId="15861" xr:uid="{00000000-0005-0000-0000-0000BA510000}"/>
    <cellStyle name="40% - Accent6 5 2 2 3 2 2 2" xfId="39704" xr:uid="{07C386D6-51A9-481F-98E6-BC0B0C3FD924}"/>
    <cellStyle name="40% - Accent6 5 2 2 3 2 3" xfId="23807" xr:uid="{00000000-0005-0000-0000-0000BB510000}"/>
    <cellStyle name="40% - Accent6 5 2 2 3 2 3 2" xfId="47640" xr:uid="{5E454745-628F-43D0-BC3D-5724D4DD3ED4}"/>
    <cellStyle name="40% - Accent6 5 2 2 3 2 4" xfId="31763" xr:uid="{A1DB4942-DA34-4A44-BFB9-E972598CF576}"/>
    <cellStyle name="40% - Accent6 5 2 2 3 3" xfId="12323" xr:uid="{00000000-0005-0000-0000-0000BC510000}"/>
    <cellStyle name="40% - Accent6 5 2 2 3 3 2" xfId="36173" xr:uid="{7714105F-93A5-46D6-B1F7-6702F389E06D}"/>
    <cellStyle name="40% - Accent6 5 2 2 3 4" xfId="20278" xr:uid="{00000000-0005-0000-0000-0000BD510000}"/>
    <cellStyle name="40% - Accent6 5 2 2 3 4 2" xfId="44111" xr:uid="{7F398CBB-E660-464D-858F-CC8658C17E6C}"/>
    <cellStyle name="40% - Accent6 5 2 2 3 5" xfId="28232" xr:uid="{35E100E6-EF52-40F7-92EB-AC7BEADA574B}"/>
    <cellStyle name="40% - Accent6 5 2 2 4" xfId="6118" xr:uid="{00000000-0005-0000-0000-0000BE510000}"/>
    <cellStyle name="40% - Accent6 5 2 2 4 2" xfId="14102" xr:uid="{00000000-0005-0000-0000-0000BF510000}"/>
    <cellStyle name="40% - Accent6 5 2 2 4 2 2" xfId="37946" xr:uid="{7B27D2E7-883D-44DE-A5FB-E470FF88423F}"/>
    <cellStyle name="40% - Accent6 5 2 2 4 3" xfId="22050" xr:uid="{00000000-0005-0000-0000-0000C0510000}"/>
    <cellStyle name="40% - Accent6 5 2 2 4 3 2" xfId="45883" xr:uid="{D769D8ED-F910-45ED-BD46-6F11DF92D8BD}"/>
    <cellStyle name="40% - Accent6 5 2 2 4 4" xfId="30005" xr:uid="{4E09B309-761B-42D8-9D1B-55F282AF1569}"/>
    <cellStyle name="40% - Accent6 5 2 2 5" xfId="9671" xr:uid="{00000000-0005-0000-0000-0000C1510000}"/>
    <cellStyle name="40% - Accent6 5 2 2 5 2" xfId="17629" xr:uid="{00000000-0005-0000-0000-0000C2510000}"/>
    <cellStyle name="40% - Accent6 5 2 2 5 2 2" xfId="41470" xr:uid="{BB4A77A4-CB74-49C5-8559-11AACE15A921}"/>
    <cellStyle name="40% - Accent6 5 2 2 5 3" xfId="25573" xr:uid="{00000000-0005-0000-0000-0000C3510000}"/>
    <cellStyle name="40% - Accent6 5 2 2 5 3 2" xfId="49406" xr:uid="{74623320-E138-4008-ACF5-1A07CA58027B}"/>
    <cellStyle name="40% - Accent6 5 2 2 5 4" xfId="33529" xr:uid="{D640E451-C04F-434B-BC63-2B6A0FF44134}"/>
    <cellStyle name="40% - Accent6 5 2 2 6" xfId="10567" xr:uid="{00000000-0005-0000-0000-0000C4510000}"/>
    <cellStyle name="40% - Accent6 5 2 2 6 2" xfId="34417" xr:uid="{96281171-A8C3-4503-AF74-8CA3316F5DFF}"/>
    <cellStyle name="40% - Accent6 5 2 2 7" xfId="18522" xr:uid="{00000000-0005-0000-0000-0000C5510000}"/>
    <cellStyle name="40% - Accent6 5 2 2 7 2" xfId="42355" xr:uid="{CD458316-BB2E-4AEB-B64A-ACFB2CCA4C99}"/>
    <cellStyle name="40% - Accent6 5 2 2 8" xfId="26475" xr:uid="{667AFC6A-9173-46A0-8286-7D39DF772BF6}"/>
    <cellStyle name="40% - Accent6 5 2 2_Exh G" xfId="3383" xr:uid="{00000000-0005-0000-0000-0000C6510000}"/>
    <cellStyle name="40% - Accent6 5 2 3" xfId="1646" xr:uid="{00000000-0005-0000-0000-0000C7510000}"/>
    <cellStyle name="40% - Accent6 5 2 3 2" xfId="5176" xr:uid="{00000000-0005-0000-0000-0000C8510000}"/>
    <cellStyle name="40% - Accent6 5 2 3 2 2" xfId="8767" xr:uid="{00000000-0005-0000-0000-0000C9510000}"/>
    <cellStyle name="40% - Accent6 5 2 3 2 2 2" xfId="16738" xr:uid="{00000000-0005-0000-0000-0000CA510000}"/>
    <cellStyle name="40% - Accent6 5 2 3 2 2 2 2" xfId="40581" xr:uid="{AF951FC8-48F2-4A36-B7EE-489A0EA602A1}"/>
    <cellStyle name="40% - Accent6 5 2 3 2 2 3" xfId="24684" xr:uid="{00000000-0005-0000-0000-0000CB510000}"/>
    <cellStyle name="40% - Accent6 5 2 3 2 2 3 2" xfId="48517" xr:uid="{3BBD1C90-A614-4FBE-9456-DA36B5FA763D}"/>
    <cellStyle name="40% - Accent6 5 2 3 2 2 4" xfId="32640" xr:uid="{1DAB0C09-37F3-47E3-B09C-3C69D1B63FD4}"/>
    <cellStyle name="40% - Accent6 5 2 3 2 3" xfId="13200" xr:uid="{00000000-0005-0000-0000-0000CC510000}"/>
    <cellStyle name="40% - Accent6 5 2 3 2 3 2" xfId="37050" xr:uid="{8B6E7964-41BC-43F1-B697-72399C67FAE5}"/>
    <cellStyle name="40% - Accent6 5 2 3 2 4" xfId="21155" xr:uid="{00000000-0005-0000-0000-0000CD510000}"/>
    <cellStyle name="40% - Accent6 5 2 3 2 4 2" xfId="44988" xr:uid="{DD4E5D01-8C42-4BF2-8B16-473D0630D99E}"/>
    <cellStyle name="40% - Accent6 5 2 3 2 5" xfId="29109" xr:uid="{4CDF276A-B110-4DB7-942F-C10D01DBA25B}"/>
    <cellStyle name="40% - Accent6 5 2 3 3" xfId="7008" xr:uid="{00000000-0005-0000-0000-0000CE510000}"/>
    <cellStyle name="40% - Accent6 5 2 3 3 2" xfId="14980" xr:uid="{00000000-0005-0000-0000-0000CF510000}"/>
    <cellStyle name="40% - Accent6 5 2 3 3 2 2" xfId="38823" xr:uid="{F5E841AA-2F16-408F-82A2-0963F5A9CD93}"/>
    <cellStyle name="40% - Accent6 5 2 3 3 3" xfId="22927" xr:uid="{00000000-0005-0000-0000-0000D0510000}"/>
    <cellStyle name="40% - Accent6 5 2 3 3 3 2" xfId="46760" xr:uid="{9F88277F-9A9C-4FB4-A178-07E478B7444E}"/>
    <cellStyle name="40% - Accent6 5 2 3 3 4" xfId="30882" xr:uid="{769F6C96-65B2-4315-A853-07C46AFB20BF}"/>
    <cellStyle name="40% - Accent6 5 2 3 4" xfId="11444" xr:uid="{00000000-0005-0000-0000-0000D1510000}"/>
    <cellStyle name="40% - Accent6 5 2 3 4 2" xfId="35294" xr:uid="{FA17520A-540F-4894-BA6A-92BD57A1F9B3}"/>
    <cellStyle name="40% - Accent6 5 2 3 5" xfId="19399" xr:uid="{00000000-0005-0000-0000-0000D2510000}"/>
    <cellStyle name="40% - Accent6 5 2 3 5 2" xfId="43232" xr:uid="{234A79B8-01B6-4FCB-A36C-7533E195023C}"/>
    <cellStyle name="40% - Accent6 5 2 3 6" xfId="27352" xr:uid="{D8FDC847-1D3C-496F-8CB0-4EF14FC7DD38}"/>
    <cellStyle name="40% - Accent6 5 2 3_Exh G" xfId="3385" xr:uid="{00000000-0005-0000-0000-0000D3510000}"/>
    <cellStyle name="40% - Accent6 5 2 4" xfId="4297" xr:uid="{00000000-0005-0000-0000-0000D4510000}"/>
    <cellStyle name="40% - Accent6 5 2 4 2" xfId="7889" xr:uid="{00000000-0005-0000-0000-0000D5510000}"/>
    <cellStyle name="40% - Accent6 5 2 4 2 2" xfId="15860" xr:uid="{00000000-0005-0000-0000-0000D6510000}"/>
    <cellStyle name="40% - Accent6 5 2 4 2 2 2" xfId="39703" xr:uid="{3D355006-8617-433C-8AAF-330F2CB98C3D}"/>
    <cellStyle name="40% - Accent6 5 2 4 2 3" xfId="23806" xr:uid="{00000000-0005-0000-0000-0000D7510000}"/>
    <cellStyle name="40% - Accent6 5 2 4 2 3 2" xfId="47639" xr:uid="{A1E62EC4-F683-45E5-9820-9376B12F7168}"/>
    <cellStyle name="40% - Accent6 5 2 4 2 4" xfId="31762" xr:uid="{7C1FBC15-3EA7-4184-BA01-A2EA3F1FBD3D}"/>
    <cellStyle name="40% - Accent6 5 2 4 3" xfId="12322" xr:uid="{00000000-0005-0000-0000-0000D8510000}"/>
    <cellStyle name="40% - Accent6 5 2 4 3 2" xfId="36172" xr:uid="{AC1C8EE7-F149-4F05-B1AA-E7A9DBC8873D}"/>
    <cellStyle name="40% - Accent6 5 2 4 4" xfId="20277" xr:uid="{00000000-0005-0000-0000-0000D9510000}"/>
    <cellStyle name="40% - Accent6 5 2 4 4 2" xfId="44110" xr:uid="{C3747CD0-C9A9-422C-882F-96B6A68DED19}"/>
    <cellStyle name="40% - Accent6 5 2 4 5" xfId="28231" xr:uid="{BE062116-9625-4604-AD6A-A5A8C69DC84C}"/>
    <cellStyle name="40% - Accent6 5 2 5" xfId="6117" xr:uid="{00000000-0005-0000-0000-0000DA510000}"/>
    <cellStyle name="40% - Accent6 5 2 5 2" xfId="14101" xr:uid="{00000000-0005-0000-0000-0000DB510000}"/>
    <cellStyle name="40% - Accent6 5 2 5 2 2" xfId="37945" xr:uid="{E3341DA3-34A0-4983-9591-38A4365A3D62}"/>
    <cellStyle name="40% - Accent6 5 2 5 3" xfId="22049" xr:uid="{00000000-0005-0000-0000-0000DC510000}"/>
    <cellStyle name="40% - Accent6 5 2 5 3 2" xfId="45882" xr:uid="{9682DC8F-549E-4728-B3BE-B7C1827548E4}"/>
    <cellStyle name="40% - Accent6 5 2 5 4" xfId="30004" xr:uid="{C14B91F4-6AC7-4615-A29C-F10E3F65CED2}"/>
    <cellStyle name="40% - Accent6 5 2 6" xfId="9670" xr:uid="{00000000-0005-0000-0000-0000DD510000}"/>
    <cellStyle name="40% - Accent6 5 2 6 2" xfId="17628" xr:uid="{00000000-0005-0000-0000-0000DE510000}"/>
    <cellStyle name="40% - Accent6 5 2 6 2 2" xfId="41469" xr:uid="{9208EF40-0096-486C-84F4-7A226E43CF4C}"/>
    <cellStyle name="40% - Accent6 5 2 6 3" xfId="25572" xr:uid="{00000000-0005-0000-0000-0000DF510000}"/>
    <cellStyle name="40% - Accent6 5 2 6 3 2" xfId="49405" xr:uid="{DABF6CD8-5AAE-4C4D-A04B-59EFA18BAB31}"/>
    <cellStyle name="40% - Accent6 5 2 6 4" xfId="33528" xr:uid="{A0D7AED3-0962-4E7B-83F6-649EAE6F36B1}"/>
    <cellStyle name="40% - Accent6 5 2 7" xfId="10566" xr:uid="{00000000-0005-0000-0000-0000E0510000}"/>
    <cellStyle name="40% - Accent6 5 2 7 2" xfId="34416" xr:uid="{3A2ED33D-2D56-49A3-94EB-B0DBD9C67764}"/>
    <cellStyle name="40% - Accent6 5 2 8" xfId="18521" xr:uid="{00000000-0005-0000-0000-0000E1510000}"/>
    <cellStyle name="40% - Accent6 5 2 8 2" xfId="42354" xr:uid="{C2BF3B11-ACF4-40A3-9CC8-50FE3B68EBA7}"/>
    <cellStyle name="40% - Accent6 5 2 9" xfId="26474" xr:uid="{6E614F7D-40C4-4B54-A0E0-C468E2B763FC}"/>
    <cellStyle name="40% - Accent6 5 2_Exh G" xfId="3382" xr:uid="{00000000-0005-0000-0000-0000E2510000}"/>
    <cellStyle name="40% - Accent6 5 3" xfId="620" xr:uid="{00000000-0005-0000-0000-0000E3510000}"/>
    <cellStyle name="40% - Accent6 5 3 2" xfId="1648" xr:uid="{00000000-0005-0000-0000-0000E4510000}"/>
    <cellStyle name="40% - Accent6 5 3 2 2" xfId="5178" xr:uid="{00000000-0005-0000-0000-0000E5510000}"/>
    <cellStyle name="40% - Accent6 5 3 2 2 2" xfId="8769" xr:uid="{00000000-0005-0000-0000-0000E6510000}"/>
    <cellStyle name="40% - Accent6 5 3 2 2 2 2" xfId="16740" xr:uid="{00000000-0005-0000-0000-0000E7510000}"/>
    <cellStyle name="40% - Accent6 5 3 2 2 2 2 2" xfId="40583" xr:uid="{53FD9843-9E90-40DC-89C3-AFAF313A6047}"/>
    <cellStyle name="40% - Accent6 5 3 2 2 2 3" xfId="24686" xr:uid="{00000000-0005-0000-0000-0000E8510000}"/>
    <cellStyle name="40% - Accent6 5 3 2 2 2 3 2" xfId="48519" xr:uid="{339771B2-458D-4629-8573-1C8D78046A6B}"/>
    <cellStyle name="40% - Accent6 5 3 2 2 2 4" xfId="32642" xr:uid="{C3FFFFB7-E5C4-433F-9E76-713DC9D22019}"/>
    <cellStyle name="40% - Accent6 5 3 2 2 3" xfId="13202" xr:uid="{00000000-0005-0000-0000-0000E9510000}"/>
    <cellStyle name="40% - Accent6 5 3 2 2 3 2" xfId="37052" xr:uid="{2C41319B-A88A-4A65-A694-8AE2C1354FA1}"/>
    <cellStyle name="40% - Accent6 5 3 2 2 4" xfId="21157" xr:uid="{00000000-0005-0000-0000-0000EA510000}"/>
    <cellStyle name="40% - Accent6 5 3 2 2 4 2" xfId="44990" xr:uid="{CC169268-4E54-47A8-9925-3478844B8E2E}"/>
    <cellStyle name="40% - Accent6 5 3 2 2 5" xfId="29111" xr:uid="{77AB169C-7127-4147-8DBB-510D4BED18FA}"/>
    <cellStyle name="40% - Accent6 5 3 2 3" xfId="7010" xr:uid="{00000000-0005-0000-0000-0000EB510000}"/>
    <cellStyle name="40% - Accent6 5 3 2 3 2" xfId="14982" xr:uid="{00000000-0005-0000-0000-0000EC510000}"/>
    <cellStyle name="40% - Accent6 5 3 2 3 2 2" xfId="38825" xr:uid="{97E90F0F-E772-4515-ABFE-27CE52E1F984}"/>
    <cellStyle name="40% - Accent6 5 3 2 3 3" xfId="22929" xr:uid="{00000000-0005-0000-0000-0000ED510000}"/>
    <cellStyle name="40% - Accent6 5 3 2 3 3 2" xfId="46762" xr:uid="{E98FA80D-1515-4113-A1A4-22670A93E74E}"/>
    <cellStyle name="40% - Accent6 5 3 2 3 4" xfId="30884" xr:uid="{12FA24EE-4C6A-4B0E-86EF-EF2076056275}"/>
    <cellStyle name="40% - Accent6 5 3 2 4" xfId="11446" xr:uid="{00000000-0005-0000-0000-0000EE510000}"/>
    <cellStyle name="40% - Accent6 5 3 2 4 2" xfId="35296" xr:uid="{27F423DB-F9E9-4CF5-9ACC-5098EB46960C}"/>
    <cellStyle name="40% - Accent6 5 3 2 5" xfId="19401" xr:uid="{00000000-0005-0000-0000-0000EF510000}"/>
    <cellStyle name="40% - Accent6 5 3 2 5 2" xfId="43234" xr:uid="{BC92A851-D05D-4685-A54B-F2262D0728CA}"/>
    <cellStyle name="40% - Accent6 5 3 2 6" xfId="27354" xr:uid="{E83F4064-4AD4-49B6-81BD-A418F18390E6}"/>
    <cellStyle name="40% - Accent6 5 3 2_Exh G" xfId="3387" xr:uid="{00000000-0005-0000-0000-0000F0510000}"/>
    <cellStyle name="40% - Accent6 5 3 3" xfId="4299" xr:uid="{00000000-0005-0000-0000-0000F1510000}"/>
    <cellStyle name="40% - Accent6 5 3 3 2" xfId="7891" xr:uid="{00000000-0005-0000-0000-0000F2510000}"/>
    <cellStyle name="40% - Accent6 5 3 3 2 2" xfId="15862" xr:uid="{00000000-0005-0000-0000-0000F3510000}"/>
    <cellStyle name="40% - Accent6 5 3 3 2 2 2" xfId="39705" xr:uid="{E9A95342-48D5-4CF0-BAC2-4EF514ADC999}"/>
    <cellStyle name="40% - Accent6 5 3 3 2 3" xfId="23808" xr:uid="{00000000-0005-0000-0000-0000F4510000}"/>
    <cellStyle name="40% - Accent6 5 3 3 2 3 2" xfId="47641" xr:uid="{250BF221-D317-4499-A703-AFA9054C46D2}"/>
    <cellStyle name="40% - Accent6 5 3 3 2 4" xfId="31764" xr:uid="{EE68A53D-9691-4E94-B9C3-475661257987}"/>
    <cellStyle name="40% - Accent6 5 3 3 3" xfId="12324" xr:uid="{00000000-0005-0000-0000-0000F5510000}"/>
    <cellStyle name="40% - Accent6 5 3 3 3 2" xfId="36174" xr:uid="{B28AB2DA-7E55-484C-931B-10B633345DE5}"/>
    <cellStyle name="40% - Accent6 5 3 3 4" xfId="20279" xr:uid="{00000000-0005-0000-0000-0000F6510000}"/>
    <cellStyle name="40% - Accent6 5 3 3 4 2" xfId="44112" xr:uid="{CD49B216-03FC-4234-9E55-6669BEC06469}"/>
    <cellStyle name="40% - Accent6 5 3 3 5" xfId="28233" xr:uid="{226F8D40-FE9D-4F78-85E0-DF112066B6C5}"/>
    <cellStyle name="40% - Accent6 5 3 4" xfId="6119" xr:uid="{00000000-0005-0000-0000-0000F7510000}"/>
    <cellStyle name="40% - Accent6 5 3 4 2" xfId="14103" xr:uid="{00000000-0005-0000-0000-0000F8510000}"/>
    <cellStyle name="40% - Accent6 5 3 4 2 2" xfId="37947" xr:uid="{35F80CA9-075F-421D-9561-6CF1D2C3F5A9}"/>
    <cellStyle name="40% - Accent6 5 3 4 3" xfId="22051" xr:uid="{00000000-0005-0000-0000-0000F9510000}"/>
    <cellStyle name="40% - Accent6 5 3 4 3 2" xfId="45884" xr:uid="{D5E172BD-33C9-43B9-A7A9-60BD5564DFC2}"/>
    <cellStyle name="40% - Accent6 5 3 4 4" xfId="30006" xr:uid="{4C74D798-A91D-4803-9DA8-966CE1FD5B4E}"/>
    <cellStyle name="40% - Accent6 5 3 5" xfId="9672" xr:uid="{00000000-0005-0000-0000-0000FA510000}"/>
    <cellStyle name="40% - Accent6 5 3 5 2" xfId="17630" xr:uid="{00000000-0005-0000-0000-0000FB510000}"/>
    <cellStyle name="40% - Accent6 5 3 5 2 2" xfId="41471" xr:uid="{963214CA-0977-4F2A-8AC9-E3A84A590E05}"/>
    <cellStyle name="40% - Accent6 5 3 5 3" xfId="25574" xr:uid="{00000000-0005-0000-0000-0000FC510000}"/>
    <cellStyle name="40% - Accent6 5 3 5 3 2" xfId="49407" xr:uid="{6E2136C1-7D82-4257-8637-316E023C1678}"/>
    <cellStyle name="40% - Accent6 5 3 5 4" xfId="33530" xr:uid="{7ECCF8F5-79E0-48CE-BDE7-880377DD8D6E}"/>
    <cellStyle name="40% - Accent6 5 3 6" xfId="10568" xr:uid="{00000000-0005-0000-0000-0000FD510000}"/>
    <cellStyle name="40% - Accent6 5 3 6 2" xfId="34418" xr:uid="{6F45049C-1E1B-4616-86F1-31A331F04951}"/>
    <cellStyle name="40% - Accent6 5 3 7" xfId="18523" xr:uid="{00000000-0005-0000-0000-0000FE510000}"/>
    <cellStyle name="40% - Accent6 5 3 7 2" xfId="42356" xr:uid="{89F66773-AF9E-4FAB-8A7C-1F541B1C5B3F}"/>
    <cellStyle name="40% - Accent6 5 3 8" xfId="26476" xr:uid="{8DC43149-8768-4FF3-BACB-82A8518BEE55}"/>
    <cellStyle name="40% - Accent6 5 3_Exh G" xfId="3386" xr:uid="{00000000-0005-0000-0000-0000FF510000}"/>
    <cellStyle name="40% - Accent6 5 4" xfId="1001" xr:uid="{00000000-0005-0000-0000-000000520000}"/>
    <cellStyle name="40% - Accent6 5 5" xfId="1645" xr:uid="{00000000-0005-0000-0000-000001520000}"/>
    <cellStyle name="40% - Accent6 5 5 2" xfId="5175" xr:uid="{00000000-0005-0000-0000-000002520000}"/>
    <cellStyle name="40% - Accent6 5 5 2 2" xfId="8766" xr:uid="{00000000-0005-0000-0000-000003520000}"/>
    <cellStyle name="40% - Accent6 5 5 2 2 2" xfId="16737" xr:uid="{00000000-0005-0000-0000-000004520000}"/>
    <cellStyle name="40% - Accent6 5 5 2 2 2 2" xfId="40580" xr:uid="{3C1BF84F-AB1C-471B-B805-D5700FC11219}"/>
    <cellStyle name="40% - Accent6 5 5 2 2 3" xfId="24683" xr:uid="{00000000-0005-0000-0000-000005520000}"/>
    <cellStyle name="40% - Accent6 5 5 2 2 3 2" xfId="48516" xr:uid="{E31C8676-30B1-45DD-93F1-E3C025F8858A}"/>
    <cellStyle name="40% - Accent6 5 5 2 2 4" xfId="32639" xr:uid="{779AB55E-3990-42FB-A433-41BFD860F7D0}"/>
    <cellStyle name="40% - Accent6 5 5 2 3" xfId="13199" xr:uid="{00000000-0005-0000-0000-000006520000}"/>
    <cellStyle name="40% - Accent6 5 5 2 3 2" xfId="37049" xr:uid="{BC12DE96-5D53-4DD6-9557-D062ACC28680}"/>
    <cellStyle name="40% - Accent6 5 5 2 4" xfId="21154" xr:uid="{00000000-0005-0000-0000-000007520000}"/>
    <cellStyle name="40% - Accent6 5 5 2 4 2" xfId="44987" xr:uid="{DBDD2BE6-0B37-47EE-828F-EFBBA2E1AB18}"/>
    <cellStyle name="40% - Accent6 5 5 2 5" xfId="29108" xr:uid="{F3F4E7E2-0C6D-4ECA-8627-55E379A14DD2}"/>
    <cellStyle name="40% - Accent6 5 5 3" xfId="7007" xr:uid="{00000000-0005-0000-0000-000008520000}"/>
    <cellStyle name="40% - Accent6 5 5 3 2" xfId="14979" xr:uid="{00000000-0005-0000-0000-000009520000}"/>
    <cellStyle name="40% - Accent6 5 5 3 2 2" xfId="38822" xr:uid="{198022B5-43F8-466D-8847-03CC9ED302E9}"/>
    <cellStyle name="40% - Accent6 5 5 3 3" xfId="22926" xr:uid="{00000000-0005-0000-0000-00000A520000}"/>
    <cellStyle name="40% - Accent6 5 5 3 3 2" xfId="46759" xr:uid="{9A97ACC9-41BD-4FE1-B43D-F99894309A52}"/>
    <cellStyle name="40% - Accent6 5 5 3 4" xfId="30881" xr:uid="{B85AA21A-B278-4E0A-B87F-B3DDFFD4F192}"/>
    <cellStyle name="40% - Accent6 5 5 4" xfId="11443" xr:uid="{00000000-0005-0000-0000-00000B520000}"/>
    <cellStyle name="40% - Accent6 5 5 4 2" xfId="35293" xr:uid="{D1639AD9-9918-441A-8841-C99E1180561C}"/>
    <cellStyle name="40% - Accent6 5 5 5" xfId="19398" xr:uid="{00000000-0005-0000-0000-00000C520000}"/>
    <cellStyle name="40% - Accent6 5 5 5 2" xfId="43231" xr:uid="{F26646E2-42CB-42F5-8601-149DFA497B66}"/>
    <cellStyle name="40% - Accent6 5 5 6" xfId="27351" xr:uid="{FD07E02C-5AB1-4BC4-A526-4165404A33C1}"/>
    <cellStyle name="40% - Accent6 5 5_Exh G" xfId="3388" xr:uid="{00000000-0005-0000-0000-00000D520000}"/>
    <cellStyle name="40% - Accent6 5 6" xfId="4296" xr:uid="{00000000-0005-0000-0000-00000E520000}"/>
    <cellStyle name="40% - Accent6 5 6 2" xfId="7888" xr:uid="{00000000-0005-0000-0000-00000F520000}"/>
    <cellStyle name="40% - Accent6 5 6 2 2" xfId="15859" xr:uid="{00000000-0005-0000-0000-000010520000}"/>
    <cellStyle name="40% - Accent6 5 6 2 2 2" xfId="39702" xr:uid="{7177AA40-7F85-4915-AF3D-20F339D615E3}"/>
    <cellStyle name="40% - Accent6 5 6 2 3" xfId="23805" xr:uid="{00000000-0005-0000-0000-000011520000}"/>
    <cellStyle name="40% - Accent6 5 6 2 3 2" xfId="47638" xr:uid="{94BDBECD-4A5F-4C24-BFB9-8C53C9D93166}"/>
    <cellStyle name="40% - Accent6 5 6 2 4" xfId="31761" xr:uid="{BBB9C8AA-13CB-4E00-9E1D-1AC504330FE9}"/>
    <cellStyle name="40% - Accent6 5 6 3" xfId="12321" xr:uid="{00000000-0005-0000-0000-000012520000}"/>
    <cellStyle name="40% - Accent6 5 6 3 2" xfId="36171" xr:uid="{0F4144A6-24DC-4717-8C13-E8E053DAACC6}"/>
    <cellStyle name="40% - Accent6 5 6 4" xfId="20276" xr:uid="{00000000-0005-0000-0000-000013520000}"/>
    <cellStyle name="40% - Accent6 5 6 4 2" xfId="44109" xr:uid="{AF23DF5B-A913-44C4-A5DF-42B08AB0C850}"/>
    <cellStyle name="40% - Accent6 5 6 5" xfId="28230" xr:uid="{589E11C1-7A3E-46CE-8817-D02C794D2D3D}"/>
    <cellStyle name="40% - Accent6 5 7" xfId="6116" xr:uid="{00000000-0005-0000-0000-000014520000}"/>
    <cellStyle name="40% - Accent6 5 7 2" xfId="14100" xr:uid="{00000000-0005-0000-0000-000015520000}"/>
    <cellStyle name="40% - Accent6 5 7 2 2" xfId="37944" xr:uid="{9811112C-75B7-4451-A667-BA2A01793E57}"/>
    <cellStyle name="40% - Accent6 5 7 3" xfId="22048" xr:uid="{00000000-0005-0000-0000-000016520000}"/>
    <cellStyle name="40% - Accent6 5 7 3 2" xfId="45881" xr:uid="{9B982EE7-F4F7-45CD-8F73-3BFB41624AD9}"/>
    <cellStyle name="40% - Accent6 5 7 4" xfId="30003" xr:uid="{B752CC31-B44E-4CB3-A883-BFAC2C6D8B83}"/>
    <cellStyle name="40% - Accent6 5 8" xfId="9669" xr:uid="{00000000-0005-0000-0000-000017520000}"/>
    <cellStyle name="40% - Accent6 5 8 2" xfId="17627" xr:uid="{00000000-0005-0000-0000-000018520000}"/>
    <cellStyle name="40% - Accent6 5 8 2 2" xfId="41468" xr:uid="{D14FE814-5058-4B28-9DE1-2B36955E61A1}"/>
    <cellStyle name="40% - Accent6 5 8 3" xfId="25571" xr:uid="{00000000-0005-0000-0000-000019520000}"/>
    <cellStyle name="40% - Accent6 5 8 3 2" xfId="49404" xr:uid="{F384E4B5-4CD2-409E-9830-041E839D3350}"/>
    <cellStyle name="40% - Accent6 5 8 4" xfId="33527" xr:uid="{6E781DF7-0951-4C8B-8C58-5B7368A4546E}"/>
    <cellStyle name="40% - Accent6 5 9" xfId="10565" xr:uid="{00000000-0005-0000-0000-00001A520000}"/>
    <cellStyle name="40% - Accent6 5 9 2" xfId="34415" xr:uid="{01F21F70-D01A-4E6E-91BD-EBCEB3CE61D0}"/>
    <cellStyle name="40% - Accent6 5_Exh G" xfId="3381" xr:uid="{00000000-0005-0000-0000-00001B520000}"/>
    <cellStyle name="40% - Accent6 6" xfId="621" xr:uid="{00000000-0005-0000-0000-00001C520000}"/>
    <cellStyle name="40% - Accent6 6 10" xfId="18524" xr:uid="{00000000-0005-0000-0000-00001D520000}"/>
    <cellStyle name="40% - Accent6 6 10 2" xfId="42357" xr:uid="{64760FFF-8209-4F04-8DC6-1AE65773EB0A}"/>
    <cellStyle name="40% - Accent6 6 11" xfId="26477" xr:uid="{EFEF5E6F-FDD9-4CE9-A1B7-409435026436}"/>
    <cellStyle name="40% - Accent6 6 2" xfId="622" xr:uid="{00000000-0005-0000-0000-00001E520000}"/>
    <cellStyle name="40% - Accent6 6 2 2" xfId="623" xr:uid="{00000000-0005-0000-0000-00001F520000}"/>
    <cellStyle name="40% - Accent6 6 2 2 2" xfId="1651" xr:uid="{00000000-0005-0000-0000-000020520000}"/>
    <cellStyle name="40% - Accent6 6 2 2 2 2" xfId="5181" xr:uid="{00000000-0005-0000-0000-000021520000}"/>
    <cellStyle name="40% - Accent6 6 2 2 2 2 2" xfId="8772" xr:uid="{00000000-0005-0000-0000-000022520000}"/>
    <cellStyle name="40% - Accent6 6 2 2 2 2 2 2" xfId="16743" xr:uid="{00000000-0005-0000-0000-000023520000}"/>
    <cellStyle name="40% - Accent6 6 2 2 2 2 2 2 2" xfId="40586" xr:uid="{8A54F2D4-FBFE-43BD-A9CC-82B46A7C7A72}"/>
    <cellStyle name="40% - Accent6 6 2 2 2 2 2 3" xfId="24689" xr:uid="{00000000-0005-0000-0000-000024520000}"/>
    <cellStyle name="40% - Accent6 6 2 2 2 2 2 3 2" xfId="48522" xr:uid="{61E122ED-A5B3-4123-B778-9BC7B96D214B}"/>
    <cellStyle name="40% - Accent6 6 2 2 2 2 2 4" xfId="32645" xr:uid="{DE2B9EA7-8DBC-42F0-AEB5-2D0431D7819B}"/>
    <cellStyle name="40% - Accent6 6 2 2 2 2 3" xfId="13205" xr:uid="{00000000-0005-0000-0000-000025520000}"/>
    <cellStyle name="40% - Accent6 6 2 2 2 2 3 2" xfId="37055" xr:uid="{AC2DDCA2-6675-46AC-A351-9FAF75604978}"/>
    <cellStyle name="40% - Accent6 6 2 2 2 2 4" xfId="21160" xr:uid="{00000000-0005-0000-0000-000026520000}"/>
    <cellStyle name="40% - Accent6 6 2 2 2 2 4 2" xfId="44993" xr:uid="{2F3154C8-CE14-4E26-B3EC-7C8B09AC6F34}"/>
    <cellStyle name="40% - Accent6 6 2 2 2 2 5" xfId="29114" xr:uid="{1159A6FD-94BA-477C-84E3-15D67415F805}"/>
    <cellStyle name="40% - Accent6 6 2 2 2 3" xfId="7013" xr:uid="{00000000-0005-0000-0000-000027520000}"/>
    <cellStyle name="40% - Accent6 6 2 2 2 3 2" xfId="14985" xr:uid="{00000000-0005-0000-0000-000028520000}"/>
    <cellStyle name="40% - Accent6 6 2 2 2 3 2 2" xfId="38828" xr:uid="{81342E33-247F-401F-B1E4-F69598252DB9}"/>
    <cellStyle name="40% - Accent6 6 2 2 2 3 3" xfId="22932" xr:uid="{00000000-0005-0000-0000-000029520000}"/>
    <cellStyle name="40% - Accent6 6 2 2 2 3 3 2" xfId="46765" xr:uid="{007852D3-92EB-4360-B62F-DA336A3DADBA}"/>
    <cellStyle name="40% - Accent6 6 2 2 2 3 4" xfId="30887" xr:uid="{DCE1B17D-09D5-43CC-AE90-A1E20A0F3641}"/>
    <cellStyle name="40% - Accent6 6 2 2 2 4" xfId="11449" xr:uid="{00000000-0005-0000-0000-00002A520000}"/>
    <cellStyle name="40% - Accent6 6 2 2 2 4 2" xfId="35299" xr:uid="{BE285B6D-37E2-4B03-897B-3600D217FEBB}"/>
    <cellStyle name="40% - Accent6 6 2 2 2 5" xfId="19404" xr:uid="{00000000-0005-0000-0000-00002B520000}"/>
    <cellStyle name="40% - Accent6 6 2 2 2 5 2" xfId="43237" xr:uid="{D9E8D121-F33B-4019-BE3C-BDA8F89E13B4}"/>
    <cellStyle name="40% - Accent6 6 2 2 2 6" xfId="27357" xr:uid="{543E3313-8A83-42A1-AFE5-6B2A34838E9E}"/>
    <cellStyle name="40% - Accent6 6 2 2 2_Exh G" xfId="3392" xr:uid="{00000000-0005-0000-0000-00002C520000}"/>
    <cellStyle name="40% - Accent6 6 2 2 3" xfId="4302" xr:uid="{00000000-0005-0000-0000-00002D520000}"/>
    <cellStyle name="40% - Accent6 6 2 2 3 2" xfId="7894" xr:uid="{00000000-0005-0000-0000-00002E520000}"/>
    <cellStyle name="40% - Accent6 6 2 2 3 2 2" xfId="15865" xr:uid="{00000000-0005-0000-0000-00002F520000}"/>
    <cellStyle name="40% - Accent6 6 2 2 3 2 2 2" xfId="39708" xr:uid="{CAAA3EAF-1F58-4A7C-9AFD-51C1EADE792C}"/>
    <cellStyle name="40% - Accent6 6 2 2 3 2 3" xfId="23811" xr:uid="{00000000-0005-0000-0000-000030520000}"/>
    <cellStyle name="40% - Accent6 6 2 2 3 2 3 2" xfId="47644" xr:uid="{FB1D9BEA-CB54-4809-8220-FB90036A41F9}"/>
    <cellStyle name="40% - Accent6 6 2 2 3 2 4" xfId="31767" xr:uid="{CDC2C5B4-743B-4A6E-8E28-75BF74BD0530}"/>
    <cellStyle name="40% - Accent6 6 2 2 3 3" xfId="12327" xr:uid="{00000000-0005-0000-0000-000031520000}"/>
    <cellStyle name="40% - Accent6 6 2 2 3 3 2" xfId="36177" xr:uid="{1D9D2583-5586-4E85-9419-410EB49433E8}"/>
    <cellStyle name="40% - Accent6 6 2 2 3 4" xfId="20282" xr:uid="{00000000-0005-0000-0000-000032520000}"/>
    <cellStyle name="40% - Accent6 6 2 2 3 4 2" xfId="44115" xr:uid="{3FF3BEFF-B0E9-4E24-B654-E4C33C4B7D13}"/>
    <cellStyle name="40% - Accent6 6 2 2 3 5" xfId="28236" xr:uid="{AD8409D9-EF5B-4C76-BF54-D339BAB410BE}"/>
    <cellStyle name="40% - Accent6 6 2 2 4" xfId="6122" xr:uid="{00000000-0005-0000-0000-000033520000}"/>
    <cellStyle name="40% - Accent6 6 2 2 4 2" xfId="14106" xr:uid="{00000000-0005-0000-0000-000034520000}"/>
    <cellStyle name="40% - Accent6 6 2 2 4 2 2" xfId="37950" xr:uid="{F0BB7BC9-0A62-4E0C-824A-C0628A152E0B}"/>
    <cellStyle name="40% - Accent6 6 2 2 4 3" xfId="22054" xr:uid="{00000000-0005-0000-0000-000035520000}"/>
    <cellStyle name="40% - Accent6 6 2 2 4 3 2" xfId="45887" xr:uid="{276E8A5C-679E-4107-B0BA-F725EAB12EDD}"/>
    <cellStyle name="40% - Accent6 6 2 2 4 4" xfId="30009" xr:uid="{00FB8557-C675-4934-8393-BBD925F0074F}"/>
    <cellStyle name="40% - Accent6 6 2 2 5" xfId="9675" xr:uid="{00000000-0005-0000-0000-000036520000}"/>
    <cellStyle name="40% - Accent6 6 2 2 5 2" xfId="17633" xr:uid="{00000000-0005-0000-0000-000037520000}"/>
    <cellStyle name="40% - Accent6 6 2 2 5 2 2" xfId="41474" xr:uid="{E33CF5EA-1C37-4D91-AC00-C329C3C1CBD0}"/>
    <cellStyle name="40% - Accent6 6 2 2 5 3" xfId="25577" xr:uid="{00000000-0005-0000-0000-000038520000}"/>
    <cellStyle name="40% - Accent6 6 2 2 5 3 2" xfId="49410" xr:uid="{DD2A3362-364D-40C4-A9BB-B58E9E07583C}"/>
    <cellStyle name="40% - Accent6 6 2 2 5 4" xfId="33533" xr:uid="{AB0E9D6E-BD14-402A-B760-43B73CC6BDD1}"/>
    <cellStyle name="40% - Accent6 6 2 2 6" xfId="10571" xr:uid="{00000000-0005-0000-0000-000039520000}"/>
    <cellStyle name="40% - Accent6 6 2 2 6 2" xfId="34421" xr:uid="{4B669610-16C9-4179-879D-A54C4C7C679B}"/>
    <cellStyle name="40% - Accent6 6 2 2 7" xfId="18526" xr:uid="{00000000-0005-0000-0000-00003A520000}"/>
    <cellStyle name="40% - Accent6 6 2 2 7 2" xfId="42359" xr:uid="{67A4EEB0-E8B9-429F-8981-3EB508DC9F61}"/>
    <cellStyle name="40% - Accent6 6 2 2 8" xfId="26479" xr:uid="{E93E42C0-77CF-45F3-BB41-337D4650D474}"/>
    <cellStyle name="40% - Accent6 6 2 2_Exh G" xfId="3391" xr:uid="{00000000-0005-0000-0000-00003B520000}"/>
    <cellStyle name="40% - Accent6 6 2 3" xfId="1650" xr:uid="{00000000-0005-0000-0000-00003C520000}"/>
    <cellStyle name="40% - Accent6 6 2 3 2" xfId="5180" xr:uid="{00000000-0005-0000-0000-00003D520000}"/>
    <cellStyle name="40% - Accent6 6 2 3 2 2" xfId="8771" xr:uid="{00000000-0005-0000-0000-00003E520000}"/>
    <cellStyle name="40% - Accent6 6 2 3 2 2 2" xfId="16742" xr:uid="{00000000-0005-0000-0000-00003F520000}"/>
    <cellStyle name="40% - Accent6 6 2 3 2 2 2 2" xfId="40585" xr:uid="{2D7D230C-BC9C-44DD-B79E-715E79F121A6}"/>
    <cellStyle name="40% - Accent6 6 2 3 2 2 3" xfId="24688" xr:uid="{00000000-0005-0000-0000-000040520000}"/>
    <cellStyle name="40% - Accent6 6 2 3 2 2 3 2" xfId="48521" xr:uid="{6743F740-C22D-4CD4-9FEF-E77E4F54E29E}"/>
    <cellStyle name="40% - Accent6 6 2 3 2 2 4" xfId="32644" xr:uid="{78FCBD3E-6E3D-4556-AA14-14EB450C03E6}"/>
    <cellStyle name="40% - Accent6 6 2 3 2 3" xfId="13204" xr:uid="{00000000-0005-0000-0000-000041520000}"/>
    <cellStyle name="40% - Accent6 6 2 3 2 3 2" xfId="37054" xr:uid="{F444CD6C-0644-4641-B64C-F524E1F50DEB}"/>
    <cellStyle name="40% - Accent6 6 2 3 2 4" xfId="21159" xr:uid="{00000000-0005-0000-0000-000042520000}"/>
    <cellStyle name="40% - Accent6 6 2 3 2 4 2" xfId="44992" xr:uid="{927AB0C8-4A39-40E7-BA5B-88427C9ECE6B}"/>
    <cellStyle name="40% - Accent6 6 2 3 2 5" xfId="29113" xr:uid="{DE66D92E-3F39-431F-A974-106CEE74BD37}"/>
    <cellStyle name="40% - Accent6 6 2 3 3" xfId="7012" xr:uid="{00000000-0005-0000-0000-000043520000}"/>
    <cellStyle name="40% - Accent6 6 2 3 3 2" xfId="14984" xr:uid="{00000000-0005-0000-0000-000044520000}"/>
    <cellStyle name="40% - Accent6 6 2 3 3 2 2" xfId="38827" xr:uid="{E6FA1E35-BBD7-462E-9665-74B0639704A2}"/>
    <cellStyle name="40% - Accent6 6 2 3 3 3" xfId="22931" xr:uid="{00000000-0005-0000-0000-000045520000}"/>
    <cellStyle name="40% - Accent6 6 2 3 3 3 2" xfId="46764" xr:uid="{39BABEF5-8EB8-4B56-9148-5B99CDA92912}"/>
    <cellStyle name="40% - Accent6 6 2 3 3 4" xfId="30886" xr:uid="{DDE5E50B-FC10-4402-9480-A6059891D41F}"/>
    <cellStyle name="40% - Accent6 6 2 3 4" xfId="11448" xr:uid="{00000000-0005-0000-0000-000046520000}"/>
    <cellStyle name="40% - Accent6 6 2 3 4 2" xfId="35298" xr:uid="{D8E21EFA-788B-4CC1-86C7-AFF1F8184A63}"/>
    <cellStyle name="40% - Accent6 6 2 3 5" xfId="19403" xr:uid="{00000000-0005-0000-0000-000047520000}"/>
    <cellStyle name="40% - Accent6 6 2 3 5 2" xfId="43236" xr:uid="{F09ED7DC-5798-456A-BE82-A53DB1E28802}"/>
    <cellStyle name="40% - Accent6 6 2 3 6" xfId="27356" xr:uid="{74761539-4D0F-4E0A-ABFE-6871BB009ED2}"/>
    <cellStyle name="40% - Accent6 6 2 3_Exh G" xfId="3393" xr:uid="{00000000-0005-0000-0000-000048520000}"/>
    <cellStyle name="40% - Accent6 6 2 4" xfId="4301" xr:uid="{00000000-0005-0000-0000-000049520000}"/>
    <cellStyle name="40% - Accent6 6 2 4 2" xfId="7893" xr:uid="{00000000-0005-0000-0000-00004A520000}"/>
    <cellStyle name="40% - Accent6 6 2 4 2 2" xfId="15864" xr:uid="{00000000-0005-0000-0000-00004B520000}"/>
    <cellStyle name="40% - Accent6 6 2 4 2 2 2" xfId="39707" xr:uid="{06082773-69AC-498F-ABD9-084BBF5C6373}"/>
    <cellStyle name="40% - Accent6 6 2 4 2 3" xfId="23810" xr:uid="{00000000-0005-0000-0000-00004C520000}"/>
    <cellStyle name="40% - Accent6 6 2 4 2 3 2" xfId="47643" xr:uid="{6FB77034-F445-420C-B4DD-C59071ECD85A}"/>
    <cellStyle name="40% - Accent6 6 2 4 2 4" xfId="31766" xr:uid="{D32D101C-32F6-4844-9E40-F92336ACBD77}"/>
    <cellStyle name="40% - Accent6 6 2 4 3" xfId="12326" xr:uid="{00000000-0005-0000-0000-00004D520000}"/>
    <cellStyle name="40% - Accent6 6 2 4 3 2" xfId="36176" xr:uid="{50797C2A-6D0D-4F88-9FCC-B471486F86AD}"/>
    <cellStyle name="40% - Accent6 6 2 4 4" xfId="20281" xr:uid="{00000000-0005-0000-0000-00004E520000}"/>
    <cellStyle name="40% - Accent6 6 2 4 4 2" xfId="44114" xr:uid="{72F904C2-2D8E-4FFF-8C0F-6BB74186B68D}"/>
    <cellStyle name="40% - Accent6 6 2 4 5" xfId="28235" xr:uid="{A7234789-A572-4AAE-9F35-10CE76F39BA7}"/>
    <cellStyle name="40% - Accent6 6 2 5" xfId="6121" xr:uid="{00000000-0005-0000-0000-00004F520000}"/>
    <cellStyle name="40% - Accent6 6 2 5 2" xfId="14105" xr:uid="{00000000-0005-0000-0000-000050520000}"/>
    <cellStyle name="40% - Accent6 6 2 5 2 2" xfId="37949" xr:uid="{6B253474-1755-4A94-A405-2CE7743E8134}"/>
    <cellStyle name="40% - Accent6 6 2 5 3" xfId="22053" xr:uid="{00000000-0005-0000-0000-000051520000}"/>
    <cellStyle name="40% - Accent6 6 2 5 3 2" xfId="45886" xr:uid="{8F59C27F-827D-4FD1-9C94-23A0240018CB}"/>
    <cellStyle name="40% - Accent6 6 2 5 4" xfId="30008" xr:uid="{8846FD7C-B270-42F5-B3ED-D4F0695F58F8}"/>
    <cellStyle name="40% - Accent6 6 2 6" xfId="9674" xr:uid="{00000000-0005-0000-0000-000052520000}"/>
    <cellStyle name="40% - Accent6 6 2 6 2" xfId="17632" xr:uid="{00000000-0005-0000-0000-000053520000}"/>
    <cellStyle name="40% - Accent6 6 2 6 2 2" xfId="41473" xr:uid="{B901C3EB-6D5E-4E0A-A2DD-204856DF7881}"/>
    <cellStyle name="40% - Accent6 6 2 6 3" xfId="25576" xr:uid="{00000000-0005-0000-0000-000054520000}"/>
    <cellStyle name="40% - Accent6 6 2 6 3 2" xfId="49409" xr:uid="{A9542B2F-CDB6-4E43-8954-0E0809F0188B}"/>
    <cellStyle name="40% - Accent6 6 2 6 4" xfId="33532" xr:uid="{CB76C7F6-F77C-4831-90B6-577A87A8428D}"/>
    <cellStyle name="40% - Accent6 6 2 7" xfId="10570" xr:uid="{00000000-0005-0000-0000-000055520000}"/>
    <cellStyle name="40% - Accent6 6 2 7 2" xfId="34420" xr:uid="{3A940529-77A7-4728-B84F-1C1AEE01DD86}"/>
    <cellStyle name="40% - Accent6 6 2 8" xfId="18525" xr:uid="{00000000-0005-0000-0000-000056520000}"/>
    <cellStyle name="40% - Accent6 6 2 8 2" xfId="42358" xr:uid="{892AB1A8-FD40-4AF2-84D9-8A28718E4C4B}"/>
    <cellStyle name="40% - Accent6 6 2 9" xfId="26478" xr:uid="{FEA5CB1A-FC5A-4BA8-92A2-D81C1CA6DAA9}"/>
    <cellStyle name="40% - Accent6 6 2_Exh G" xfId="3390" xr:uid="{00000000-0005-0000-0000-000057520000}"/>
    <cellStyle name="40% - Accent6 6 3" xfId="624" xr:uid="{00000000-0005-0000-0000-000058520000}"/>
    <cellStyle name="40% - Accent6 6 3 2" xfId="1652" xr:uid="{00000000-0005-0000-0000-000059520000}"/>
    <cellStyle name="40% - Accent6 6 3 2 2" xfId="5182" xr:uid="{00000000-0005-0000-0000-00005A520000}"/>
    <cellStyle name="40% - Accent6 6 3 2 2 2" xfId="8773" xr:uid="{00000000-0005-0000-0000-00005B520000}"/>
    <cellStyle name="40% - Accent6 6 3 2 2 2 2" xfId="16744" xr:uid="{00000000-0005-0000-0000-00005C520000}"/>
    <cellStyle name="40% - Accent6 6 3 2 2 2 2 2" xfId="40587" xr:uid="{A5AE6B38-3F43-48D0-A1A8-4FF4116AEE78}"/>
    <cellStyle name="40% - Accent6 6 3 2 2 2 3" xfId="24690" xr:uid="{00000000-0005-0000-0000-00005D520000}"/>
    <cellStyle name="40% - Accent6 6 3 2 2 2 3 2" xfId="48523" xr:uid="{1F94BC84-45D3-4FE0-A0AB-9C3FC9FCF99D}"/>
    <cellStyle name="40% - Accent6 6 3 2 2 2 4" xfId="32646" xr:uid="{33968656-9FFC-4E00-8D57-C882309DF23F}"/>
    <cellStyle name="40% - Accent6 6 3 2 2 3" xfId="13206" xr:uid="{00000000-0005-0000-0000-00005E520000}"/>
    <cellStyle name="40% - Accent6 6 3 2 2 3 2" xfId="37056" xr:uid="{1F4BBB3D-53F9-4161-B78D-D9A2E355B1D5}"/>
    <cellStyle name="40% - Accent6 6 3 2 2 4" xfId="21161" xr:uid="{00000000-0005-0000-0000-00005F520000}"/>
    <cellStyle name="40% - Accent6 6 3 2 2 4 2" xfId="44994" xr:uid="{6BE8DAB8-57AF-49B6-8F33-584B3EF41F73}"/>
    <cellStyle name="40% - Accent6 6 3 2 2 5" xfId="29115" xr:uid="{EB317FC4-5BCF-41A0-AAC7-A336A4ADD587}"/>
    <cellStyle name="40% - Accent6 6 3 2 3" xfId="7014" xr:uid="{00000000-0005-0000-0000-000060520000}"/>
    <cellStyle name="40% - Accent6 6 3 2 3 2" xfId="14986" xr:uid="{00000000-0005-0000-0000-000061520000}"/>
    <cellStyle name="40% - Accent6 6 3 2 3 2 2" xfId="38829" xr:uid="{072059A9-A01B-4CBE-89EE-F7188C09DEB2}"/>
    <cellStyle name="40% - Accent6 6 3 2 3 3" xfId="22933" xr:uid="{00000000-0005-0000-0000-000062520000}"/>
    <cellStyle name="40% - Accent6 6 3 2 3 3 2" xfId="46766" xr:uid="{E947436D-9E16-4451-93CA-4E691A4CB9B8}"/>
    <cellStyle name="40% - Accent6 6 3 2 3 4" xfId="30888" xr:uid="{17F6434E-7475-495C-A568-BABFC5CA03E3}"/>
    <cellStyle name="40% - Accent6 6 3 2 4" xfId="11450" xr:uid="{00000000-0005-0000-0000-000063520000}"/>
    <cellStyle name="40% - Accent6 6 3 2 4 2" xfId="35300" xr:uid="{D21E0E3C-F4D8-4905-A170-EE49C76525EC}"/>
    <cellStyle name="40% - Accent6 6 3 2 5" xfId="19405" xr:uid="{00000000-0005-0000-0000-000064520000}"/>
    <cellStyle name="40% - Accent6 6 3 2 5 2" xfId="43238" xr:uid="{AB05250B-9219-4C2D-AD6C-8131B2AAD17A}"/>
    <cellStyle name="40% - Accent6 6 3 2 6" xfId="27358" xr:uid="{5192968D-8BE0-478C-A3BC-1D5D0DE85C12}"/>
    <cellStyle name="40% - Accent6 6 3 2_Exh G" xfId="3395" xr:uid="{00000000-0005-0000-0000-000065520000}"/>
    <cellStyle name="40% - Accent6 6 3 3" xfId="4303" xr:uid="{00000000-0005-0000-0000-000066520000}"/>
    <cellStyle name="40% - Accent6 6 3 3 2" xfId="7895" xr:uid="{00000000-0005-0000-0000-000067520000}"/>
    <cellStyle name="40% - Accent6 6 3 3 2 2" xfId="15866" xr:uid="{00000000-0005-0000-0000-000068520000}"/>
    <cellStyle name="40% - Accent6 6 3 3 2 2 2" xfId="39709" xr:uid="{9450ECB9-14A3-41CA-8E2A-F28F26ACEEF7}"/>
    <cellStyle name="40% - Accent6 6 3 3 2 3" xfId="23812" xr:uid="{00000000-0005-0000-0000-000069520000}"/>
    <cellStyle name="40% - Accent6 6 3 3 2 3 2" xfId="47645" xr:uid="{EFA9FE92-7CAB-4658-BDB8-9473948EBFAA}"/>
    <cellStyle name="40% - Accent6 6 3 3 2 4" xfId="31768" xr:uid="{D57CE18D-8DCA-4EA2-B610-787D9CCCCD20}"/>
    <cellStyle name="40% - Accent6 6 3 3 3" xfId="12328" xr:uid="{00000000-0005-0000-0000-00006A520000}"/>
    <cellStyle name="40% - Accent6 6 3 3 3 2" xfId="36178" xr:uid="{7EBA56AD-D7F7-4801-AC48-3A2917B9EC4D}"/>
    <cellStyle name="40% - Accent6 6 3 3 4" xfId="20283" xr:uid="{00000000-0005-0000-0000-00006B520000}"/>
    <cellStyle name="40% - Accent6 6 3 3 4 2" xfId="44116" xr:uid="{11081EE4-305A-4090-8E9F-04E37DF70E32}"/>
    <cellStyle name="40% - Accent6 6 3 3 5" xfId="28237" xr:uid="{2853160F-DED3-42BB-B944-CA14EC2C37D0}"/>
    <cellStyle name="40% - Accent6 6 3 4" xfId="6123" xr:uid="{00000000-0005-0000-0000-00006C520000}"/>
    <cellStyle name="40% - Accent6 6 3 4 2" xfId="14107" xr:uid="{00000000-0005-0000-0000-00006D520000}"/>
    <cellStyle name="40% - Accent6 6 3 4 2 2" xfId="37951" xr:uid="{A0FE1713-1B3D-47EA-8EB4-1577B11FEA07}"/>
    <cellStyle name="40% - Accent6 6 3 4 3" xfId="22055" xr:uid="{00000000-0005-0000-0000-00006E520000}"/>
    <cellStyle name="40% - Accent6 6 3 4 3 2" xfId="45888" xr:uid="{251075B3-B484-4665-BC05-9091E99C1846}"/>
    <cellStyle name="40% - Accent6 6 3 4 4" xfId="30010" xr:uid="{626B8E04-64AC-4882-940B-4B33141663F8}"/>
    <cellStyle name="40% - Accent6 6 3 5" xfId="9676" xr:uid="{00000000-0005-0000-0000-00006F520000}"/>
    <cellStyle name="40% - Accent6 6 3 5 2" xfId="17634" xr:uid="{00000000-0005-0000-0000-000070520000}"/>
    <cellStyle name="40% - Accent6 6 3 5 2 2" xfId="41475" xr:uid="{C9FC4EEE-6D74-49A8-959E-31B259ACE0F9}"/>
    <cellStyle name="40% - Accent6 6 3 5 3" xfId="25578" xr:uid="{00000000-0005-0000-0000-000071520000}"/>
    <cellStyle name="40% - Accent6 6 3 5 3 2" xfId="49411" xr:uid="{D2BB9B17-901D-4C3C-AC28-FD4751C8DF6A}"/>
    <cellStyle name="40% - Accent6 6 3 5 4" xfId="33534" xr:uid="{73658309-4A1C-4A89-BC85-5A6DCCAAA23E}"/>
    <cellStyle name="40% - Accent6 6 3 6" xfId="10572" xr:uid="{00000000-0005-0000-0000-000072520000}"/>
    <cellStyle name="40% - Accent6 6 3 6 2" xfId="34422" xr:uid="{DB46F55B-D096-4619-BD1C-09470942A28F}"/>
    <cellStyle name="40% - Accent6 6 3 7" xfId="18527" xr:uid="{00000000-0005-0000-0000-000073520000}"/>
    <cellStyle name="40% - Accent6 6 3 7 2" xfId="42360" xr:uid="{0BFAD6D3-A5CF-4620-8306-9CE8923A36EA}"/>
    <cellStyle name="40% - Accent6 6 3 8" xfId="26480" xr:uid="{F1BF959A-9389-42A4-BE6A-8BFC2B052411}"/>
    <cellStyle name="40% - Accent6 6 3_Exh G" xfId="3394" xr:uid="{00000000-0005-0000-0000-000074520000}"/>
    <cellStyle name="40% - Accent6 6 4" xfId="1002" xr:uid="{00000000-0005-0000-0000-000075520000}"/>
    <cellStyle name="40% - Accent6 6 4 2" xfId="1915" xr:uid="{00000000-0005-0000-0000-000076520000}"/>
    <cellStyle name="40% - Accent6 6 4 2 2" xfId="5433" xr:uid="{00000000-0005-0000-0000-000077520000}"/>
    <cellStyle name="40% - Accent6 6 4 2 2 2" xfId="9024" xr:uid="{00000000-0005-0000-0000-000078520000}"/>
    <cellStyle name="40% - Accent6 6 4 2 2 2 2" xfId="16995" xr:uid="{00000000-0005-0000-0000-000079520000}"/>
    <cellStyle name="40% - Accent6 6 4 2 2 2 2 2" xfId="40838" xr:uid="{713BC468-ECA9-47F9-8451-7823AC9719DB}"/>
    <cellStyle name="40% - Accent6 6 4 2 2 2 3" xfId="24941" xr:uid="{00000000-0005-0000-0000-00007A520000}"/>
    <cellStyle name="40% - Accent6 6 4 2 2 2 3 2" xfId="48774" xr:uid="{06CBA5A4-66CC-450D-B5DD-86BCE1F906D2}"/>
    <cellStyle name="40% - Accent6 6 4 2 2 2 4" xfId="32897" xr:uid="{34E77E67-9057-42B8-9074-C181A62115B1}"/>
    <cellStyle name="40% - Accent6 6 4 2 2 3" xfId="13457" xr:uid="{00000000-0005-0000-0000-00007B520000}"/>
    <cellStyle name="40% - Accent6 6 4 2 2 3 2" xfId="37307" xr:uid="{30C8680A-F845-4EF7-B8D7-53DE6B76A6E3}"/>
    <cellStyle name="40% - Accent6 6 4 2 2 4" xfId="21412" xr:uid="{00000000-0005-0000-0000-00007C520000}"/>
    <cellStyle name="40% - Accent6 6 4 2 2 4 2" xfId="45245" xr:uid="{CC2C53FF-F7B8-4181-8D11-D35C59ED4D67}"/>
    <cellStyle name="40% - Accent6 6 4 2 2 5" xfId="29366" xr:uid="{A134FA3E-3A74-486F-A8FE-3193D9474911}"/>
    <cellStyle name="40% - Accent6 6 4 2 3" xfId="7265" xr:uid="{00000000-0005-0000-0000-00007D520000}"/>
    <cellStyle name="40% - Accent6 6 4 2 3 2" xfId="15237" xr:uid="{00000000-0005-0000-0000-00007E520000}"/>
    <cellStyle name="40% - Accent6 6 4 2 3 2 2" xfId="39080" xr:uid="{CF3DC562-03D6-45B2-B843-8F7C7DB087EA}"/>
    <cellStyle name="40% - Accent6 6 4 2 3 3" xfId="23184" xr:uid="{00000000-0005-0000-0000-00007F520000}"/>
    <cellStyle name="40% - Accent6 6 4 2 3 3 2" xfId="47017" xr:uid="{1C63D0D7-A1D1-4056-B56E-46B09CDA6A99}"/>
    <cellStyle name="40% - Accent6 6 4 2 3 4" xfId="31139" xr:uid="{9C1EBD95-756C-459A-AA91-D696BDFEBE8C}"/>
    <cellStyle name="40% - Accent6 6 4 2 4" xfId="11701" xr:uid="{00000000-0005-0000-0000-000080520000}"/>
    <cellStyle name="40% - Accent6 6 4 2 4 2" xfId="35551" xr:uid="{311D93FB-416E-4B41-9CD0-C85CAE425F31}"/>
    <cellStyle name="40% - Accent6 6 4 2 5" xfId="19656" xr:uid="{00000000-0005-0000-0000-000081520000}"/>
    <cellStyle name="40% - Accent6 6 4 2 5 2" xfId="43489" xr:uid="{2B11E986-872E-4782-8B1F-5F6618B587BA}"/>
    <cellStyle name="40% - Accent6 6 4 2 6" xfId="27609" xr:uid="{B19046C8-2CFD-4085-938B-DFBC3D72F583}"/>
    <cellStyle name="40% - Accent6 6 4 2_Exh G" xfId="3397" xr:uid="{00000000-0005-0000-0000-000082520000}"/>
    <cellStyle name="40% - Accent6 6 4 3" xfId="4554" xr:uid="{00000000-0005-0000-0000-000083520000}"/>
    <cellStyle name="40% - Accent6 6 4 3 2" xfId="8146" xr:uid="{00000000-0005-0000-0000-000084520000}"/>
    <cellStyle name="40% - Accent6 6 4 3 2 2" xfId="16117" xr:uid="{00000000-0005-0000-0000-000085520000}"/>
    <cellStyle name="40% - Accent6 6 4 3 2 2 2" xfId="39960" xr:uid="{496C1135-E6E5-4096-95C2-7921035CE824}"/>
    <cellStyle name="40% - Accent6 6 4 3 2 3" xfId="24063" xr:uid="{00000000-0005-0000-0000-000086520000}"/>
    <cellStyle name="40% - Accent6 6 4 3 2 3 2" xfId="47896" xr:uid="{B69694E3-C16E-4044-B556-1187464731F4}"/>
    <cellStyle name="40% - Accent6 6 4 3 2 4" xfId="32019" xr:uid="{A05D9E42-24A9-4B25-9BF0-A7B3DF512396}"/>
    <cellStyle name="40% - Accent6 6 4 3 3" xfId="12579" xr:uid="{00000000-0005-0000-0000-000087520000}"/>
    <cellStyle name="40% - Accent6 6 4 3 3 2" xfId="36429" xr:uid="{7C74D53A-1A63-4A67-85D6-AC45BAA821EE}"/>
    <cellStyle name="40% - Accent6 6 4 3 4" xfId="20534" xr:uid="{00000000-0005-0000-0000-000088520000}"/>
    <cellStyle name="40% - Accent6 6 4 3 4 2" xfId="44367" xr:uid="{4986BFB2-6B27-4B8E-8979-6645FEB4E8D0}"/>
    <cellStyle name="40% - Accent6 6 4 3 5" xfId="28488" xr:uid="{23C05268-3AFC-4275-941E-C70A97DA604A}"/>
    <cellStyle name="40% - Accent6 6 4 4" xfId="6384" xr:uid="{00000000-0005-0000-0000-000089520000}"/>
    <cellStyle name="40% - Accent6 6 4 4 2" xfId="14359" xr:uid="{00000000-0005-0000-0000-00008A520000}"/>
    <cellStyle name="40% - Accent6 6 4 4 2 2" xfId="38202" xr:uid="{4A951FD7-3FFF-4009-8EB5-E2F0EDE4C59D}"/>
    <cellStyle name="40% - Accent6 6 4 4 3" xfId="22306" xr:uid="{00000000-0005-0000-0000-00008B520000}"/>
    <cellStyle name="40% - Accent6 6 4 4 3 2" xfId="46139" xr:uid="{546225AF-69E9-4B02-A521-1A4B7659EF61}"/>
    <cellStyle name="40% - Accent6 6 4 4 4" xfId="30261" xr:uid="{E2128103-AB2F-410B-B545-5AC93361CE73}"/>
    <cellStyle name="40% - Accent6 6 4 5" xfId="9927" xr:uid="{00000000-0005-0000-0000-00008C520000}"/>
    <cellStyle name="40% - Accent6 6 4 5 2" xfId="17885" xr:uid="{00000000-0005-0000-0000-00008D520000}"/>
    <cellStyle name="40% - Accent6 6 4 5 2 2" xfId="41726" xr:uid="{AD76DE82-C4BC-47CB-B8C8-E1F590D5099E}"/>
    <cellStyle name="40% - Accent6 6 4 5 3" xfId="25829" xr:uid="{00000000-0005-0000-0000-00008E520000}"/>
    <cellStyle name="40% - Accent6 6 4 5 3 2" xfId="49662" xr:uid="{FF048C67-9E0E-4CA6-8AE3-6C2B32A6CDAD}"/>
    <cellStyle name="40% - Accent6 6 4 5 4" xfId="33785" xr:uid="{4CD43B71-1E01-4FC7-B159-B2A008DDF283}"/>
    <cellStyle name="40% - Accent6 6 4 6" xfId="10823" xr:uid="{00000000-0005-0000-0000-00008F520000}"/>
    <cellStyle name="40% - Accent6 6 4 6 2" xfId="34673" xr:uid="{409F7511-0351-47B6-8FD7-3B8D1B2E72E2}"/>
    <cellStyle name="40% - Accent6 6 4 7" xfId="18778" xr:uid="{00000000-0005-0000-0000-000090520000}"/>
    <cellStyle name="40% - Accent6 6 4 7 2" xfId="42611" xr:uid="{39C1EC91-108C-42FE-A93E-D6A05A628B22}"/>
    <cellStyle name="40% - Accent6 6 4 8" xfId="26731" xr:uid="{EAF287BE-DF90-4BE9-BDCB-2BBBE79EF35A}"/>
    <cellStyle name="40% - Accent6 6 4_Exh G" xfId="3396" xr:uid="{00000000-0005-0000-0000-000091520000}"/>
    <cellStyle name="40% - Accent6 6 5" xfId="1649" xr:uid="{00000000-0005-0000-0000-000092520000}"/>
    <cellStyle name="40% - Accent6 6 5 2" xfId="5179" xr:uid="{00000000-0005-0000-0000-000093520000}"/>
    <cellStyle name="40% - Accent6 6 5 2 2" xfId="8770" xr:uid="{00000000-0005-0000-0000-000094520000}"/>
    <cellStyle name="40% - Accent6 6 5 2 2 2" xfId="16741" xr:uid="{00000000-0005-0000-0000-000095520000}"/>
    <cellStyle name="40% - Accent6 6 5 2 2 2 2" xfId="40584" xr:uid="{38384FA4-4D1F-4179-BAA9-1A653F2168F8}"/>
    <cellStyle name="40% - Accent6 6 5 2 2 3" xfId="24687" xr:uid="{00000000-0005-0000-0000-000096520000}"/>
    <cellStyle name="40% - Accent6 6 5 2 2 3 2" xfId="48520" xr:uid="{B91D17FB-3DE1-45ED-9603-64AED8E98259}"/>
    <cellStyle name="40% - Accent6 6 5 2 2 4" xfId="32643" xr:uid="{20FAC14E-73D1-4C8B-9C28-8A5398DE441D}"/>
    <cellStyle name="40% - Accent6 6 5 2 3" xfId="13203" xr:uid="{00000000-0005-0000-0000-000097520000}"/>
    <cellStyle name="40% - Accent6 6 5 2 3 2" xfId="37053" xr:uid="{A97B6DED-031F-46C0-9174-7C1A36F39A43}"/>
    <cellStyle name="40% - Accent6 6 5 2 4" xfId="21158" xr:uid="{00000000-0005-0000-0000-000098520000}"/>
    <cellStyle name="40% - Accent6 6 5 2 4 2" xfId="44991" xr:uid="{95B192E6-6137-403B-99FC-43AF5145AD80}"/>
    <cellStyle name="40% - Accent6 6 5 2 5" xfId="29112" xr:uid="{23E924BD-29E6-431C-A191-51BA6C871A5B}"/>
    <cellStyle name="40% - Accent6 6 5 3" xfId="7011" xr:uid="{00000000-0005-0000-0000-000099520000}"/>
    <cellStyle name="40% - Accent6 6 5 3 2" xfId="14983" xr:uid="{00000000-0005-0000-0000-00009A520000}"/>
    <cellStyle name="40% - Accent6 6 5 3 2 2" xfId="38826" xr:uid="{18FBE1C6-902A-418B-979A-405845E8CB31}"/>
    <cellStyle name="40% - Accent6 6 5 3 3" xfId="22930" xr:uid="{00000000-0005-0000-0000-00009B520000}"/>
    <cellStyle name="40% - Accent6 6 5 3 3 2" xfId="46763" xr:uid="{ACFB6C85-C57A-4F19-A9BC-50B84FF1F4CC}"/>
    <cellStyle name="40% - Accent6 6 5 3 4" xfId="30885" xr:uid="{E865A647-9848-4B24-8C28-8772A4FD9290}"/>
    <cellStyle name="40% - Accent6 6 5 4" xfId="11447" xr:uid="{00000000-0005-0000-0000-00009C520000}"/>
    <cellStyle name="40% - Accent6 6 5 4 2" xfId="35297" xr:uid="{6C6915E1-CA2B-4E38-905E-11215D6F2553}"/>
    <cellStyle name="40% - Accent6 6 5 5" xfId="19402" xr:uid="{00000000-0005-0000-0000-00009D520000}"/>
    <cellStyle name="40% - Accent6 6 5 5 2" xfId="43235" xr:uid="{229E196F-CCB5-4344-A58F-496BE8444841}"/>
    <cellStyle name="40% - Accent6 6 5 6" xfId="27355" xr:uid="{E12CC03D-26D0-4160-A13F-75CDF2B585B8}"/>
    <cellStyle name="40% - Accent6 6 5_Exh G" xfId="3398" xr:uid="{00000000-0005-0000-0000-00009E520000}"/>
    <cellStyle name="40% - Accent6 6 6" xfId="4300" xr:uid="{00000000-0005-0000-0000-00009F520000}"/>
    <cellStyle name="40% - Accent6 6 6 2" xfId="7892" xr:uid="{00000000-0005-0000-0000-0000A0520000}"/>
    <cellStyle name="40% - Accent6 6 6 2 2" xfId="15863" xr:uid="{00000000-0005-0000-0000-0000A1520000}"/>
    <cellStyle name="40% - Accent6 6 6 2 2 2" xfId="39706" xr:uid="{BE8D807B-5B30-469F-B251-775D7CE906EE}"/>
    <cellStyle name="40% - Accent6 6 6 2 3" xfId="23809" xr:uid="{00000000-0005-0000-0000-0000A2520000}"/>
    <cellStyle name="40% - Accent6 6 6 2 3 2" xfId="47642" xr:uid="{D6A23058-D9FC-4E64-B33E-449D003D91CA}"/>
    <cellStyle name="40% - Accent6 6 6 2 4" xfId="31765" xr:uid="{1A4703CA-C2B7-4376-A7B6-1634F00782AB}"/>
    <cellStyle name="40% - Accent6 6 6 3" xfId="12325" xr:uid="{00000000-0005-0000-0000-0000A3520000}"/>
    <cellStyle name="40% - Accent6 6 6 3 2" xfId="36175" xr:uid="{1E7BE054-80AA-45D9-B6D0-873ECB045BE9}"/>
    <cellStyle name="40% - Accent6 6 6 4" xfId="20280" xr:uid="{00000000-0005-0000-0000-0000A4520000}"/>
    <cellStyle name="40% - Accent6 6 6 4 2" xfId="44113" xr:uid="{38A6C5C7-13B7-4167-BE42-03A7220278E1}"/>
    <cellStyle name="40% - Accent6 6 6 5" xfId="28234" xr:uid="{A43C5D03-F37B-4797-9134-469A0C03AEA6}"/>
    <cellStyle name="40% - Accent6 6 7" xfId="6120" xr:uid="{00000000-0005-0000-0000-0000A5520000}"/>
    <cellStyle name="40% - Accent6 6 7 2" xfId="14104" xr:uid="{00000000-0005-0000-0000-0000A6520000}"/>
    <cellStyle name="40% - Accent6 6 7 2 2" xfId="37948" xr:uid="{0A941F70-F3DD-4998-81FB-90FA6783A34E}"/>
    <cellStyle name="40% - Accent6 6 7 3" xfId="22052" xr:uid="{00000000-0005-0000-0000-0000A7520000}"/>
    <cellStyle name="40% - Accent6 6 7 3 2" xfId="45885" xr:uid="{9E133B5F-C861-4889-ACF9-29B724B9851D}"/>
    <cellStyle name="40% - Accent6 6 7 4" xfId="30007" xr:uid="{33719CD8-FA54-4741-9380-75337CCC778D}"/>
    <cellStyle name="40% - Accent6 6 8" xfId="9673" xr:uid="{00000000-0005-0000-0000-0000A8520000}"/>
    <cellStyle name="40% - Accent6 6 8 2" xfId="17631" xr:uid="{00000000-0005-0000-0000-0000A9520000}"/>
    <cellStyle name="40% - Accent6 6 8 2 2" xfId="41472" xr:uid="{691EE2B5-1097-4FF5-84CE-98A32A97557D}"/>
    <cellStyle name="40% - Accent6 6 8 3" xfId="25575" xr:uid="{00000000-0005-0000-0000-0000AA520000}"/>
    <cellStyle name="40% - Accent6 6 8 3 2" xfId="49408" xr:uid="{25468608-12A0-44E2-B8C8-4D8153A22060}"/>
    <cellStyle name="40% - Accent6 6 8 4" xfId="33531" xr:uid="{BCC85719-FD52-4CEF-AE09-BC95B524D5D3}"/>
    <cellStyle name="40% - Accent6 6 9" xfId="10569" xr:uid="{00000000-0005-0000-0000-0000AB520000}"/>
    <cellStyle name="40% - Accent6 6 9 2" xfId="34419" xr:uid="{13FE85EC-5266-4EC3-8159-0603554368A5}"/>
    <cellStyle name="40% - Accent6 6_Exh G" xfId="3389" xr:uid="{00000000-0005-0000-0000-0000AC520000}"/>
    <cellStyle name="40% - Accent6 7" xfId="625" xr:uid="{00000000-0005-0000-0000-0000AD520000}"/>
    <cellStyle name="40% - Accent6 7 10" xfId="18528" xr:uid="{00000000-0005-0000-0000-0000AE520000}"/>
    <cellStyle name="40% - Accent6 7 10 2" xfId="42361" xr:uid="{4D248CB2-9EBF-4C7D-BCBA-4FD51DC97E91}"/>
    <cellStyle name="40% - Accent6 7 11" xfId="26481" xr:uid="{E8EB6987-1F15-47DA-989E-9C45600BE1D8}"/>
    <cellStyle name="40% - Accent6 7 2" xfId="626" xr:uid="{00000000-0005-0000-0000-0000AF520000}"/>
    <cellStyle name="40% - Accent6 7 2 2" xfId="627" xr:uid="{00000000-0005-0000-0000-0000B0520000}"/>
    <cellStyle name="40% - Accent6 7 2 2 2" xfId="1655" xr:uid="{00000000-0005-0000-0000-0000B1520000}"/>
    <cellStyle name="40% - Accent6 7 2 2 2 2" xfId="5185" xr:uid="{00000000-0005-0000-0000-0000B2520000}"/>
    <cellStyle name="40% - Accent6 7 2 2 2 2 2" xfId="8776" xr:uid="{00000000-0005-0000-0000-0000B3520000}"/>
    <cellStyle name="40% - Accent6 7 2 2 2 2 2 2" xfId="16747" xr:uid="{00000000-0005-0000-0000-0000B4520000}"/>
    <cellStyle name="40% - Accent6 7 2 2 2 2 2 2 2" xfId="40590" xr:uid="{401D4C7B-5AC7-4381-AE10-68420E1AF2F2}"/>
    <cellStyle name="40% - Accent6 7 2 2 2 2 2 3" xfId="24693" xr:uid="{00000000-0005-0000-0000-0000B5520000}"/>
    <cellStyle name="40% - Accent6 7 2 2 2 2 2 3 2" xfId="48526" xr:uid="{E7CF4023-C204-41DA-A0B3-EA496A2B9FFA}"/>
    <cellStyle name="40% - Accent6 7 2 2 2 2 2 4" xfId="32649" xr:uid="{9C883449-9AAF-4E4B-BBEA-D2498393F3A9}"/>
    <cellStyle name="40% - Accent6 7 2 2 2 2 3" xfId="13209" xr:uid="{00000000-0005-0000-0000-0000B6520000}"/>
    <cellStyle name="40% - Accent6 7 2 2 2 2 3 2" xfId="37059" xr:uid="{9C240C26-0DFA-4BB6-9DCF-C03F3A63B116}"/>
    <cellStyle name="40% - Accent6 7 2 2 2 2 4" xfId="21164" xr:uid="{00000000-0005-0000-0000-0000B7520000}"/>
    <cellStyle name="40% - Accent6 7 2 2 2 2 4 2" xfId="44997" xr:uid="{A2C066F7-40B1-4036-AA1E-1258841490FE}"/>
    <cellStyle name="40% - Accent6 7 2 2 2 2 5" xfId="29118" xr:uid="{7E1ECAEB-6D43-4BDB-8FAF-185654DAD315}"/>
    <cellStyle name="40% - Accent6 7 2 2 2 3" xfId="7017" xr:uid="{00000000-0005-0000-0000-0000B8520000}"/>
    <cellStyle name="40% - Accent6 7 2 2 2 3 2" xfId="14989" xr:uid="{00000000-0005-0000-0000-0000B9520000}"/>
    <cellStyle name="40% - Accent6 7 2 2 2 3 2 2" xfId="38832" xr:uid="{DA9AF116-CA54-4F7C-A977-11DA11C4E0F6}"/>
    <cellStyle name="40% - Accent6 7 2 2 2 3 3" xfId="22936" xr:uid="{00000000-0005-0000-0000-0000BA520000}"/>
    <cellStyle name="40% - Accent6 7 2 2 2 3 3 2" xfId="46769" xr:uid="{99701FFB-950F-475E-B19A-27003539D979}"/>
    <cellStyle name="40% - Accent6 7 2 2 2 3 4" xfId="30891" xr:uid="{E29BC28B-48BF-486D-A389-B3643C549011}"/>
    <cellStyle name="40% - Accent6 7 2 2 2 4" xfId="11453" xr:uid="{00000000-0005-0000-0000-0000BB520000}"/>
    <cellStyle name="40% - Accent6 7 2 2 2 4 2" xfId="35303" xr:uid="{7A5685CE-62B5-4307-A7BD-5BCEBC3BB228}"/>
    <cellStyle name="40% - Accent6 7 2 2 2 5" xfId="19408" xr:uid="{00000000-0005-0000-0000-0000BC520000}"/>
    <cellStyle name="40% - Accent6 7 2 2 2 5 2" xfId="43241" xr:uid="{7CC5435D-A528-475B-8F79-56DA628DC7D3}"/>
    <cellStyle name="40% - Accent6 7 2 2 2 6" xfId="27361" xr:uid="{F8716913-0102-4BB7-98F6-97AB07DD0837}"/>
    <cellStyle name="40% - Accent6 7 2 2 2_Exh G" xfId="3402" xr:uid="{00000000-0005-0000-0000-0000BD520000}"/>
    <cellStyle name="40% - Accent6 7 2 2 3" xfId="4306" xr:uid="{00000000-0005-0000-0000-0000BE520000}"/>
    <cellStyle name="40% - Accent6 7 2 2 3 2" xfId="7898" xr:uid="{00000000-0005-0000-0000-0000BF520000}"/>
    <cellStyle name="40% - Accent6 7 2 2 3 2 2" xfId="15869" xr:uid="{00000000-0005-0000-0000-0000C0520000}"/>
    <cellStyle name="40% - Accent6 7 2 2 3 2 2 2" xfId="39712" xr:uid="{24E08AC9-EB93-4553-84BF-2EDDC2A53285}"/>
    <cellStyle name="40% - Accent6 7 2 2 3 2 3" xfId="23815" xr:uid="{00000000-0005-0000-0000-0000C1520000}"/>
    <cellStyle name="40% - Accent6 7 2 2 3 2 3 2" xfId="47648" xr:uid="{3B1ED591-DAA9-4E66-A4D7-9DD2404AF301}"/>
    <cellStyle name="40% - Accent6 7 2 2 3 2 4" xfId="31771" xr:uid="{F56E655D-94DD-45D8-8FE1-D54B051493B3}"/>
    <cellStyle name="40% - Accent6 7 2 2 3 3" xfId="12331" xr:uid="{00000000-0005-0000-0000-0000C2520000}"/>
    <cellStyle name="40% - Accent6 7 2 2 3 3 2" xfId="36181" xr:uid="{8F1BF56C-8DEB-4ECC-BF89-FD5829A1C70B}"/>
    <cellStyle name="40% - Accent6 7 2 2 3 4" xfId="20286" xr:uid="{00000000-0005-0000-0000-0000C3520000}"/>
    <cellStyle name="40% - Accent6 7 2 2 3 4 2" xfId="44119" xr:uid="{46DDA9E2-5C9C-4AEA-B96C-8D814F43FE35}"/>
    <cellStyle name="40% - Accent6 7 2 2 3 5" xfId="28240" xr:uid="{80B31D67-DB66-4E3C-81B6-98A8E4CE6AF2}"/>
    <cellStyle name="40% - Accent6 7 2 2 4" xfId="6126" xr:uid="{00000000-0005-0000-0000-0000C4520000}"/>
    <cellStyle name="40% - Accent6 7 2 2 4 2" xfId="14110" xr:uid="{00000000-0005-0000-0000-0000C5520000}"/>
    <cellStyle name="40% - Accent6 7 2 2 4 2 2" xfId="37954" xr:uid="{05CBCAB1-3BE9-4A9F-8CE0-C8C207CE3A36}"/>
    <cellStyle name="40% - Accent6 7 2 2 4 3" xfId="22058" xr:uid="{00000000-0005-0000-0000-0000C6520000}"/>
    <cellStyle name="40% - Accent6 7 2 2 4 3 2" xfId="45891" xr:uid="{CFEAC9D1-13EF-4CBF-B875-16C34496724B}"/>
    <cellStyle name="40% - Accent6 7 2 2 4 4" xfId="30013" xr:uid="{C642579B-4A2C-4B99-B429-01DA3AA7A401}"/>
    <cellStyle name="40% - Accent6 7 2 2 5" xfId="9679" xr:uid="{00000000-0005-0000-0000-0000C7520000}"/>
    <cellStyle name="40% - Accent6 7 2 2 5 2" xfId="17637" xr:uid="{00000000-0005-0000-0000-0000C8520000}"/>
    <cellStyle name="40% - Accent6 7 2 2 5 2 2" xfId="41478" xr:uid="{5E775A26-ACED-4368-936C-CB3A607860F3}"/>
    <cellStyle name="40% - Accent6 7 2 2 5 3" xfId="25581" xr:uid="{00000000-0005-0000-0000-0000C9520000}"/>
    <cellStyle name="40% - Accent6 7 2 2 5 3 2" xfId="49414" xr:uid="{5EDBDDF5-43C4-4D53-81A0-4A0211BB5436}"/>
    <cellStyle name="40% - Accent6 7 2 2 5 4" xfId="33537" xr:uid="{F5FA72CE-FFC8-4618-9124-67AB0260EA29}"/>
    <cellStyle name="40% - Accent6 7 2 2 6" xfId="10575" xr:uid="{00000000-0005-0000-0000-0000CA520000}"/>
    <cellStyle name="40% - Accent6 7 2 2 6 2" xfId="34425" xr:uid="{058FA6DF-31DE-40A0-BDEF-8660B788B6C8}"/>
    <cellStyle name="40% - Accent6 7 2 2 7" xfId="18530" xr:uid="{00000000-0005-0000-0000-0000CB520000}"/>
    <cellStyle name="40% - Accent6 7 2 2 7 2" xfId="42363" xr:uid="{1EE9A87E-214C-4ADA-B4B5-A5C1F7B920D1}"/>
    <cellStyle name="40% - Accent6 7 2 2 8" xfId="26483" xr:uid="{9679DF56-8291-4984-A331-2B4036B71546}"/>
    <cellStyle name="40% - Accent6 7 2 2_Exh G" xfId="3401" xr:uid="{00000000-0005-0000-0000-0000CC520000}"/>
    <cellStyle name="40% - Accent6 7 2 3" xfId="1654" xr:uid="{00000000-0005-0000-0000-0000CD520000}"/>
    <cellStyle name="40% - Accent6 7 2 3 2" xfId="5184" xr:uid="{00000000-0005-0000-0000-0000CE520000}"/>
    <cellStyle name="40% - Accent6 7 2 3 2 2" xfId="8775" xr:uid="{00000000-0005-0000-0000-0000CF520000}"/>
    <cellStyle name="40% - Accent6 7 2 3 2 2 2" xfId="16746" xr:uid="{00000000-0005-0000-0000-0000D0520000}"/>
    <cellStyle name="40% - Accent6 7 2 3 2 2 2 2" xfId="40589" xr:uid="{CB11A3A9-10E7-4C89-8A9C-9F2912FE9D1D}"/>
    <cellStyle name="40% - Accent6 7 2 3 2 2 3" xfId="24692" xr:uid="{00000000-0005-0000-0000-0000D1520000}"/>
    <cellStyle name="40% - Accent6 7 2 3 2 2 3 2" xfId="48525" xr:uid="{BE766861-D668-4A10-B1B7-3A1C5B51CC77}"/>
    <cellStyle name="40% - Accent6 7 2 3 2 2 4" xfId="32648" xr:uid="{294D732A-4150-4103-BA41-96673A21B4F9}"/>
    <cellStyle name="40% - Accent6 7 2 3 2 3" xfId="13208" xr:uid="{00000000-0005-0000-0000-0000D2520000}"/>
    <cellStyle name="40% - Accent6 7 2 3 2 3 2" xfId="37058" xr:uid="{40016165-B208-42C9-8EA4-8FC0950578BF}"/>
    <cellStyle name="40% - Accent6 7 2 3 2 4" xfId="21163" xr:uid="{00000000-0005-0000-0000-0000D3520000}"/>
    <cellStyle name="40% - Accent6 7 2 3 2 4 2" xfId="44996" xr:uid="{5DB961CF-D7F4-4EEB-AF5B-D480A6D6EF81}"/>
    <cellStyle name="40% - Accent6 7 2 3 2 5" xfId="29117" xr:uid="{9B07247B-A486-43F2-85C5-BEF014EE6AAC}"/>
    <cellStyle name="40% - Accent6 7 2 3 3" xfId="7016" xr:uid="{00000000-0005-0000-0000-0000D4520000}"/>
    <cellStyle name="40% - Accent6 7 2 3 3 2" xfId="14988" xr:uid="{00000000-0005-0000-0000-0000D5520000}"/>
    <cellStyle name="40% - Accent6 7 2 3 3 2 2" xfId="38831" xr:uid="{01C9D880-262B-466A-8A9C-8272977BB438}"/>
    <cellStyle name="40% - Accent6 7 2 3 3 3" xfId="22935" xr:uid="{00000000-0005-0000-0000-0000D6520000}"/>
    <cellStyle name="40% - Accent6 7 2 3 3 3 2" xfId="46768" xr:uid="{F693EC24-1028-473C-B4F4-8D2328D0C8A5}"/>
    <cellStyle name="40% - Accent6 7 2 3 3 4" xfId="30890" xr:uid="{1E232974-4943-4313-B32A-0453EFAD87E6}"/>
    <cellStyle name="40% - Accent6 7 2 3 4" xfId="11452" xr:uid="{00000000-0005-0000-0000-0000D7520000}"/>
    <cellStyle name="40% - Accent6 7 2 3 4 2" xfId="35302" xr:uid="{933294FF-AA0A-46B6-8C35-1CBBA4C25943}"/>
    <cellStyle name="40% - Accent6 7 2 3 5" xfId="19407" xr:uid="{00000000-0005-0000-0000-0000D8520000}"/>
    <cellStyle name="40% - Accent6 7 2 3 5 2" xfId="43240" xr:uid="{CD3930BE-71A5-41E0-BB3E-2B3D39EA02A6}"/>
    <cellStyle name="40% - Accent6 7 2 3 6" xfId="27360" xr:uid="{1EBDC490-2EA4-4C8A-9239-DCBA40E04623}"/>
    <cellStyle name="40% - Accent6 7 2 3_Exh G" xfId="3403" xr:uid="{00000000-0005-0000-0000-0000D9520000}"/>
    <cellStyle name="40% - Accent6 7 2 4" xfId="4305" xr:uid="{00000000-0005-0000-0000-0000DA520000}"/>
    <cellStyle name="40% - Accent6 7 2 4 2" xfId="7897" xr:uid="{00000000-0005-0000-0000-0000DB520000}"/>
    <cellStyle name="40% - Accent6 7 2 4 2 2" xfId="15868" xr:uid="{00000000-0005-0000-0000-0000DC520000}"/>
    <cellStyle name="40% - Accent6 7 2 4 2 2 2" xfId="39711" xr:uid="{B5457F44-F70B-49D8-B6C2-68D851A6AE10}"/>
    <cellStyle name="40% - Accent6 7 2 4 2 3" xfId="23814" xr:uid="{00000000-0005-0000-0000-0000DD520000}"/>
    <cellStyle name="40% - Accent6 7 2 4 2 3 2" xfId="47647" xr:uid="{D47083DD-E96B-4258-A540-9BFD3B48AE11}"/>
    <cellStyle name="40% - Accent6 7 2 4 2 4" xfId="31770" xr:uid="{2F5F63AC-014D-44FF-98E0-3BE77433C21E}"/>
    <cellStyle name="40% - Accent6 7 2 4 3" xfId="12330" xr:uid="{00000000-0005-0000-0000-0000DE520000}"/>
    <cellStyle name="40% - Accent6 7 2 4 3 2" xfId="36180" xr:uid="{3AC6E39A-321E-4D98-BC65-50201E2C32CE}"/>
    <cellStyle name="40% - Accent6 7 2 4 4" xfId="20285" xr:uid="{00000000-0005-0000-0000-0000DF520000}"/>
    <cellStyle name="40% - Accent6 7 2 4 4 2" xfId="44118" xr:uid="{DF85237C-DE95-4307-B941-9A065B6709BB}"/>
    <cellStyle name="40% - Accent6 7 2 4 5" xfId="28239" xr:uid="{3784886C-E00D-429E-AC11-A5785F362134}"/>
    <cellStyle name="40% - Accent6 7 2 5" xfId="6125" xr:uid="{00000000-0005-0000-0000-0000E0520000}"/>
    <cellStyle name="40% - Accent6 7 2 5 2" xfId="14109" xr:uid="{00000000-0005-0000-0000-0000E1520000}"/>
    <cellStyle name="40% - Accent6 7 2 5 2 2" xfId="37953" xr:uid="{A5D93043-B096-4066-B05E-90A5771FD1B1}"/>
    <cellStyle name="40% - Accent6 7 2 5 3" xfId="22057" xr:uid="{00000000-0005-0000-0000-0000E2520000}"/>
    <cellStyle name="40% - Accent6 7 2 5 3 2" xfId="45890" xr:uid="{043C923C-83EC-48EC-88F9-947FCB8A01F4}"/>
    <cellStyle name="40% - Accent6 7 2 5 4" xfId="30012" xr:uid="{7BFD4888-11DC-44B6-BB83-4F8D5B836A96}"/>
    <cellStyle name="40% - Accent6 7 2 6" xfId="9678" xr:uid="{00000000-0005-0000-0000-0000E3520000}"/>
    <cellStyle name="40% - Accent6 7 2 6 2" xfId="17636" xr:uid="{00000000-0005-0000-0000-0000E4520000}"/>
    <cellStyle name="40% - Accent6 7 2 6 2 2" xfId="41477" xr:uid="{08036034-F9E0-47C6-BE9C-C53B0A623B29}"/>
    <cellStyle name="40% - Accent6 7 2 6 3" xfId="25580" xr:uid="{00000000-0005-0000-0000-0000E5520000}"/>
    <cellStyle name="40% - Accent6 7 2 6 3 2" xfId="49413" xr:uid="{679094EF-2F22-4449-A9C8-CCF2FFD9BE1E}"/>
    <cellStyle name="40% - Accent6 7 2 6 4" xfId="33536" xr:uid="{59B162A2-65CC-44B3-BAB8-B2415122F31F}"/>
    <cellStyle name="40% - Accent6 7 2 7" xfId="10574" xr:uid="{00000000-0005-0000-0000-0000E6520000}"/>
    <cellStyle name="40% - Accent6 7 2 7 2" xfId="34424" xr:uid="{A9BF1184-C681-435F-AA0C-BA79553D387E}"/>
    <cellStyle name="40% - Accent6 7 2 8" xfId="18529" xr:uid="{00000000-0005-0000-0000-0000E7520000}"/>
    <cellStyle name="40% - Accent6 7 2 8 2" xfId="42362" xr:uid="{D7FEFE1A-7447-46D3-B257-EA47C3CAEB11}"/>
    <cellStyle name="40% - Accent6 7 2 9" xfId="26482" xr:uid="{D7FD36D1-A6C6-492C-946A-FBE9870D502A}"/>
    <cellStyle name="40% - Accent6 7 2_Exh G" xfId="3400" xr:uid="{00000000-0005-0000-0000-0000E8520000}"/>
    <cellStyle name="40% - Accent6 7 3" xfId="628" xr:uid="{00000000-0005-0000-0000-0000E9520000}"/>
    <cellStyle name="40% - Accent6 7 3 2" xfId="1656" xr:uid="{00000000-0005-0000-0000-0000EA520000}"/>
    <cellStyle name="40% - Accent6 7 3 2 2" xfId="5186" xr:uid="{00000000-0005-0000-0000-0000EB520000}"/>
    <cellStyle name="40% - Accent6 7 3 2 2 2" xfId="8777" xr:uid="{00000000-0005-0000-0000-0000EC520000}"/>
    <cellStyle name="40% - Accent6 7 3 2 2 2 2" xfId="16748" xr:uid="{00000000-0005-0000-0000-0000ED520000}"/>
    <cellStyle name="40% - Accent6 7 3 2 2 2 2 2" xfId="40591" xr:uid="{4D9ADD71-F23F-4519-934D-F8233132FD01}"/>
    <cellStyle name="40% - Accent6 7 3 2 2 2 3" xfId="24694" xr:uid="{00000000-0005-0000-0000-0000EE520000}"/>
    <cellStyle name="40% - Accent6 7 3 2 2 2 3 2" xfId="48527" xr:uid="{CAE17EC5-6A51-472F-B3BE-6E7D4D0D46DA}"/>
    <cellStyle name="40% - Accent6 7 3 2 2 2 4" xfId="32650" xr:uid="{EDA88A5E-2BBB-49BB-9210-B6FFFB5C0B30}"/>
    <cellStyle name="40% - Accent6 7 3 2 2 3" xfId="13210" xr:uid="{00000000-0005-0000-0000-0000EF520000}"/>
    <cellStyle name="40% - Accent6 7 3 2 2 3 2" xfId="37060" xr:uid="{C7A12673-019E-46AF-BADC-C01A3D6F9187}"/>
    <cellStyle name="40% - Accent6 7 3 2 2 4" xfId="21165" xr:uid="{00000000-0005-0000-0000-0000F0520000}"/>
    <cellStyle name="40% - Accent6 7 3 2 2 4 2" xfId="44998" xr:uid="{F57887F7-1020-4A49-8AF1-41DDAFA66A27}"/>
    <cellStyle name="40% - Accent6 7 3 2 2 5" xfId="29119" xr:uid="{93A49C63-665B-43EB-8199-B2011E8D1F54}"/>
    <cellStyle name="40% - Accent6 7 3 2 3" xfId="7018" xr:uid="{00000000-0005-0000-0000-0000F1520000}"/>
    <cellStyle name="40% - Accent6 7 3 2 3 2" xfId="14990" xr:uid="{00000000-0005-0000-0000-0000F2520000}"/>
    <cellStyle name="40% - Accent6 7 3 2 3 2 2" xfId="38833" xr:uid="{09FDB7C2-0BB2-4454-BFB0-8A1CB72718ED}"/>
    <cellStyle name="40% - Accent6 7 3 2 3 3" xfId="22937" xr:uid="{00000000-0005-0000-0000-0000F3520000}"/>
    <cellStyle name="40% - Accent6 7 3 2 3 3 2" xfId="46770" xr:uid="{934FB91A-5086-48CE-8903-7E51C6D6916E}"/>
    <cellStyle name="40% - Accent6 7 3 2 3 4" xfId="30892" xr:uid="{0217C893-FFEF-4E0B-BA26-7474931056A2}"/>
    <cellStyle name="40% - Accent6 7 3 2 4" xfId="11454" xr:uid="{00000000-0005-0000-0000-0000F4520000}"/>
    <cellStyle name="40% - Accent6 7 3 2 4 2" xfId="35304" xr:uid="{2565C381-B7B4-4091-B195-7AB7E0F0D6D5}"/>
    <cellStyle name="40% - Accent6 7 3 2 5" xfId="19409" xr:uid="{00000000-0005-0000-0000-0000F5520000}"/>
    <cellStyle name="40% - Accent6 7 3 2 5 2" xfId="43242" xr:uid="{E47467C5-BB93-46C0-BAFC-2D9BA14F0E04}"/>
    <cellStyle name="40% - Accent6 7 3 2 6" xfId="27362" xr:uid="{9BDA7C22-9504-4236-A183-C787CD106EB4}"/>
    <cellStyle name="40% - Accent6 7 3 2_Exh G" xfId="3405" xr:uid="{00000000-0005-0000-0000-0000F6520000}"/>
    <cellStyle name="40% - Accent6 7 3 3" xfId="4307" xr:uid="{00000000-0005-0000-0000-0000F7520000}"/>
    <cellStyle name="40% - Accent6 7 3 3 2" xfId="7899" xr:uid="{00000000-0005-0000-0000-0000F8520000}"/>
    <cellStyle name="40% - Accent6 7 3 3 2 2" xfId="15870" xr:uid="{00000000-0005-0000-0000-0000F9520000}"/>
    <cellStyle name="40% - Accent6 7 3 3 2 2 2" xfId="39713" xr:uid="{B1F0FA3F-26AB-4A17-AA5B-9BB5CDE722FE}"/>
    <cellStyle name="40% - Accent6 7 3 3 2 3" xfId="23816" xr:uid="{00000000-0005-0000-0000-0000FA520000}"/>
    <cellStyle name="40% - Accent6 7 3 3 2 3 2" xfId="47649" xr:uid="{0DF253A0-750C-4490-89EC-CFD2E480B0E5}"/>
    <cellStyle name="40% - Accent6 7 3 3 2 4" xfId="31772" xr:uid="{C43C050F-FF53-4389-9C0E-1D6DFCF15AF7}"/>
    <cellStyle name="40% - Accent6 7 3 3 3" xfId="12332" xr:uid="{00000000-0005-0000-0000-0000FB520000}"/>
    <cellStyle name="40% - Accent6 7 3 3 3 2" xfId="36182" xr:uid="{7508CADE-42A6-4913-AA36-8AD5B66C47C4}"/>
    <cellStyle name="40% - Accent6 7 3 3 4" xfId="20287" xr:uid="{00000000-0005-0000-0000-0000FC520000}"/>
    <cellStyle name="40% - Accent6 7 3 3 4 2" xfId="44120" xr:uid="{0AB6D3BF-E219-4015-AA03-5F653966425D}"/>
    <cellStyle name="40% - Accent6 7 3 3 5" xfId="28241" xr:uid="{C1C4127D-D69C-4831-8F58-75FE2A149F5B}"/>
    <cellStyle name="40% - Accent6 7 3 4" xfId="6127" xr:uid="{00000000-0005-0000-0000-0000FD520000}"/>
    <cellStyle name="40% - Accent6 7 3 4 2" xfId="14111" xr:uid="{00000000-0005-0000-0000-0000FE520000}"/>
    <cellStyle name="40% - Accent6 7 3 4 2 2" xfId="37955" xr:uid="{1712B8AE-B335-4E21-A05E-A950FDCEF55A}"/>
    <cellStyle name="40% - Accent6 7 3 4 3" xfId="22059" xr:uid="{00000000-0005-0000-0000-0000FF520000}"/>
    <cellStyle name="40% - Accent6 7 3 4 3 2" xfId="45892" xr:uid="{07F60E94-CF62-408E-8B3D-2B162BD25587}"/>
    <cellStyle name="40% - Accent6 7 3 4 4" xfId="30014" xr:uid="{19960EAD-DD87-43B2-8EE8-D9A4A5DE13F2}"/>
    <cellStyle name="40% - Accent6 7 3 5" xfId="9680" xr:uid="{00000000-0005-0000-0000-000000530000}"/>
    <cellStyle name="40% - Accent6 7 3 5 2" xfId="17638" xr:uid="{00000000-0005-0000-0000-000001530000}"/>
    <cellStyle name="40% - Accent6 7 3 5 2 2" xfId="41479" xr:uid="{1C7D9D53-220A-4B3E-ADFE-5A9C1EDBC7C9}"/>
    <cellStyle name="40% - Accent6 7 3 5 3" xfId="25582" xr:uid="{00000000-0005-0000-0000-000002530000}"/>
    <cellStyle name="40% - Accent6 7 3 5 3 2" xfId="49415" xr:uid="{DA9EB19B-E782-403C-9470-36C07685C1F4}"/>
    <cellStyle name="40% - Accent6 7 3 5 4" xfId="33538" xr:uid="{61AF6BFA-24D4-435C-920A-9170032BB506}"/>
    <cellStyle name="40% - Accent6 7 3 6" xfId="10576" xr:uid="{00000000-0005-0000-0000-000003530000}"/>
    <cellStyle name="40% - Accent6 7 3 6 2" xfId="34426" xr:uid="{C5D03936-7BB5-45C2-B5A1-82291DD8F401}"/>
    <cellStyle name="40% - Accent6 7 3 7" xfId="18531" xr:uid="{00000000-0005-0000-0000-000004530000}"/>
    <cellStyle name="40% - Accent6 7 3 7 2" xfId="42364" xr:uid="{EBA46D7E-63D5-41AD-AF51-5B7714131E52}"/>
    <cellStyle name="40% - Accent6 7 3 8" xfId="26484" xr:uid="{866149C4-173C-4223-83F3-302AF65C9495}"/>
    <cellStyle name="40% - Accent6 7 3_Exh G" xfId="3404" xr:uid="{00000000-0005-0000-0000-000005530000}"/>
    <cellStyle name="40% - Accent6 7 4" xfId="1003" xr:uid="{00000000-0005-0000-0000-000006530000}"/>
    <cellStyle name="40% - Accent6 7 4 2" xfId="1916" xr:uid="{00000000-0005-0000-0000-000007530000}"/>
    <cellStyle name="40% - Accent6 7 4 2 2" xfId="5434" xr:uid="{00000000-0005-0000-0000-000008530000}"/>
    <cellStyle name="40% - Accent6 7 4 2 2 2" xfId="9025" xr:uid="{00000000-0005-0000-0000-000009530000}"/>
    <cellStyle name="40% - Accent6 7 4 2 2 2 2" xfId="16996" xr:uid="{00000000-0005-0000-0000-00000A530000}"/>
    <cellStyle name="40% - Accent6 7 4 2 2 2 2 2" xfId="40839" xr:uid="{36868620-F374-4F14-A4D0-2BAC46536A0C}"/>
    <cellStyle name="40% - Accent6 7 4 2 2 2 3" xfId="24942" xr:uid="{00000000-0005-0000-0000-00000B530000}"/>
    <cellStyle name="40% - Accent6 7 4 2 2 2 3 2" xfId="48775" xr:uid="{D27E3370-13F2-4125-A6FD-1BFE3F1D2773}"/>
    <cellStyle name="40% - Accent6 7 4 2 2 2 4" xfId="32898" xr:uid="{3F224E14-1608-4103-AB92-7291F5C5EB81}"/>
    <cellStyle name="40% - Accent6 7 4 2 2 3" xfId="13458" xr:uid="{00000000-0005-0000-0000-00000C530000}"/>
    <cellStyle name="40% - Accent6 7 4 2 2 3 2" xfId="37308" xr:uid="{7DECF6E1-DC6B-42D5-9D30-926D040BF7E0}"/>
    <cellStyle name="40% - Accent6 7 4 2 2 4" xfId="21413" xr:uid="{00000000-0005-0000-0000-00000D530000}"/>
    <cellStyle name="40% - Accent6 7 4 2 2 4 2" xfId="45246" xr:uid="{C16D3C54-07F4-41EF-98EF-7B4CD5F02445}"/>
    <cellStyle name="40% - Accent6 7 4 2 2 5" xfId="29367" xr:uid="{59E0A024-BD2E-47C5-8FC6-F562814639BF}"/>
    <cellStyle name="40% - Accent6 7 4 2 3" xfId="7266" xr:uid="{00000000-0005-0000-0000-00000E530000}"/>
    <cellStyle name="40% - Accent6 7 4 2 3 2" xfId="15238" xr:uid="{00000000-0005-0000-0000-00000F530000}"/>
    <cellStyle name="40% - Accent6 7 4 2 3 2 2" xfId="39081" xr:uid="{AE4982D9-4427-4E31-9237-AC1A83B7912A}"/>
    <cellStyle name="40% - Accent6 7 4 2 3 3" xfId="23185" xr:uid="{00000000-0005-0000-0000-000010530000}"/>
    <cellStyle name="40% - Accent6 7 4 2 3 3 2" xfId="47018" xr:uid="{BD745B8E-6CB3-4D41-8616-816AAC45CFE7}"/>
    <cellStyle name="40% - Accent6 7 4 2 3 4" xfId="31140" xr:uid="{BBF015E7-6AEA-4176-B2D5-8EC0730C7F09}"/>
    <cellStyle name="40% - Accent6 7 4 2 4" xfId="11702" xr:uid="{00000000-0005-0000-0000-000011530000}"/>
    <cellStyle name="40% - Accent6 7 4 2 4 2" xfId="35552" xr:uid="{80379948-D77B-49FC-AE83-E19F9E9DCEDE}"/>
    <cellStyle name="40% - Accent6 7 4 2 5" xfId="19657" xr:uid="{00000000-0005-0000-0000-000012530000}"/>
    <cellStyle name="40% - Accent6 7 4 2 5 2" xfId="43490" xr:uid="{D4A3EAFB-C268-4CAB-8258-A4BBDDBE632B}"/>
    <cellStyle name="40% - Accent6 7 4 2 6" xfId="27610" xr:uid="{6216B7C2-43AC-456C-A93E-4AEE0DC65187}"/>
    <cellStyle name="40% - Accent6 7 4 2_Exh G" xfId="3407" xr:uid="{00000000-0005-0000-0000-000013530000}"/>
    <cellStyle name="40% - Accent6 7 4 3" xfId="4555" xr:uid="{00000000-0005-0000-0000-000014530000}"/>
    <cellStyle name="40% - Accent6 7 4 3 2" xfId="8147" xr:uid="{00000000-0005-0000-0000-000015530000}"/>
    <cellStyle name="40% - Accent6 7 4 3 2 2" xfId="16118" xr:uid="{00000000-0005-0000-0000-000016530000}"/>
    <cellStyle name="40% - Accent6 7 4 3 2 2 2" xfId="39961" xr:uid="{20A8110E-2966-41EB-9414-5DC99911291A}"/>
    <cellStyle name="40% - Accent6 7 4 3 2 3" xfId="24064" xr:uid="{00000000-0005-0000-0000-000017530000}"/>
    <cellStyle name="40% - Accent6 7 4 3 2 3 2" xfId="47897" xr:uid="{934C2849-E329-4F1F-8EA0-319016702804}"/>
    <cellStyle name="40% - Accent6 7 4 3 2 4" xfId="32020" xr:uid="{F8C77F3E-9D98-423E-AF86-46D9221283BE}"/>
    <cellStyle name="40% - Accent6 7 4 3 3" xfId="12580" xr:uid="{00000000-0005-0000-0000-000018530000}"/>
    <cellStyle name="40% - Accent6 7 4 3 3 2" xfId="36430" xr:uid="{6534A2AD-C8F8-4A98-A80F-46FAEE2535EF}"/>
    <cellStyle name="40% - Accent6 7 4 3 4" xfId="20535" xr:uid="{00000000-0005-0000-0000-000019530000}"/>
    <cellStyle name="40% - Accent6 7 4 3 4 2" xfId="44368" xr:uid="{E49D161B-3387-4924-8707-8D96C714976C}"/>
    <cellStyle name="40% - Accent6 7 4 3 5" xfId="28489" xr:uid="{D698DB48-3AE9-49F4-A3FF-B89E435EE440}"/>
    <cellStyle name="40% - Accent6 7 4 4" xfId="6385" xr:uid="{00000000-0005-0000-0000-00001A530000}"/>
    <cellStyle name="40% - Accent6 7 4 4 2" xfId="14360" xr:uid="{00000000-0005-0000-0000-00001B530000}"/>
    <cellStyle name="40% - Accent6 7 4 4 2 2" xfId="38203" xr:uid="{1F0E3C86-6D8A-427E-8E33-87867F5B70A2}"/>
    <cellStyle name="40% - Accent6 7 4 4 3" xfId="22307" xr:uid="{00000000-0005-0000-0000-00001C530000}"/>
    <cellStyle name="40% - Accent6 7 4 4 3 2" xfId="46140" xr:uid="{70F582FA-F8EE-45C0-8C79-2810C7DFCA63}"/>
    <cellStyle name="40% - Accent6 7 4 4 4" xfId="30262" xr:uid="{438EDE3D-9480-4DF2-9493-C565F527D94C}"/>
    <cellStyle name="40% - Accent6 7 4 5" xfId="9928" xr:uid="{00000000-0005-0000-0000-00001D530000}"/>
    <cellStyle name="40% - Accent6 7 4 5 2" xfId="17886" xr:uid="{00000000-0005-0000-0000-00001E530000}"/>
    <cellStyle name="40% - Accent6 7 4 5 2 2" xfId="41727" xr:uid="{4570D772-0F40-4D40-85B9-1B4D2F0861D3}"/>
    <cellStyle name="40% - Accent6 7 4 5 3" xfId="25830" xr:uid="{00000000-0005-0000-0000-00001F530000}"/>
    <cellStyle name="40% - Accent6 7 4 5 3 2" xfId="49663" xr:uid="{3ACF9BB8-34AE-4F8B-A620-2B7AF07C27B0}"/>
    <cellStyle name="40% - Accent6 7 4 5 4" xfId="33786" xr:uid="{F7D68496-1475-4244-BEBE-79AF5166411D}"/>
    <cellStyle name="40% - Accent6 7 4 6" xfId="10824" xr:uid="{00000000-0005-0000-0000-000020530000}"/>
    <cellStyle name="40% - Accent6 7 4 6 2" xfId="34674" xr:uid="{64AE426F-FE3A-4C76-935C-EEBC1D386B16}"/>
    <cellStyle name="40% - Accent6 7 4 7" xfId="18779" xr:uid="{00000000-0005-0000-0000-000021530000}"/>
    <cellStyle name="40% - Accent6 7 4 7 2" xfId="42612" xr:uid="{19EEC012-C78B-43B1-B0E7-A84AE64E3A1C}"/>
    <cellStyle name="40% - Accent6 7 4 8" xfId="26732" xr:uid="{5C707D8E-CD6F-420E-A401-68BDF7A6427A}"/>
    <cellStyle name="40% - Accent6 7 4_Exh G" xfId="3406" xr:uid="{00000000-0005-0000-0000-000022530000}"/>
    <cellStyle name="40% - Accent6 7 5" xfId="1653" xr:uid="{00000000-0005-0000-0000-000023530000}"/>
    <cellStyle name="40% - Accent6 7 5 2" xfId="5183" xr:uid="{00000000-0005-0000-0000-000024530000}"/>
    <cellStyle name="40% - Accent6 7 5 2 2" xfId="8774" xr:uid="{00000000-0005-0000-0000-000025530000}"/>
    <cellStyle name="40% - Accent6 7 5 2 2 2" xfId="16745" xr:uid="{00000000-0005-0000-0000-000026530000}"/>
    <cellStyle name="40% - Accent6 7 5 2 2 2 2" xfId="40588" xr:uid="{6D621D88-2F48-4A2A-A951-1FFC3F0192B0}"/>
    <cellStyle name="40% - Accent6 7 5 2 2 3" xfId="24691" xr:uid="{00000000-0005-0000-0000-000027530000}"/>
    <cellStyle name="40% - Accent6 7 5 2 2 3 2" xfId="48524" xr:uid="{D628F54F-2FFC-4A25-A270-8A8083E24884}"/>
    <cellStyle name="40% - Accent6 7 5 2 2 4" xfId="32647" xr:uid="{851E5AE1-84C9-49C2-B7AB-89E2F030F66B}"/>
    <cellStyle name="40% - Accent6 7 5 2 3" xfId="13207" xr:uid="{00000000-0005-0000-0000-000028530000}"/>
    <cellStyle name="40% - Accent6 7 5 2 3 2" xfId="37057" xr:uid="{1FB1060B-7390-483C-BBD0-10AFE6FF7D21}"/>
    <cellStyle name="40% - Accent6 7 5 2 4" xfId="21162" xr:uid="{00000000-0005-0000-0000-000029530000}"/>
    <cellStyle name="40% - Accent6 7 5 2 4 2" xfId="44995" xr:uid="{D251FF5F-2B43-4E2E-8E59-F1200E4D166C}"/>
    <cellStyle name="40% - Accent6 7 5 2 5" xfId="29116" xr:uid="{970677A8-EB4F-4B83-AFC6-2081368BC488}"/>
    <cellStyle name="40% - Accent6 7 5 3" xfId="7015" xr:uid="{00000000-0005-0000-0000-00002A530000}"/>
    <cellStyle name="40% - Accent6 7 5 3 2" xfId="14987" xr:uid="{00000000-0005-0000-0000-00002B530000}"/>
    <cellStyle name="40% - Accent6 7 5 3 2 2" xfId="38830" xr:uid="{9D3F2F2D-61F6-46A2-82A1-A55CC78D2C06}"/>
    <cellStyle name="40% - Accent6 7 5 3 3" xfId="22934" xr:uid="{00000000-0005-0000-0000-00002C530000}"/>
    <cellStyle name="40% - Accent6 7 5 3 3 2" xfId="46767" xr:uid="{DDE1FDE1-5228-4087-B698-3B8DCE37418E}"/>
    <cellStyle name="40% - Accent6 7 5 3 4" xfId="30889" xr:uid="{A038F19C-90D3-4FD5-835B-36783A09F65C}"/>
    <cellStyle name="40% - Accent6 7 5 4" xfId="11451" xr:uid="{00000000-0005-0000-0000-00002D530000}"/>
    <cellStyle name="40% - Accent6 7 5 4 2" xfId="35301" xr:uid="{01792BE7-3261-4BED-B6FB-9BB6A1E9E0F1}"/>
    <cellStyle name="40% - Accent6 7 5 5" xfId="19406" xr:uid="{00000000-0005-0000-0000-00002E530000}"/>
    <cellStyle name="40% - Accent6 7 5 5 2" xfId="43239" xr:uid="{2F8116EF-CEF3-4A8C-8906-A7F61584E896}"/>
    <cellStyle name="40% - Accent6 7 5 6" xfId="27359" xr:uid="{FCCA90E8-A854-42BF-9E40-53A5601B96C5}"/>
    <cellStyle name="40% - Accent6 7 5_Exh G" xfId="3408" xr:uid="{00000000-0005-0000-0000-00002F530000}"/>
    <cellStyle name="40% - Accent6 7 6" xfId="4304" xr:uid="{00000000-0005-0000-0000-000030530000}"/>
    <cellStyle name="40% - Accent6 7 6 2" xfId="7896" xr:uid="{00000000-0005-0000-0000-000031530000}"/>
    <cellStyle name="40% - Accent6 7 6 2 2" xfId="15867" xr:uid="{00000000-0005-0000-0000-000032530000}"/>
    <cellStyle name="40% - Accent6 7 6 2 2 2" xfId="39710" xr:uid="{EBD6DE1B-C27B-43A2-8F42-96E66C336F96}"/>
    <cellStyle name="40% - Accent6 7 6 2 3" xfId="23813" xr:uid="{00000000-0005-0000-0000-000033530000}"/>
    <cellStyle name="40% - Accent6 7 6 2 3 2" xfId="47646" xr:uid="{8EC56B5E-DC8D-4BA9-95B1-67F6D9DB6774}"/>
    <cellStyle name="40% - Accent6 7 6 2 4" xfId="31769" xr:uid="{31BDC57F-A42D-49B8-B766-2B0955518AF9}"/>
    <cellStyle name="40% - Accent6 7 6 3" xfId="12329" xr:uid="{00000000-0005-0000-0000-000034530000}"/>
    <cellStyle name="40% - Accent6 7 6 3 2" xfId="36179" xr:uid="{6354A85F-29A2-4C9E-AB7A-BF5EDA78D6DF}"/>
    <cellStyle name="40% - Accent6 7 6 4" xfId="20284" xr:uid="{00000000-0005-0000-0000-000035530000}"/>
    <cellStyle name="40% - Accent6 7 6 4 2" xfId="44117" xr:uid="{BCD5DB45-2963-4D82-85C8-2B21019F4563}"/>
    <cellStyle name="40% - Accent6 7 6 5" xfId="28238" xr:uid="{06E63139-1DBA-4ABF-8790-620AF48D7D46}"/>
    <cellStyle name="40% - Accent6 7 7" xfId="6124" xr:uid="{00000000-0005-0000-0000-000036530000}"/>
    <cellStyle name="40% - Accent6 7 7 2" xfId="14108" xr:uid="{00000000-0005-0000-0000-000037530000}"/>
    <cellStyle name="40% - Accent6 7 7 2 2" xfId="37952" xr:uid="{3B9305E6-83A7-4E39-A7F6-8474B7B72618}"/>
    <cellStyle name="40% - Accent6 7 7 3" xfId="22056" xr:uid="{00000000-0005-0000-0000-000038530000}"/>
    <cellStyle name="40% - Accent6 7 7 3 2" xfId="45889" xr:uid="{A12C89CB-1B54-4644-B49B-552A18A8941B}"/>
    <cellStyle name="40% - Accent6 7 7 4" xfId="30011" xr:uid="{E27BF25C-FAC1-4277-AC03-FD3B70F58373}"/>
    <cellStyle name="40% - Accent6 7 8" xfId="9677" xr:uid="{00000000-0005-0000-0000-000039530000}"/>
    <cellStyle name="40% - Accent6 7 8 2" xfId="17635" xr:uid="{00000000-0005-0000-0000-00003A530000}"/>
    <cellStyle name="40% - Accent6 7 8 2 2" xfId="41476" xr:uid="{0F41E8D6-297E-4FBC-A191-0BAFF058B125}"/>
    <cellStyle name="40% - Accent6 7 8 3" xfId="25579" xr:uid="{00000000-0005-0000-0000-00003B530000}"/>
    <cellStyle name="40% - Accent6 7 8 3 2" xfId="49412" xr:uid="{B4634153-DECE-4036-889F-B802E4156BC4}"/>
    <cellStyle name="40% - Accent6 7 8 4" xfId="33535" xr:uid="{3FAF89EC-02B0-4623-B24A-FDC52BA50A77}"/>
    <cellStyle name="40% - Accent6 7 9" xfId="10573" xr:uid="{00000000-0005-0000-0000-00003C530000}"/>
    <cellStyle name="40% - Accent6 7 9 2" xfId="34423" xr:uid="{237FA92A-6452-446C-A6DC-224D5A74104A}"/>
    <cellStyle name="40% - Accent6 7_Exh G" xfId="3399" xr:uid="{00000000-0005-0000-0000-00003D530000}"/>
    <cellStyle name="40% - Accent6 8" xfId="629" xr:uid="{00000000-0005-0000-0000-00003E530000}"/>
    <cellStyle name="40% - Accent6 8 10" xfId="18532" xr:uid="{00000000-0005-0000-0000-00003F530000}"/>
    <cellStyle name="40% - Accent6 8 10 2" xfId="42365" xr:uid="{091449C7-0F0C-4E83-88B7-A52C47D957E7}"/>
    <cellStyle name="40% - Accent6 8 11" xfId="26485" xr:uid="{886BE811-F256-4988-8DE3-263E776DE2DE}"/>
    <cellStyle name="40% - Accent6 8 2" xfId="630" xr:uid="{00000000-0005-0000-0000-000040530000}"/>
    <cellStyle name="40% - Accent6 8 2 2" xfId="631" xr:uid="{00000000-0005-0000-0000-000041530000}"/>
    <cellStyle name="40% - Accent6 8 2 2 2" xfId="1659" xr:uid="{00000000-0005-0000-0000-000042530000}"/>
    <cellStyle name="40% - Accent6 8 2 2 2 2" xfId="5189" xr:uid="{00000000-0005-0000-0000-000043530000}"/>
    <cellStyle name="40% - Accent6 8 2 2 2 2 2" xfId="8780" xr:uid="{00000000-0005-0000-0000-000044530000}"/>
    <cellStyle name="40% - Accent6 8 2 2 2 2 2 2" xfId="16751" xr:uid="{00000000-0005-0000-0000-000045530000}"/>
    <cellStyle name="40% - Accent6 8 2 2 2 2 2 2 2" xfId="40594" xr:uid="{F312D4EC-A88E-4AAA-8EAE-5ACAC2F2BD43}"/>
    <cellStyle name="40% - Accent6 8 2 2 2 2 2 3" xfId="24697" xr:uid="{00000000-0005-0000-0000-000046530000}"/>
    <cellStyle name="40% - Accent6 8 2 2 2 2 2 3 2" xfId="48530" xr:uid="{C9501EA4-450C-4A49-A62C-6A4E9BD7E82A}"/>
    <cellStyle name="40% - Accent6 8 2 2 2 2 2 4" xfId="32653" xr:uid="{AFDA603C-D15B-4851-B619-CAAA1D0323FA}"/>
    <cellStyle name="40% - Accent6 8 2 2 2 2 3" xfId="13213" xr:uid="{00000000-0005-0000-0000-000047530000}"/>
    <cellStyle name="40% - Accent6 8 2 2 2 2 3 2" xfId="37063" xr:uid="{C5B9D1FC-8E19-4EDF-9700-0949109DEB97}"/>
    <cellStyle name="40% - Accent6 8 2 2 2 2 4" xfId="21168" xr:uid="{00000000-0005-0000-0000-000048530000}"/>
    <cellStyle name="40% - Accent6 8 2 2 2 2 4 2" xfId="45001" xr:uid="{8613F7AC-409D-4C09-9303-187803634667}"/>
    <cellStyle name="40% - Accent6 8 2 2 2 2 5" xfId="29122" xr:uid="{E905B5A9-3A3F-436B-A836-33638ACD39A6}"/>
    <cellStyle name="40% - Accent6 8 2 2 2 3" xfId="7021" xr:uid="{00000000-0005-0000-0000-000049530000}"/>
    <cellStyle name="40% - Accent6 8 2 2 2 3 2" xfId="14993" xr:uid="{00000000-0005-0000-0000-00004A530000}"/>
    <cellStyle name="40% - Accent6 8 2 2 2 3 2 2" xfId="38836" xr:uid="{DA4A02B4-6A1B-4F92-A14E-1F152DD5402C}"/>
    <cellStyle name="40% - Accent6 8 2 2 2 3 3" xfId="22940" xr:uid="{00000000-0005-0000-0000-00004B530000}"/>
    <cellStyle name="40% - Accent6 8 2 2 2 3 3 2" xfId="46773" xr:uid="{7C9076EC-1B41-4DC0-B5E5-D5E51AA55B17}"/>
    <cellStyle name="40% - Accent6 8 2 2 2 3 4" xfId="30895" xr:uid="{6A100320-77B3-4946-A22B-C271DDB35707}"/>
    <cellStyle name="40% - Accent6 8 2 2 2 4" xfId="11457" xr:uid="{00000000-0005-0000-0000-00004C530000}"/>
    <cellStyle name="40% - Accent6 8 2 2 2 4 2" xfId="35307" xr:uid="{2CD02E3A-8E93-4C85-8693-1301248F5534}"/>
    <cellStyle name="40% - Accent6 8 2 2 2 5" xfId="19412" xr:uid="{00000000-0005-0000-0000-00004D530000}"/>
    <cellStyle name="40% - Accent6 8 2 2 2 5 2" xfId="43245" xr:uid="{E8E0F6E1-00B6-4C15-964C-80D99E6ADC44}"/>
    <cellStyle name="40% - Accent6 8 2 2 2 6" xfId="27365" xr:uid="{7DD78881-9E80-4FA7-878C-064993220DE8}"/>
    <cellStyle name="40% - Accent6 8 2 2 2_Exh G" xfId="3412" xr:uid="{00000000-0005-0000-0000-00004E530000}"/>
    <cellStyle name="40% - Accent6 8 2 2 3" xfId="4310" xr:uid="{00000000-0005-0000-0000-00004F530000}"/>
    <cellStyle name="40% - Accent6 8 2 2 3 2" xfId="7902" xr:uid="{00000000-0005-0000-0000-000050530000}"/>
    <cellStyle name="40% - Accent6 8 2 2 3 2 2" xfId="15873" xr:uid="{00000000-0005-0000-0000-000051530000}"/>
    <cellStyle name="40% - Accent6 8 2 2 3 2 2 2" xfId="39716" xr:uid="{650F9D69-AE87-4ABE-B341-AE6F9F72E13B}"/>
    <cellStyle name="40% - Accent6 8 2 2 3 2 3" xfId="23819" xr:uid="{00000000-0005-0000-0000-000052530000}"/>
    <cellStyle name="40% - Accent6 8 2 2 3 2 3 2" xfId="47652" xr:uid="{8DA3723B-60B9-41E2-85D8-92903CCFD935}"/>
    <cellStyle name="40% - Accent6 8 2 2 3 2 4" xfId="31775" xr:uid="{7A111855-83BB-4204-8AE9-A269586DC4AE}"/>
    <cellStyle name="40% - Accent6 8 2 2 3 3" xfId="12335" xr:uid="{00000000-0005-0000-0000-000053530000}"/>
    <cellStyle name="40% - Accent6 8 2 2 3 3 2" xfId="36185" xr:uid="{C87E2A0B-88F2-4F7B-84BE-799F87D3196A}"/>
    <cellStyle name="40% - Accent6 8 2 2 3 4" xfId="20290" xr:uid="{00000000-0005-0000-0000-000054530000}"/>
    <cellStyle name="40% - Accent6 8 2 2 3 4 2" xfId="44123" xr:uid="{B29F3BFD-5B54-48B2-B3CB-74F71B4E359A}"/>
    <cellStyle name="40% - Accent6 8 2 2 3 5" xfId="28244" xr:uid="{1A0DBC36-24D9-4F56-A73E-B8523B377EA7}"/>
    <cellStyle name="40% - Accent6 8 2 2 4" xfId="6130" xr:uid="{00000000-0005-0000-0000-000055530000}"/>
    <cellStyle name="40% - Accent6 8 2 2 4 2" xfId="14114" xr:uid="{00000000-0005-0000-0000-000056530000}"/>
    <cellStyle name="40% - Accent6 8 2 2 4 2 2" xfId="37958" xr:uid="{B9CF8A29-87C0-46FC-905F-698B0EDE0383}"/>
    <cellStyle name="40% - Accent6 8 2 2 4 3" xfId="22062" xr:uid="{00000000-0005-0000-0000-000057530000}"/>
    <cellStyle name="40% - Accent6 8 2 2 4 3 2" xfId="45895" xr:uid="{0DDC1775-5A29-404C-BC9A-E7B5012B097A}"/>
    <cellStyle name="40% - Accent6 8 2 2 4 4" xfId="30017" xr:uid="{20817223-2A50-425C-AD55-15DE448FEC3C}"/>
    <cellStyle name="40% - Accent6 8 2 2 5" xfId="9683" xr:uid="{00000000-0005-0000-0000-000058530000}"/>
    <cellStyle name="40% - Accent6 8 2 2 5 2" xfId="17641" xr:uid="{00000000-0005-0000-0000-000059530000}"/>
    <cellStyle name="40% - Accent6 8 2 2 5 2 2" xfId="41482" xr:uid="{5CE3D41C-A514-4653-9580-CE84323DCED8}"/>
    <cellStyle name="40% - Accent6 8 2 2 5 3" xfId="25585" xr:uid="{00000000-0005-0000-0000-00005A530000}"/>
    <cellStyle name="40% - Accent6 8 2 2 5 3 2" xfId="49418" xr:uid="{59DE80DC-C785-4DEC-9613-5ED243DC56D1}"/>
    <cellStyle name="40% - Accent6 8 2 2 5 4" xfId="33541" xr:uid="{E1052FA5-A8E8-47A8-BDD8-A2DD125F5CF4}"/>
    <cellStyle name="40% - Accent6 8 2 2 6" xfId="10579" xr:uid="{00000000-0005-0000-0000-00005B530000}"/>
    <cellStyle name="40% - Accent6 8 2 2 6 2" xfId="34429" xr:uid="{E0773725-5AA2-46DC-88BE-D1312DA5DB58}"/>
    <cellStyle name="40% - Accent6 8 2 2 7" xfId="18534" xr:uid="{00000000-0005-0000-0000-00005C530000}"/>
    <cellStyle name="40% - Accent6 8 2 2 7 2" xfId="42367" xr:uid="{24200212-A585-4A0A-BE88-5A43A4ADE65B}"/>
    <cellStyle name="40% - Accent6 8 2 2 8" xfId="26487" xr:uid="{795755D9-60A5-4079-BBA5-B2FB3B46DA27}"/>
    <cellStyle name="40% - Accent6 8 2 2_Exh G" xfId="3411" xr:uid="{00000000-0005-0000-0000-00005D530000}"/>
    <cellStyle name="40% - Accent6 8 2 3" xfId="1658" xr:uid="{00000000-0005-0000-0000-00005E530000}"/>
    <cellStyle name="40% - Accent6 8 2 3 2" xfId="5188" xr:uid="{00000000-0005-0000-0000-00005F530000}"/>
    <cellStyle name="40% - Accent6 8 2 3 2 2" xfId="8779" xr:uid="{00000000-0005-0000-0000-000060530000}"/>
    <cellStyle name="40% - Accent6 8 2 3 2 2 2" xfId="16750" xr:uid="{00000000-0005-0000-0000-000061530000}"/>
    <cellStyle name="40% - Accent6 8 2 3 2 2 2 2" xfId="40593" xr:uid="{EFF57F98-4380-4A57-9BED-E7708563559B}"/>
    <cellStyle name="40% - Accent6 8 2 3 2 2 3" xfId="24696" xr:uid="{00000000-0005-0000-0000-000062530000}"/>
    <cellStyle name="40% - Accent6 8 2 3 2 2 3 2" xfId="48529" xr:uid="{C999205F-5015-407F-98B2-1897F052205C}"/>
    <cellStyle name="40% - Accent6 8 2 3 2 2 4" xfId="32652" xr:uid="{4B1C0A0C-580F-4B71-A0A6-383D14D85B33}"/>
    <cellStyle name="40% - Accent6 8 2 3 2 3" xfId="13212" xr:uid="{00000000-0005-0000-0000-000063530000}"/>
    <cellStyle name="40% - Accent6 8 2 3 2 3 2" xfId="37062" xr:uid="{D378BF39-052D-455A-8942-0F07F9DC92F8}"/>
    <cellStyle name="40% - Accent6 8 2 3 2 4" xfId="21167" xr:uid="{00000000-0005-0000-0000-000064530000}"/>
    <cellStyle name="40% - Accent6 8 2 3 2 4 2" xfId="45000" xr:uid="{4E7D3B1F-D552-4F6E-9619-3A5A4D78CBA5}"/>
    <cellStyle name="40% - Accent6 8 2 3 2 5" xfId="29121" xr:uid="{4B846FB9-4D6F-4982-8F0E-42CEC0DBF828}"/>
    <cellStyle name="40% - Accent6 8 2 3 3" xfId="7020" xr:uid="{00000000-0005-0000-0000-000065530000}"/>
    <cellStyle name="40% - Accent6 8 2 3 3 2" xfId="14992" xr:uid="{00000000-0005-0000-0000-000066530000}"/>
    <cellStyle name="40% - Accent6 8 2 3 3 2 2" xfId="38835" xr:uid="{8018BCAE-E042-4301-A049-407E3A9375D1}"/>
    <cellStyle name="40% - Accent6 8 2 3 3 3" xfId="22939" xr:uid="{00000000-0005-0000-0000-000067530000}"/>
    <cellStyle name="40% - Accent6 8 2 3 3 3 2" xfId="46772" xr:uid="{507FB522-273C-4BA7-9504-42DADCE40EC1}"/>
    <cellStyle name="40% - Accent6 8 2 3 3 4" xfId="30894" xr:uid="{20FF835D-9300-4D65-95DD-76E621A59CB0}"/>
    <cellStyle name="40% - Accent6 8 2 3 4" xfId="11456" xr:uid="{00000000-0005-0000-0000-000068530000}"/>
    <cellStyle name="40% - Accent6 8 2 3 4 2" xfId="35306" xr:uid="{2ED505B1-4A81-44F4-B7E3-F0A4AB926518}"/>
    <cellStyle name="40% - Accent6 8 2 3 5" xfId="19411" xr:uid="{00000000-0005-0000-0000-000069530000}"/>
    <cellStyle name="40% - Accent6 8 2 3 5 2" xfId="43244" xr:uid="{6D86ABE0-D19B-4699-91ED-13E757F71F1C}"/>
    <cellStyle name="40% - Accent6 8 2 3 6" xfId="27364" xr:uid="{ACD0771B-A8E9-4C25-A366-445116E9E496}"/>
    <cellStyle name="40% - Accent6 8 2 3_Exh G" xfId="3413" xr:uid="{00000000-0005-0000-0000-00006A530000}"/>
    <cellStyle name="40% - Accent6 8 2 4" xfId="4309" xr:uid="{00000000-0005-0000-0000-00006B530000}"/>
    <cellStyle name="40% - Accent6 8 2 4 2" xfId="7901" xr:uid="{00000000-0005-0000-0000-00006C530000}"/>
    <cellStyle name="40% - Accent6 8 2 4 2 2" xfId="15872" xr:uid="{00000000-0005-0000-0000-00006D530000}"/>
    <cellStyle name="40% - Accent6 8 2 4 2 2 2" xfId="39715" xr:uid="{1229996E-10C1-4648-A1A6-6757EB925336}"/>
    <cellStyle name="40% - Accent6 8 2 4 2 3" xfId="23818" xr:uid="{00000000-0005-0000-0000-00006E530000}"/>
    <cellStyle name="40% - Accent6 8 2 4 2 3 2" xfId="47651" xr:uid="{FF2E7091-99FA-40A8-B4B5-80F6158B2EDC}"/>
    <cellStyle name="40% - Accent6 8 2 4 2 4" xfId="31774" xr:uid="{FD09CE3C-30EA-41F9-984B-63062118771E}"/>
    <cellStyle name="40% - Accent6 8 2 4 3" xfId="12334" xr:uid="{00000000-0005-0000-0000-00006F530000}"/>
    <cellStyle name="40% - Accent6 8 2 4 3 2" xfId="36184" xr:uid="{C09AE707-3547-4D09-87BA-B7209D5D2ABF}"/>
    <cellStyle name="40% - Accent6 8 2 4 4" xfId="20289" xr:uid="{00000000-0005-0000-0000-000070530000}"/>
    <cellStyle name="40% - Accent6 8 2 4 4 2" xfId="44122" xr:uid="{07465E25-D42D-452C-BCCC-03430142D5F9}"/>
    <cellStyle name="40% - Accent6 8 2 4 5" xfId="28243" xr:uid="{4F698F21-E2E7-4BB1-9AFD-3D9104CED768}"/>
    <cellStyle name="40% - Accent6 8 2 5" xfId="6129" xr:uid="{00000000-0005-0000-0000-000071530000}"/>
    <cellStyle name="40% - Accent6 8 2 5 2" xfId="14113" xr:uid="{00000000-0005-0000-0000-000072530000}"/>
    <cellStyle name="40% - Accent6 8 2 5 2 2" xfId="37957" xr:uid="{41099B4A-97DE-4777-A6C5-F05192259C63}"/>
    <cellStyle name="40% - Accent6 8 2 5 3" xfId="22061" xr:uid="{00000000-0005-0000-0000-000073530000}"/>
    <cellStyle name="40% - Accent6 8 2 5 3 2" xfId="45894" xr:uid="{C8FA4A17-F304-4FBF-A006-27FC42F78391}"/>
    <cellStyle name="40% - Accent6 8 2 5 4" xfId="30016" xr:uid="{D68076E6-1C9F-4ED7-8C40-772094C34114}"/>
    <cellStyle name="40% - Accent6 8 2 6" xfId="9682" xr:uid="{00000000-0005-0000-0000-000074530000}"/>
    <cellStyle name="40% - Accent6 8 2 6 2" xfId="17640" xr:uid="{00000000-0005-0000-0000-000075530000}"/>
    <cellStyle name="40% - Accent6 8 2 6 2 2" xfId="41481" xr:uid="{4FC7CF2B-0159-44B6-963F-E71EB4542939}"/>
    <cellStyle name="40% - Accent6 8 2 6 3" xfId="25584" xr:uid="{00000000-0005-0000-0000-000076530000}"/>
    <cellStyle name="40% - Accent6 8 2 6 3 2" xfId="49417" xr:uid="{3BBED040-811F-4185-A118-A3A69A326F36}"/>
    <cellStyle name="40% - Accent6 8 2 6 4" xfId="33540" xr:uid="{0B33392D-D9E1-42F5-BCD5-BE33C152A435}"/>
    <cellStyle name="40% - Accent6 8 2 7" xfId="10578" xr:uid="{00000000-0005-0000-0000-000077530000}"/>
    <cellStyle name="40% - Accent6 8 2 7 2" xfId="34428" xr:uid="{DEF65C53-C226-47AF-ABD8-5EB52785FF62}"/>
    <cellStyle name="40% - Accent6 8 2 8" xfId="18533" xr:uid="{00000000-0005-0000-0000-000078530000}"/>
    <cellStyle name="40% - Accent6 8 2 8 2" xfId="42366" xr:uid="{9429A578-6164-411C-B43F-0ED317E4D27A}"/>
    <cellStyle name="40% - Accent6 8 2 9" xfId="26486" xr:uid="{EAB2596E-99EC-4702-A8F5-59282F1DFB8A}"/>
    <cellStyle name="40% - Accent6 8 2_Exh G" xfId="3410" xr:uid="{00000000-0005-0000-0000-000079530000}"/>
    <cellStyle name="40% - Accent6 8 3" xfId="632" xr:uid="{00000000-0005-0000-0000-00007A530000}"/>
    <cellStyle name="40% - Accent6 8 3 2" xfId="1660" xr:uid="{00000000-0005-0000-0000-00007B530000}"/>
    <cellStyle name="40% - Accent6 8 3 2 2" xfId="5190" xr:uid="{00000000-0005-0000-0000-00007C530000}"/>
    <cellStyle name="40% - Accent6 8 3 2 2 2" xfId="8781" xr:uid="{00000000-0005-0000-0000-00007D530000}"/>
    <cellStyle name="40% - Accent6 8 3 2 2 2 2" xfId="16752" xr:uid="{00000000-0005-0000-0000-00007E530000}"/>
    <cellStyle name="40% - Accent6 8 3 2 2 2 2 2" xfId="40595" xr:uid="{E99032C9-3433-4B68-9EF1-86315B8882B0}"/>
    <cellStyle name="40% - Accent6 8 3 2 2 2 3" xfId="24698" xr:uid="{00000000-0005-0000-0000-00007F530000}"/>
    <cellStyle name="40% - Accent6 8 3 2 2 2 3 2" xfId="48531" xr:uid="{F5B93F02-D2DF-42D8-A470-D662CAEEC097}"/>
    <cellStyle name="40% - Accent6 8 3 2 2 2 4" xfId="32654" xr:uid="{69143113-C345-4E7C-B6B4-B17EFFC1990B}"/>
    <cellStyle name="40% - Accent6 8 3 2 2 3" xfId="13214" xr:uid="{00000000-0005-0000-0000-000080530000}"/>
    <cellStyle name="40% - Accent6 8 3 2 2 3 2" xfId="37064" xr:uid="{3198FF04-80A2-44A8-AF04-3C613B0498F0}"/>
    <cellStyle name="40% - Accent6 8 3 2 2 4" xfId="21169" xr:uid="{00000000-0005-0000-0000-000081530000}"/>
    <cellStyle name="40% - Accent6 8 3 2 2 4 2" xfId="45002" xr:uid="{F5FC1FCE-1718-415D-8D27-A0B4A7CDFF69}"/>
    <cellStyle name="40% - Accent6 8 3 2 2 5" xfId="29123" xr:uid="{8075EBF2-3372-4779-B3E6-2111DEAB9BB7}"/>
    <cellStyle name="40% - Accent6 8 3 2 3" xfId="7022" xr:uid="{00000000-0005-0000-0000-000082530000}"/>
    <cellStyle name="40% - Accent6 8 3 2 3 2" xfId="14994" xr:uid="{00000000-0005-0000-0000-000083530000}"/>
    <cellStyle name="40% - Accent6 8 3 2 3 2 2" xfId="38837" xr:uid="{342505E9-C378-4549-BC70-40446B77C5AF}"/>
    <cellStyle name="40% - Accent6 8 3 2 3 3" xfId="22941" xr:uid="{00000000-0005-0000-0000-000084530000}"/>
    <cellStyle name="40% - Accent6 8 3 2 3 3 2" xfId="46774" xr:uid="{ADCDCC0F-E5A9-4C98-82B4-5A3D62C33313}"/>
    <cellStyle name="40% - Accent6 8 3 2 3 4" xfId="30896" xr:uid="{E60B2D23-1A14-436A-AE13-607A646E7D1C}"/>
    <cellStyle name="40% - Accent6 8 3 2 4" xfId="11458" xr:uid="{00000000-0005-0000-0000-000085530000}"/>
    <cellStyle name="40% - Accent6 8 3 2 4 2" xfId="35308" xr:uid="{F24DA323-7A80-433F-8B2F-D9FB582923C7}"/>
    <cellStyle name="40% - Accent6 8 3 2 5" xfId="19413" xr:uid="{00000000-0005-0000-0000-000086530000}"/>
    <cellStyle name="40% - Accent6 8 3 2 5 2" xfId="43246" xr:uid="{BE73F528-7E21-4629-9BAF-3C141C06D6BF}"/>
    <cellStyle name="40% - Accent6 8 3 2 6" xfId="27366" xr:uid="{B1361897-2732-46C5-A63D-1A4B9ED704C7}"/>
    <cellStyle name="40% - Accent6 8 3 2_Exh G" xfId="3415" xr:uid="{00000000-0005-0000-0000-000087530000}"/>
    <cellStyle name="40% - Accent6 8 3 3" xfId="4311" xr:uid="{00000000-0005-0000-0000-000088530000}"/>
    <cellStyle name="40% - Accent6 8 3 3 2" xfId="7903" xr:uid="{00000000-0005-0000-0000-000089530000}"/>
    <cellStyle name="40% - Accent6 8 3 3 2 2" xfId="15874" xr:uid="{00000000-0005-0000-0000-00008A530000}"/>
    <cellStyle name="40% - Accent6 8 3 3 2 2 2" xfId="39717" xr:uid="{6DC60885-0BC0-44F7-80DE-0258CF34E00F}"/>
    <cellStyle name="40% - Accent6 8 3 3 2 3" xfId="23820" xr:uid="{00000000-0005-0000-0000-00008B530000}"/>
    <cellStyle name="40% - Accent6 8 3 3 2 3 2" xfId="47653" xr:uid="{6A22A789-925F-45E9-936F-444994FF2650}"/>
    <cellStyle name="40% - Accent6 8 3 3 2 4" xfId="31776" xr:uid="{0964F6B1-C799-4FC2-8465-3D1C933C3672}"/>
    <cellStyle name="40% - Accent6 8 3 3 3" xfId="12336" xr:uid="{00000000-0005-0000-0000-00008C530000}"/>
    <cellStyle name="40% - Accent6 8 3 3 3 2" xfId="36186" xr:uid="{46B4D6B8-AD07-4AEF-A23F-03EDEE124550}"/>
    <cellStyle name="40% - Accent6 8 3 3 4" xfId="20291" xr:uid="{00000000-0005-0000-0000-00008D530000}"/>
    <cellStyle name="40% - Accent6 8 3 3 4 2" xfId="44124" xr:uid="{6ED40FE3-1F31-4953-8977-823C1AC09A0A}"/>
    <cellStyle name="40% - Accent6 8 3 3 5" xfId="28245" xr:uid="{C03CBA47-8228-406E-AFAB-28CA955B64F1}"/>
    <cellStyle name="40% - Accent6 8 3 4" xfId="6131" xr:uid="{00000000-0005-0000-0000-00008E530000}"/>
    <cellStyle name="40% - Accent6 8 3 4 2" xfId="14115" xr:uid="{00000000-0005-0000-0000-00008F530000}"/>
    <cellStyle name="40% - Accent6 8 3 4 2 2" xfId="37959" xr:uid="{455E0D02-AA46-460E-835B-613DFDD5DF1D}"/>
    <cellStyle name="40% - Accent6 8 3 4 3" xfId="22063" xr:uid="{00000000-0005-0000-0000-000090530000}"/>
    <cellStyle name="40% - Accent6 8 3 4 3 2" xfId="45896" xr:uid="{6989C29E-42D5-48C7-8D16-3CCD4E1387DA}"/>
    <cellStyle name="40% - Accent6 8 3 4 4" xfId="30018" xr:uid="{D1B1B797-B9B7-41C0-B0A5-A82A6DB1F3F6}"/>
    <cellStyle name="40% - Accent6 8 3 5" xfId="9684" xr:uid="{00000000-0005-0000-0000-000091530000}"/>
    <cellStyle name="40% - Accent6 8 3 5 2" xfId="17642" xr:uid="{00000000-0005-0000-0000-000092530000}"/>
    <cellStyle name="40% - Accent6 8 3 5 2 2" xfId="41483" xr:uid="{5C015A74-9870-425C-AEF5-DD0901D073D2}"/>
    <cellStyle name="40% - Accent6 8 3 5 3" xfId="25586" xr:uid="{00000000-0005-0000-0000-000093530000}"/>
    <cellStyle name="40% - Accent6 8 3 5 3 2" xfId="49419" xr:uid="{D7451EDE-B5AC-4AC4-B238-D3D017A58A98}"/>
    <cellStyle name="40% - Accent6 8 3 5 4" xfId="33542" xr:uid="{D529ED2B-D18A-4BCD-A6FA-493249FE158D}"/>
    <cellStyle name="40% - Accent6 8 3 6" xfId="10580" xr:uid="{00000000-0005-0000-0000-000094530000}"/>
    <cellStyle name="40% - Accent6 8 3 6 2" xfId="34430" xr:uid="{CBA9A93E-3D55-4927-BD81-009C4F3491B7}"/>
    <cellStyle name="40% - Accent6 8 3 7" xfId="18535" xr:uid="{00000000-0005-0000-0000-000095530000}"/>
    <cellStyle name="40% - Accent6 8 3 7 2" xfId="42368" xr:uid="{2E181C0F-D60F-429D-A576-0B936D1F9497}"/>
    <cellStyle name="40% - Accent6 8 3 8" xfId="26488" xr:uid="{A11C952D-A951-486B-91F2-7BE59B84C296}"/>
    <cellStyle name="40% - Accent6 8 3_Exh G" xfId="3414" xr:uid="{00000000-0005-0000-0000-000096530000}"/>
    <cellStyle name="40% - Accent6 8 4" xfId="1004" xr:uid="{00000000-0005-0000-0000-000097530000}"/>
    <cellStyle name="40% - Accent6 8 4 2" xfId="1917" xr:uid="{00000000-0005-0000-0000-000098530000}"/>
    <cellStyle name="40% - Accent6 8 4 2 2" xfId="5435" xr:uid="{00000000-0005-0000-0000-000099530000}"/>
    <cellStyle name="40% - Accent6 8 4 2 2 2" xfId="9026" xr:uid="{00000000-0005-0000-0000-00009A530000}"/>
    <cellStyle name="40% - Accent6 8 4 2 2 2 2" xfId="16997" xr:uid="{00000000-0005-0000-0000-00009B530000}"/>
    <cellStyle name="40% - Accent6 8 4 2 2 2 2 2" xfId="40840" xr:uid="{665E97BB-A197-4713-A314-B338B4052BEE}"/>
    <cellStyle name="40% - Accent6 8 4 2 2 2 3" xfId="24943" xr:uid="{00000000-0005-0000-0000-00009C530000}"/>
    <cellStyle name="40% - Accent6 8 4 2 2 2 3 2" xfId="48776" xr:uid="{431E24AA-15B3-462D-8958-361F7296C969}"/>
    <cellStyle name="40% - Accent6 8 4 2 2 2 4" xfId="32899" xr:uid="{907D6CF7-5477-46BB-B917-5B97ECEF454A}"/>
    <cellStyle name="40% - Accent6 8 4 2 2 3" xfId="13459" xr:uid="{00000000-0005-0000-0000-00009D530000}"/>
    <cellStyle name="40% - Accent6 8 4 2 2 3 2" xfId="37309" xr:uid="{DFAB198C-FC8D-4504-91EA-D5B8EA131BB2}"/>
    <cellStyle name="40% - Accent6 8 4 2 2 4" xfId="21414" xr:uid="{00000000-0005-0000-0000-00009E530000}"/>
    <cellStyle name="40% - Accent6 8 4 2 2 4 2" xfId="45247" xr:uid="{62FA47BF-BC18-4951-B409-8113D9D4D338}"/>
    <cellStyle name="40% - Accent6 8 4 2 2 5" xfId="29368" xr:uid="{9A1E7B90-64E6-444A-BA4A-F192C68A93B9}"/>
    <cellStyle name="40% - Accent6 8 4 2 3" xfId="7267" xr:uid="{00000000-0005-0000-0000-00009F530000}"/>
    <cellStyle name="40% - Accent6 8 4 2 3 2" xfId="15239" xr:uid="{00000000-0005-0000-0000-0000A0530000}"/>
    <cellStyle name="40% - Accent6 8 4 2 3 2 2" xfId="39082" xr:uid="{58B82B55-961C-433A-AD58-DCF1E0F04933}"/>
    <cellStyle name="40% - Accent6 8 4 2 3 3" xfId="23186" xr:uid="{00000000-0005-0000-0000-0000A1530000}"/>
    <cellStyle name="40% - Accent6 8 4 2 3 3 2" xfId="47019" xr:uid="{A0CFABC1-11C6-4D9D-98B6-8A26698D6867}"/>
    <cellStyle name="40% - Accent6 8 4 2 3 4" xfId="31141" xr:uid="{2194888E-9B4B-4CCD-9412-411876D0C7BE}"/>
    <cellStyle name="40% - Accent6 8 4 2 4" xfId="11703" xr:uid="{00000000-0005-0000-0000-0000A2530000}"/>
    <cellStyle name="40% - Accent6 8 4 2 4 2" xfId="35553" xr:uid="{2FADA401-D463-4E69-820A-1BBE6CF4FCC7}"/>
    <cellStyle name="40% - Accent6 8 4 2 5" xfId="19658" xr:uid="{00000000-0005-0000-0000-0000A3530000}"/>
    <cellStyle name="40% - Accent6 8 4 2 5 2" xfId="43491" xr:uid="{25973D6B-5C74-4CD1-BD8A-092D3181344C}"/>
    <cellStyle name="40% - Accent6 8 4 2 6" xfId="27611" xr:uid="{AC9EF199-451B-40EC-8125-5F0738AFFA19}"/>
    <cellStyle name="40% - Accent6 8 4 2_Exh G" xfId="3417" xr:uid="{00000000-0005-0000-0000-0000A4530000}"/>
    <cellStyle name="40% - Accent6 8 4 3" xfId="4556" xr:uid="{00000000-0005-0000-0000-0000A5530000}"/>
    <cellStyle name="40% - Accent6 8 4 3 2" xfId="8148" xr:uid="{00000000-0005-0000-0000-0000A6530000}"/>
    <cellStyle name="40% - Accent6 8 4 3 2 2" xfId="16119" xr:uid="{00000000-0005-0000-0000-0000A7530000}"/>
    <cellStyle name="40% - Accent6 8 4 3 2 2 2" xfId="39962" xr:uid="{9084BE5B-65CA-4CCC-A771-963FA27F100D}"/>
    <cellStyle name="40% - Accent6 8 4 3 2 3" xfId="24065" xr:uid="{00000000-0005-0000-0000-0000A8530000}"/>
    <cellStyle name="40% - Accent6 8 4 3 2 3 2" xfId="47898" xr:uid="{BE8790AA-2F1D-4805-ACA1-2E59F08C3D81}"/>
    <cellStyle name="40% - Accent6 8 4 3 2 4" xfId="32021" xr:uid="{0448FDC6-08E7-42D6-8EE4-1BEF609027DA}"/>
    <cellStyle name="40% - Accent6 8 4 3 3" xfId="12581" xr:uid="{00000000-0005-0000-0000-0000A9530000}"/>
    <cellStyle name="40% - Accent6 8 4 3 3 2" xfId="36431" xr:uid="{F87E9831-60E2-4AF9-8DD2-37272C9EE2AB}"/>
    <cellStyle name="40% - Accent6 8 4 3 4" xfId="20536" xr:uid="{00000000-0005-0000-0000-0000AA530000}"/>
    <cellStyle name="40% - Accent6 8 4 3 4 2" xfId="44369" xr:uid="{75751B56-FDFB-4ED1-899E-4A7BEAB2AE65}"/>
    <cellStyle name="40% - Accent6 8 4 3 5" xfId="28490" xr:uid="{F8E88D4F-E35F-41C0-B81F-F759C7D56291}"/>
    <cellStyle name="40% - Accent6 8 4 4" xfId="6386" xr:uid="{00000000-0005-0000-0000-0000AB530000}"/>
    <cellStyle name="40% - Accent6 8 4 4 2" xfId="14361" xr:uid="{00000000-0005-0000-0000-0000AC530000}"/>
    <cellStyle name="40% - Accent6 8 4 4 2 2" xfId="38204" xr:uid="{87790CAB-1A76-408F-A6C8-2584F1DE9E15}"/>
    <cellStyle name="40% - Accent6 8 4 4 3" xfId="22308" xr:uid="{00000000-0005-0000-0000-0000AD530000}"/>
    <cellStyle name="40% - Accent6 8 4 4 3 2" xfId="46141" xr:uid="{CC36D2A2-5BFB-4438-B954-93C0104C0A05}"/>
    <cellStyle name="40% - Accent6 8 4 4 4" xfId="30263" xr:uid="{2002A22D-3FA7-49A4-A501-C7AED9BB2DB9}"/>
    <cellStyle name="40% - Accent6 8 4 5" xfId="9929" xr:uid="{00000000-0005-0000-0000-0000AE530000}"/>
    <cellStyle name="40% - Accent6 8 4 5 2" xfId="17887" xr:uid="{00000000-0005-0000-0000-0000AF530000}"/>
    <cellStyle name="40% - Accent6 8 4 5 2 2" xfId="41728" xr:uid="{1721CC37-16BC-495B-A72B-AADC700ED5C5}"/>
    <cellStyle name="40% - Accent6 8 4 5 3" xfId="25831" xr:uid="{00000000-0005-0000-0000-0000B0530000}"/>
    <cellStyle name="40% - Accent6 8 4 5 3 2" xfId="49664" xr:uid="{7FA0A75B-FCF8-48D9-AF1E-E530E918DFA6}"/>
    <cellStyle name="40% - Accent6 8 4 5 4" xfId="33787" xr:uid="{067EEFCF-D3E2-47F5-BA15-C16C07B02D3E}"/>
    <cellStyle name="40% - Accent6 8 4 6" xfId="10825" xr:uid="{00000000-0005-0000-0000-0000B1530000}"/>
    <cellStyle name="40% - Accent6 8 4 6 2" xfId="34675" xr:uid="{61D9DAE1-6B19-499F-B14B-1AFF3424D2C8}"/>
    <cellStyle name="40% - Accent6 8 4 7" xfId="18780" xr:uid="{00000000-0005-0000-0000-0000B2530000}"/>
    <cellStyle name="40% - Accent6 8 4 7 2" xfId="42613" xr:uid="{0EF0A4A6-BD57-4F73-A9EE-8E80C3A1D3CD}"/>
    <cellStyle name="40% - Accent6 8 4 8" xfId="26733" xr:uid="{2F820DB0-FEC1-40C2-9A22-FF91BA55655E}"/>
    <cellStyle name="40% - Accent6 8 4_Exh G" xfId="3416" xr:uid="{00000000-0005-0000-0000-0000B3530000}"/>
    <cellStyle name="40% - Accent6 8 5" xfId="1657" xr:uid="{00000000-0005-0000-0000-0000B4530000}"/>
    <cellStyle name="40% - Accent6 8 5 2" xfId="5187" xr:uid="{00000000-0005-0000-0000-0000B5530000}"/>
    <cellStyle name="40% - Accent6 8 5 2 2" xfId="8778" xr:uid="{00000000-0005-0000-0000-0000B6530000}"/>
    <cellStyle name="40% - Accent6 8 5 2 2 2" xfId="16749" xr:uid="{00000000-0005-0000-0000-0000B7530000}"/>
    <cellStyle name="40% - Accent6 8 5 2 2 2 2" xfId="40592" xr:uid="{F245D009-9A28-4532-9A5A-E0703FCCD422}"/>
    <cellStyle name="40% - Accent6 8 5 2 2 3" xfId="24695" xr:uid="{00000000-0005-0000-0000-0000B8530000}"/>
    <cellStyle name="40% - Accent6 8 5 2 2 3 2" xfId="48528" xr:uid="{CFC7B5FC-E8BA-4BBB-BCD5-832373231B2D}"/>
    <cellStyle name="40% - Accent6 8 5 2 2 4" xfId="32651" xr:uid="{2B1E70E3-0738-4D21-907F-3D52DCB49E53}"/>
    <cellStyle name="40% - Accent6 8 5 2 3" xfId="13211" xr:uid="{00000000-0005-0000-0000-0000B9530000}"/>
    <cellStyle name="40% - Accent6 8 5 2 3 2" xfId="37061" xr:uid="{17E906D1-C9AA-4187-A705-BE6B3F88641F}"/>
    <cellStyle name="40% - Accent6 8 5 2 4" xfId="21166" xr:uid="{00000000-0005-0000-0000-0000BA530000}"/>
    <cellStyle name="40% - Accent6 8 5 2 4 2" xfId="44999" xr:uid="{F549A411-8DBB-49C2-B314-FD7FC22AA721}"/>
    <cellStyle name="40% - Accent6 8 5 2 5" xfId="29120" xr:uid="{B2ECDF2A-B77D-41B7-A90C-99ABF753653A}"/>
    <cellStyle name="40% - Accent6 8 5 3" xfId="7019" xr:uid="{00000000-0005-0000-0000-0000BB530000}"/>
    <cellStyle name="40% - Accent6 8 5 3 2" xfId="14991" xr:uid="{00000000-0005-0000-0000-0000BC530000}"/>
    <cellStyle name="40% - Accent6 8 5 3 2 2" xfId="38834" xr:uid="{6293DAFE-E083-45AD-8644-89B22B037100}"/>
    <cellStyle name="40% - Accent6 8 5 3 3" xfId="22938" xr:uid="{00000000-0005-0000-0000-0000BD530000}"/>
    <cellStyle name="40% - Accent6 8 5 3 3 2" xfId="46771" xr:uid="{52C6B5FE-8CD2-4C0E-AB20-2E983B458ED0}"/>
    <cellStyle name="40% - Accent6 8 5 3 4" xfId="30893" xr:uid="{BB883871-7E33-49AB-A5C2-737837ABCB77}"/>
    <cellStyle name="40% - Accent6 8 5 4" xfId="11455" xr:uid="{00000000-0005-0000-0000-0000BE530000}"/>
    <cellStyle name="40% - Accent6 8 5 4 2" xfId="35305" xr:uid="{490D3BCA-42A7-4607-9453-6C5631B153AB}"/>
    <cellStyle name="40% - Accent6 8 5 5" xfId="19410" xr:uid="{00000000-0005-0000-0000-0000BF530000}"/>
    <cellStyle name="40% - Accent6 8 5 5 2" xfId="43243" xr:uid="{19B4CF13-D76C-497E-9FA0-E1217822CDAC}"/>
    <cellStyle name="40% - Accent6 8 5 6" xfId="27363" xr:uid="{4899B4A1-91DB-4550-BC70-5023C1808496}"/>
    <cellStyle name="40% - Accent6 8 5_Exh G" xfId="3418" xr:uid="{00000000-0005-0000-0000-0000C0530000}"/>
    <cellStyle name="40% - Accent6 8 6" xfId="4308" xr:uid="{00000000-0005-0000-0000-0000C1530000}"/>
    <cellStyle name="40% - Accent6 8 6 2" xfId="7900" xr:uid="{00000000-0005-0000-0000-0000C2530000}"/>
    <cellStyle name="40% - Accent6 8 6 2 2" xfId="15871" xr:uid="{00000000-0005-0000-0000-0000C3530000}"/>
    <cellStyle name="40% - Accent6 8 6 2 2 2" xfId="39714" xr:uid="{D680F7B4-B1E7-4C0C-BFE0-0CF06733BD37}"/>
    <cellStyle name="40% - Accent6 8 6 2 3" xfId="23817" xr:uid="{00000000-0005-0000-0000-0000C4530000}"/>
    <cellStyle name="40% - Accent6 8 6 2 3 2" xfId="47650" xr:uid="{B480056B-F200-4B96-8597-32F91D782523}"/>
    <cellStyle name="40% - Accent6 8 6 2 4" xfId="31773" xr:uid="{FBBF7714-1A69-4657-862A-124BC04D9117}"/>
    <cellStyle name="40% - Accent6 8 6 3" xfId="12333" xr:uid="{00000000-0005-0000-0000-0000C5530000}"/>
    <cellStyle name="40% - Accent6 8 6 3 2" xfId="36183" xr:uid="{8732DA62-EDF3-489C-9BF7-96F5BA69D327}"/>
    <cellStyle name="40% - Accent6 8 6 4" xfId="20288" xr:uid="{00000000-0005-0000-0000-0000C6530000}"/>
    <cellStyle name="40% - Accent6 8 6 4 2" xfId="44121" xr:uid="{D9A18A03-2DB5-4EA0-ABCF-A5DF9296756F}"/>
    <cellStyle name="40% - Accent6 8 6 5" xfId="28242" xr:uid="{0B279F3B-D1C4-4ECA-BA24-0DA498FB6BE8}"/>
    <cellStyle name="40% - Accent6 8 7" xfId="6128" xr:uid="{00000000-0005-0000-0000-0000C7530000}"/>
    <cellStyle name="40% - Accent6 8 7 2" xfId="14112" xr:uid="{00000000-0005-0000-0000-0000C8530000}"/>
    <cellStyle name="40% - Accent6 8 7 2 2" xfId="37956" xr:uid="{F5D064A2-2C14-4EAB-8696-C1A12E3376BC}"/>
    <cellStyle name="40% - Accent6 8 7 3" xfId="22060" xr:uid="{00000000-0005-0000-0000-0000C9530000}"/>
    <cellStyle name="40% - Accent6 8 7 3 2" xfId="45893" xr:uid="{9223C36E-4273-4198-8AA5-5007E0A94C47}"/>
    <cellStyle name="40% - Accent6 8 7 4" xfId="30015" xr:uid="{BDF1DCF7-A498-49CF-8301-BCE7CABDB31F}"/>
    <cellStyle name="40% - Accent6 8 8" xfId="9681" xr:uid="{00000000-0005-0000-0000-0000CA530000}"/>
    <cellStyle name="40% - Accent6 8 8 2" xfId="17639" xr:uid="{00000000-0005-0000-0000-0000CB530000}"/>
    <cellStyle name="40% - Accent6 8 8 2 2" xfId="41480" xr:uid="{57451979-A5BD-410E-8832-EC2F6292899F}"/>
    <cellStyle name="40% - Accent6 8 8 3" xfId="25583" xr:uid="{00000000-0005-0000-0000-0000CC530000}"/>
    <cellStyle name="40% - Accent6 8 8 3 2" xfId="49416" xr:uid="{DE6EE7EB-4A8F-4E6C-BC94-CC687CB1712E}"/>
    <cellStyle name="40% - Accent6 8 8 4" xfId="33539" xr:uid="{50484575-3F9B-43A9-B9DB-2FDCF4D19A14}"/>
    <cellStyle name="40% - Accent6 8 9" xfId="10577" xr:uid="{00000000-0005-0000-0000-0000CD530000}"/>
    <cellStyle name="40% - Accent6 8 9 2" xfId="34427" xr:uid="{05DB6E8C-9885-4A3D-8C2B-8E8412C28AE5}"/>
    <cellStyle name="40% - Accent6 8_Exh G" xfId="3409" xr:uid="{00000000-0005-0000-0000-0000CE530000}"/>
    <cellStyle name="40% - Accent6 9" xfId="633" xr:uid="{00000000-0005-0000-0000-0000CF530000}"/>
    <cellStyle name="40% - Accent6 9 10" xfId="18536" xr:uid="{00000000-0005-0000-0000-0000D0530000}"/>
    <cellStyle name="40% - Accent6 9 10 2" xfId="42369" xr:uid="{571999CF-F652-4E3F-844E-6E272EA34978}"/>
    <cellStyle name="40% - Accent6 9 11" xfId="26489" xr:uid="{8A1F0043-0970-4D7C-85B0-BC853F79E368}"/>
    <cellStyle name="40% - Accent6 9 2" xfId="634" xr:uid="{00000000-0005-0000-0000-0000D1530000}"/>
    <cellStyle name="40% - Accent6 9 2 2" xfId="635" xr:uid="{00000000-0005-0000-0000-0000D2530000}"/>
    <cellStyle name="40% - Accent6 9 2 2 2" xfId="1663" xr:uid="{00000000-0005-0000-0000-0000D3530000}"/>
    <cellStyle name="40% - Accent6 9 2 2 2 2" xfId="5193" xr:uid="{00000000-0005-0000-0000-0000D4530000}"/>
    <cellStyle name="40% - Accent6 9 2 2 2 2 2" xfId="8784" xr:uid="{00000000-0005-0000-0000-0000D5530000}"/>
    <cellStyle name="40% - Accent6 9 2 2 2 2 2 2" xfId="16755" xr:uid="{00000000-0005-0000-0000-0000D6530000}"/>
    <cellStyle name="40% - Accent6 9 2 2 2 2 2 2 2" xfId="40598" xr:uid="{E1E87349-B95E-40AA-9288-368A83331521}"/>
    <cellStyle name="40% - Accent6 9 2 2 2 2 2 3" xfId="24701" xr:uid="{00000000-0005-0000-0000-0000D7530000}"/>
    <cellStyle name="40% - Accent6 9 2 2 2 2 2 3 2" xfId="48534" xr:uid="{9440CE7E-8E76-469B-9A7C-631EE7A0B3D3}"/>
    <cellStyle name="40% - Accent6 9 2 2 2 2 2 4" xfId="32657" xr:uid="{0E1DABBD-D211-4971-8280-65A808900C44}"/>
    <cellStyle name="40% - Accent6 9 2 2 2 2 3" xfId="13217" xr:uid="{00000000-0005-0000-0000-0000D8530000}"/>
    <cellStyle name="40% - Accent6 9 2 2 2 2 3 2" xfId="37067" xr:uid="{0A2DF928-FEFA-438A-9D53-D4A71B7B2A4F}"/>
    <cellStyle name="40% - Accent6 9 2 2 2 2 4" xfId="21172" xr:uid="{00000000-0005-0000-0000-0000D9530000}"/>
    <cellStyle name="40% - Accent6 9 2 2 2 2 4 2" xfId="45005" xr:uid="{000645C2-2ED3-46A8-B2BD-35E3611F5B06}"/>
    <cellStyle name="40% - Accent6 9 2 2 2 2 5" xfId="29126" xr:uid="{F8CAEEFC-1489-4B2D-B3AE-B4BB7DED7269}"/>
    <cellStyle name="40% - Accent6 9 2 2 2 3" xfId="7025" xr:uid="{00000000-0005-0000-0000-0000DA530000}"/>
    <cellStyle name="40% - Accent6 9 2 2 2 3 2" xfId="14997" xr:uid="{00000000-0005-0000-0000-0000DB530000}"/>
    <cellStyle name="40% - Accent6 9 2 2 2 3 2 2" xfId="38840" xr:uid="{DC084AAD-3881-43A2-92E3-AA2D38BA4514}"/>
    <cellStyle name="40% - Accent6 9 2 2 2 3 3" xfId="22944" xr:uid="{00000000-0005-0000-0000-0000DC530000}"/>
    <cellStyle name="40% - Accent6 9 2 2 2 3 3 2" xfId="46777" xr:uid="{59355269-8F49-4355-B757-03977A4A6729}"/>
    <cellStyle name="40% - Accent6 9 2 2 2 3 4" xfId="30899" xr:uid="{9190E271-BD6E-474C-95F9-B885F9F329C5}"/>
    <cellStyle name="40% - Accent6 9 2 2 2 4" xfId="11461" xr:uid="{00000000-0005-0000-0000-0000DD530000}"/>
    <cellStyle name="40% - Accent6 9 2 2 2 4 2" xfId="35311" xr:uid="{18F6B4D9-5116-48B1-BC7C-174839D77407}"/>
    <cellStyle name="40% - Accent6 9 2 2 2 5" xfId="19416" xr:uid="{00000000-0005-0000-0000-0000DE530000}"/>
    <cellStyle name="40% - Accent6 9 2 2 2 5 2" xfId="43249" xr:uid="{885E4B5E-EA41-4B97-A273-55B078054DE8}"/>
    <cellStyle name="40% - Accent6 9 2 2 2 6" xfId="27369" xr:uid="{716D65F1-F41D-46A3-A6BE-077434EDB6E6}"/>
    <cellStyle name="40% - Accent6 9 2 2 2_Exh G" xfId="3422" xr:uid="{00000000-0005-0000-0000-0000DF530000}"/>
    <cellStyle name="40% - Accent6 9 2 2 3" xfId="4314" xr:uid="{00000000-0005-0000-0000-0000E0530000}"/>
    <cellStyle name="40% - Accent6 9 2 2 3 2" xfId="7906" xr:uid="{00000000-0005-0000-0000-0000E1530000}"/>
    <cellStyle name="40% - Accent6 9 2 2 3 2 2" xfId="15877" xr:uid="{00000000-0005-0000-0000-0000E2530000}"/>
    <cellStyle name="40% - Accent6 9 2 2 3 2 2 2" xfId="39720" xr:uid="{6CC3C934-13D4-49BA-A1C0-F3FD284898A9}"/>
    <cellStyle name="40% - Accent6 9 2 2 3 2 3" xfId="23823" xr:uid="{00000000-0005-0000-0000-0000E3530000}"/>
    <cellStyle name="40% - Accent6 9 2 2 3 2 3 2" xfId="47656" xr:uid="{D399E77B-4A31-457D-80AC-19D64192B5AE}"/>
    <cellStyle name="40% - Accent6 9 2 2 3 2 4" xfId="31779" xr:uid="{7F625E15-17C8-4590-A0FE-51CF479760D8}"/>
    <cellStyle name="40% - Accent6 9 2 2 3 3" xfId="12339" xr:uid="{00000000-0005-0000-0000-0000E4530000}"/>
    <cellStyle name="40% - Accent6 9 2 2 3 3 2" xfId="36189" xr:uid="{93812450-9BC5-49A5-B258-8A6B01A73B69}"/>
    <cellStyle name="40% - Accent6 9 2 2 3 4" xfId="20294" xr:uid="{00000000-0005-0000-0000-0000E5530000}"/>
    <cellStyle name="40% - Accent6 9 2 2 3 4 2" xfId="44127" xr:uid="{9634EE8A-01BE-4B75-8A22-25D4D1A5D773}"/>
    <cellStyle name="40% - Accent6 9 2 2 3 5" xfId="28248" xr:uid="{516E8371-680C-4B62-A732-6D07340C4533}"/>
    <cellStyle name="40% - Accent6 9 2 2 4" xfId="6134" xr:uid="{00000000-0005-0000-0000-0000E6530000}"/>
    <cellStyle name="40% - Accent6 9 2 2 4 2" xfId="14118" xr:uid="{00000000-0005-0000-0000-0000E7530000}"/>
    <cellStyle name="40% - Accent6 9 2 2 4 2 2" xfId="37962" xr:uid="{849D227D-D535-46CE-9EDA-CACD7ADC49DF}"/>
    <cellStyle name="40% - Accent6 9 2 2 4 3" xfId="22066" xr:uid="{00000000-0005-0000-0000-0000E8530000}"/>
    <cellStyle name="40% - Accent6 9 2 2 4 3 2" xfId="45899" xr:uid="{2B1DC428-B2D6-425B-84F2-C4DC56EBEC3C}"/>
    <cellStyle name="40% - Accent6 9 2 2 4 4" xfId="30021" xr:uid="{9ECDEC03-4F6E-4BE9-95A9-A57D7C4C770D}"/>
    <cellStyle name="40% - Accent6 9 2 2 5" xfId="9687" xr:uid="{00000000-0005-0000-0000-0000E9530000}"/>
    <cellStyle name="40% - Accent6 9 2 2 5 2" xfId="17645" xr:uid="{00000000-0005-0000-0000-0000EA530000}"/>
    <cellStyle name="40% - Accent6 9 2 2 5 2 2" xfId="41486" xr:uid="{D3C44286-2B07-4A42-BDFC-9E9BA40744DB}"/>
    <cellStyle name="40% - Accent6 9 2 2 5 3" xfId="25589" xr:uid="{00000000-0005-0000-0000-0000EB530000}"/>
    <cellStyle name="40% - Accent6 9 2 2 5 3 2" xfId="49422" xr:uid="{2FC12F62-4965-4065-8B3B-74106582062E}"/>
    <cellStyle name="40% - Accent6 9 2 2 5 4" xfId="33545" xr:uid="{8F9EACAA-0528-4E51-9AAB-46D8C0F9BFC0}"/>
    <cellStyle name="40% - Accent6 9 2 2 6" xfId="10583" xr:uid="{00000000-0005-0000-0000-0000EC530000}"/>
    <cellStyle name="40% - Accent6 9 2 2 6 2" xfId="34433" xr:uid="{3FB167A1-4548-49C7-A16A-F346FBE85708}"/>
    <cellStyle name="40% - Accent6 9 2 2 7" xfId="18538" xr:uid="{00000000-0005-0000-0000-0000ED530000}"/>
    <cellStyle name="40% - Accent6 9 2 2 7 2" xfId="42371" xr:uid="{B01511F0-D656-4EE3-A2CF-6B11C1479C1F}"/>
    <cellStyle name="40% - Accent6 9 2 2 8" xfId="26491" xr:uid="{9BC1F673-8E47-4BD8-B38E-8E8CCF28E826}"/>
    <cellStyle name="40% - Accent6 9 2 2_Exh G" xfId="3421" xr:uid="{00000000-0005-0000-0000-0000EE530000}"/>
    <cellStyle name="40% - Accent6 9 2 3" xfId="1662" xr:uid="{00000000-0005-0000-0000-0000EF530000}"/>
    <cellStyle name="40% - Accent6 9 2 3 2" xfId="5192" xr:uid="{00000000-0005-0000-0000-0000F0530000}"/>
    <cellStyle name="40% - Accent6 9 2 3 2 2" xfId="8783" xr:uid="{00000000-0005-0000-0000-0000F1530000}"/>
    <cellStyle name="40% - Accent6 9 2 3 2 2 2" xfId="16754" xr:uid="{00000000-0005-0000-0000-0000F2530000}"/>
    <cellStyle name="40% - Accent6 9 2 3 2 2 2 2" xfId="40597" xr:uid="{D80309BD-B48C-40D5-BFEF-028AC7BA09EA}"/>
    <cellStyle name="40% - Accent6 9 2 3 2 2 3" xfId="24700" xr:uid="{00000000-0005-0000-0000-0000F3530000}"/>
    <cellStyle name="40% - Accent6 9 2 3 2 2 3 2" xfId="48533" xr:uid="{9440779A-6915-4612-8FFB-CC5ACFF2EEED}"/>
    <cellStyle name="40% - Accent6 9 2 3 2 2 4" xfId="32656" xr:uid="{59933F16-8F99-4296-8DCF-E3D497CCDA9E}"/>
    <cellStyle name="40% - Accent6 9 2 3 2 3" xfId="13216" xr:uid="{00000000-0005-0000-0000-0000F4530000}"/>
    <cellStyle name="40% - Accent6 9 2 3 2 3 2" xfId="37066" xr:uid="{A7B5B051-3B80-4F06-938D-3F49D7AA6B05}"/>
    <cellStyle name="40% - Accent6 9 2 3 2 4" xfId="21171" xr:uid="{00000000-0005-0000-0000-0000F5530000}"/>
    <cellStyle name="40% - Accent6 9 2 3 2 4 2" xfId="45004" xr:uid="{CDE0A4D9-5F69-418D-ABA6-D980BB8C6F57}"/>
    <cellStyle name="40% - Accent6 9 2 3 2 5" xfId="29125" xr:uid="{6B9E7745-CE5C-439C-8FB3-B088F95120D4}"/>
    <cellStyle name="40% - Accent6 9 2 3 3" xfId="7024" xr:uid="{00000000-0005-0000-0000-0000F6530000}"/>
    <cellStyle name="40% - Accent6 9 2 3 3 2" xfId="14996" xr:uid="{00000000-0005-0000-0000-0000F7530000}"/>
    <cellStyle name="40% - Accent6 9 2 3 3 2 2" xfId="38839" xr:uid="{63912BD4-DDF7-43BA-A2E8-68CCF1C1BA00}"/>
    <cellStyle name="40% - Accent6 9 2 3 3 3" xfId="22943" xr:uid="{00000000-0005-0000-0000-0000F8530000}"/>
    <cellStyle name="40% - Accent6 9 2 3 3 3 2" xfId="46776" xr:uid="{66CD058B-3D8F-4554-9BE4-D4A5910BAE3B}"/>
    <cellStyle name="40% - Accent6 9 2 3 3 4" xfId="30898" xr:uid="{71AE409B-8F59-404C-BB03-DEA33C91F906}"/>
    <cellStyle name="40% - Accent6 9 2 3 4" xfId="11460" xr:uid="{00000000-0005-0000-0000-0000F9530000}"/>
    <cellStyle name="40% - Accent6 9 2 3 4 2" xfId="35310" xr:uid="{DACE0F92-7935-4713-A599-31B3CFC5C821}"/>
    <cellStyle name="40% - Accent6 9 2 3 5" xfId="19415" xr:uid="{00000000-0005-0000-0000-0000FA530000}"/>
    <cellStyle name="40% - Accent6 9 2 3 5 2" xfId="43248" xr:uid="{416EE32E-3DE0-40E7-BC4C-A18A9010086B}"/>
    <cellStyle name="40% - Accent6 9 2 3 6" xfId="27368" xr:uid="{9CD5DD40-C10F-483A-8F83-012E5DABAFA4}"/>
    <cellStyle name="40% - Accent6 9 2 3_Exh G" xfId="3423" xr:uid="{00000000-0005-0000-0000-0000FB530000}"/>
    <cellStyle name="40% - Accent6 9 2 4" xfId="4313" xr:uid="{00000000-0005-0000-0000-0000FC530000}"/>
    <cellStyle name="40% - Accent6 9 2 4 2" xfId="7905" xr:uid="{00000000-0005-0000-0000-0000FD530000}"/>
    <cellStyle name="40% - Accent6 9 2 4 2 2" xfId="15876" xr:uid="{00000000-0005-0000-0000-0000FE530000}"/>
    <cellStyle name="40% - Accent6 9 2 4 2 2 2" xfId="39719" xr:uid="{2A8EC285-2CE5-4929-B9B1-61F81B5EDB5D}"/>
    <cellStyle name="40% - Accent6 9 2 4 2 3" xfId="23822" xr:uid="{00000000-0005-0000-0000-0000FF530000}"/>
    <cellStyle name="40% - Accent6 9 2 4 2 3 2" xfId="47655" xr:uid="{DA6AB1C0-4D2E-47BE-9279-99A93C04E8C7}"/>
    <cellStyle name="40% - Accent6 9 2 4 2 4" xfId="31778" xr:uid="{5709EE57-DA3F-4D6C-ADAA-7A1176F79C11}"/>
    <cellStyle name="40% - Accent6 9 2 4 3" xfId="12338" xr:uid="{00000000-0005-0000-0000-000000540000}"/>
    <cellStyle name="40% - Accent6 9 2 4 3 2" xfId="36188" xr:uid="{06CE907B-0D5C-4E7B-84CF-B22FA855D3A9}"/>
    <cellStyle name="40% - Accent6 9 2 4 4" xfId="20293" xr:uid="{00000000-0005-0000-0000-000001540000}"/>
    <cellStyle name="40% - Accent6 9 2 4 4 2" xfId="44126" xr:uid="{0994D0AF-85AF-4DB4-972D-4FEAFAD61FC9}"/>
    <cellStyle name="40% - Accent6 9 2 4 5" xfId="28247" xr:uid="{C692073F-ABDE-49AF-A217-A179734E9AAB}"/>
    <cellStyle name="40% - Accent6 9 2 5" xfId="6133" xr:uid="{00000000-0005-0000-0000-000002540000}"/>
    <cellStyle name="40% - Accent6 9 2 5 2" xfId="14117" xr:uid="{00000000-0005-0000-0000-000003540000}"/>
    <cellStyle name="40% - Accent6 9 2 5 2 2" xfId="37961" xr:uid="{E6D9A12B-4E32-4D4B-9028-727C99599CE7}"/>
    <cellStyle name="40% - Accent6 9 2 5 3" xfId="22065" xr:uid="{00000000-0005-0000-0000-000004540000}"/>
    <cellStyle name="40% - Accent6 9 2 5 3 2" xfId="45898" xr:uid="{F80856D9-F7C5-4D20-B31A-D49E9A33550D}"/>
    <cellStyle name="40% - Accent6 9 2 5 4" xfId="30020" xr:uid="{A53F95BB-98AD-459D-A5DA-1B29FD7C8988}"/>
    <cellStyle name="40% - Accent6 9 2 6" xfId="9686" xr:uid="{00000000-0005-0000-0000-000005540000}"/>
    <cellStyle name="40% - Accent6 9 2 6 2" xfId="17644" xr:uid="{00000000-0005-0000-0000-000006540000}"/>
    <cellStyle name="40% - Accent6 9 2 6 2 2" xfId="41485" xr:uid="{81619AB1-29B7-45DC-93AD-2BBF09AF5BE5}"/>
    <cellStyle name="40% - Accent6 9 2 6 3" xfId="25588" xr:uid="{00000000-0005-0000-0000-000007540000}"/>
    <cellStyle name="40% - Accent6 9 2 6 3 2" xfId="49421" xr:uid="{062A9F55-F674-4A28-9CD7-A87F11F7853C}"/>
    <cellStyle name="40% - Accent6 9 2 6 4" xfId="33544" xr:uid="{AEAAA64B-A6F1-408E-8DDC-3EFE7C94721E}"/>
    <cellStyle name="40% - Accent6 9 2 7" xfId="10582" xr:uid="{00000000-0005-0000-0000-000008540000}"/>
    <cellStyle name="40% - Accent6 9 2 7 2" xfId="34432" xr:uid="{2E5C212E-7BA3-4FEB-9DFF-641E8E9CFF41}"/>
    <cellStyle name="40% - Accent6 9 2 8" xfId="18537" xr:uid="{00000000-0005-0000-0000-000009540000}"/>
    <cellStyle name="40% - Accent6 9 2 8 2" xfId="42370" xr:uid="{B8C443B5-22AB-467A-B3D6-93047875CBEF}"/>
    <cellStyle name="40% - Accent6 9 2 9" xfId="26490" xr:uid="{806BD943-0158-452A-A9AF-48D164AFF7DA}"/>
    <cellStyle name="40% - Accent6 9 2_Exh G" xfId="3420" xr:uid="{00000000-0005-0000-0000-00000A540000}"/>
    <cellStyle name="40% - Accent6 9 3" xfId="636" xr:uid="{00000000-0005-0000-0000-00000B540000}"/>
    <cellStyle name="40% - Accent6 9 3 2" xfId="1664" xr:uid="{00000000-0005-0000-0000-00000C540000}"/>
    <cellStyle name="40% - Accent6 9 3 2 2" xfId="5194" xr:uid="{00000000-0005-0000-0000-00000D540000}"/>
    <cellStyle name="40% - Accent6 9 3 2 2 2" xfId="8785" xr:uid="{00000000-0005-0000-0000-00000E540000}"/>
    <cellStyle name="40% - Accent6 9 3 2 2 2 2" xfId="16756" xr:uid="{00000000-0005-0000-0000-00000F540000}"/>
    <cellStyle name="40% - Accent6 9 3 2 2 2 2 2" xfId="40599" xr:uid="{781E2256-CD8C-403F-A80F-E9571343338E}"/>
    <cellStyle name="40% - Accent6 9 3 2 2 2 3" xfId="24702" xr:uid="{00000000-0005-0000-0000-000010540000}"/>
    <cellStyle name="40% - Accent6 9 3 2 2 2 3 2" xfId="48535" xr:uid="{6B1E233E-3AE7-479B-A8FE-FED4BCBA9ED2}"/>
    <cellStyle name="40% - Accent6 9 3 2 2 2 4" xfId="32658" xr:uid="{1FDFA2B6-024B-4F84-AEFE-C83277414455}"/>
    <cellStyle name="40% - Accent6 9 3 2 2 3" xfId="13218" xr:uid="{00000000-0005-0000-0000-000011540000}"/>
    <cellStyle name="40% - Accent6 9 3 2 2 3 2" xfId="37068" xr:uid="{FAFC21CA-7D3B-4747-B390-462873EEB2A0}"/>
    <cellStyle name="40% - Accent6 9 3 2 2 4" xfId="21173" xr:uid="{00000000-0005-0000-0000-000012540000}"/>
    <cellStyle name="40% - Accent6 9 3 2 2 4 2" xfId="45006" xr:uid="{B5AD502A-2AD6-4DC2-809F-FA06DF295EDA}"/>
    <cellStyle name="40% - Accent6 9 3 2 2 5" xfId="29127" xr:uid="{FED52A87-7AF8-4C9F-8EA0-699862FBADF6}"/>
    <cellStyle name="40% - Accent6 9 3 2 3" xfId="7026" xr:uid="{00000000-0005-0000-0000-000013540000}"/>
    <cellStyle name="40% - Accent6 9 3 2 3 2" xfId="14998" xr:uid="{00000000-0005-0000-0000-000014540000}"/>
    <cellStyle name="40% - Accent6 9 3 2 3 2 2" xfId="38841" xr:uid="{F3760F94-B591-4981-BC67-2AA865C96C37}"/>
    <cellStyle name="40% - Accent6 9 3 2 3 3" xfId="22945" xr:uid="{00000000-0005-0000-0000-000015540000}"/>
    <cellStyle name="40% - Accent6 9 3 2 3 3 2" xfId="46778" xr:uid="{6EFAD090-4A23-4EA6-917C-16EE2F292839}"/>
    <cellStyle name="40% - Accent6 9 3 2 3 4" xfId="30900" xr:uid="{ECF2372B-03B0-443B-BB89-6DCF76D2714E}"/>
    <cellStyle name="40% - Accent6 9 3 2 4" xfId="11462" xr:uid="{00000000-0005-0000-0000-000016540000}"/>
    <cellStyle name="40% - Accent6 9 3 2 4 2" xfId="35312" xr:uid="{EFFDFF41-3661-46A2-9620-A2C68D190F2E}"/>
    <cellStyle name="40% - Accent6 9 3 2 5" xfId="19417" xr:uid="{00000000-0005-0000-0000-000017540000}"/>
    <cellStyle name="40% - Accent6 9 3 2 5 2" xfId="43250" xr:uid="{53B5D3D6-0ED8-4FE7-BE40-3766EED28226}"/>
    <cellStyle name="40% - Accent6 9 3 2 6" xfId="27370" xr:uid="{287A8F1D-01F7-44E3-BA0D-53A4D5ADC4F1}"/>
    <cellStyle name="40% - Accent6 9 3 2_Exh G" xfId="3425" xr:uid="{00000000-0005-0000-0000-000018540000}"/>
    <cellStyle name="40% - Accent6 9 3 3" xfId="4315" xr:uid="{00000000-0005-0000-0000-000019540000}"/>
    <cellStyle name="40% - Accent6 9 3 3 2" xfId="7907" xr:uid="{00000000-0005-0000-0000-00001A540000}"/>
    <cellStyle name="40% - Accent6 9 3 3 2 2" xfId="15878" xr:uid="{00000000-0005-0000-0000-00001B540000}"/>
    <cellStyle name="40% - Accent6 9 3 3 2 2 2" xfId="39721" xr:uid="{68063BDB-07E1-4CE8-9B8B-970FEF309FEC}"/>
    <cellStyle name="40% - Accent6 9 3 3 2 3" xfId="23824" xr:uid="{00000000-0005-0000-0000-00001C540000}"/>
    <cellStyle name="40% - Accent6 9 3 3 2 3 2" xfId="47657" xr:uid="{60847256-1FFD-4216-AB0B-8A3B3DAFD578}"/>
    <cellStyle name="40% - Accent6 9 3 3 2 4" xfId="31780" xr:uid="{85410899-EF75-4935-A789-1CAFAE362601}"/>
    <cellStyle name="40% - Accent6 9 3 3 3" xfId="12340" xr:uid="{00000000-0005-0000-0000-00001D540000}"/>
    <cellStyle name="40% - Accent6 9 3 3 3 2" xfId="36190" xr:uid="{C5AE9B09-6D49-46D1-80F0-9C1FA9A18D6B}"/>
    <cellStyle name="40% - Accent6 9 3 3 4" xfId="20295" xr:uid="{00000000-0005-0000-0000-00001E540000}"/>
    <cellStyle name="40% - Accent6 9 3 3 4 2" xfId="44128" xr:uid="{82905B4E-1F3F-47D4-A36A-03AB297ED7FC}"/>
    <cellStyle name="40% - Accent6 9 3 3 5" xfId="28249" xr:uid="{EB087CFA-7492-4EA7-A173-848089EF0513}"/>
    <cellStyle name="40% - Accent6 9 3 4" xfId="6135" xr:uid="{00000000-0005-0000-0000-00001F540000}"/>
    <cellStyle name="40% - Accent6 9 3 4 2" xfId="14119" xr:uid="{00000000-0005-0000-0000-000020540000}"/>
    <cellStyle name="40% - Accent6 9 3 4 2 2" xfId="37963" xr:uid="{E1A09004-2F9B-4725-8174-2282BB9FDB1F}"/>
    <cellStyle name="40% - Accent6 9 3 4 3" xfId="22067" xr:uid="{00000000-0005-0000-0000-000021540000}"/>
    <cellStyle name="40% - Accent6 9 3 4 3 2" xfId="45900" xr:uid="{BA67195B-416E-4FF4-8A2E-8EA40B5BBF97}"/>
    <cellStyle name="40% - Accent6 9 3 4 4" xfId="30022" xr:uid="{6099165E-672E-4C21-8D4A-1058D7D4BB91}"/>
    <cellStyle name="40% - Accent6 9 3 5" xfId="9688" xr:uid="{00000000-0005-0000-0000-000022540000}"/>
    <cellStyle name="40% - Accent6 9 3 5 2" xfId="17646" xr:uid="{00000000-0005-0000-0000-000023540000}"/>
    <cellStyle name="40% - Accent6 9 3 5 2 2" xfId="41487" xr:uid="{4B800651-EBF5-4FD5-BBC3-99524354239A}"/>
    <cellStyle name="40% - Accent6 9 3 5 3" xfId="25590" xr:uid="{00000000-0005-0000-0000-000024540000}"/>
    <cellStyle name="40% - Accent6 9 3 5 3 2" xfId="49423" xr:uid="{D1DBD442-AD66-4D97-8445-791CBA4CDBE7}"/>
    <cellStyle name="40% - Accent6 9 3 5 4" xfId="33546" xr:uid="{D471B2FC-D2EA-41F8-86FB-58B8105D8CDD}"/>
    <cellStyle name="40% - Accent6 9 3 6" xfId="10584" xr:uid="{00000000-0005-0000-0000-000025540000}"/>
    <cellStyle name="40% - Accent6 9 3 6 2" xfId="34434" xr:uid="{8F24490D-7241-4CAA-87F6-C9B7F84F0459}"/>
    <cellStyle name="40% - Accent6 9 3 7" xfId="18539" xr:uid="{00000000-0005-0000-0000-000026540000}"/>
    <cellStyle name="40% - Accent6 9 3 7 2" xfId="42372" xr:uid="{E034BC37-F647-4220-8E26-6B2169617E13}"/>
    <cellStyle name="40% - Accent6 9 3 8" xfId="26492" xr:uid="{4601917D-1324-4845-863E-2E361C0D2F8D}"/>
    <cellStyle name="40% - Accent6 9 3_Exh G" xfId="3424" xr:uid="{00000000-0005-0000-0000-000027540000}"/>
    <cellStyle name="40% - Accent6 9 4" xfId="1005" xr:uid="{00000000-0005-0000-0000-000028540000}"/>
    <cellStyle name="40% - Accent6 9 4 2" xfId="1918" xr:uid="{00000000-0005-0000-0000-000029540000}"/>
    <cellStyle name="40% - Accent6 9 4 2 2" xfId="5436" xr:uid="{00000000-0005-0000-0000-00002A540000}"/>
    <cellStyle name="40% - Accent6 9 4 2 2 2" xfId="9027" xr:uid="{00000000-0005-0000-0000-00002B540000}"/>
    <cellStyle name="40% - Accent6 9 4 2 2 2 2" xfId="16998" xr:uid="{00000000-0005-0000-0000-00002C540000}"/>
    <cellStyle name="40% - Accent6 9 4 2 2 2 2 2" xfId="40841" xr:uid="{1D9FB0B5-D0F0-4A6A-BF27-901B07F80BBE}"/>
    <cellStyle name="40% - Accent6 9 4 2 2 2 3" xfId="24944" xr:uid="{00000000-0005-0000-0000-00002D540000}"/>
    <cellStyle name="40% - Accent6 9 4 2 2 2 3 2" xfId="48777" xr:uid="{75E6E11E-1D66-4635-9AF1-BA89284FD95C}"/>
    <cellStyle name="40% - Accent6 9 4 2 2 2 4" xfId="32900" xr:uid="{EB9DE136-F266-457E-BC13-DC07CB94517B}"/>
    <cellStyle name="40% - Accent6 9 4 2 2 3" xfId="13460" xr:uid="{00000000-0005-0000-0000-00002E540000}"/>
    <cellStyle name="40% - Accent6 9 4 2 2 3 2" xfId="37310" xr:uid="{F9FE3374-E32D-4C26-828D-92D1CAE70BE8}"/>
    <cellStyle name="40% - Accent6 9 4 2 2 4" xfId="21415" xr:uid="{00000000-0005-0000-0000-00002F540000}"/>
    <cellStyle name="40% - Accent6 9 4 2 2 4 2" xfId="45248" xr:uid="{35608D4C-9FDF-41C5-9A34-C5C2E6B6255D}"/>
    <cellStyle name="40% - Accent6 9 4 2 2 5" xfId="29369" xr:uid="{D8868A12-7558-496D-803B-364F6D7A3819}"/>
    <cellStyle name="40% - Accent6 9 4 2 3" xfId="7268" xr:uid="{00000000-0005-0000-0000-000030540000}"/>
    <cellStyle name="40% - Accent6 9 4 2 3 2" xfId="15240" xr:uid="{00000000-0005-0000-0000-000031540000}"/>
    <cellStyle name="40% - Accent6 9 4 2 3 2 2" xfId="39083" xr:uid="{0B924937-7CF4-4C74-8433-B8F9599476E4}"/>
    <cellStyle name="40% - Accent6 9 4 2 3 3" xfId="23187" xr:uid="{00000000-0005-0000-0000-000032540000}"/>
    <cellStyle name="40% - Accent6 9 4 2 3 3 2" xfId="47020" xr:uid="{D9DD0A52-D589-4715-BA9A-5947921298CD}"/>
    <cellStyle name="40% - Accent6 9 4 2 3 4" xfId="31142" xr:uid="{51090985-F5A3-4527-9AE4-2B930A564105}"/>
    <cellStyle name="40% - Accent6 9 4 2 4" xfId="11704" xr:uid="{00000000-0005-0000-0000-000033540000}"/>
    <cellStyle name="40% - Accent6 9 4 2 4 2" xfId="35554" xr:uid="{EA165F09-A955-4154-AB39-C3949192D5AD}"/>
    <cellStyle name="40% - Accent6 9 4 2 5" xfId="19659" xr:uid="{00000000-0005-0000-0000-000034540000}"/>
    <cellStyle name="40% - Accent6 9 4 2 5 2" xfId="43492" xr:uid="{EE65C04F-4893-4A8A-8A6B-B48BE879CCBD}"/>
    <cellStyle name="40% - Accent6 9 4 2 6" xfId="27612" xr:uid="{7D0C3E57-D9D3-4D4A-93A1-4FC48BEB5745}"/>
    <cellStyle name="40% - Accent6 9 4 2_Exh G" xfId="3427" xr:uid="{00000000-0005-0000-0000-000035540000}"/>
    <cellStyle name="40% - Accent6 9 4 3" xfId="4557" xr:uid="{00000000-0005-0000-0000-000036540000}"/>
    <cellStyle name="40% - Accent6 9 4 3 2" xfId="8149" xr:uid="{00000000-0005-0000-0000-000037540000}"/>
    <cellStyle name="40% - Accent6 9 4 3 2 2" xfId="16120" xr:uid="{00000000-0005-0000-0000-000038540000}"/>
    <cellStyle name="40% - Accent6 9 4 3 2 2 2" xfId="39963" xr:uid="{101113E4-FC83-4C96-857C-614599C1AE5D}"/>
    <cellStyle name="40% - Accent6 9 4 3 2 3" xfId="24066" xr:uid="{00000000-0005-0000-0000-000039540000}"/>
    <cellStyle name="40% - Accent6 9 4 3 2 3 2" xfId="47899" xr:uid="{24458DC7-7476-4495-A5FB-634F5FDE8597}"/>
    <cellStyle name="40% - Accent6 9 4 3 2 4" xfId="32022" xr:uid="{E5931E2C-F8BE-46C0-AD16-B820194CB545}"/>
    <cellStyle name="40% - Accent6 9 4 3 3" xfId="12582" xr:uid="{00000000-0005-0000-0000-00003A540000}"/>
    <cellStyle name="40% - Accent6 9 4 3 3 2" xfId="36432" xr:uid="{C2FDB07F-5F0D-4DF0-B57A-3855B21108BB}"/>
    <cellStyle name="40% - Accent6 9 4 3 4" xfId="20537" xr:uid="{00000000-0005-0000-0000-00003B540000}"/>
    <cellStyle name="40% - Accent6 9 4 3 4 2" xfId="44370" xr:uid="{39979104-5FC2-453C-AC0B-040996967439}"/>
    <cellStyle name="40% - Accent6 9 4 3 5" xfId="28491" xr:uid="{E1C81416-85C5-4ECE-98EF-B98342721DE1}"/>
    <cellStyle name="40% - Accent6 9 4 4" xfId="6387" xr:uid="{00000000-0005-0000-0000-00003C540000}"/>
    <cellStyle name="40% - Accent6 9 4 4 2" xfId="14362" xr:uid="{00000000-0005-0000-0000-00003D540000}"/>
    <cellStyle name="40% - Accent6 9 4 4 2 2" xfId="38205" xr:uid="{A078E35D-BAC3-4E01-8033-C36BCBFFD3C5}"/>
    <cellStyle name="40% - Accent6 9 4 4 3" xfId="22309" xr:uid="{00000000-0005-0000-0000-00003E540000}"/>
    <cellStyle name="40% - Accent6 9 4 4 3 2" xfId="46142" xr:uid="{64E8BF9B-5EB1-476C-B07B-B4C12402BA91}"/>
    <cellStyle name="40% - Accent6 9 4 4 4" xfId="30264" xr:uid="{46AD3705-758E-4D54-8512-F4E8977470FC}"/>
    <cellStyle name="40% - Accent6 9 4 5" xfId="9930" xr:uid="{00000000-0005-0000-0000-00003F540000}"/>
    <cellStyle name="40% - Accent6 9 4 5 2" xfId="17888" xr:uid="{00000000-0005-0000-0000-000040540000}"/>
    <cellStyle name="40% - Accent6 9 4 5 2 2" xfId="41729" xr:uid="{B8CC4DC1-C7A3-4990-A7A6-47CD306BCA5E}"/>
    <cellStyle name="40% - Accent6 9 4 5 3" xfId="25832" xr:uid="{00000000-0005-0000-0000-000041540000}"/>
    <cellStyle name="40% - Accent6 9 4 5 3 2" xfId="49665" xr:uid="{99FCED04-F0C6-4635-AA36-F7A26346DA01}"/>
    <cellStyle name="40% - Accent6 9 4 5 4" xfId="33788" xr:uid="{54925D68-AB6A-44F2-8036-E744C7A2BA57}"/>
    <cellStyle name="40% - Accent6 9 4 6" xfId="10826" xr:uid="{00000000-0005-0000-0000-000042540000}"/>
    <cellStyle name="40% - Accent6 9 4 6 2" xfId="34676" xr:uid="{02E77701-5561-42AF-94A9-ED5B3A03826C}"/>
    <cellStyle name="40% - Accent6 9 4 7" xfId="18781" xr:uid="{00000000-0005-0000-0000-000043540000}"/>
    <cellStyle name="40% - Accent6 9 4 7 2" xfId="42614" xr:uid="{33FF3037-27DB-4428-A86F-A4442624E17B}"/>
    <cellStyle name="40% - Accent6 9 4 8" xfId="26734" xr:uid="{1D971A93-5D8F-4248-AC59-0101FC98B21F}"/>
    <cellStyle name="40% - Accent6 9 4_Exh G" xfId="3426" xr:uid="{00000000-0005-0000-0000-000044540000}"/>
    <cellStyle name="40% - Accent6 9 5" xfId="1661" xr:uid="{00000000-0005-0000-0000-000045540000}"/>
    <cellStyle name="40% - Accent6 9 5 2" xfId="5191" xr:uid="{00000000-0005-0000-0000-000046540000}"/>
    <cellStyle name="40% - Accent6 9 5 2 2" xfId="8782" xr:uid="{00000000-0005-0000-0000-000047540000}"/>
    <cellStyle name="40% - Accent6 9 5 2 2 2" xfId="16753" xr:uid="{00000000-0005-0000-0000-000048540000}"/>
    <cellStyle name="40% - Accent6 9 5 2 2 2 2" xfId="40596" xr:uid="{5F2DC413-B515-4887-B096-18BD0ED74AC9}"/>
    <cellStyle name="40% - Accent6 9 5 2 2 3" xfId="24699" xr:uid="{00000000-0005-0000-0000-000049540000}"/>
    <cellStyle name="40% - Accent6 9 5 2 2 3 2" xfId="48532" xr:uid="{A8D4A075-C76A-4461-8967-088537A1723E}"/>
    <cellStyle name="40% - Accent6 9 5 2 2 4" xfId="32655" xr:uid="{BD8CF0F7-D204-45D4-A620-4BE30C42A405}"/>
    <cellStyle name="40% - Accent6 9 5 2 3" xfId="13215" xr:uid="{00000000-0005-0000-0000-00004A540000}"/>
    <cellStyle name="40% - Accent6 9 5 2 3 2" xfId="37065" xr:uid="{449953BB-8CF6-4E28-B098-979783388960}"/>
    <cellStyle name="40% - Accent6 9 5 2 4" xfId="21170" xr:uid="{00000000-0005-0000-0000-00004B540000}"/>
    <cellStyle name="40% - Accent6 9 5 2 4 2" xfId="45003" xr:uid="{28E15F34-4AEF-40C9-8AC5-36DE7F892386}"/>
    <cellStyle name="40% - Accent6 9 5 2 5" xfId="29124" xr:uid="{3D634E57-4876-484C-ACFC-6DB1BA501939}"/>
    <cellStyle name="40% - Accent6 9 5 3" xfId="7023" xr:uid="{00000000-0005-0000-0000-00004C540000}"/>
    <cellStyle name="40% - Accent6 9 5 3 2" xfId="14995" xr:uid="{00000000-0005-0000-0000-00004D540000}"/>
    <cellStyle name="40% - Accent6 9 5 3 2 2" xfId="38838" xr:uid="{BA159AAC-C0E7-426F-B251-B933F2702ECC}"/>
    <cellStyle name="40% - Accent6 9 5 3 3" xfId="22942" xr:uid="{00000000-0005-0000-0000-00004E540000}"/>
    <cellStyle name="40% - Accent6 9 5 3 3 2" xfId="46775" xr:uid="{ACAE56DB-3094-4134-9D7E-D4EC490E133F}"/>
    <cellStyle name="40% - Accent6 9 5 3 4" xfId="30897" xr:uid="{097DB99B-1C9F-42A2-8FEC-1097FAC954C2}"/>
    <cellStyle name="40% - Accent6 9 5 4" xfId="11459" xr:uid="{00000000-0005-0000-0000-00004F540000}"/>
    <cellStyle name="40% - Accent6 9 5 4 2" xfId="35309" xr:uid="{11EBF595-342D-4736-A807-CAA5A1AC57D1}"/>
    <cellStyle name="40% - Accent6 9 5 5" xfId="19414" xr:uid="{00000000-0005-0000-0000-000050540000}"/>
    <cellStyle name="40% - Accent6 9 5 5 2" xfId="43247" xr:uid="{7E596FDD-108C-422D-AF3A-89826F8BAD9C}"/>
    <cellStyle name="40% - Accent6 9 5 6" xfId="27367" xr:uid="{2EA73A1A-29B4-4814-BC82-1D8418A4E712}"/>
    <cellStyle name="40% - Accent6 9 5_Exh G" xfId="3428" xr:uid="{00000000-0005-0000-0000-000051540000}"/>
    <cellStyle name="40% - Accent6 9 6" xfId="4312" xr:uid="{00000000-0005-0000-0000-000052540000}"/>
    <cellStyle name="40% - Accent6 9 6 2" xfId="7904" xr:uid="{00000000-0005-0000-0000-000053540000}"/>
    <cellStyle name="40% - Accent6 9 6 2 2" xfId="15875" xr:uid="{00000000-0005-0000-0000-000054540000}"/>
    <cellStyle name="40% - Accent6 9 6 2 2 2" xfId="39718" xr:uid="{9A4B1DF8-A034-4B56-B45E-B4296FE690B6}"/>
    <cellStyle name="40% - Accent6 9 6 2 3" xfId="23821" xr:uid="{00000000-0005-0000-0000-000055540000}"/>
    <cellStyle name="40% - Accent6 9 6 2 3 2" xfId="47654" xr:uid="{CE6476B7-A3DB-43E6-8D8F-39272B89546F}"/>
    <cellStyle name="40% - Accent6 9 6 2 4" xfId="31777" xr:uid="{7CEA809B-0017-493A-9D84-616DB4A11193}"/>
    <cellStyle name="40% - Accent6 9 6 3" xfId="12337" xr:uid="{00000000-0005-0000-0000-000056540000}"/>
    <cellStyle name="40% - Accent6 9 6 3 2" xfId="36187" xr:uid="{2752B14A-D109-481B-B26A-B6603AF9864E}"/>
    <cellStyle name="40% - Accent6 9 6 4" xfId="20292" xr:uid="{00000000-0005-0000-0000-000057540000}"/>
    <cellStyle name="40% - Accent6 9 6 4 2" xfId="44125" xr:uid="{4884793A-3B45-46E0-9CAE-E59197FE0894}"/>
    <cellStyle name="40% - Accent6 9 6 5" xfId="28246" xr:uid="{445416E8-9879-4B09-90C7-F05AAD32EC65}"/>
    <cellStyle name="40% - Accent6 9 7" xfId="6132" xr:uid="{00000000-0005-0000-0000-000058540000}"/>
    <cellStyle name="40% - Accent6 9 7 2" xfId="14116" xr:uid="{00000000-0005-0000-0000-000059540000}"/>
    <cellStyle name="40% - Accent6 9 7 2 2" xfId="37960" xr:uid="{6592A85F-9586-4E4B-AB6B-020F9B8D1B3E}"/>
    <cellStyle name="40% - Accent6 9 7 3" xfId="22064" xr:uid="{00000000-0005-0000-0000-00005A540000}"/>
    <cellStyle name="40% - Accent6 9 7 3 2" xfId="45897" xr:uid="{AB8EA80A-AB1E-441C-8BFC-E19CB8C492ED}"/>
    <cellStyle name="40% - Accent6 9 7 4" xfId="30019" xr:uid="{4BF375CC-EDF1-4978-94EF-5F2B7579046C}"/>
    <cellStyle name="40% - Accent6 9 8" xfId="9685" xr:uid="{00000000-0005-0000-0000-00005B540000}"/>
    <cellStyle name="40% - Accent6 9 8 2" xfId="17643" xr:uid="{00000000-0005-0000-0000-00005C540000}"/>
    <cellStyle name="40% - Accent6 9 8 2 2" xfId="41484" xr:uid="{024646B5-E000-465B-960D-FCFD1A45645C}"/>
    <cellStyle name="40% - Accent6 9 8 3" xfId="25587" xr:uid="{00000000-0005-0000-0000-00005D540000}"/>
    <cellStyle name="40% - Accent6 9 8 3 2" xfId="49420" xr:uid="{18E30E00-28A2-47B7-AE66-75B231D71679}"/>
    <cellStyle name="40% - Accent6 9 8 4" xfId="33543" xr:uid="{1445B0EE-8122-4C0A-84D8-1849528AE5F8}"/>
    <cellStyle name="40% - Accent6 9 9" xfId="10581" xr:uid="{00000000-0005-0000-0000-00005E540000}"/>
    <cellStyle name="40% - Accent6 9 9 2" xfId="34431" xr:uid="{26027ED1-A7C8-4180-92C6-E9B97FBFE13C}"/>
    <cellStyle name="40% - Accent6 9_Exh G" xfId="3419" xr:uid="{00000000-0005-0000-0000-00005F540000}"/>
    <cellStyle name="60% - Accent1 2" xfId="742" xr:uid="{00000000-0005-0000-0000-000060540000}"/>
    <cellStyle name="60% - Accent1 3" xfId="743" xr:uid="{00000000-0005-0000-0000-000061540000}"/>
    <cellStyle name="60% - Accent1 4" xfId="744" xr:uid="{00000000-0005-0000-0000-000062540000}"/>
    <cellStyle name="60% - Accent2 2" xfId="745" xr:uid="{00000000-0005-0000-0000-000063540000}"/>
    <cellStyle name="60% - Accent2 3" xfId="746" xr:uid="{00000000-0005-0000-0000-000064540000}"/>
    <cellStyle name="60% - Accent2 4" xfId="747" xr:uid="{00000000-0005-0000-0000-000065540000}"/>
    <cellStyle name="60% - Accent3 2" xfId="748" xr:uid="{00000000-0005-0000-0000-000066540000}"/>
    <cellStyle name="60% - Accent3 3" xfId="749" xr:uid="{00000000-0005-0000-0000-000067540000}"/>
    <cellStyle name="60% - Accent3 4" xfId="750" xr:uid="{00000000-0005-0000-0000-000068540000}"/>
    <cellStyle name="60% - Accent4 2" xfId="751" xr:uid="{00000000-0005-0000-0000-000069540000}"/>
    <cellStyle name="60% - Accent4 3" xfId="752" xr:uid="{00000000-0005-0000-0000-00006A540000}"/>
    <cellStyle name="60% - Accent4 4" xfId="753" xr:uid="{00000000-0005-0000-0000-00006B540000}"/>
    <cellStyle name="60% - Accent5 2" xfId="754" xr:uid="{00000000-0005-0000-0000-00006C540000}"/>
    <cellStyle name="60% - Accent5 3" xfId="755" xr:uid="{00000000-0005-0000-0000-00006D540000}"/>
    <cellStyle name="60% - Accent5 4" xfId="756" xr:uid="{00000000-0005-0000-0000-00006E540000}"/>
    <cellStyle name="60% - Accent6 2" xfId="757" xr:uid="{00000000-0005-0000-0000-00006F540000}"/>
    <cellStyle name="60% - Accent6 3" xfId="758" xr:uid="{00000000-0005-0000-0000-000070540000}"/>
    <cellStyle name="60% - Accent6 4" xfId="759" xr:uid="{00000000-0005-0000-0000-000071540000}"/>
    <cellStyle name="Accent1 2" xfId="760" xr:uid="{00000000-0005-0000-0000-000072540000}"/>
    <cellStyle name="Accent1 3" xfId="761" xr:uid="{00000000-0005-0000-0000-000073540000}"/>
    <cellStyle name="Accent1 4" xfId="762" xr:uid="{00000000-0005-0000-0000-000074540000}"/>
    <cellStyle name="Accent2 2" xfId="763" xr:uid="{00000000-0005-0000-0000-000075540000}"/>
    <cellStyle name="Accent2 3" xfId="764" xr:uid="{00000000-0005-0000-0000-000076540000}"/>
    <cellStyle name="Accent2 4" xfId="765" xr:uid="{00000000-0005-0000-0000-000077540000}"/>
    <cellStyle name="Accent3 2" xfId="766" xr:uid="{00000000-0005-0000-0000-000078540000}"/>
    <cellStyle name="Accent3 3" xfId="767" xr:uid="{00000000-0005-0000-0000-000079540000}"/>
    <cellStyle name="Accent3 4" xfId="768" xr:uid="{00000000-0005-0000-0000-00007A540000}"/>
    <cellStyle name="Accent4 2" xfId="769" xr:uid="{00000000-0005-0000-0000-00007B540000}"/>
    <cellStyle name="Accent4 3" xfId="770" xr:uid="{00000000-0005-0000-0000-00007C540000}"/>
    <cellStyle name="Accent4 4" xfId="771" xr:uid="{00000000-0005-0000-0000-00007D540000}"/>
    <cellStyle name="Accent5 2" xfId="772" xr:uid="{00000000-0005-0000-0000-00007E540000}"/>
    <cellStyle name="Accent5 3" xfId="773" xr:uid="{00000000-0005-0000-0000-00007F540000}"/>
    <cellStyle name="Accent5 4" xfId="774" xr:uid="{00000000-0005-0000-0000-000080540000}"/>
    <cellStyle name="Accent6 2" xfId="775" xr:uid="{00000000-0005-0000-0000-000081540000}"/>
    <cellStyle name="Accent6 3" xfId="776" xr:uid="{00000000-0005-0000-0000-000082540000}"/>
    <cellStyle name="Accent6 4" xfId="777" xr:uid="{00000000-0005-0000-0000-000083540000}"/>
    <cellStyle name="Bad 2" xfId="778" xr:uid="{00000000-0005-0000-0000-000084540000}"/>
    <cellStyle name="Bad 3" xfId="779" xr:uid="{00000000-0005-0000-0000-000085540000}"/>
    <cellStyle name="Bad 4" xfId="780" xr:uid="{00000000-0005-0000-0000-000086540000}"/>
    <cellStyle name="C00A" xfId="49710" xr:uid="{651E60E2-5F16-4971-B758-5E1DB5D226C5}"/>
    <cellStyle name="C00B" xfId="49711" xr:uid="{D7A9A9E8-AD47-4B47-9C8B-19F346E1F606}"/>
    <cellStyle name="C00L" xfId="49712" xr:uid="{972D11D0-E098-4593-B08F-41EFD348E95A}"/>
    <cellStyle name="C01A" xfId="49713" xr:uid="{373A0D2D-F697-43FA-8B25-0BE173B4FA7D}"/>
    <cellStyle name="C01B" xfId="49714" xr:uid="{C4782731-6FA2-4EE0-B720-0CAD77B50ADF}"/>
    <cellStyle name="C01H" xfId="49715" xr:uid="{BE517F0B-DB1B-49BB-BCDE-A6AC4BBD2A79}"/>
    <cellStyle name="C01L" xfId="49716" xr:uid="{5786AC69-F3E4-4899-A40D-FC463116F031}"/>
    <cellStyle name="C02A" xfId="49717" xr:uid="{1BCDA1EB-D915-4765-A23E-DCDB9977D44B}"/>
    <cellStyle name="C02B" xfId="49718" xr:uid="{5E3E6CDD-2FC2-4FCB-AABC-1E67F9133BA0}"/>
    <cellStyle name="C02H" xfId="49719" xr:uid="{167DFFC2-9900-410D-B8BB-2E3CBD12A30E}"/>
    <cellStyle name="C02L" xfId="49720" xr:uid="{A4C1EBB3-67A6-485B-9573-4658D738D0FE}"/>
    <cellStyle name="C03A" xfId="49721" xr:uid="{08EC0611-1AD1-44E7-A718-90876E55854B}"/>
    <cellStyle name="C03B" xfId="49722" xr:uid="{4D73D23E-B894-4527-A4F8-DB11C4EB11B7}"/>
    <cellStyle name="C03H" xfId="49723" xr:uid="{E21B60C1-1062-4305-A4AD-70C0ABFA318D}"/>
    <cellStyle name="C03L" xfId="49724" xr:uid="{C417BB95-5CD3-42F0-89F1-F039F1658FF7}"/>
    <cellStyle name="C04A" xfId="49725" xr:uid="{58D0B77C-3A42-4B8C-A801-FDBB76597CA1}"/>
    <cellStyle name="C04B" xfId="49726" xr:uid="{10E70545-BAC4-4740-A525-974712F0FEC1}"/>
    <cellStyle name="C04H" xfId="49727" xr:uid="{7DDA02B7-5DA4-4E6C-B6D9-C34698E33A0E}"/>
    <cellStyle name="C04L" xfId="49728" xr:uid="{492D8597-D88B-4399-8714-14B414A5AB67}"/>
    <cellStyle name="C05A" xfId="49729" xr:uid="{1C20608B-0408-43FC-8277-80C453594AEE}"/>
    <cellStyle name="C05B" xfId="49730" xr:uid="{E55CF831-5429-485F-9C11-1581956DB610}"/>
    <cellStyle name="C05H" xfId="49731" xr:uid="{1810EA43-ECCE-45E7-989D-F6E0C218F4BF}"/>
    <cellStyle name="C05L" xfId="49732" xr:uid="{5088F11A-1BF3-4CD0-8E88-363147E86014}"/>
    <cellStyle name="C05L 2" xfId="49792" xr:uid="{31623C7F-A7CA-4C0D-9001-73A280F914CC}"/>
    <cellStyle name="C05L 3" xfId="49778" xr:uid="{8D89F559-5BAB-4253-AEF6-9ABC7DD8000B}"/>
    <cellStyle name="C06A" xfId="49733" xr:uid="{E39FCB18-6B11-4E9E-88C5-DE06CD1AF104}"/>
    <cellStyle name="C06B" xfId="49734" xr:uid="{35ED561A-B862-45A5-BA57-A07AAAD0B5BC}"/>
    <cellStyle name="C06H" xfId="49735" xr:uid="{E1ED3CD1-7FEA-4B81-AA48-73529559A72E}"/>
    <cellStyle name="C06L" xfId="49736" xr:uid="{67E30422-E94B-492A-AED2-F3B045EA9115}"/>
    <cellStyle name="C07A" xfId="49737" xr:uid="{0BE651D3-CDBA-4999-A05C-ADD85E64B371}"/>
    <cellStyle name="C07B" xfId="49738" xr:uid="{B895DDF3-8628-453D-8D49-74EE6C29468A}"/>
    <cellStyle name="C07H" xfId="49739" xr:uid="{76E5E761-5C38-4800-B034-9D8C2BCFC0B3}"/>
    <cellStyle name="C07L" xfId="49740" xr:uid="{4348BC1E-7A9B-45B9-89B4-F8DBE411C33B}"/>
    <cellStyle name="Calculation 2" xfId="781" xr:uid="{00000000-0005-0000-0000-000087540000}"/>
    <cellStyle name="Calculation 3" xfId="782" xr:uid="{00000000-0005-0000-0000-000088540000}"/>
    <cellStyle name="Calculation 3 2" xfId="6238" xr:uid="{00000000-0005-0000-0000-000089540000}"/>
    <cellStyle name="Calculation 4" xfId="783" xr:uid="{00000000-0005-0000-0000-00008A540000}"/>
    <cellStyle name="Calculation 4 2" xfId="6239" xr:uid="{00000000-0005-0000-0000-00008B540000}"/>
    <cellStyle name="Check Cell 2" xfId="784" xr:uid="{00000000-0005-0000-0000-00008C540000}"/>
    <cellStyle name="Check Cell 3" xfId="785" xr:uid="{00000000-0005-0000-0000-00008D540000}"/>
    <cellStyle name="Check Cell 4" xfId="786" xr:uid="{00000000-0005-0000-0000-00008E540000}"/>
    <cellStyle name="Comma" xfId="17924" builtinId="3"/>
    <cellStyle name="Comma 10" xfId="9049" xr:uid="{00000000-0005-0000-0000-000090540000}"/>
    <cellStyle name="Comma 11" xfId="25869" xr:uid="{00000000-0005-0000-0000-000091540000}"/>
    <cellStyle name="Comma 11 2" xfId="49696" xr:uid="{FDB01EA7-13A3-4F8D-8EBB-8806E1CDC6DF}"/>
    <cellStyle name="Comma 12" xfId="49807" xr:uid="{7DC7A0B4-4AB1-4302-A0E7-A2839EBF1C1B}"/>
    <cellStyle name="Comma 2" xfId="1" xr:uid="{00000000-0005-0000-0000-000092540000}"/>
    <cellStyle name="Comma 2 2" xfId="741" xr:uid="{00000000-0005-0000-0000-000093540000}"/>
    <cellStyle name="Comma 2 2 2" xfId="833" xr:uid="{00000000-0005-0000-0000-000094540000}"/>
    <cellStyle name="Comma 2 2 2 2" xfId="1773" xr:uid="{00000000-0005-0000-0000-000095540000}"/>
    <cellStyle name="Comma 2 2 3" xfId="1007" xr:uid="{00000000-0005-0000-0000-000096540000}"/>
    <cellStyle name="Comma 2 3" xfId="834" xr:uid="{00000000-0005-0000-0000-000097540000}"/>
    <cellStyle name="Comma 2 3 2" xfId="1774" xr:uid="{00000000-0005-0000-0000-000098540000}"/>
    <cellStyle name="Comma 2 4" xfId="835" xr:uid="{00000000-0005-0000-0000-000099540000}"/>
    <cellStyle name="Comma 2 4 2" xfId="1775" xr:uid="{00000000-0005-0000-0000-00009A540000}"/>
    <cellStyle name="Comma 2 5" xfId="857" xr:uid="{00000000-0005-0000-0000-00009B540000}"/>
    <cellStyle name="Comma 2 5 2" xfId="1796" xr:uid="{00000000-0005-0000-0000-00009C540000}"/>
    <cellStyle name="Comma 2 6" xfId="1006" xr:uid="{00000000-0005-0000-0000-00009D540000}"/>
    <cellStyle name="Comma 2 7" xfId="1044" xr:uid="{00000000-0005-0000-0000-00009E540000}"/>
    <cellStyle name="Comma 2 8" xfId="5467" xr:uid="{00000000-0005-0000-0000-00009F540000}"/>
    <cellStyle name="Comma 2 9" xfId="5497" xr:uid="{00000000-0005-0000-0000-0000A0540000}"/>
    <cellStyle name="Comma 2 9 2" xfId="5514" xr:uid="{00000000-0005-0000-0000-0000A1540000}"/>
    <cellStyle name="Comma 3" xfId="5" xr:uid="{00000000-0005-0000-0000-0000A2540000}"/>
    <cellStyle name="Comma 3 2" xfId="1008" xr:uid="{00000000-0005-0000-0000-0000A3540000}"/>
    <cellStyle name="Comma 3 2 2" xfId="1919" xr:uid="{00000000-0005-0000-0000-0000A4540000}"/>
    <cellStyle name="Comma 3 2 2 2" xfId="5437" xr:uid="{00000000-0005-0000-0000-0000A5540000}"/>
    <cellStyle name="Comma 3 2 2 2 2" xfId="9028" xr:uid="{00000000-0005-0000-0000-0000A6540000}"/>
    <cellStyle name="Comma 3 2 2 2 2 2" xfId="16999" xr:uid="{00000000-0005-0000-0000-0000A7540000}"/>
    <cellStyle name="Comma 3 2 2 2 2 2 2" xfId="40842" xr:uid="{2128CBE7-3446-4289-BA6E-3A5C169A7DC6}"/>
    <cellStyle name="Comma 3 2 2 2 2 3" xfId="24945" xr:uid="{00000000-0005-0000-0000-0000A8540000}"/>
    <cellStyle name="Comma 3 2 2 2 2 3 2" xfId="48778" xr:uid="{6A57AC74-2235-4808-8DF8-2E22174EE811}"/>
    <cellStyle name="Comma 3 2 2 2 2 4" xfId="32901" xr:uid="{91D42DBC-6632-40D5-95CA-0B8890498074}"/>
    <cellStyle name="Comma 3 2 2 2 3" xfId="13461" xr:uid="{00000000-0005-0000-0000-0000A9540000}"/>
    <cellStyle name="Comma 3 2 2 2 3 2" xfId="37311" xr:uid="{BE295E30-6A34-4D3B-B50D-1D4F5CD45996}"/>
    <cellStyle name="Comma 3 2 2 2 4" xfId="21416" xr:uid="{00000000-0005-0000-0000-0000AA540000}"/>
    <cellStyle name="Comma 3 2 2 2 4 2" xfId="45249" xr:uid="{D24D354D-A0B1-46A7-AFD6-B32B9B2F4312}"/>
    <cellStyle name="Comma 3 2 2 2 5" xfId="29370" xr:uid="{43DCEF07-3130-4241-90B7-603F7417C52C}"/>
    <cellStyle name="Comma 3 2 2 3" xfId="7269" xr:uid="{00000000-0005-0000-0000-0000AB540000}"/>
    <cellStyle name="Comma 3 2 2 3 2" xfId="15241" xr:uid="{00000000-0005-0000-0000-0000AC540000}"/>
    <cellStyle name="Comma 3 2 2 3 2 2" xfId="39084" xr:uid="{E91FA95E-151F-462B-83FD-48104353866F}"/>
    <cellStyle name="Comma 3 2 2 3 3" xfId="23188" xr:uid="{00000000-0005-0000-0000-0000AD540000}"/>
    <cellStyle name="Comma 3 2 2 3 3 2" xfId="47021" xr:uid="{AC25DA99-4578-4987-9081-47F0DFCCDEA5}"/>
    <cellStyle name="Comma 3 2 2 3 4" xfId="31143" xr:uid="{1BAC6860-C771-405F-ABD6-D010ADB19AB5}"/>
    <cellStyle name="Comma 3 2 2 4" xfId="11705" xr:uid="{00000000-0005-0000-0000-0000AE540000}"/>
    <cellStyle name="Comma 3 2 2 4 2" xfId="35555" xr:uid="{90FB4BD2-B308-4FD7-B5E5-DB26FD00ED43}"/>
    <cellStyle name="Comma 3 2 2 5" xfId="19660" xr:uid="{00000000-0005-0000-0000-0000AF540000}"/>
    <cellStyle name="Comma 3 2 2 5 2" xfId="43493" xr:uid="{8BDEDD4C-E4CA-4460-84CF-48E31C4637AF}"/>
    <cellStyle name="Comma 3 2 2 6" xfId="27613" xr:uid="{EF99BFCC-CE2E-43FD-BDD6-367B3E306D41}"/>
    <cellStyle name="Comma 3 2 3" xfId="4558" xr:uid="{00000000-0005-0000-0000-0000B0540000}"/>
    <cellStyle name="Comma 3 2 3 2" xfId="8150" xr:uid="{00000000-0005-0000-0000-0000B1540000}"/>
    <cellStyle name="Comma 3 2 3 2 2" xfId="16121" xr:uid="{00000000-0005-0000-0000-0000B2540000}"/>
    <cellStyle name="Comma 3 2 3 2 2 2" xfId="39964" xr:uid="{15F0685C-0A5D-4FB9-853F-DF58BDBCC810}"/>
    <cellStyle name="Comma 3 2 3 2 3" xfId="24067" xr:uid="{00000000-0005-0000-0000-0000B3540000}"/>
    <cellStyle name="Comma 3 2 3 2 3 2" xfId="47900" xr:uid="{1F0A1D3F-94EB-4CA8-AE1B-45418A0FC04A}"/>
    <cellStyle name="Comma 3 2 3 2 4" xfId="32023" xr:uid="{0D2244B5-57A8-4FD0-B74E-B5A481C4F671}"/>
    <cellStyle name="Comma 3 2 3 3" xfId="12583" xr:uid="{00000000-0005-0000-0000-0000B4540000}"/>
    <cellStyle name="Comma 3 2 3 3 2" xfId="36433" xr:uid="{5A50534E-7FC1-4BD2-83E1-7FEF2347447F}"/>
    <cellStyle name="Comma 3 2 3 4" xfId="20538" xr:uid="{00000000-0005-0000-0000-0000B5540000}"/>
    <cellStyle name="Comma 3 2 3 4 2" xfId="44371" xr:uid="{BC302ACA-3097-43D3-9B77-BFBB4D7F44E6}"/>
    <cellStyle name="Comma 3 2 3 5" xfId="28492" xr:uid="{32B2B8BF-4316-422A-AC2A-D918A3FF1D26}"/>
    <cellStyle name="Comma 3 2 4" xfId="5473" xr:uid="{00000000-0005-0000-0000-0000B6540000}"/>
    <cellStyle name="Comma 3 2 5" xfId="6388" xr:uid="{00000000-0005-0000-0000-0000B7540000}"/>
    <cellStyle name="Comma 3 2 5 2" xfId="14363" xr:uid="{00000000-0005-0000-0000-0000B8540000}"/>
    <cellStyle name="Comma 3 2 5 2 2" xfId="38206" xr:uid="{1FB349CC-CBF6-4D55-8C92-527244605AC6}"/>
    <cellStyle name="Comma 3 2 5 3" xfId="22310" xr:uid="{00000000-0005-0000-0000-0000B9540000}"/>
    <cellStyle name="Comma 3 2 5 3 2" xfId="46143" xr:uid="{F2A6B503-0170-4F39-B571-CAC5F99496FD}"/>
    <cellStyle name="Comma 3 2 5 4" xfId="30265" xr:uid="{982A00D8-7856-4E7A-A521-16CB2D2AA47D}"/>
    <cellStyle name="Comma 3 2 6" xfId="9931" xr:uid="{00000000-0005-0000-0000-0000BA540000}"/>
    <cellStyle name="Comma 3 2 6 2" xfId="17889" xr:uid="{00000000-0005-0000-0000-0000BB540000}"/>
    <cellStyle name="Comma 3 2 6 2 2" xfId="41730" xr:uid="{38BF0FEA-891C-410E-B5E0-CE1E32AF8658}"/>
    <cellStyle name="Comma 3 2 6 3" xfId="25833" xr:uid="{00000000-0005-0000-0000-0000BC540000}"/>
    <cellStyle name="Comma 3 2 6 3 2" xfId="49666" xr:uid="{4FD36C75-9FAF-492C-896C-23B647D34F76}"/>
    <cellStyle name="Comma 3 2 6 4" xfId="33789" xr:uid="{9CF5DEFA-81B2-47F5-99BB-963DC289A239}"/>
    <cellStyle name="Comma 3 2 7" xfId="10827" xr:uid="{00000000-0005-0000-0000-0000BD540000}"/>
    <cellStyle name="Comma 3 2 7 2" xfId="34677" xr:uid="{A953117F-C892-4559-B41E-A769DFAA7FC3}"/>
    <cellStyle name="Comma 3 2 8" xfId="18782" xr:uid="{00000000-0005-0000-0000-0000BE540000}"/>
    <cellStyle name="Comma 3 2 8 2" xfId="42615" xr:uid="{39B6EC71-44A2-4890-ADA2-BC79608A1E11}"/>
    <cellStyle name="Comma 3 2 9" xfId="26735" xr:uid="{20B27E88-5E40-43F1-912F-F77472CE2200}"/>
    <cellStyle name="Comma 3 3" xfId="1046" xr:uid="{00000000-0005-0000-0000-0000BF540000}"/>
    <cellStyle name="Comma 3 4" xfId="5469" xr:uid="{00000000-0005-0000-0000-0000C0540000}"/>
    <cellStyle name="Comma 3 5" xfId="5518" xr:uid="{00000000-0005-0000-0000-0000C1540000}"/>
    <cellStyle name="Comma 4" xfId="9" xr:uid="{00000000-0005-0000-0000-0000C2540000}"/>
    <cellStyle name="Comma 4 2" xfId="1009" xr:uid="{00000000-0005-0000-0000-0000C3540000}"/>
    <cellStyle name="Comma 5" xfId="11" xr:uid="{00000000-0005-0000-0000-0000C4540000}"/>
    <cellStyle name="Comma 6" xfId="21" xr:uid="{00000000-0005-0000-0000-0000C5540000}"/>
    <cellStyle name="Comma 6 2" xfId="1051" xr:uid="{00000000-0005-0000-0000-0000C6540000}"/>
    <cellStyle name="Comma 6 2 2" xfId="4581" xr:uid="{00000000-0005-0000-0000-0000C7540000}"/>
    <cellStyle name="Comma 6 2 2 2" xfId="8172" xr:uid="{00000000-0005-0000-0000-0000C8540000}"/>
    <cellStyle name="Comma 6 2 2 2 2" xfId="16143" xr:uid="{00000000-0005-0000-0000-0000C9540000}"/>
    <cellStyle name="Comma 6 2 2 2 2 2" xfId="39986" xr:uid="{3DA24009-E1C0-4018-9DFA-56CD5EE0643F}"/>
    <cellStyle name="Comma 6 2 2 2 3" xfId="24089" xr:uid="{00000000-0005-0000-0000-0000CA540000}"/>
    <cellStyle name="Comma 6 2 2 2 3 2" xfId="47922" xr:uid="{EF0CA107-5946-434F-B0B1-ACECF19093AC}"/>
    <cellStyle name="Comma 6 2 2 2 4" xfId="32045" xr:uid="{22D59179-F457-4619-8A53-912787861120}"/>
    <cellStyle name="Comma 6 2 2 3" xfId="12605" xr:uid="{00000000-0005-0000-0000-0000CB540000}"/>
    <cellStyle name="Comma 6 2 2 3 2" xfId="36455" xr:uid="{FDC14E04-4EBF-4997-8464-179A1E15EF72}"/>
    <cellStyle name="Comma 6 2 2 4" xfId="20560" xr:uid="{00000000-0005-0000-0000-0000CC540000}"/>
    <cellStyle name="Comma 6 2 2 4 2" xfId="44393" xr:uid="{95864417-4BF3-4670-B20A-0D72AF4E75FD}"/>
    <cellStyle name="Comma 6 2 2 5" xfId="28514" xr:uid="{7FFDF6D6-6DC0-4242-A017-33A2E3E43A28}"/>
    <cellStyle name="Comma 6 2 3" xfId="6413" xr:uid="{00000000-0005-0000-0000-0000CD540000}"/>
    <cellStyle name="Comma 6 2 3 2" xfId="14385" xr:uid="{00000000-0005-0000-0000-0000CE540000}"/>
    <cellStyle name="Comma 6 2 3 2 2" xfId="38228" xr:uid="{F368D5B7-9625-4480-8893-320D4DB76FCC}"/>
    <cellStyle name="Comma 6 2 3 3" xfId="22332" xr:uid="{00000000-0005-0000-0000-0000CF540000}"/>
    <cellStyle name="Comma 6 2 3 3 2" xfId="46165" xr:uid="{307228D4-7436-4DA9-96C8-17C2B071BE96}"/>
    <cellStyle name="Comma 6 2 3 4" xfId="30287" xr:uid="{8D8503A1-D10A-4CBD-91E5-D3944F0EF55F}"/>
    <cellStyle name="Comma 6 2 4" xfId="10849" xr:uid="{00000000-0005-0000-0000-0000D0540000}"/>
    <cellStyle name="Comma 6 2 4 2" xfId="34699" xr:uid="{AF9DEA65-EA1A-4E75-B46F-26A2B01F4EAA}"/>
    <cellStyle name="Comma 6 2 5" xfId="18804" xr:uid="{00000000-0005-0000-0000-0000D1540000}"/>
    <cellStyle name="Comma 6 2 5 2" xfId="42637" xr:uid="{5EA10542-D6EC-4ABF-AC14-306BADEE5DBF}"/>
    <cellStyle name="Comma 6 2 6" xfId="26757" xr:uid="{3323436B-583A-4AA5-A258-807E7D2EA79F}"/>
    <cellStyle name="Comma 6 3" xfId="3702" xr:uid="{00000000-0005-0000-0000-0000D2540000}"/>
    <cellStyle name="Comma 6 3 2" xfId="7294" xr:uid="{00000000-0005-0000-0000-0000D3540000}"/>
    <cellStyle name="Comma 6 3 2 2" xfId="15265" xr:uid="{00000000-0005-0000-0000-0000D4540000}"/>
    <cellStyle name="Comma 6 3 2 2 2" xfId="39108" xr:uid="{96233E1A-C59D-49E6-ACAD-D90EC01C1BD3}"/>
    <cellStyle name="Comma 6 3 2 3" xfId="23211" xr:uid="{00000000-0005-0000-0000-0000D5540000}"/>
    <cellStyle name="Comma 6 3 2 3 2" xfId="47044" xr:uid="{950E093E-7AA0-4F35-923A-A1DE8669159C}"/>
    <cellStyle name="Comma 6 3 2 4" xfId="31167" xr:uid="{AC009CB1-7FF1-48A0-943D-DA244FC74042}"/>
    <cellStyle name="Comma 6 3 3" xfId="11727" xr:uid="{00000000-0005-0000-0000-0000D6540000}"/>
    <cellStyle name="Comma 6 3 3 2" xfId="35577" xr:uid="{92FCF4CA-93D1-49C5-947D-2C6568901C1E}"/>
    <cellStyle name="Comma 6 3 4" xfId="19682" xr:uid="{00000000-0005-0000-0000-0000D7540000}"/>
    <cellStyle name="Comma 6 3 4 2" xfId="43515" xr:uid="{6297DF48-9C1B-49E7-9C24-3753DE6178A0}"/>
    <cellStyle name="Comma 6 3 5" xfId="27636" xr:uid="{5FB9AC37-665A-4295-A9F8-FC413FB0682D}"/>
    <cellStyle name="Comma 6 4" xfId="5522" xr:uid="{00000000-0005-0000-0000-0000D8540000}"/>
    <cellStyle name="Comma 6 4 2" xfId="13506" xr:uid="{00000000-0005-0000-0000-0000D9540000}"/>
    <cellStyle name="Comma 6 4 2 2" xfId="37350" xr:uid="{78FA54E1-2474-43C7-995C-BBFAD35879F7}"/>
    <cellStyle name="Comma 6 4 3" xfId="21454" xr:uid="{00000000-0005-0000-0000-0000DA540000}"/>
    <cellStyle name="Comma 6 4 3 2" xfId="45287" xr:uid="{444713C9-7E23-45A9-A1F2-409A3EB01897}"/>
    <cellStyle name="Comma 6 4 4" xfId="29409" xr:uid="{BE07D250-24BB-4323-91FF-606C8630D95C}"/>
    <cellStyle name="Comma 6 5" xfId="9075" xr:uid="{00000000-0005-0000-0000-0000DB540000}"/>
    <cellStyle name="Comma 6 5 2" xfId="17033" xr:uid="{00000000-0005-0000-0000-0000DC540000}"/>
    <cellStyle name="Comma 6 5 2 2" xfId="40874" xr:uid="{02702603-92D5-4F76-8735-BAF41723D890}"/>
    <cellStyle name="Comma 6 5 3" xfId="24977" xr:uid="{00000000-0005-0000-0000-0000DD540000}"/>
    <cellStyle name="Comma 6 5 3 2" xfId="48810" xr:uid="{937A0269-3B58-4E4A-86C7-69B9A0005962}"/>
    <cellStyle name="Comma 6 5 4" xfId="32933" xr:uid="{CB6E3369-D249-4796-AFE8-1F189713B5E6}"/>
    <cellStyle name="Comma 6 6" xfId="9971" xr:uid="{00000000-0005-0000-0000-0000DE540000}"/>
    <cellStyle name="Comma 6 6 2" xfId="33821" xr:uid="{B52161C4-A6E8-4DC9-B901-1065E12AC022}"/>
    <cellStyle name="Comma 6 7" xfId="17926" xr:uid="{00000000-0005-0000-0000-0000DF540000}"/>
    <cellStyle name="Comma 6 7 2" xfId="41759" xr:uid="{E5FFEF3A-C61A-4125-A253-856C4B62C8C9}"/>
    <cellStyle name="Comma 6 8" xfId="25879" xr:uid="{C629B76B-859E-4F27-9EA3-738E7BD1F810}"/>
    <cellStyle name="Comma 7" xfId="24" xr:uid="{00000000-0005-0000-0000-0000E0540000}"/>
    <cellStyle name="Comma 8" xfId="832" xr:uid="{00000000-0005-0000-0000-0000E1540000}"/>
    <cellStyle name="Comma 8 2" xfId="1772" xr:uid="{00000000-0005-0000-0000-0000E2540000}"/>
    <cellStyle name="Comma 8 2 2" xfId="5300" xr:uid="{00000000-0005-0000-0000-0000E3540000}"/>
    <cellStyle name="Comma 8 2 2 2" xfId="8891" xr:uid="{00000000-0005-0000-0000-0000E4540000}"/>
    <cellStyle name="Comma 8 2 2 2 2" xfId="16862" xr:uid="{00000000-0005-0000-0000-0000E5540000}"/>
    <cellStyle name="Comma 8 2 2 2 2 2" xfId="40705" xr:uid="{B716F429-1DAB-4460-B786-192FFE1BD0EA}"/>
    <cellStyle name="Comma 8 2 2 2 3" xfId="24808" xr:uid="{00000000-0005-0000-0000-0000E6540000}"/>
    <cellStyle name="Comma 8 2 2 2 3 2" xfId="48641" xr:uid="{CFFC9ADA-07F8-4A04-8B54-EDF89A15B501}"/>
    <cellStyle name="Comma 8 2 2 2 4" xfId="32764" xr:uid="{F2115FBA-30C0-4963-B738-EE6C2412B00D}"/>
    <cellStyle name="Comma 8 2 2 3" xfId="13324" xr:uid="{00000000-0005-0000-0000-0000E7540000}"/>
    <cellStyle name="Comma 8 2 2 3 2" xfId="37174" xr:uid="{D0629531-BAEF-4DBC-AFBB-550FEBF85C05}"/>
    <cellStyle name="Comma 8 2 2 4" xfId="21279" xr:uid="{00000000-0005-0000-0000-0000E8540000}"/>
    <cellStyle name="Comma 8 2 2 4 2" xfId="45112" xr:uid="{16E8894A-3FE5-494D-B320-384564957F89}"/>
    <cellStyle name="Comma 8 2 2 5" xfId="29233" xr:uid="{72EC5D99-1D65-4E89-92B0-3C76B2CABFC5}"/>
    <cellStyle name="Comma 8 2 3" xfId="7132" xr:uid="{00000000-0005-0000-0000-0000E9540000}"/>
    <cellStyle name="Comma 8 2 3 2" xfId="15104" xr:uid="{00000000-0005-0000-0000-0000EA540000}"/>
    <cellStyle name="Comma 8 2 3 2 2" xfId="38947" xr:uid="{9EED6D67-B9B0-44DA-BAEC-2F335154F776}"/>
    <cellStyle name="Comma 8 2 3 3" xfId="23051" xr:uid="{00000000-0005-0000-0000-0000EB540000}"/>
    <cellStyle name="Comma 8 2 3 3 2" xfId="46884" xr:uid="{E7ADA89D-FA84-4FC1-965D-5B3532C26BFC}"/>
    <cellStyle name="Comma 8 2 3 4" xfId="31006" xr:uid="{ED4C0669-2D2D-43BD-9BE2-E091E854FAB8}"/>
    <cellStyle name="Comma 8 2 4" xfId="11568" xr:uid="{00000000-0005-0000-0000-0000EC540000}"/>
    <cellStyle name="Comma 8 2 4 2" xfId="35418" xr:uid="{14810BD4-BA09-4D2E-AAA1-0842082D3FCF}"/>
    <cellStyle name="Comma 8 2 5" xfId="19523" xr:uid="{00000000-0005-0000-0000-0000ED540000}"/>
    <cellStyle name="Comma 8 2 5 2" xfId="43356" xr:uid="{B248174A-3F52-462D-B83E-4CBD24E29F6A}"/>
    <cellStyle name="Comma 8 2 6" xfId="27476" xr:uid="{ED3E1462-4EFE-4340-AADE-A4E007A68FDB}"/>
    <cellStyle name="Comma 8 3" xfId="4421" xr:uid="{00000000-0005-0000-0000-0000EE540000}"/>
    <cellStyle name="Comma 8 3 2" xfId="8013" xr:uid="{00000000-0005-0000-0000-0000EF540000}"/>
    <cellStyle name="Comma 8 3 2 2" xfId="15984" xr:uid="{00000000-0005-0000-0000-0000F0540000}"/>
    <cellStyle name="Comma 8 3 2 2 2" xfId="39827" xr:uid="{719E92B5-4951-4D83-B51D-1D2CBD800BD9}"/>
    <cellStyle name="Comma 8 3 2 3" xfId="23930" xr:uid="{00000000-0005-0000-0000-0000F1540000}"/>
    <cellStyle name="Comma 8 3 2 3 2" xfId="47763" xr:uid="{5EF1A71E-55E0-471A-8CDF-D482C0C9EFCA}"/>
    <cellStyle name="Comma 8 3 2 4" xfId="31886" xr:uid="{0563B285-E5D2-4917-AB0D-E62CA6B16AE1}"/>
    <cellStyle name="Comma 8 3 3" xfId="12446" xr:uid="{00000000-0005-0000-0000-0000F2540000}"/>
    <cellStyle name="Comma 8 3 3 2" xfId="36296" xr:uid="{B9745409-9235-43AC-9923-FC80DD786CB2}"/>
    <cellStyle name="Comma 8 3 4" xfId="20401" xr:uid="{00000000-0005-0000-0000-0000F3540000}"/>
    <cellStyle name="Comma 8 3 4 2" xfId="44234" xr:uid="{C1C711DD-A2FA-47AC-8862-DFB0E0CC12B2}"/>
    <cellStyle name="Comma 8 3 5" xfId="28355" xr:uid="{C2FDFBEF-94A0-48DF-88DB-DFD8283A5573}"/>
    <cellStyle name="Comma 8 4" xfId="6251" xr:uid="{00000000-0005-0000-0000-0000F4540000}"/>
    <cellStyle name="Comma 8 4 2" xfId="14226" xr:uid="{00000000-0005-0000-0000-0000F5540000}"/>
    <cellStyle name="Comma 8 4 2 2" xfId="38069" xr:uid="{B22C9563-7D9C-4DD2-8805-12D018433BE1}"/>
    <cellStyle name="Comma 8 4 3" xfId="22173" xr:uid="{00000000-0005-0000-0000-0000F6540000}"/>
    <cellStyle name="Comma 8 4 3 2" xfId="46006" xr:uid="{4EF0651A-9BDB-48DB-8E3D-1824C1C2415A}"/>
    <cellStyle name="Comma 8 4 4" xfId="30128" xr:uid="{E2AB2BAA-55EE-4D0E-A94B-18F54FC55B41}"/>
    <cellStyle name="Comma 8 5" xfId="9794" xr:uid="{00000000-0005-0000-0000-0000F7540000}"/>
    <cellStyle name="Comma 8 5 2" xfId="17752" xr:uid="{00000000-0005-0000-0000-0000F8540000}"/>
    <cellStyle name="Comma 8 5 2 2" xfId="41593" xr:uid="{B9129AE9-E6E3-4B56-905F-D36DC61453A2}"/>
    <cellStyle name="Comma 8 5 3" xfId="25696" xr:uid="{00000000-0005-0000-0000-0000F9540000}"/>
    <cellStyle name="Comma 8 5 3 2" xfId="49529" xr:uid="{74B36869-51FA-4F47-887C-E9710C78EA76}"/>
    <cellStyle name="Comma 8 5 4" xfId="33652" xr:uid="{276E09B6-E1F0-4796-89B9-A730C8F33268}"/>
    <cellStyle name="Comma 8 6" xfId="10690" xr:uid="{00000000-0005-0000-0000-0000FA540000}"/>
    <cellStyle name="Comma 8 6 2" xfId="34540" xr:uid="{6CEDB4FC-6BC0-4835-B942-D429B4CDCD84}"/>
    <cellStyle name="Comma 8 7" xfId="18645" xr:uid="{00000000-0005-0000-0000-0000FB540000}"/>
    <cellStyle name="Comma 8 7 2" xfId="42478" xr:uid="{7A20DFF4-5E24-4045-AE4B-E909B13ABDBA}"/>
    <cellStyle name="Comma 8 8" xfId="25873" xr:uid="{00000000-0005-0000-0000-0000FC540000}"/>
    <cellStyle name="Comma 8 9" xfId="26598" xr:uid="{DB0E4FDA-B8B6-4050-A501-B50CE82404E4}"/>
    <cellStyle name="Comma 9" xfId="842" xr:uid="{00000000-0005-0000-0000-0000FD540000}"/>
    <cellStyle name="Comma 9 2" xfId="1781" xr:uid="{00000000-0005-0000-0000-0000FE540000}"/>
    <cellStyle name="Comma 9 2 2" xfId="5302" xr:uid="{00000000-0005-0000-0000-0000FF540000}"/>
    <cellStyle name="Comma 9 2 2 2" xfId="8893" xr:uid="{00000000-0005-0000-0000-000000550000}"/>
    <cellStyle name="Comma 9 2 2 2 2" xfId="16864" xr:uid="{00000000-0005-0000-0000-000001550000}"/>
    <cellStyle name="Comma 9 2 2 2 2 2" xfId="40707" xr:uid="{C64310D1-5AFE-4FA2-9FCE-EB4AC0FB8459}"/>
    <cellStyle name="Comma 9 2 2 2 3" xfId="24810" xr:uid="{00000000-0005-0000-0000-000002550000}"/>
    <cellStyle name="Comma 9 2 2 2 3 2" xfId="48643" xr:uid="{A25FD85D-D78A-4BF5-9C6C-7617B2C02AD4}"/>
    <cellStyle name="Comma 9 2 2 2 4" xfId="32766" xr:uid="{ACCD8FA6-9925-40EC-82C8-996D55EB6EFA}"/>
    <cellStyle name="Comma 9 2 2 3" xfId="13326" xr:uid="{00000000-0005-0000-0000-000003550000}"/>
    <cellStyle name="Comma 9 2 2 3 2" xfId="37176" xr:uid="{F1247F0B-DCB7-425E-A04E-6B511FB20EAE}"/>
    <cellStyle name="Comma 9 2 2 4" xfId="21281" xr:uid="{00000000-0005-0000-0000-000004550000}"/>
    <cellStyle name="Comma 9 2 2 4 2" xfId="45114" xr:uid="{506B9BC9-15F6-4C84-A793-F0206E7A6701}"/>
    <cellStyle name="Comma 9 2 2 5" xfId="29235" xr:uid="{20CC605C-4827-4040-8452-CDD8D767DEBD}"/>
    <cellStyle name="Comma 9 2 3" xfId="7134" xr:uid="{00000000-0005-0000-0000-000005550000}"/>
    <cellStyle name="Comma 9 2 3 2" xfId="15106" xr:uid="{00000000-0005-0000-0000-000006550000}"/>
    <cellStyle name="Comma 9 2 3 2 2" xfId="38949" xr:uid="{5A676071-BDE9-4557-A16A-F736C373BEC4}"/>
    <cellStyle name="Comma 9 2 3 3" xfId="23053" xr:uid="{00000000-0005-0000-0000-000007550000}"/>
    <cellStyle name="Comma 9 2 3 3 2" xfId="46886" xr:uid="{545E92D1-9118-403B-B458-286BDF169250}"/>
    <cellStyle name="Comma 9 2 3 4" xfId="31008" xr:uid="{9EC32253-DA66-4D54-BA25-E6E287B7A0F0}"/>
    <cellStyle name="Comma 9 2 4" xfId="11570" xr:uid="{00000000-0005-0000-0000-000008550000}"/>
    <cellStyle name="Comma 9 2 4 2" xfId="35420" xr:uid="{B63A9056-6995-4BD4-B6D9-77EC69DA2677}"/>
    <cellStyle name="Comma 9 2 5" xfId="19525" xr:uid="{00000000-0005-0000-0000-000009550000}"/>
    <cellStyle name="Comma 9 2 5 2" xfId="43358" xr:uid="{38A84370-E6F7-4001-A0AF-E82EDCA0CF91}"/>
    <cellStyle name="Comma 9 2 6" xfId="27478" xr:uid="{7F765011-244C-4FA1-BD77-0093180E5BC0}"/>
    <cellStyle name="Comma 9 3" xfId="4423" xr:uid="{00000000-0005-0000-0000-00000A550000}"/>
    <cellStyle name="Comma 9 3 2" xfId="8015" xr:uid="{00000000-0005-0000-0000-00000B550000}"/>
    <cellStyle name="Comma 9 3 2 2" xfId="15986" xr:uid="{00000000-0005-0000-0000-00000C550000}"/>
    <cellStyle name="Comma 9 3 2 2 2" xfId="39829" xr:uid="{308C8439-434D-421F-958E-5C81501AA0E8}"/>
    <cellStyle name="Comma 9 3 2 3" xfId="23932" xr:uid="{00000000-0005-0000-0000-00000D550000}"/>
    <cellStyle name="Comma 9 3 2 3 2" xfId="47765" xr:uid="{F305002B-49F7-4CD4-8348-78B5D925A7C0}"/>
    <cellStyle name="Comma 9 3 2 4" xfId="31888" xr:uid="{0DCC0B0E-4A3E-4953-A9A7-271BD33194A7}"/>
    <cellStyle name="Comma 9 3 3" xfId="12448" xr:uid="{00000000-0005-0000-0000-00000E550000}"/>
    <cellStyle name="Comma 9 3 3 2" xfId="36298" xr:uid="{81EE3CAE-F6BA-44CC-BE04-E77DDD1C4E0F}"/>
    <cellStyle name="Comma 9 3 4" xfId="20403" xr:uid="{00000000-0005-0000-0000-00000F550000}"/>
    <cellStyle name="Comma 9 3 4 2" xfId="44236" xr:uid="{904FCA4B-5CB2-41D7-9F17-9BFC0F9C770B}"/>
    <cellStyle name="Comma 9 3 5" xfId="28357" xr:uid="{0286B787-E1FE-49D6-A866-5C4CF259F609}"/>
    <cellStyle name="Comma 9 4" xfId="6253" xr:uid="{00000000-0005-0000-0000-000010550000}"/>
    <cellStyle name="Comma 9 4 2" xfId="14228" xr:uid="{00000000-0005-0000-0000-000011550000}"/>
    <cellStyle name="Comma 9 4 2 2" xfId="38071" xr:uid="{2F05F03C-3123-42D8-90FF-FFED3614EAE5}"/>
    <cellStyle name="Comma 9 4 3" xfId="22175" xr:uid="{00000000-0005-0000-0000-000012550000}"/>
    <cellStyle name="Comma 9 4 3 2" xfId="46008" xr:uid="{F8D8BB9E-5C94-4CD3-8998-9528AA1D318C}"/>
    <cellStyle name="Comma 9 4 4" xfId="30130" xr:uid="{8788ECC4-A1E4-4CC2-9D2D-B79472B10C34}"/>
    <cellStyle name="Comma 9 5" xfId="9796" xr:uid="{00000000-0005-0000-0000-000013550000}"/>
    <cellStyle name="Comma 9 5 2" xfId="17754" xr:uid="{00000000-0005-0000-0000-000014550000}"/>
    <cellStyle name="Comma 9 5 2 2" xfId="41595" xr:uid="{9133BC1D-5069-4919-9461-4DAD33303C01}"/>
    <cellStyle name="Comma 9 5 3" xfId="25698" xr:uid="{00000000-0005-0000-0000-000015550000}"/>
    <cellStyle name="Comma 9 5 3 2" xfId="49531" xr:uid="{E1994D8A-03BD-41BD-B08D-884CC1F9BD25}"/>
    <cellStyle name="Comma 9 5 4" xfId="33654" xr:uid="{80ABFFCF-319A-4FD7-8606-2A5D71FB8CAE}"/>
    <cellStyle name="Comma 9 6" xfId="10692" xr:uid="{00000000-0005-0000-0000-000016550000}"/>
    <cellStyle name="Comma 9 6 2" xfId="34542" xr:uid="{F9737597-DC56-4D30-9062-205832782F4C}"/>
    <cellStyle name="Comma 9 7" xfId="18647" xr:uid="{00000000-0005-0000-0000-000017550000}"/>
    <cellStyle name="Comma 9 7 2" xfId="42480" xr:uid="{D5DFE61B-F1C9-49C2-A6E3-75D85ED29D1F}"/>
    <cellStyle name="Comma 9 8" xfId="26600" xr:uid="{D7F788D2-E939-4D1B-8EA7-421E7D53883E}"/>
    <cellStyle name="Currency" xfId="25862" builtinId="4"/>
    <cellStyle name="Currency 2" xfId="6" xr:uid="{00000000-0005-0000-0000-000019550000}"/>
    <cellStyle name="Currency 2 2" xfId="1010" xr:uid="{00000000-0005-0000-0000-00001A550000}"/>
    <cellStyle name="Currency 2 3" xfId="1047" xr:uid="{00000000-0005-0000-0000-00001B550000}"/>
    <cellStyle name="Currency 3" xfId="738" xr:uid="{00000000-0005-0000-0000-00001C550000}"/>
    <cellStyle name="Currency 3 2" xfId="1011" xr:uid="{00000000-0005-0000-0000-00001D550000}"/>
    <cellStyle name="Currency 3 3" xfId="1766" xr:uid="{00000000-0005-0000-0000-00001E550000}"/>
    <cellStyle name="Currency 3 3 2" xfId="5296" xr:uid="{00000000-0005-0000-0000-00001F550000}"/>
    <cellStyle name="Currency 3 3 2 2" xfId="8887" xr:uid="{00000000-0005-0000-0000-000020550000}"/>
    <cellStyle name="Currency 3 3 2 2 2" xfId="16858" xr:uid="{00000000-0005-0000-0000-000021550000}"/>
    <cellStyle name="Currency 3 3 2 2 2 2" xfId="40701" xr:uid="{EA472BB2-55CB-4EE7-B0D8-0D466479A0CE}"/>
    <cellStyle name="Currency 3 3 2 2 3" xfId="24804" xr:uid="{00000000-0005-0000-0000-000022550000}"/>
    <cellStyle name="Currency 3 3 2 2 3 2" xfId="48637" xr:uid="{8FDAB535-DFB6-4F31-AD80-8B7B0172D5F7}"/>
    <cellStyle name="Currency 3 3 2 2 4" xfId="32760" xr:uid="{40132057-41D7-47F3-B5A5-914A2B9F41B9}"/>
    <cellStyle name="Currency 3 3 2 3" xfId="13320" xr:uid="{00000000-0005-0000-0000-000023550000}"/>
    <cellStyle name="Currency 3 3 2 3 2" xfId="37170" xr:uid="{27BCEB9A-F074-428B-B001-55BEDC9BDD82}"/>
    <cellStyle name="Currency 3 3 2 4" xfId="21275" xr:uid="{00000000-0005-0000-0000-000024550000}"/>
    <cellStyle name="Currency 3 3 2 4 2" xfId="45108" xr:uid="{D95A5B87-26C7-4AB7-9A9B-BE7AFB0F5938}"/>
    <cellStyle name="Currency 3 3 2 5" xfId="29229" xr:uid="{99867459-6A9C-4DE4-90F0-FEC3B4A6080E}"/>
    <cellStyle name="Currency 3 3 3" xfId="7128" xr:uid="{00000000-0005-0000-0000-000025550000}"/>
    <cellStyle name="Currency 3 3 3 2" xfId="15100" xr:uid="{00000000-0005-0000-0000-000026550000}"/>
    <cellStyle name="Currency 3 3 3 2 2" xfId="38943" xr:uid="{6FB7396D-802A-4FF9-81B0-5728A39A3D5D}"/>
    <cellStyle name="Currency 3 3 3 3" xfId="23047" xr:uid="{00000000-0005-0000-0000-000027550000}"/>
    <cellStyle name="Currency 3 3 3 3 2" xfId="46880" xr:uid="{74FBC1DD-E616-423B-98C8-9351D1AAF58E}"/>
    <cellStyle name="Currency 3 3 3 4" xfId="31002" xr:uid="{9FE46DF2-02A1-4128-B70D-88D4A020F707}"/>
    <cellStyle name="Currency 3 3 4" xfId="11564" xr:uid="{00000000-0005-0000-0000-000028550000}"/>
    <cellStyle name="Currency 3 3 4 2" xfId="35414" xr:uid="{9BFF75A6-82ED-49CE-8A73-459822B49255}"/>
    <cellStyle name="Currency 3 3 5" xfId="19519" xr:uid="{00000000-0005-0000-0000-000029550000}"/>
    <cellStyle name="Currency 3 3 5 2" xfId="43352" xr:uid="{789AB769-D43C-4520-8218-9B1F5B6C496D}"/>
    <cellStyle name="Currency 3 3 6" xfId="27472" xr:uid="{8C1EF308-B8AA-4D10-900B-C2CBBFF760BF}"/>
    <cellStyle name="Currency 3 4" xfId="4417" xr:uid="{00000000-0005-0000-0000-00002A550000}"/>
    <cellStyle name="Currency 3 4 2" xfId="8009" xr:uid="{00000000-0005-0000-0000-00002B550000}"/>
    <cellStyle name="Currency 3 4 2 2" xfId="15980" xr:uid="{00000000-0005-0000-0000-00002C550000}"/>
    <cellStyle name="Currency 3 4 2 2 2" xfId="39823" xr:uid="{27571641-1CC0-4246-B552-7E2127F82548}"/>
    <cellStyle name="Currency 3 4 2 3" xfId="23926" xr:uid="{00000000-0005-0000-0000-00002D550000}"/>
    <cellStyle name="Currency 3 4 2 3 2" xfId="47759" xr:uid="{DCD6B89A-B7C1-4221-A920-E834208EC438}"/>
    <cellStyle name="Currency 3 4 2 4" xfId="31882" xr:uid="{262FFA34-38BF-45F9-9F46-1CF79372B6D8}"/>
    <cellStyle name="Currency 3 4 3" xfId="12442" xr:uid="{00000000-0005-0000-0000-00002E550000}"/>
    <cellStyle name="Currency 3 4 3 2" xfId="36292" xr:uid="{C9EEB68A-433C-4E65-A057-368E96D7036B}"/>
    <cellStyle name="Currency 3 4 4" xfId="20397" xr:uid="{00000000-0005-0000-0000-00002F550000}"/>
    <cellStyle name="Currency 3 4 4 2" xfId="44230" xr:uid="{691C43CB-A38A-49EB-9BC5-8A1C927F8564}"/>
    <cellStyle name="Currency 3 4 5" xfId="28351" xr:uid="{937E3829-5182-4A36-B4EE-A81117C54678}"/>
    <cellStyle name="Currency 3 5" xfId="6237" xr:uid="{00000000-0005-0000-0000-000030550000}"/>
    <cellStyle name="Currency 3 5 2" xfId="14221" xr:uid="{00000000-0005-0000-0000-000031550000}"/>
    <cellStyle name="Currency 3 5 2 2" xfId="38065" xr:uid="{C079D5F6-326E-4BC8-813F-DDD32AB6D734}"/>
    <cellStyle name="Currency 3 5 3" xfId="22169" xr:uid="{00000000-0005-0000-0000-000032550000}"/>
    <cellStyle name="Currency 3 5 3 2" xfId="46002" xr:uid="{D9411BB0-17E0-411F-B47B-665010639D41}"/>
    <cellStyle name="Currency 3 5 4" xfId="30124" xr:uid="{1112B925-C2E4-40DA-9734-A200FDEDC524}"/>
    <cellStyle name="Currency 3 6" xfId="9790" xr:uid="{00000000-0005-0000-0000-000033550000}"/>
    <cellStyle name="Currency 3 6 2" xfId="17748" xr:uid="{00000000-0005-0000-0000-000034550000}"/>
    <cellStyle name="Currency 3 6 2 2" xfId="41589" xr:uid="{2CA33AD9-B27C-447D-BE0A-A8B1C751C8C7}"/>
    <cellStyle name="Currency 3 6 3" xfId="25692" xr:uid="{00000000-0005-0000-0000-000035550000}"/>
    <cellStyle name="Currency 3 6 3 2" xfId="49525" xr:uid="{AA14994E-0551-426D-84F5-E4931AB7B3C8}"/>
    <cellStyle name="Currency 3 6 4" xfId="33648" xr:uid="{0487A313-86EA-404E-BD1D-A0B3F3AD14D5}"/>
    <cellStyle name="Currency 3 7" xfId="10686" xr:uid="{00000000-0005-0000-0000-000036550000}"/>
    <cellStyle name="Currency 3 7 2" xfId="34536" xr:uid="{A4A2494C-5E8B-4461-AB07-965CB5C72F80}"/>
    <cellStyle name="Currency 3 8" xfId="18641" xr:uid="{00000000-0005-0000-0000-000037550000}"/>
    <cellStyle name="Currency 3 8 2" xfId="42474" xr:uid="{D195841E-0ACB-43F4-9035-F42AD7C65AD7}"/>
    <cellStyle name="Currency 3 9" xfId="26594" xr:uid="{2EAA38F5-A220-445D-9EB4-C211CDF0A1D1}"/>
    <cellStyle name="Currency 4" xfId="856" xr:uid="{00000000-0005-0000-0000-000038550000}"/>
    <cellStyle name="Currency 4 2" xfId="1795" xr:uid="{00000000-0005-0000-0000-000039550000}"/>
    <cellStyle name="Currency 4 2 2" xfId="5316" xr:uid="{00000000-0005-0000-0000-00003A550000}"/>
    <cellStyle name="Currency 4 2 2 2" xfId="8907" xr:uid="{00000000-0005-0000-0000-00003B550000}"/>
    <cellStyle name="Currency 4 2 2 2 2" xfId="16878" xr:uid="{00000000-0005-0000-0000-00003C550000}"/>
    <cellStyle name="Currency 4 2 2 2 2 2" xfId="40721" xr:uid="{1CF14D70-53B2-4E99-A32E-8FBDC50FB881}"/>
    <cellStyle name="Currency 4 2 2 2 3" xfId="24824" xr:uid="{00000000-0005-0000-0000-00003D550000}"/>
    <cellStyle name="Currency 4 2 2 2 3 2" xfId="48657" xr:uid="{40D930AE-8B3A-451C-9C8B-6F06168C53A1}"/>
    <cellStyle name="Currency 4 2 2 2 4" xfId="32780" xr:uid="{9670DE16-3690-4F9E-A365-05DE3991F427}"/>
    <cellStyle name="Currency 4 2 2 3" xfId="13340" xr:uid="{00000000-0005-0000-0000-00003E550000}"/>
    <cellStyle name="Currency 4 2 2 3 2" xfId="37190" xr:uid="{48446424-924C-4BE2-B941-A2485A380B2F}"/>
    <cellStyle name="Currency 4 2 2 4" xfId="21295" xr:uid="{00000000-0005-0000-0000-00003F550000}"/>
    <cellStyle name="Currency 4 2 2 4 2" xfId="45128" xr:uid="{13ECE452-4A9C-4F8F-BC14-7099E00B2612}"/>
    <cellStyle name="Currency 4 2 2 5" xfId="29249" xr:uid="{F778B105-BCE7-4C09-B43E-8D5535928E39}"/>
    <cellStyle name="Currency 4 2 3" xfId="7148" xr:uid="{00000000-0005-0000-0000-000040550000}"/>
    <cellStyle name="Currency 4 2 3 2" xfId="15120" xr:uid="{00000000-0005-0000-0000-000041550000}"/>
    <cellStyle name="Currency 4 2 3 2 2" xfId="38963" xr:uid="{204C97A7-A419-4D14-909D-8968E01E4E67}"/>
    <cellStyle name="Currency 4 2 3 3" xfId="23067" xr:uid="{00000000-0005-0000-0000-000042550000}"/>
    <cellStyle name="Currency 4 2 3 3 2" xfId="46900" xr:uid="{9910C7AD-93C0-493A-9B02-F2AB54F6FB1B}"/>
    <cellStyle name="Currency 4 2 3 4" xfId="31022" xr:uid="{0A29C8D5-18ED-4C21-9D08-DC1BA3CB2067}"/>
    <cellStyle name="Currency 4 2 4" xfId="11584" xr:uid="{00000000-0005-0000-0000-000043550000}"/>
    <cellStyle name="Currency 4 2 4 2" xfId="35434" xr:uid="{D1C73544-57FD-4C88-AD1D-79C80DB162DC}"/>
    <cellStyle name="Currency 4 2 5" xfId="19539" xr:uid="{00000000-0005-0000-0000-000044550000}"/>
    <cellStyle name="Currency 4 2 5 2" xfId="43372" xr:uid="{A8B24106-2C2C-4EDF-881D-CC9FC1492581}"/>
    <cellStyle name="Currency 4 2 6" xfId="27492" xr:uid="{8AFEE362-71B3-422D-A709-D34CFB393F96}"/>
    <cellStyle name="Currency 4 3" xfId="4437" xr:uid="{00000000-0005-0000-0000-000045550000}"/>
    <cellStyle name="Currency 4 3 2" xfId="8029" xr:uid="{00000000-0005-0000-0000-000046550000}"/>
    <cellStyle name="Currency 4 3 2 2" xfId="16000" xr:uid="{00000000-0005-0000-0000-000047550000}"/>
    <cellStyle name="Currency 4 3 2 2 2" xfId="39843" xr:uid="{82C300E8-1F1C-4644-BB6B-DF8CD8579AD8}"/>
    <cellStyle name="Currency 4 3 2 3" xfId="23946" xr:uid="{00000000-0005-0000-0000-000048550000}"/>
    <cellStyle name="Currency 4 3 2 3 2" xfId="47779" xr:uid="{4309BD43-5C52-4EB2-AE2D-DC0C98B103C4}"/>
    <cellStyle name="Currency 4 3 2 4" xfId="31902" xr:uid="{ECDFA803-B63D-45A8-982B-78D720D1A4E3}"/>
    <cellStyle name="Currency 4 3 3" xfId="12462" xr:uid="{00000000-0005-0000-0000-000049550000}"/>
    <cellStyle name="Currency 4 3 3 2" xfId="36312" xr:uid="{3B97CACB-1516-4CC6-B039-4BB0BB216B0B}"/>
    <cellStyle name="Currency 4 3 4" xfId="20417" xr:uid="{00000000-0005-0000-0000-00004A550000}"/>
    <cellStyle name="Currency 4 3 4 2" xfId="44250" xr:uid="{85A31EE6-B6C2-4D07-AE35-43D4A03798B0}"/>
    <cellStyle name="Currency 4 3 5" xfId="28371" xr:uid="{443E8320-94BF-43D9-A80A-77AC9B286358}"/>
    <cellStyle name="Currency 4 4" xfId="6267" xr:uid="{00000000-0005-0000-0000-00004B550000}"/>
    <cellStyle name="Currency 4 4 2" xfId="14242" xr:uid="{00000000-0005-0000-0000-00004C550000}"/>
    <cellStyle name="Currency 4 4 2 2" xfId="38085" xr:uid="{55EBBA84-8DC2-43D5-A5DE-CF0DA0571D3F}"/>
    <cellStyle name="Currency 4 4 3" xfId="22189" xr:uid="{00000000-0005-0000-0000-00004D550000}"/>
    <cellStyle name="Currency 4 4 3 2" xfId="46022" xr:uid="{1373C0CF-A5D9-49DD-A9E7-766792E9020B}"/>
    <cellStyle name="Currency 4 4 4" xfId="30144" xr:uid="{A148A315-71DC-42BB-BFA5-371C5F4CA498}"/>
    <cellStyle name="Currency 4 5" xfId="9810" xr:uid="{00000000-0005-0000-0000-00004E550000}"/>
    <cellStyle name="Currency 4 5 2" xfId="17768" xr:uid="{00000000-0005-0000-0000-00004F550000}"/>
    <cellStyle name="Currency 4 5 2 2" xfId="41609" xr:uid="{91C95C67-6FD2-4DE3-B3B7-71E1BE178C48}"/>
    <cellStyle name="Currency 4 5 3" xfId="25712" xr:uid="{00000000-0005-0000-0000-000050550000}"/>
    <cellStyle name="Currency 4 5 3 2" xfId="49545" xr:uid="{11E94B8A-A94C-4C02-9883-52A430E59E2E}"/>
    <cellStyle name="Currency 4 5 4" xfId="33668" xr:uid="{687E51A9-C155-450E-B6A0-2F5A07D47737}"/>
    <cellStyle name="Currency 4 6" xfId="10706" xr:uid="{00000000-0005-0000-0000-000051550000}"/>
    <cellStyle name="Currency 4 6 2" xfId="34556" xr:uid="{A7C07787-9449-499E-9420-C82EE56B1432}"/>
    <cellStyle name="Currency 4 7" xfId="18661" xr:uid="{00000000-0005-0000-0000-000052550000}"/>
    <cellStyle name="Currency 4 7 2" xfId="42494" xr:uid="{15733223-3EA7-4A12-9EB8-7497A38B71D4}"/>
    <cellStyle name="Currency 4 8" xfId="26614" xr:uid="{EF7A05FB-48A3-42CC-8BE0-C7BDBD5BB694}"/>
    <cellStyle name="Currency 5" xfId="25868" xr:uid="{00000000-0005-0000-0000-000053550000}"/>
    <cellStyle name="Currency 5 2" xfId="49695" xr:uid="{38AD2883-F391-4B42-9EE6-00F526A43021}"/>
    <cellStyle name="Currency 8" xfId="25874" xr:uid="{00000000-0005-0000-0000-000054550000}"/>
    <cellStyle name="Explanatory Text 2" xfId="787" xr:uid="{00000000-0005-0000-0000-000055550000}"/>
    <cellStyle name="Explanatory Text 3" xfId="788" xr:uid="{00000000-0005-0000-0000-000056550000}"/>
    <cellStyle name="Explanatory Text 4" xfId="789" xr:uid="{00000000-0005-0000-0000-000057550000}"/>
    <cellStyle name="Good 2" xfId="790" xr:uid="{00000000-0005-0000-0000-000058550000}"/>
    <cellStyle name="Good 3" xfId="791" xr:uid="{00000000-0005-0000-0000-000059550000}"/>
    <cellStyle name="Good 4" xfId="792" xr:uid="{00000000-0005-0000-0000-00005A550000}"/>
    <cellStyle name="Heading 1 2" xfId="793" xr:uid="{00000000-0005-0000-0000-00005B550000}"/>
    <cellStyle name="Heading 1 3" xfId="794" xr:uid="{00000000-0005-0000-0000-00005C550000}"/>
    <cellStyle name="Heading 1 4" xfId="795" xr:uid="{00000000-0005-0000-0000-00005D550000}"/>
    <cellStyle name="Heading 2 2" xfId="796" xr:uid="{00000000-0005-0000-0000-00005E550000}"/>
    <cellStyle name="Heading 2 3" xfId="797" xr:uid="{00000000-0005-0000-0000-00005F550000}"/>
    <cellStyle name="Heading 2 4" xfId="798" xr:uid="{00000000-0005-0000-0000-000060550000}"/>
    <cellStyle name="Heading 3 2" xfId="799" xr:uid="{00000000-0005-0000-0000-000061550000}"/>
    <cellStyle name="Heading 3 3" xfId="800" xr:uid="{00000000-0005-0000-0000-000062550000}"/>
    <cellStyle name="Heading 3 4" xfId="801" xr:uid="{00000000-0005-0000-0000-000063550000}"/>
    <cellStyle name="Heading 4 2" xfId="802" xr:uid="{00000000-0005-0000-0000-000064550000}"/>
    <cellStyle name="Heading 4 3" xfId="803" xr:uid="{00000000-0005-0000-0000-000065550000}"/>
    <cellStyle name="Heading 4 4" xfId="804" xr:uid="{00000000-0005-0000-0000-000066550000}"/>
    <cellStyle name="Hyperlink" xfId="861" builtinId="8" customBuiltin="1"/>
    <cellStyle name="Input 2" xfId="805" xr:uid="{00000000-0005-0000-0000-000068550000}"/>
    <cellStyle name="Input 3" xfId="806" xr:uid="{00000000-0005-0000-0000-000069550000}"/>
    <cellStyle name="Input 3 2" xfId="6240" xr:uid="{00000000-0005-0000-0000-00006A550000}"/>
    <cellStyle name="Input 4" xfId="807" xr:uid="{00000000-0005-0000-0000-00006B550000}"/>
    <cellStyle name="Input 4 2" xfId="6241" xr:uid="{00000000-0005-0000-0000-00006C550000}"/>
    <cellStyle name="Linked Cell 2" xfId="808" xr:uid="{00000000-0005-0000-0000-00006D550000}"/>
    <cellStyle name="Linked Cell 3" xfId="809" xr:uid="{00000000-0005-0000-0000-00006E550000}"/>
    <cellStyle name="Linked Cell 4" xfId="810" xr:uid="{00000000-0005-0000-0000-00006F550000}"/>
    <cellStyle name="Neutral 2" xfId="811" xr:uid="{00000000-0005-0000-0000-000070550000}"/>
    <cellStyle name="Neutral 3" xfId="812" xr:uid="{00000000-0005-0000-0000-000071550000}"/>
    <cellStyle name="Neutral 4" xfId="813" xr:uid="{00000000-0005-0000-0000-000072550000}"/>
    <cellStyle name="Normal" xfId="0" builtinId="0"/>
    <cellStyle name="Normal 10" xfId="637" xr:uid="{00000000-0005-0000-0000-000074550000}"/>
    <cellStyle name="Normal 10 10" xfId="18540" xr:uid="{00000000-0005-0000-0000-000075550000}"/>
    <cellStyle name="Normal 10 10 2" xfId="42373" xr:uid="{57746921-BD69-4D6C-9FD1-492BE3D3DF84}"/>
    <cellStyle name="Normal 10 11" xfId="26493" xr:uid="{46CC67B4-9435-4AC9-9CDB-F39241915F28}"/>
    <cellStyle name="Normal 10 2" xfId="638" xr:uid="{00000000-0005-0000-0000-000076550000}"/>
    <cellStyle name="Normal 10 2 2" xfId="639" xr:uid="{00000000-0005-0000-0000-000077550000}"/>
    <cellStyle name="Normal 10 2 2 2" xfId="1667" xr:uid="{00000000-0005-0000-0000-000078550000}"/>
    <cellStyle name="Normal 10 2 2 2 2" xfId="5197" xr:uid="{00000000-0005-0000-0000-000079550000}"/>
    <cellStyle name="Normal 10 2 2 2 2 2" xfId="8788" xr:uid="{00000000-0005-0000-0000-00007A550000}"/>
    <cellStyle name="Normal 10 2 2 2 2 2 2" xfId="16759" xr:uid="{00000000-0005-0000-0000-00007B550000}"/>
    <cellStyle name="Normal 10 2 2 2 2 2 2 2" xfId="40602" xr:uid="{E6D73B67-D217-4F30-A4A7-60DB1C5EBD21}"/>
    <cellStyle name="Normal 10 2 2 2 2 2 3" xfId="24705" xr:uid="{00000000-0005-0000-0000-00007C550000}"/>
    <cellStyle name="Normal 10 2 2 2 2 2 3 2" xfId="48538" xr:uid="{A89197A8-1F9E-4C4C-A265-B7830CB17DD0}"/>
    <cellStyle name="Normal 10 2 2 2 2 2 4" xfId="32661" xr:uid="{598B85F2-1803-4144-9F27-A02A87B12DC7}"/>
    <cellStyle name="Normal 10 2 2 2 2 3" xfId="13221" xr:uid="{00000000-0005-0000-0000-00007D550000}"/>
    <cellStyle name="Normal 10 2 2 2 2 3 2" xfId="37071" xr:uid="{B8AB697E-3AA4-49C9-A315-6AA8CCEB65B9}"/>
    <cellStyle name="Normal 10 2 2 2 2 4" xfId="21176" xr:uid="{00000000-0005-0000-0000-00007E550000}"/>
    <cellStyle name="Normal 10 2 2 2 2 4 2" xfId="45009" xr:uid="{A08CECA7-28FC-451E-99EA-A10E5B6F92B5}"/>
    <cellStyle name="Normal 10 2 2 2 2 5" xfId="29130" xr:uid="{9BC0FC25-FE68-4674-ACDB-6D898614E39F}"/>
    <cellStyle name="Normal 10 2 2 2 3" xfId="7029" xr:uid="{00000000-0005-0000-0000-00007F550000}"/>
    <cellStyle name="Normal 10 2 2 2 3 2" xfId="15001" xr:uid="{00000000-0005-0000-0000-000080550000}"/>
    <cellStyle name="Normal 10 2 2 2 3 2 2" xfId="38844" xr:uid="{22328719-8F6D-4409-8158-3656D1BC05C4}"/>
    <cellStyle name="Normal 10 2 2 2 3 3" xfId="22948" xr:uid="{00000000-0005-0000-0000-000081550000}"/>
    <cellStyle name="Normal 10 2 2 2 3 3 2" xfId="46781" xr:uid="{6D9D20A2-1171-4169-A9FE-F3A7A211F1B6}"/>
    <cellStyle name="Normal 10 2 2 2 3 4" xfId="30903" xr:uid="{8E7AB1CB-74A4-42F9-867C-C3A98CADD984}"/>
    <cellStyle name="Normal 10 2 2 2 4" xfId="11465" xr:uid="{00000000-0005-0000-0000-000082550000}"/>
    <cellStyle name="Normal 10 2 2 2 4 2" xfId="35315" xr:uid="{FD9FEA27-4699-410C-B5EA-04E00DE7D00B}"/>
    <cellStyle name="Normal 10 2 2 2 5" xfId="19420" xr:uid="{00000000-0005-0000-0000-000083550000}"/>
    <cellStyle name="Normal 10 2 2 2 5 2" xfId="43253" xr:uid="{AB2551EC-AD49-46E6-A49C-3284AC7E8495}"/>
    <cellStyle name="Normal 10 2 2 2 6" xfId="27373" xr:uid="{8D420A1D-6F02-4297-9DD0-C58DB909C318}"/>
    <cellStyle name="Normal 10 2 2 2_Exh G" xfId="3432" xr:uid="{00000000-0005-0000-0000-000084550000}"/>
    <cellStyle name="Normal 10 2 2 3" xfId="4318" xr:uid="{00000000-0005-0000-0000-000085550000}"/>
    <cellStyle name="Normal 10 2 2 3 2" xfId="7910" xr:uid="{00000000-0005-0000-0000-000086550000}"/>
    <cellStyle name="Normal 10 2 2 3 2 2" xfId="15881" xr:uid="{00000000-0005-0000-0000-000087550000}"/>
    <cellStyle name="Normal 10 2 2 3 2 2 2" xfId="39724" xr:uid="{FD83B70D-F960-40C9-8DDB-4FBCC149D08E}"/>
    <cellStyle name="Normal 10 2 2 3 2 3" xfId="23827" xr:uid="{00000000-0005-0000-0000-000088550000}"/>
    <cellStyle name="Normal 10 2 2 3 2 3 2" xfId="47660" xr:uid="{D9C61633-0706-4768-AB1E-76280C568829}"/>
    <cellStyle name="Normal 10 2 2 3 2 4" xfId="31783" xr:uid="{40AFAA35-C8C1-41E9-AB2E-2935CB78FB8A}"/>
    <cellStyle name="Normal 10 2 2 3 3" xfId="12343" xr:uid="{00000000-0005-0000-0000-000089550000}"/>
    <cellStyle name="Normal 10 2 2 3 3 2" xfId="36193" xr:uid="{5FB21842-81D1-4E65-BD60-D6608DB74E16}"/>
    <cellStyle name="Normal 10 2 2 3 4" xfId="20298" xr:uid="{00000000-0005-0000-0000-00008A550000}"/>
    <cellStyle name="Normal 10 2 2 3 4 2" xfId="44131" xr:uid="{463CF005-F70D-4FC9-B1D3-E889D0153FC1}"/>
    <cellStyle name="Normal 10 2 2 3 5" xfId="28252" xr:uid="{517925E0-346E-4AD6-A2A3-62FE40EB256A}"/>
    <cellStyle name="Normal 10 2 2 4" xfId="6138" xr:uid="{00000000-0005-0000-0000-00008B550000}"/>
    <cellStyle name="Normal 10 2 2 4 2" xfId="14122" xr:uid="{00000000-0005-0000-0000-00008C550000}"/>
    <cellStyle name="Normal 10 2 2 4 2 2" xfId="37966" xr:uid="{291FED6B-68CB-4E2A-9528-14F5EDA72929}"/>
    <cellStyle name="Normal 10 2 2 4 3" xfId="22070" xr:uid="{00000000-0005-0000-0000-00008D550000}"/>
    <cellStyle name="Normal 10 2 2 4 3 2" xfId="45903" xr:uid="{0B4EB633-CEE0-45F0-A010-C46684A740C2}"/>
    <cellStyle name="Normal 10 2 2 4 4" xfId="30025" xr:uid="{0B23D911-7AF7-4992-B124-61FB85D85FB2}"/>
    <cellStyle name="Normal 10 2 2 5" xfId="9691" xr:uid="{00000000-0005-0000-0000-00008E550000}"/>
    <cellStyle name="Normal 10 2 2 5 2" xfId="17649" xr:uid="{00000000-0005-0000-0000-00008F550000}"/>
    <cellStyle name="Normal 10 2 2 5 2 2" xfId="41490" xr:uid="{14FA5479-8A0E-49DC-9820-2FAF7F340A46}"/>
    <cellStyle name="Normal 10 2 2 5 3" xfId="25593" xr:uid="{00000000-0005-0000-0000-000090550000}"/>
    <cellStyle name="Normal 10 2 2 5 3 2" xfId="49426" xr:uid="{23D7EFCC-081F-4AF9-90A4-BD383F1E9EB7}"/>
    <cellStyle name="Normal 10 2 2 5 4" xfId="33549" xr:uid="{708A5EDC-34B7-4B93-9B20-906C912AAA9C}"/>
    <cellStyle name="Normal 10 2 2 6" xfId="10587" xr:uid="{00000000-0005-0000-0000-000091550000}"/>
    <cellStyle name="Normal 10 2 2 6 2" xfId="34437" xr:uid="{B521DABD-C4FD-46D7-8AB8-2C4B6783D41E}"/>
    <cellStyle name="Normal 10 2 2 7" xfId="18542" xr:uid="{00000000-0005-0000-0000-000092550000}"/>
    <cellStyle name="Normal 10 2 2 7 2" xfId="42375" xr:uid="{2970B194-2BA3-4647-8BA0-D44AC6F0B24D}"/>
    <cellStyle name="Normal 10 2 2 8" xfId="26495" xr:uid="{A8C6CEF6-39C4-4CD6-A6A3-7AB3A9717C9D}"/>
    <cellStyle name="Normal 10 2 2_Exh G" xfId="3431" xr:uid="{00000000-0005-0000-0000-000093550000}"/>
    <cellStyle name="Normal 10 2 3" xfId="1666" xr:uid="{00000000-0005-0000-0000-000094550000}"/>
    <cellStyle name="Normal 10 2 3 2" xfId="5196" xr:uid="{00000000-0005-0000-0000-000095550000}"/>
    <cellStyle name="Normal 10 2 3 2 2" xfId="8787" xr:uid="{00000000-0005-0000-0000-000096550000}"/>
    <cellStyle name="Normal 10 2 3 2 2 2" xfId="16758" xr:uid="{00000000-0005-0000-0000-000097550000}"/>
    <cellStyle name="Normal 10 2 3 2 2 2 2" xfId="40601" xr:uid="{F42A0A29-5127-473F-84B3-E75394BDBF7E}"/>
    <cellStyle name="Normal 10 2 3 2 2 3" xfId="24704" xr:uid="{00000000-0005-0000-0000-000098550000}"/>
    <cellStyle name="Normal 10 2 3 2 2 3 2" xfId="48537" xr:uid="{AD094BA7-491F-4BF0-8DC5-3E3DA90BA968}"/>
    <cellStyle name="Normal 10 2 3 2 2 4" xfId="32660" xr:uid="{712B91E4-54B7-41F5-86AD-027E0FF38945}"/>
    <cellStyle name="Normal 10 2 3 2 3" xfId="13220" xr:uid="{00000000-0005-0000-0000-000099550000}"/>
    <cellStyle name="Normal 10 2 3 2 3 2" xfId="37070" xr:uid="{3C8981D4-9B5B-4833-8ECE-5048D7E16A44}"/>
    <cellStyle name="Normal 10 2 3 2 4" xfId="21175" xr:uid="{00000000-0005-0000-0000-00009A550000}"/>
    <cellStyle name="Normal 10 2 3 2 4 2" xfId="45008" xr:uid="{1FF6861B-9A4A-4D96-B3D8-6C867DA1D8AF}"/>
    <cellStyle name="Normal 10 2 3 2 5" xfId="29129" xr:uid="{0192F8C7-F476-47FF-9225-AD40C6971E53}"/>
    <cellStyle name="Normal 10 2 3 3" xfId="7028" xr:uid="{00000000-0005-0000-0000-00009B550000}"/>
    <cellStyle name="Normal 10 2 3 3 2" xfId="15000" xr:uid="{00000000-0005-0000-0000-00009C550000}"/>
    <cellStyle name="Normal 10 2 3 3 2 2" xfId="38843" xr:uid="{0704D002-6C68-467C-B97F-D23514174F9E}"/>
    <cellStyle name="Normal 10 2 3 3 3" xfId="22947" xr:uid="{00000000-0005-0000-0000-00009D550000}"/>
    <cellStyle name="Normal 10 2 3 3 3 2" xfId="46780" xr:uid="{BDDED627-377B-41FF-A438-A1CD10B69766}"/>
    <cellStyle name="Normal 10 2 3 3 4" xfId="30902" xr:uid="{DEF6017A-5EF3-45E6-BC44-808F56F3CE2A}"/>
    <cellStyle name="Normal 10 2 3 4" xfId="11464" xr:uid="{00000000-0005-0000-0000-00009E550000}"/>
    <cellStyle name="Normal 10 2 3 4 2" xfId="35314" xr:uid="{B6F84BD5-0EA9-4A26-902D-970CC8D90AC1}"/>
    <cellStyle name="Normal 10 2 3 5" xfId="19419" xr:uid="{00000000-0005-0000-0000-00009F550000}"/>
    <cellStyle name="Normal 10 2 3 5 2" xfId="43252" xr:uid="{2BEB4AA7-B93F-4E31-BE93-5FBE5AB3F23D}"/>
    <cellStyle name="Normal 10 2 3 6" xfId="27372" xr:uid="{D49B1B22-92F6-4B5A-9009-8BB9789B5539}"/>
    <cellStyle name="Normal 10 2 3_Exh G" xfId="3433" xr:uid="{00000000-0005-0000-0000-0000A0550000}"/>
    <cellStyle name="Normal 10 2 4" xfId="4317" xr:uid="{00000000-0005-0000-0000-0000A1550000}"/>
    <cellStyle name="Normal 10 2 4 2" xfId="7909" xr:uid="{00000000-0005-0000-0000-0000A2550000}"/>
    <cellStyle name="Normal 10 2 4 2 2" xfId="15880" xr:uid="{00000000-0005-0000-0000-0000A3550000}"/>
    <cellStyle name="Normal 10 2 4 2 2 2" xfId="39723" xr:uid="{3262036C-516F-41D0-A1BD-D8BAADEB4316}"/>
    <cellStyle name="Normal 10 2 4 2 3" xfId="23826" xr:uid="{00000000-0005-0000-0000-0000A4550000}"/>
    <cellStyle name="Normal 10 2 4 2 3 2" xfId="47659" xr:uid="{10ABED8A-922F-4BA4-ABAB-C6F6665BFE64}"/>
    <cellStyle name="Normal 10 2 4 2 4" xfId="31782" xr:uid="{3E14C302-6A28-4449-8995-FC8F7C107DFB}"/>
    <cellStyle name="Normal 10 2 4 3" xfId="12342" xr:uid="{00000000-0005-0000-0000-0000A5550000}"/>
    <cellStyle name="Normal 10 2 4 3 2" xfId="36192" xr:uid="{BFCA1416-4235-4958-843F-8F5C5199B6AB}"/>
    <cellStyle name="Normal 10 2 4 4" xfId="20297" xr:uid="{00000000-0005-0000-0000-0000A6550000}"/>
    <cellStyle name="Normal 10 2 4 4 2" xfId="44130" xr:uid="{22769F9D-0BA6-4100-ABCC-3B27F5BAC304}"/>
    <cellStyle name="Normal 10 2 4 5" xfId="28251" xr:uid="{97CCBADD-C3A2-4B28-A9C7-3A823268C956}"/>
    <cellStyle name="Normal 10 2 5" xfId="6137" xr:uid="{00000000-0005-0000-0000-0000A7550000}"/>
    <cellStyle name="Normal 10 2 5 2" xfId="14121" xr:uid="{00000000-0005-0000-0000-0000A8550000}"/>
    <cellStyle name="Normal 10 2 5 2 2" xfId="37965" xr:uid="{7806938F-FBB2-414F-8F63-FD0835B57664}"/>
    <cellStyle name="Normal 10 2 5 3" xfId="22069" xr:uid="{00000000-0005-0000-0000-0000A9550000}"/>
    <cellStyle name="Normal 10 2 5 3 2" xfId="45902" xr:uid="{A1968378-7265-48B9-93AC-F6F6CB456726}"/>
    <cellStyle name="Normal 10 2 5 4" xfId="30024" xr:uid="{3DC59D80-31EA-48C5-880D-EDA548B3F376}"/>
    <cellStyle name="Normal 10 2 6" xfId="9690" xr:uid="{00000000-0005-0000-0000-0000AA550000}"/>
    <cellStyle name="Normal 10 2 6 2" xfId="17648" xr:uid="{00000000-0005-0000-0000-0000AB550000}"/>
    <cellStyle name="Normal 10 2 6 2 2" xfId="41489" xr:uid="{A8F3309F-13AD-43CF-9462-49B41C377F77}"/>
    <cellStyle name="Normal 10 2 6 3" xfId="25592" xr:uid="{00000000-0005-0000-0000-0000AC550000}"/>
    <cellStyle name="Normal 10 2 6 3 2" xfId="49425" xr:uid="{CF39022D-D406-4A9A-8626-CF028F20EFFE}"/>
    <cellStyle name="Normal 10 2 6 4" xfId="33548" xr:uid="{327EF1FE-152B-4BF8-A1CC-2FA4FDA4163C}"/>
    <cellStyle name="Normal 10 2 7" xfId="10586" xr:uid="{00000000-0005-0000-0000-0000AD550000}"/>
    <cellStyle name="Normal 10 2 7 2" xfId="34436" xr:uid="{F8603DBB-06BD-446D-AD1C-5100552EBEA7}"/>
    <cellStyle name="Normal 10 2 8" xfId="18541" xr:uid="{00000000-0005-0000-0000-0000AE550000}"/>
    <cellStyle name="Normal 10 2 8 2" xfId="42374" xr:uid="{89F2DA05-3CCC-48A4-82A3-F0768768220B}"/>
    <cellStyle name="Normal 10 2 9" xfId="26494" xr:uid="{2A0B56C0-FB14-4F8E-8B73-F386AF42104C}"/>
    <cellStyle name="Normal 10 2_Exh G" xfId="3430" xr:uid="{00000000-0005-0000-0000-0000AF550000}"/>
    <cellStyle name="Normal 10 3" xfId="640" xr:uid="{00000000-0005-0000-0000-0000B0550000}"/>
    <cellStyle name="Normal 10 3 2" xfId="1668" xr:uid="{00000000-0005-0000-0000-0000B1550000}"/>
    <cellStyle name="Normal 10 3 2 2" xfId="5198" xr:uid="{00000000-0005-0000-0000-0000B2550000}"/>
    <cellStyle name="Normal 10 3 2 2 2" xfId="8789" xr:uid="{00000000-0005-0000-0000-0000B3550000}"/>
    <cellStyle name="Normal 10 3 2 2 2 2" xfId="16760" xr:uid="{00000000-0005-0000-0000-0000B4550000}"/>
    <cellStyle name="Normal 10 3 2 2 2 2 2" xfId="40603" xr:uid="{B24999DF-0A0F-4C1A-B93A-72B6F67233F6}"/>
    <cellStyle name="Normal 10 3 2 2 2 3" xfId="24706" xr:uid="{00000000-0005-0000-0000-0000B5550000}"/>
    <cellStyle name="Normal 10 3 2 2 2 3 2" xfId="48539" xr:uid="{0FB35F86-D643-4E7D-AF7E-31CFACB49646}"/>
    <cellStyle name="Normal 10 3 2 2 2 4" xfId="32662" xr:uid="{82A9EB8F-20BD-4042-9C93-2A785C05B375}"/>
    <cellStyle name="Normal 10 3 2 2 3" xfId="13222" xr:uid="{00000000-0005-0000-0000-0000B6550000}"/>
    <cellStyle name="Normal 10 3 2 2 3 2" xfId="37072" xr:uid="{F98209A2-E1F7-4C08-AEA2-D98DF178A728}"/>
    <cellStyle name="Normal 10 3 2 2 4" xfId="21177" xr:uid="{00000000-0005-0000-0000-0000B7550000}"/>
    <cellStyle name="Normal 10 3 2 2 4 2" xfId="45010" xr:uid="{60A350D5-49C0-4F5E-A1A7-B49DE09A613B}"/>
    <cellStyle name="Normal 10 3 2 2 5" xfId="29131" xr:uid="{18A29B36-332C-43D8-9952-CC9D6E4F3DB8}"/>
    <cellStyle name="Normal 10 3 2 3" xfId="7030" xr:uid="{00000000-0005-0000-0000-0000B8550000}"/>
    <cellStyle name="Normal 10 3 2 3 2" xfId="15002" xr:uid="{00000000-0005-0000-0000-0000B9550000}"/>
    <cellStyle name="Normal 10 3 2 3 2 2" xfId="38845" xr:uid="{F0C3A731-ACF4-4C3A-92C0-4DC4CCA31B99}"/>
    <cellStyle name="Normal 10 3 2 3 3" xfId="22949" xr:uid="{00000000-0005-0000-0000-0000BA550000}"/>
    <cellStyle name="Normal 10 3 2 3 3 2" xfId="46782" xr:uid="{D21CD99D-E76E-482F-8301-DD12B9371CEC}"/>
    <cellStyle name="Normal 10 3 2 3 4" xfId="30904" xr:uid="{21FC0676-8C33-42E2-A380-395D6FCA23FF}"/>
    <cellStyle name="Normal 10 3 2 4" xfId="11466" xr:uid="{00000000-0005-0000-0000-0000BB550000}"/>
    <cellStyle name="Normal 10 3 2 4 2" xfId="35316" xr:uid="{261DA7E9-35F5-4FEE-B900-F777DE4E8D1E}"/>
    <cellStyle name="Normal 10 3 2 5" xfId="19421" xr:uid="{00000000-0005-0000-0000-0000BC550000}"/>
    <cellStyle name="Normal 10 3 2 5 2" xfId="43254" xr:uid="{A93FC8BF-F4D6-49CF-AD12-22ED3C4A9561}"/>
    <cellStyle name="Normal 10 3 2 6" xfId="27374" xr:uid="{ED9BB381-C137-446E-B17B-828889D19288}"/>
    <cellStyle name="Normal 10 3 2_Exh G" xfId="3435" xr:uid="{00000000-0005-0000-0000-0000BD550000}"/>
    <cellStyle name="Normal 10 3 3" xfId="4319" xr:uid="{00000000-0005-0000-0000-0000BE550000}"/>
    <cellStyle name="Normal 10 3 3 2" xfId="7911" xr:uid="{00000000-0005-0000-0000-0000BF550000}"/>
    <cellStyle name="Normal 10 3 3 2 2" xfId="15882" xr:uid="{00000000-0005-0000-0000-0000C0550000}"/>
    <cellStyle name="Normal 10 3 3 2 2 2" xfId="39725" xr:uid="{153A57ED-9787-4AAC-B02A-7F846F062D2F}"/>
    <cellStyle name="Normal 10 3 3 2 3" xfId="23828" xr:uid="{00000000-0005-0000-0000-0000C1550000}"/>
    <cellStyle name="Normal 10 3 3 2 3 2" xfId="47661" xr:uid="{529ACD35-2FD9-4F2B-94CE-CFEDCBAED18D}"/>
    <cellStyle name="Normal 10 3 3 2 4" xfId="31784" xr:uid="{EE093EDD-58BA-4273-9867-20EE99436153}"/>
    <cellStyle name="Normal 10 3 3 3" xfId="12344" xr:uid="{00000000-0005-0000-0000-0000C2550000}"/>
    <cellStyle name="Normal 10 3 3 3 2" xfId="36194" xr:uid="{041C7461-5320-435E-9A6E-CE584FAA9B68}"/>
    <cellStyle name="Normal 10 3 3 4" xfId="20299" xr:uid="{00000000-0005-0000-0000-0000C3550000}"/>
    <cellStyle name="Normal 10 3 3 4 2" xfId="44132" xr:uid="{0C689E48-BB9F-4B85-8ACC-2013F80B0C97}"/>
    <cellStyle name="Normal 10 3 3 5" xfId="28253" xr:uid="{1F43F13C-CAF2-45EE-AC76-0D8A1504E7F1}"/>
    <cellStyle name="Normal 10 3 4" xfId="6139" xr:uid="{00000000-0005-0000-0000-0000C4550000}"/>
    <cellStyle name="Normal 10 3 4 2" xfId="14123" xr:uid="{00000000-0005-0000-0000-0000C5550000}"/>
    <cellStyle name="Normal 10 3 4 2 2" xfId="37967" xr:uid="{BCC57527-5FCA-4AD3-9831-AA578DB018F9}"/>
    <cellStyle name="Normal 10 3 4 3" xfId="22071" xr:uid="{00000000-0005-0000-0000-0000C6550000}"/>
    <cellStyle name="Normal 10 3 4 3 2" xfId="45904" xr:uid="{EBFA392B-E343-4CE6-ADA6-5383924E3AE0}"/>
    <cellStyle name="Normal 10 3 4 4" xfId="30026" xr:uid="{F2BA0E69-A74C-4139-8916-5F19B677FAD6}"/>
    <cellStyle name="Normal 10 3 5" xfId="9692" xr:uid="{00000000-0005-0000-0000-0000C7550000}"/>
    <cellStyle name="Normal 10 3 5 2" xfId="17650" xr:uid="{00000000-0005-0000-0000-0000C8550000}"/>
    <cellStyle name="Normal 10 3 5 2 2" xfId="41491" xr:uid="{6FACFEFC-8002-416B-93A4-204C89C1B5DB}"/>
    <cellStyle name="Normal 10 3 5 3" xfId="25594" xr:uid="{00000000-0005-0000-0000-0000C9550000}"/>
    <cellStyle name="Normal 10 3 5 3 2" xfId="49427" xr:uid="{E451A3D9-1DE4-44D7-BBB4-2A6031AAE2A6}"/>
    <cellStyle name="Normal 10 3 5 4" xfId="33550" xr:uid="{EB0B1A1C-3EFB-480F-89F3-0EF8C333B629}"/>
    <cellStyle name="Normal 10 3 6" xfId="10588" xr:uid="{00000000-0005-0000-0000-0000CA550000}"/>
    <cellStyle name="Normal 10 3 6 2" xfId="34438" xr:uid="{E3007EA3-6D42-4155-8907-43C894A02292}"/>
    <cellStyle name="Normal 10 3 7" xfId="18543" xr:uid="{00000000-0005-0000-0000-0000CB550000}"/>
    <cellStyle name="Normal 10 3 7 2" xfId="42376" xr:uid="{91DE749E-83D3-42C4-818F-B3185BB04E48}"/>
    <cellStyle name="Normal 10 3 8" xfId="26496" xr:uid="{C4882297-FA2B-40E5-98B8-423B2A53862F}"/>
    <cellStyle name="Normal 10 3_Exh G" xfId="3434" xr:uid="{00000000-0005-0000-0000-0000CC550000}"/>
    <cellStyle name="Normal 10 4" xfId="1012" xr:uid="{00000000-0005-0000-0000-0000CD550000}"/>
    <cellStyle name="Normal 10 5" xfId="1665" xr:uid="{00000000-0005-0000-0000-0000CE550000}"/>
    <cellStyle name="Normal 10 5 2" xfId="5195" xr:uid="{00000000-0005-0000-0000-0000CF550000}"/>
    <cellStyle name="Normal 10 5 2 2" xfId="8786" xr:uid="{00000000-0005-0000-0000-0000D0550000}"/>
    <cellStyle name="Normal 10 5 2 2 2" xfId="16757" xr:uid="{00000000-0005-0000-0000-0000D1550000}"/>
    <cellStyle name="Normal 10 5 2 2 2 2" xfId="40600" xr:uid="{11891469-3DFF-4F84-957D-29C373BF77A6}"/>
    <cellStyle name="Normal 10 5 2 2 3" xfId="24703" xr:uid="{00000000-0005-0000-0000-0000D2550000}"/>
    <cellStyle name="Normal 10 5 2 2 3 2" xfId="48536" xr:uid="{F7DAEA37-3BAC-4221-9411-AFFA2C222107}"/>
    <cellStyle name="Normal 10 5 2 2 4" xfId="32659" xr:uid="{2AF07D50-7BA9-4BD9-8316-2EAAA6B9E5B3}"/>
    <cellStyle name="Normal 10 5 2 3" xfId="13219" xr:uid="{00000000-0005-0000-0000-0000D3550000}"/>
    <cellStyle name="Normal 10 5 2 3 2" xfId="37069" xr:uid="{5652A2A8-E167-4236-84E7-30938E0D716C}"/>
    <cellStyle name="Normal 10 5 2 4" xfId="21174" xr:uid="{00000000-0005-0000-0000-0000D4550000}"/>
    <cellStyle name="Normal 10 5 2 4 2" xfId="45007" xr:uid="{DF4366EF-67BE-40E8-931B-B35CDED41C74}"/>
    <cellStyle name="Normal 10 5 2 5" xfId="29128" xr:uid="{2CE9E570-9026-44CB-8C1A-34666A3FCBF9}"/>
    <cellStyle name="Normal 10 5 3" xfId="7027" xr:uid="{00000000-0005-0000-0000-0000D5550000}"/>
    <cellStyle name="Normal 10 5 3 2" xfId="14999" xr:uid="{00000000-0005-0000-0000-0000D6550000}"/>
    <cellStyle name="Normal 10 5 3 2 2" xfId="38842" xr:uid="{DE2E8F38-5627-4051-BF22-306CC7E8A90F}"/>
    <cellStyle name="Normal 10 5 3 3" xfId="22946" xr:uid="{00000000-0005-0000-0000-0000D7550000}"/>
    <cellStyle name="Normal 10 5 3 3 2" xfId="46779" xr:uid="{D65BA575-388B-4861-AA07-588C77DFAD18}"/>
    <cellStyle name="Normal 10 5 3 4" xfId="30901" xr:uid="{2382FA7E-602A-49A3-8DAC-47BEEFB0C5E6}"/>
    <cellStyle name="Normal 10 5 4" xfId="11463" xr:uid="{00000000-0005-0000-0000-0000D8550000}"/>
    <cellStyle name="Normal 10 5 4 2" xfId="35313" xr:uid="{F0D58412-B33D-4A0D-89ED-03028018C437}"/>
    <cellStyle name="Normal 10 5 5" xfId="19418" xr:uid="{00000000-0005-0000-0000-0000D9550000}"/>
    <cellStyle name="Normal 10 5 5 2" xfId="43251" xr:uid="{229BAD69-03A1-443A-A0D8-0F47A59CE17C}"/>
    <cellStyle name="Normal 10 5 6" xfId="27371" xr:uid="{420A8B5A-0BF8-4A1C-8D35-5F294BBD1D7E}"/>
    <cellStyle name="Normal 10 5_Exh G" xfId="3436" xr:uid="{00000000-0005-0000-0000-0000DA550000}"/>
    <cellStyle name="Normal 10 6" xfId="4316" xr:uid="{00000000-0005-0000-0000-0000DB550000}"/>
    <cellStyle name="Normal 10 6 2" xfId="7908" xr:uid="{00000000-0005-0000-0000-0000DC550000}"/>
    <cellStyle name="Normal 10 6 2 2" xfId="15879" xr:uid="{00000000-0005-0000-0000-0000DD550000}"/>
    <cellStyle name="Normal 10 6 2 2 2" xfId="39722" xr:uid="{DD0960B0-D8A5-4962-B366-F60BA7794DE3}"/>
    <cellStyle name="Normal 10 6 2 3" xfId="23825" xr:uid="{00000000-0005-0000-0000-0000DE550000}"/>
    <cellStyle name="Normal 10 6 2 3 2" xfId="47658" xr:uid="{888F2190-560F-48EE-8E17-BB63E3128608}"/>
    <cellStyle name="Normal 10 6 2 4" xfId="31781" xr:uid="{86EC9137-0423-4169-BA7F-DB24B6A37132}"/>
    <cellStyle name="Normal 10 6 3" xfId="12341" xr:uid="{00000000-0005-0000-0000-0000DF550000}"/>
    <cellStyle name="Normal 10 6 3 2" xfId="36191" xr:uid="{19116193-76F9-4E4C-ACB8-F0393687C8C3}"/>
    <cellStyle name="Normal 10 6 4" xfId="20296" xr:uid="{00000000-0005-0000-0000-0000E0550000}"/>
    <cellStyle name="Normal 10 6 4 2" xfId="44129" xr:uid="{9E844FDA-C229-4AD9-B5D9-10CED8447A93}"/>
    <cellStyle name="Normal 10 6 5" xfId="28250" xr:uid="{8AD6150E-2322-4004-BCFD-9543BBDBB449}"/>
    <cellStyle name="Normal 10 7" xfId="6136" xr:uid="{00000000-0005-0000-0000-0000E1550000}"/>
    <cellStyle name="Normal 10 7 2" xfId="14120" xr:uid="{00000000-0005-0000-0000-0000E2550000}"/>
    <cellStyle name="Normal 10 7 2 2" xfId="37964" xr:uid="{55033CD2-D26C-4BF7-BA5F-F69EBE06C33D}"/>
    <cellStyle name="Normal 10 7 3" xfId="22068" xr:uid="{00000000-0005-0000-0000-0000E3550000}"/>
    <cellStyle name="Normal 10 7 3 2" xfId="45901" xr:uid="{408C558A-8C31-443C-9B28-601CF6A5D4A5}"/>
    <cellStyle name="Normal 10 7 4" xfId="30023" xr:uid="{F6158A7E-9DA1-4CE6-AAFF-3C7FB07E879F}"/>
    <cellStyle name="Normal 10 8" xfId="9689" xr:uid="{00000000-0005-0000-0000-0000E4550000}"/>
    <cellStyle name="Normal 10 8 2" xfId="17647" xr:uid="{00000000-0005-0000-0000-0000E5550000}"/>
    <cellStyle name="Normal 10 8 2 2" xfId="41488" xr:uid="{183495A0-FC65-4DA8-A106-37C11E938AA7}"/>
    <cellStyle name="Normal 10 8 3" xfId="25591" xr:uid="{00000000-0005-0000-0000-0000E6550000}"/>
    <cellStyle name="Normal 10 8 3 2" xfId="49424" xr:uid="{56939EFE-0880-42EF-AFB3-B9E7FB70D4EA}"/>
    <cellStyle name="Normal 10 8 4" xfId="33547" xr:uid="{2E8E7513-963E-43BC-8CB3-093DDF4D67B1}"/>
    <cellStyle name="Normal 10 9" xfId="10585" xr:uid="{00000000-0005-0000-0000-0000E7550000}"/>
    <cellStyle name="Normal 10 9 2" xfId="34435" xr:uid="{6D654562-AC93-4C81-9272-FDDCCC5C51BF}"/>
    <cellStyle name="Normal 10_Exh G" xfId="3429" xr:uid="{00000000-0005-0000-0000-0000E8550000}"/>
    <cellStyle name="Normal 11" xfId="641" xr:uid="{00000000-0005-0000-0000-0000E9550000}"/>
    <cellStyle name="Normal 11 10" xfId="18544" xr:uid="{00000000-0005-0000-0000-0000EA550000}"/>
    <cellStyle name="Normal 11 10 2" xfId="42377" xr:uid="{FB7F3ACA-287D-46F5-A81C-FAF7151B9F2C}"/>
    <cellStyle name="Normal 11 11" xfId="26497" xr:uid="{8DE8F2F4-6311-4F6D-BFBE-C84675933177}"/>
    <cellStyle name="Normal 11 2" xfId="642" xr:uid="{00000000-0005-0000-0000-0000EB550000}"/>
    <cellStyle name="Normal 11 2 2" xfId="643" xr:uid="{00000000-0005-0000-0000-0000EC550000}"/>
    <cellStyle name="Normal 11 2 2 2" xfId="1671" xr:uid="{00000000-0005-0000-0000-0000ED550000}"/>
    <cellStyle name="Normal 11 2 2 2 2" xfId="5201" xr:uid="{00000000-0005-0000-0000-0000EE550000}"/>
    <cellStyle name="Normal 11 2 2 2 2 2" xfId="8792" xr:uid="{00000000-0005-0000-0000-0000EF550000}"/>
    <cellStyle name="Normal 11 2 2 2 2 2 2" xfId="16763" xr:uid="{00000000-0005-0000-0000-0000F0550000}"/>
    <cellStyle name="Normal 11 2 2 2 2 2 2 2" xfId="40606" xr:uid="{4A422B26-0D30-4653-AFDA-4875BB8206A2}"/>
    <cellStyle name="Normal 11 2 2 2 2 2 3" xfId="24709" xr:uid="{00000000-0005-0000-0000-0000F1550000}"/>
    <cellStyle name="Normal 11 2 2 2 2 2 3 2" xfId="48542" xr:uid="{28102400-A069-4798-A79F-20C6308E8060}"/>
    <cellStyle name="Normal 11 2 2 2 2 2 4" xfId="32665" xr:uid="{4C0E035A-80CF-4A3E-A4C9-D1CD1A8FB354}"/>
    <cellStyle name="Normal 11 2 2 2 2 3" xfId="13225" xr:uid="{00000000-0005-0000-0000-0000F2550000}"/>
    <cellStyle name="Normal 11 2 2 2 2 3 2" xfId="37075" xr:uid="{1EA3F324-5E3A-4258-AECE-DE01A73BDA71}"/>
    <cellStyle name="Normal 11 2 2 2 2 4" xfId="21180" xr:uid="{00000000-0005-0000-0000-0000F3550000}"/>
    <cellStyle name="Normal 11 2 2 2 2 4 2" xfId="45013" xr:uid="{070B176E-DF05-492B-8BB1-86C9F9B40F57}"/>
    <cellStyle name="Normal 11 2 2 2 2 5" xfId="29134" xr:uid="{95B675BA-3A6D-4B4D-BD07-3F782FA8656F}"/>
    <cellStyle name="Normal 11 2 2 2 3" xfId="7033" xr:uid="{00000000-0005-0000-0000-0000F4550000}"/>
    <cellStyle name="Normal 11 2 2 2 3 2" xfId="15005" xr:uid="{00000000-0005-0000-0000-0000F5550000}"/>
    <cellStyle name="Normal 11 2 2 2 3 2 2" xfId="38848" xr:uid="{F17A0CB9-53EB-4F6D-A2C0-B473E6E8EDE2}"/>
    <cellStyle name="Normal 11 2 2 2 3 3" xfId="22952" xr:uid="{00000000-0005-0000-0000-0000F6550000}"/>
    <cellStyle name="Normal 11 2 2 2 3 3 2" xfId="46785" xr:uid="{D3FA1E4F-F625-44B6-959B-4B983CA1E434}"/>
    <cellStyle name="Normal 11 2 2 2 3 4" xfId="30907" xr:uid="{E257EBAC-9A43-467C-ABDC-A7E5415DD31F}"/>
    <cellStyle name="Normal 11 2 2 2 4" xfId="11469" xr:uid="{00000000-0005-0000-0000-0000F7550000}"/>
    <cellStyle name="Normal 11 2 2 2 4 2" xfId="35319" xr:uid="{43901FD6-1EA9-44D8-A9B7-9C0C7EEF0220}"/>
    <cellStyle name="Normal 11 2 2 2 5" xfId="19424" xr:uid="{00000000-0005-0000-0000-0000F8550000}"/>
    <cellStyle name="Normal 11 2 2 2 5 2" xfId="43257" xr:uid="{5EB3564E-D2CD-4508-9298-C9C11C1F9F5F}"/>
    <cellStyle name="Normal 11 2 2 2 6" xfId="27377" xr:uid="{F6D5A6BF-FA92-42BA-B654-899C74B6E02C}"/>
    <cellStyle name="Normal 11 2 2 2_Exh G" xfId="3440" xr:uid="{00000000-0005-0000-0000-0000F9550000}"/>
    <cellStyle name="Normal 11 2 2 3" xfId="4322" xr:uid="{00000000-0005-0000-0000-0000FA550000}"/>
    <cellStyle name="Normal 11 2 2 3 2" xfId="7914" xr:uid="{00000000-0005-0000-0000-0000FB550000}"/>
    <cellStyle name="Normal 11 2 2 3 2 2" xfId="15885" xr:uid="{00000000-0005-0000-0000-0000FC550000}"/>
    <cellStyle name="Normal 11 2 2 3 2 2 2" xfId="39728" xr:uid="{AD169442-D2A8-4897-93AC-8CEA8DBAF348}"/>
    <cellStyle name="Normal 11 2 2 3 2 3" xfId="23831" xr:uid="{00000000-0005-0000-0000-0000FD550000}"/>
    <cellStyle name="Normal 11 2 2 3 2 3 2" xfId="47664" xr:uid="{D5FCB941-509B-4384-AB47-4E062A7E8005}"/>
    <cellStyle name="Normal 11 2 2 3 2 4" xfId="31787" xr:uid="{6C4D5C23-2ECB-4560-9748-8DEF33338AFD}"/>
    <cellStyle name="Normal 11 2 2 3 3" xfId="12347" xr:uid="{00000000-0005-0000-0000-0000FE550000}"/>
    <cellStyle name="Normal 11 2 2 3 3 2" xfId="36197" xr:uid="{D4836244-485A-448A-ADA9-E5D550F14CA4}"/>
    <cellStyle name="Normal 11 2 2 3 4" xfId="20302" xr:uid="{00000000-0005-0000-0000-0000FF550000}"/>
    <cellStyle name="Normal 11 2 2 3 4 2" xfId="44135" xr:uid="{45214FD0-3E40-43D1-ACB8-CEA6B3E66F52}"/>
    <cellStyle name="Normal 11 2 2 3 5" xfId="28256" xr:uid="{0E567E3F-4888-4ADA-B789-1A82C13DD52E}"/>
    <cellStyle name="Normal 11 2 2 4" xfId="6142" xr:uid="{00000000-0005-0000-0000-000000560000}"/>
    <cellStyle name="Normal 11 2 2 4 2" xfId="14126" xr:uid="{00000000-0005-0000-0000-000001560000}"/>
    <cellStyle name="Normal 11 2 2 4 2 2" xfId="37970" xr:uid="{CB6370B6-7AA4-4BC3-A474-216B77AA39EE}"/>
    <cellStyle name="Normal 11 2 2 4 3" xfId="22074" xr:uid="{00000000-0005-0000-0000-000002560000}"/>
    <cellStyle name="Normal 11 2 2 4 3 2" xfId="45907" xr:uid="{67A82112-53A1-4353-B3DE-1B6FACCA39B4}"/>
    <cellStyle name="Normal 11 2 2 4 4" xfId="30029" xr:uid="{B97CCBFC-E86E-45A0-8198-A491CAB5FF1A}"/>
    <cellStyle name="Normal 11 2 2 5" xfId="9695" xr:uid="{00000000-0005-0000-0000-000003560000}"/>
    <cellStyle name="Normal 11 2 2 5 2" xfId="17653" xr:uid="{00000000-0005-0000-0000-000004560000}"/>
    <cellStyle name="Normal 11 2 2 5 2 2" xfId="41494" xr:uid="{D9865EFC-9FA1-4E83-B30C-875BB6524692}"/>
    <cellStyle name="Normal 11 2 2 5 3" xfId="25597" xr:uid="{00000000-0005-0000-0000-000005560000}"/>
    <cellStyle name="Normal 11 2 2 5 3 2" xfId="49430" xr:uid="{E59B6CDD-4AD5-463F-9A27-1C76A2022E31}"/>
    <cellStyle name="Normal 11 2 2 5 4" xfId="33553" xr:uid="{BDFE94D6-6102-4077-A3FE-80CA24FADD17}"/>
    <cellStyle name="Normal 11 2 2 6" xfId="10591" xr:uid="{00000000-0005-0000-0000-000006560000}"/>
    <cellStyle name="Normal 11 2 2 6 2" xfId="34441" xr:uid="{CE968595-391D-49CA-8D86-0C12DE0A025B}"/>
    <cellStyle name="Normal 11 2 2 7" xfId="18546" xr:uid="{00000000-0005-0000-0000-000007560000}"/>
    <cellStyle name="Normal 11 2 2 7 2" xfId="42379" xr:uid="{9409C1D2-A833-4518-B44C-4071273BA185}"/>
    <cellStyle name="Normal 11 2 2 8" xfId="26499" xr:uid="{7B98068D-32AB-4E4B-9EB5-ABA03E1AB067}"/>
    <cellStyle name="Normal 11 2 2_Exh G" xfId="3439" xr:uid="{00000000-0005-0000-0000-000008560000}"/>
    <cellStyle name="Normal 11 2 3" xfId="1670" xr:uid="{00000000-0005-0000-0000-000009560000}"/>
    <cellStyle name="Normal 11 2 3 2" xfId="5200" xr:uid="{00000000-0005-0000-0000-00000A560000}"/>
    <cellStyle name="Normal 11 2 3 2 2" xfId="8791" xr:uid="{00000000-0005-0000-0000-00000B560000}"/>
    <cellStyle name="Normal 11 2 3 2 2 2" xfId="16762" xr:uid="{00000000-0005-0000-0000-00000C560000}"/>
    <cellStyle name="Normal 11 2 3 2 2 2 2" xfId="40605" xr:uid="{2E8B4D48-680C-4637-BFCE-874B26CF413C}"/>
    <cellStyle name="Normal 11 2 3 2 2 3" xfId="24708" xr:uid="{00000000-0005-0000-0000-00000D560000}"/>
    <cellStyle name="Normal 11 2 3 2 2 3 2" xfId="48541" xr:uid="{623D3125-B15F-4FFB-BE88-B622E452FEF2}"/>
    <cellStyle name="Normal 11 2 3 2 2 4" xfId="32664" xr:uid="{5C864E96-58BA-4748-A9B7-E098278A20C3}"/>
    <cellStyle name="Normal 11 2 3 2 3" xfId="13224" xr:uid="{00000000-0005-0000-0000-00000E560000}"/>
    <cellStyle name="Normal 11 2 3 2 3 2" xfId="37074" xr:uid="{2D0BCE4F-5995-47BC-BF8F-2FD367BD8251}"/>
    <cellStyle name="Normal 11 2 3 2 4" xfId="21179" xr:uid="{00000000-0005-0000-0000-00000F560000}"/>
    <cellStyle name="Normal 11 2 3 2 4 2" xfId="45012" xr:uid="{CE1C7791-9C79-4EC0-9B2D-C11E1236E19C}"/>
    <cellStyle name="Normal 11 2 3 2 5" xfId="29133" xr:uid="{9167AD95-7F4C-4275-8455-F3B2A6BD4E3B}"/>
    <cellStyle name="Normal 11 2 3 3" xfId="7032" xr:uid="{00000000-0005-0000-0000-000010560000}"/>
    <cellStyle name="Normal 11 2 3 3 2" xfId="15004" xr:uid="{00000000-0005-0000-0000-000011560000}"/>
    <cellStyle name="Normal 11 2 3 3 2 2" xfId="38847" xr:uid="{4C44D69C-EECF-4096-B648-83027A4DA99B}"/>
    <cellStyle name="Normal 11 2 3 3 3" xfId="22951" xr:uid="{00000000-0005-0000-0000-000012560000}"/>
    <cellStyle name="Normal 11 2 3 3 3 2" xfId="46784" xr:uid="{C4E62844-BCAC-48AE-AFFD-D7B66FE30D12}"/>
    <cellStyle name="Normal 11 2 3 3 4" xfId="30906" xr:uid="{843E267C-8A85-4EAE-8521-8C15896C5F59}"/>
    <cellStyle name="Normal 11 2 3 4" xfId="11468" xr:uid="{00000000-0005-0000-0000-000013560000}"/>
    <cellStyle name="Normal 11 2 3 4 2" xfId="35318" xr:uid="{72B37283-9997-437D-BC46-FA128BC68FD8}"/>
    <cellStyle name="Normal 11 2 3 5" xfId="19423" xr:uid="{00000000-0005-0000-0000-000014560000}"/>
    <cellStyle name="Normal 11 2 3 5 2" xfId="43256" xr:uid="{7FB12E21-BA14-4841-8921-2EDA6251BC7E}"/>
    <cellStyle name="Normal 11 2 3 6" xfId="27376" xr:uid="{0CEC5EC0-5BAC-45C8-88C5-79A9E8BC131E}"/>
    <cellStyle name="Normal 11 2 3_Exh G" xfId="3441" xr:uid="{00000000-0005-0000-0000-000015560000}"/>
    <cellStyle name="Normal 11 2 4" xfId="4321" xr:uid="{00000000-0005-0000-0000-000016560000}"/>
    <cellStyle name="Normal 11 2 4 2" xfId="7913" xr:uid="{00000000-0005-0000-0000-000017560000}"/>
    <cellStyle name="Normal 11 2 4 2 2" xfId="15884" xr:uid="{00000000-0005-0000-0000-000018560000}"/>
    <cellStyle name="Normal 11 2 4 2 2 2" xfId="39727" xr:uid="{56789995-4B56-47BF-9949-3F1ADA1CD250}"/>
    <cellStyle name="Normal 11 2 4 2 3" xfId="23830" xr:uid="{00000000-0005-0000-0000-000019560000}"/>
    <cellStyle name="Normal 11 2 4 2 3 2" xfId="47663" xr:uid="{3EDDD671-D0C8-4FB1-8E82-1DE7D6C4AF94}"/>
    <cellStyle name="Normal 11 2 4 2 4" xfId="31786" xr:uid="{51FF2E00-51BC-45A5-A779-5602733F451A}"/>
    <cellStyle name="Normal 11 2 4 3" xfId="12346" xr:uid="{00000000-0005-0000-0000-00001A560000}"/>
    <cellStyle name="Normal 11 2 4 3 2" xfId="36196" xr:uid="{ACA7A8C5-FBD7-4C07-B3D2-6ABD78D8D41F}"/>
    <cellStyle name="Normal 11 2 4 4" xfId="20301" xr:uid="{00000000-0005-0000-0000-00001B560000}"/>
    <cellStyle name="Normal 11 2 4 4 2" xfId="44134" xr:uid="{82E970FF-86CB-4F55-BA26-2173D737458A}"/>
    <cellStyle name="Normal 11 2 4 5" xfId="28255" xr:uid="{056C0450-5F45-4B70-A576-76030B70825E}"/>
    <cellStyle name="Normal 11 2 5" xfId="6141" xr:uid="{00000000-0005-0000-0000-00001C560000}"/>
    <cellStyle name="Normal 11 2 5 2" xfId="14125" xr:uid="{00000000-0005-0000-0000-00001D560000}"/>
    <cellStyle name="Normal 11 2 5 2 2" xfId="37969" xr:uid="{FCF14717-8FB7-4A16-B337-59E09B4C5B3F}"/>
    <cellStyle name="Normal 11 2 5 3" xfId="22073" xr:uid="{00000000-0005-0000-0000-00001E560000}"/>
    <cellStyle name="Normal 11 2 5 3 2" xfId="45906" xr:uid="{3353485E-6FC2-47C5-9515-EA4AC3CFED8D}"/>
    <cellStyle name="Normal 11 2 5 4" xfId="30028" xr:uid="{A25F61C9-9418-4153-B75D-1D05DF773CD1}"/>
    <cellStyle name="Normal 11 2 6" xfId="9694" xr:uid="{00000000-0005-0000-0000-00001F560000}"/>
    <cellStyle name="Normal 11 2 6 2" xfId="17652" xr:uid="{00000000-0005-0000-0000-000020560000}"/>
    <cellStyle name="Normal 11 2 6 2 2" xfId="41493" xr:uid="{7418111D-09B6-47F2-AB6B-09B984AB9C6A}"/>
    <cellStyle name="Normal 11 2 6 3" xfId="25596" xr:uid="{00000000-0005-0000-0000-000021560000}"/>
    <cellStyle name="Normal 11 2 6 3 2" xfId="49429" xr:uid="{968CC445-A74E-4EE3-BCBA-6869CBEEFD50}"/>
    <cellStyle name="Normal 11 2 6 4" xfId="33552" xr:uid="{F3B94DF4-5F52-4748-8B90-3F1A0BB050DC}"/>
    <cellStyle name="Normal 11 2 7" xfId="10590" xr:uid="{00000000-0005-0000-0000-000022560000}"/>
    <cellStyle name="Normal 11 2 7 2" xfId="34440" xr:uid="{238D805C-970B-455F-B2BA-75E6757F8B3B}"/>
    <cellStyle name="Normal 11 2 8" xfId="18545" xr:uid="{00000000-0005-0000-0000-000023560000}"/>
    <cellStyle name="Normal 11 2 8 2" xfId="42378" xr:uid="{798E9CE7-5B7B-492D-B81B-242EEC0A1968}"/>
    <cellStyle name="Normal 11 2 9" xfId="26498" xr:uid="{ABB2088D-A628-473C-9039-9D69EE0379C3}"/>
    <cellStyle name="Normal 11 2_Exh G" xfId="3438" xr:uid="{00000000-0005-0000-0000-000024560000}"/>
    <cellStyle name="Normal 11 3" xfId="644" xr:uid="{00000000-0005-0000-0000-000025560000}"/>
    <cellStyle name="Normal 11 3 2" xfId="1672" xr:uid="{00000000-0005-0000-0000-000026560000}"/>
    <cellStyle name="Normal 11 3 2 2" xfId="5202" xr:uid="{00000000-0005-0000-0000-000027560000}"/>
    <cellStyle name="Normal 11 3 2 2 2" xfId="8793" xr:uid="{00000000-0005-0000-0000-000028560000}"/>
    <cellStyle name="Normal 11 3 2 2 2 2" xfId="16764" xr:uid="{00000000-0005-0000-0000-000029560000}"/>
    <cellStyle name="Normal 11 3 2 2 2 2 2" xfId="40607" xr:uid="{7FDADA77-CEE9-4F33-946C-B647731AE207}"/>
    <cellStyle name="Normal 11 3 2 2 2 3" xfId="24710" xr:uid="{00000000-0005-0000-0000-00002A560000}"/>
    <cellStyle name="Normal 11 3 2 2 2 3 2" xfId="48543" xr:uid="{7738EC1A-9B13-427F-9E9D-B37A4512C7FF}"/>
    <cellStyle name="Normal 11 3 2 2 2 4" xfId="32666" xr:uid="{63071830-69BC-4EA9-B022-B2FF76BD77F0}"/>
    <cellStyle name="Normal 11 3 2 2 3" xfId="13226" xr:uid="{00000000-0005-0000-0000-00002B560000}"/>
    <cellStyle name="Normal 11 3 2 2 3 2" xfId="37076" xr:uid="{7D84FB8F-493A-42A3-9937-C3D0932A75CF}"/>
    <cellStyle name="Normal 11 3 2 2 4" xfId="21181" xr:uid="{00000000-0005-0000-0000-00002C560000}"/>
    <cellStyle name="Normal 11 3 2 2 4 2" xfId="45014" xr:uid="{DCF7CEC4-B347-449C-9C92-DEE907ED8C47}"/>
    <cellStyle name="Normal 11 3 2 2 5" xfId="29135" xr:uid="{CA4A625C-F151-4ECE-B933-BA69371AFCA2}"/>
    <cellStyle name="Normal 11 3 2 3" xfId="7034" xr:uid="{00000000-0005-0000-0000-00002D560000}"/>
    <cellStyle name="Normal 11 3 2 3 2" xfId="15006" xr:uid="{00000000-0005-0000-0000-00002E560000}"/>
    <cellStyle name="Normal 11 3 2 3 2 2" xfId="38849" xr:uid="{978F0ADA-6EAA-4099-954D-FEB4B37C2088}"/>
    <cellStyle name="Normal 11 3 2 3 3" xfId="22953" xr:uid="{00000000-0005-0000-0000-00002F560000}"/>
    <cellStyle name="Normal 11 3 2 3 3 2" xfId="46786" xr:uid="{B5A4AC84-30E2-4555-AF69-99632910BB81}"/>
    <cellStyle name="Normal 11 3 2 3 4" xfId="30908" xr:uid="{52CD1474-0C07-4463-8368-2BF6D0808E68}"/>
    <cellStyle name="Normal 11 3 2 4" xfId="11470" xr:uid="{00000000-0005-0000-0000-000030560000}"/>
    <cellStyle name="Normal 11 3 2 4 2" xfId="35320" xr:uid="{5A280B53-09DC-4079-9125-993103DFF525}"/>
    <cellStyle name="Normal 11 3 2 5" xfId="19425" xr:uid="{00000000-0005-0000-0000-000031560000}"/>
    <cellStyle name="Normal 11 3 2 5 2" xfId="43258" xr:uid="{7B25F053-776C-40DD-AACB-4F8205D53E3D}"/>
    <cellStyle name="Normal 11 3 2 6" xfId="27378" xr:uid="{BD7946C6-BC09-489B-8FE5-A65A39571997}"/>
    <cellStyle name="Normal 11 3 2_Exh G" xfId="3443" xr:uid="{00000000-0005-0000-0000-000032560000}"/>
    <cellStyle name="Normal 11 3 3" xfId="4323" xr:uid="{00000000-0005-0000-0000-000033560000}"/>
    <cellStyle name="Normal 11 3 3 2" xfId="7915" xr:uid="{00000000-0005-0000-0000-000034560000}"/>
    <cellStyle name="Normal 11 3 3 2 2" xfId="15886" xr:uid="{00000000-0005-0000-0000-000035560000}"/>
    <cellStyle name="Normal 11 3 3 2 2 2" xfId="39729" xr:uid="{01D25F6A-9C38-4412-A5D2-D9BEDFB357C7}"/>
    <cellStyle name="Normal 11 3 3 2 3" xfId="23832" xr:uid="{00000000-0005-0000-0000-000036560000}"/>
    <cellStyle name="Normal 11 3 3 2 3 2" xfId="47665" xr:uid="{E8383068-9677-49E9-827E-2A7392641DCF}"/>
    <cellStyle name="Normal 11 3 3 2 4" xfId="31788" xr:uid="{322FD87E-E530-4BC3-8559-089A61AD8E6B}"/>
    <cellStyle name="Normal 11 3 3 3" xfId="12348" xr:uid="{00000000-0005-0000-0000-000037560000}"/>
    <cellStyle name="Normal 11 3 3 3 2" xfId="36198" xr:uid="{5EA78D2F-5D4E-471F-85F2-DECA3CE82EBA}"/>
    <cellStyle name="Normal 11 3 3 4" xfId="20303" xr:uid="{00000000-0005-0000-0000-000038560000}"/>
    <cellStyle name="Normal 11 3 3 4 2" xfId="44136" xr:uid="{2CECD7C8-89E0-45F2-872F-74C339D600FE}"/>
    <cellStyle name="Normal 11 3 3 5" xfId="28257" xr:uid="{E627365E-E1AC-4A74-A8F8-65354214893C}"/>
    <cellStyle name="Normal 11 3 4" xfId="6143" xr:uid="{00000000-0005-0000-0000-000039560000}"/>
    <cellStyle name="Normal 11 3 4 2" xfId="14127" xr:uid="{00000000-0005-0000-0000-00003A560000}"/>
    <cellStyle name="Normal 11 3 4 2 2" xfId="37971" xr:uid="{157FB747-BBE2-4C88-8426-3AC74B4BD95F}"/>
    <cellStyle name="Normal 11 3 4 3" xfId="22075" xr:uid="{00000000-0005-0000-0000-00003B560000}"/>
    <cellStyle name="Normal 11 3 4 3 2" xfId="45908" xr:uid="{490AFACB-7FAF-4725-8134-69F84A7FC83C}"/>
    <cellStyle name="Normal 11 3 4 4" xfId="30030" xr:uid="{A4E772BE-FACF-4CBE-94E5-0042484DF251}"/>
    <cellStyle name="Normal 11 3 5" xfId="9696" xr:uid="{00000000-0005-0000-0000-00003C560000}"/>
    <cellStyle name="Normal 11 3 5 2" xfId="17654" xr:uid="{00000000-0005-0000-0000-00003D560000}"/>
    <cellStyle name="Normal 11 3 5 2 2" xfId="41495" xr:uid="{A640D376-E769-431B-AE84-F67226D9B313}"/>
    <cellStyle name="Normal 11 3 5 3" xfId="25598" xr:uid="{00000000-0005-0000-0000-00003E560000}"/>
    <cellStyle name="Normal 11 3 5 3 2" xfId="49431" xr:uid="{D4D2F3BD-7FF9-4401-9A4B-8AABF90FD8B9}"/>
    <cellStyle name="Normal 11 3 5 4" xfId="33554" xr:uid="{C5D839D0-28B2-4107-A001-C11F8B38B846}"/>
    <cellStyle name="Normal 11 3 6" xfId="10592" xr:uid="{00000000-0005-0000-0000-00003F560000}"/>
    <cellStyle name="Normal 11 3 6 2" xfId="34442" xr:uid="{60B06FE1-1551-4EA1-A8E3-E4847FF41993}"/>
    <cellStyle name="Normal 11 3 7" xfId="18547" xr:uid="{00000000-0005-0000-0000-000040560000}"/>
    <cellStyle name="Normal 11 3 7 2" xfId="42380" xr:uid="{91F535D9-3B80-4CEF-9B97-C09CF64DFE4F}"/>
    <cellStyle name="Normal 11 3 8" xfId="26500" xr:uid="{2AB30A4E-5748-4881-BE1B-CB02E763FBBC}"/>
    <cellStyle name="Normal 11 3_Exh G" xfId="3442" xr:uid="{00000000-0005-0000-0000-000041560000}"/>
    <cellStyle name="Normal 11 4" xfId="1013" xr:uid="{00000000-0005-0000-0000-000042560000}"/>
    <cellStyle name="Normal 11 4 2" xfId="1920" xr:uid="{00000000-0005-0000-0000-000043560000}"/>
    <cellStyle name="Normal 11 4 2 2" xfId="5438" xr:uid="{00000000-0005-0000-0000-000044560000}"/>
    <cellStyle name="Normal 11 4 2 2 2" xfId="9029" xr:uid="{00000000-0005-0000-0000-000045560000}"/>
    <cellStyle name="Normal 11 4 2 2 2 2" xfId="17000" xr:uid="{00000000-0005-0000-0000-000046560000}"/>
    <cellStyle name="Normal 11 4 2 2 2 2 2" xfId="40843" xr:uid="{F7600CB2-A540-40FE-B39D-12644FF27E26}"/>
    <cellStyle name="Normal 11 4 2 2 2 3" xfId="24946" xr:uid="{00000000-0005-0000-0000-000047560000}"/>
    <cellStyle name="Normal 11 4 2 2 2 3 2" xfId="48779" xr:uid="{9542B8E9-1A07-4C1E-BE76-5D3964B4E997}"/>
    <cellStyle name="Normal 11 4 2 2 2 4" xfId="32902" xr:uid="{ECADC131-22EF-4A1A-902F-D7046087C69E}"/>
    <cellStyle name="Normal 11 4 2 2 3" xfId="13462" xr:uid="{00000000-0005-0000-0000-000048560000}"/>
    <cellStyle name="Normal 11 4 2 2 3 2" xfId="37312" xr:uid="{947AA8FA-6EFD-4FCE-B9A5-110E44D7FD4F}"/>
    <cellStyle name="Normal 11 4 2 2 4" xfId="21417" xr:uid="{00000000-0005-0000-0000-000049560000}"/>
    <cellStyle name="Normal 11 4 2 2 4 2" xfId="45250" xr:uid="{5CF4427F-C4A0-4118-A03A-04C794BFF1F1}"/>
    <cellStyle name="Normal 11 4 2 2 5" xfId="29371" xr:uid="{D86A04DD-6292-46D2-A483-43AEE3BDFC41}"/>
    <cellStyle name="Normal 11 4 2 3" xfId="7270" xr:uid="{00000000-0005-0000-0000-00004A560000}"/>
    <cellStyle name="Normal 11 4 2 3 2" xfId="15242" xr:uid="{00000000-0005-0000-0000-00004B560000}"/>
    <cellStyle name="Normal 11 4 2 3 2 2" xfId="39085" xr:uid="{6CC69648-347D-43AC-9E4F-7F91EABE355B}"/>
    <cellStyle name="Normal 11 4 2 3 3" xfId="23189" xr:uid="{00000000-0005-0000-0000-00004C560000}"/>
    <cellStyle name="Normal 11 4 2 3 3 2" xfId="47022" xr:uid="{7BF79F84-2ADE-46CE-B7B0-8DFE382507E9}"/>
    <cellStyle name="Normal 11 4 2 3 4" xfId="31144" xr:uid="{A2A004D1-5752-400A-9D9E-272A5214C7ED}"/>
    <cellStyle name="Normal 11 4 2 4" xfId="11706" xr:uid="{00000000-0005-0000-0000-00004D560000}"/>
    <cellStyle name="Normal 11 4 2 4 2" xfId="35556" xr:uid="{F0C3D0A2-C145-4FC3-AFDE-9A3E8E1487A0}"/>
    <cellStyle name="Normal 11 4 2 5" xfId="19661" xr:uid="{00000000-0005-0000-0000-00004E560000}"/>
    <cellStyle name="Normal 11 4 2 5 2" xfId="43494" xr:uid="{ABE23E5A-FADC-456E-9D8F-7DE171989F67}"/>
    <cellStyle name="Normal 11 4 2 6" xfId="27614" xr:uid="{AF59C46B-2010-4AEA-A7BA-500617F2863C}"/>
    <cellStyle name="Normal 11 4 2_Exh G" xfId="3445" xr:uid="{00000000-0005-0000-0000-00004F560000}"/>
    <cellStyle name="Normal 11 4 3" xfId="4559" xr:uid="{00000000-0005-0000-0000-000050560000}"/>
    <cellStyle name="Normal 11 4 3 2" xfId="8151" xr:uid="{00000000-0005-0000-0000-000051560000}"/>
    <cellStyle name="Normal 11 4 3 2 2" xfId="16122" xr:uid="{00000000-0005-0000-0000-000052560000}"/>
    <cellStyle name="Normal 11 4 3 2 2 2" xfId="39965" xr:uid="{49A04FE1-0C4D-4FF1-81F6-BBB54172302A}"/>
    <cellStyle name="Normal 11 4 3 2 3" xfId="24068" xr:uid="{00000000-0005-0000-0000-000053560000}"/>
    <cellStyle name="Normal 11 4 3 2 3 2" xfId="47901" xr:uid="{9C939D86-6730-46FF-BDF7-FF24F7C3075D}"/>
    <cellStyle name="Normal 11 4 3 2 4" xfId="32024" xr:uid="{FFFC6698-5540-42BD-94F7-A95224FF6AA0}"/>
    <cellStyle name="Normal 11 4 3 3" xfId="12584" xr:uid="{00000000-0005-0000-0000-000054560000}"/>
    <cellStyle name="Normal 11 4 3 3 2" xfId="36434" xr:uid="{EF550D1B-411C-4D61-99EA-B6BA1AEBED24}"/>
    <cellStyle name="Normal 11 4 3 4" xfId="20539" xr:uid="{00000000-0005-0000-0000-000055560000}"/>
    <cellStyle name="Normal 11 4 3 4 2" xfId="44372" xr:uid="{37E048DF-000B-4020-B0C1-F3610A5BA25E}"/>
    <cellStyle name="Normal 11 4 3 5" xfId="28493" xr:uid="{B2503B5D-420C-4BF1-8A3C-D88C4B59A1F3}"/>
    <cellStyle name="Normal 11 4 4" xfId="6389" xr:uid="{00000000-0005-0000-0000-000056560000}"/>
    <cellStyle name="Normal 11 4 4 2" xfId="14364" xr:uid="{00000000-0005-0000-0000-000057560000}"/>
    <cellStyle name="Normal 11 4 4 2 2" xfId="38207" xr:uid="{6585F807-9E0F-4615-B0ED-DF16F462C9E8}"/>
    <cellStyle name="Normal 11 4 4 3" xfId="22311" xr:uid="{00000000-0005-0000-0000-000058560000}"/>
    <cellStyle name="Normal 11 4 4 3 2" xfId="46144" xr:uid="{65A0AF6F-35DF-4497-AA37-647E48EBEA11}"/>
    <cellStyle name="Normal 11 4 4 4" xfId="30266" xr:uid="{C27D341C-2C1D-4578-A0B1-89B0082901FB}"/>
    <cellStyle name="Normal 11 4 5" xfId="9932" xr:uid="{00000000-0005-0000-0000-000059560000}"/>
    <cellStyle name="Normal 11 4 5 2" xfId="17890" xr:uid="{00000000-0005-0000-0000-00005A560000}"/>
    <cellStyle name="Normal 11 4 5 2 2" xfId="41731" xr:uid="{17F22099-A8E8-4795-BE40-A6094270794F}"/>
    <cellStyle name="Normal 11 4 5 3" xfId="25834" xr:uid="{00000000-0005-0000-0000-00005B560000}"/>
    <cellStyle name="Normal 11 4 5 3 2" xfId="49667" xr:uid="{A2EA46A2-8316-421D-A7D6-2099B8319F52}"/>
    <cellStyle name="Normal 11 4 5 4" xfId="33790" xr:uid="{E563BAA1-C03D-44B4-BF7A-EB47B8AEA37B}"/>
    <cellStyle name="Normal 11 4 6" xfId="10828" xr:uid="{00000000-0005-0000-0000-00005C560000}"/>
    <cellStyle name="Normal 11 4 6 2" xfId="34678" xr:uid="{E5511FE3-6FED-43F9-BABB-96379CF7A2D6}"/>
    <cellStyle name="Normal 11 4 7" xfId="18783" xr:uid="{00000000-0005-0000-0000-00005D560000}"/>
    <cellStyle name="Normal 11 4 7 2" xfId="42616" xr:uid="{877393FD-73B9-452E-BA62-E03F3C545BFE}"/>
    <cellStyle name="Normal 11 4 8" xfId="26736" xr:uid="{DBF1EDA7-E1B3-4503-B35D-3875E1EBA074}"/>
    <cellStyle name="Normal 11 4_Exh G" xfId="3444" xr:uid="{00000000-0005-0000-0000-00005E560000}"/>
    <cellStyle name="Normal 11 5" xfId="1669" xr:uid="{00000000-0005-0000-0000-00005F560000}"/>
    <cellStyle name="Normal 11 5 2" xfId="5199" xr:uid="{00000000-0005-0000-0000-000060560000}"/>
    <cellStyle name="Normal 11 5 2 2" xfId="8790" xr:uid="{00000000-0005-0000-0000-000061560000}"/>
    <cellStyle name="Normal 11 5 2 2 2" xfId="16761" xr:uid="{00000000-0005-0000-0000-000062560000}"/>
    <cellStyle name="Normal 11 5 2 2 2 2" xfId="40604" xr:uid="{7ECE05E7-A715-43A0-A424-818AB64C6B9E}"/>
    <cellStyle name="Normal 11 5 2 2 3" xfId="24707" xr:uid="{00000000-0005-0000-0000-000063560000}"/>
    <cellStyle name="Normal 11 5 2 2 3 2" xfId="48540" xr:uid="{02AF31DF-2A41-43CB-B43D-7B5B79107D97}"/>
    <cellStyle name="Normal 11 5 2 2 4" xfId="32663" xr:uid="{4FD17C28-20C9-491A-9841-740B3806B64E}"/>
    <cellStyle name="Normal 11 5 2 3" xfId="13223" xr:uid="{00000000-0005-0000-0000-000064560000}"/>
    <cellStyle name="Normal 11 5 2 3 2" xfId="37073" xr:uid="{32EA7BC3-B523-45B9-AF0F-A3783FA1BE56}"/>
    <cellStyle name="Normal 11 5 2 4" xfId="21178" xr:uid="{00000000-0005-0000-0000-000065560000}"/>
    <cellStyle name="Normal 11 5 2 4 2" xfId="45011" xr:uid="{6FBF1B46-5E5D-436A-A0D1-B829DFF03F97}"/>
    <cellStyle name="Normal 11 5 2 5" xfId="29132" xr:uid="{9C3A16CC-299B-4922-AEDB-0F9BFB0BC34D}"/>
    <cellStyle name="Normal 11 5 3" xfId="7031" xr:uid="{00000000-0005-0000-0000-000066560000}"/>
    <cellStyle name="Normal 11 5 3 2" xfId="15003" xr:uid="{00000000-0005-0000-0000-000067560000}"/>
    <cellStyle name="Normal 11 5 3 2 2" xfId="38846" xr:uid="{DE00FC85-8EB8-4004-A1E3-8DD3E6B25E40}"/>
    <cellStyle name="Normal 11 5 3 3" xfId="22950" xr:uid="{00000000-0005-0000-0000-000068560000}"/>
    <cellStyle name="Normal 11 5 3 3 2" xfId="46783" xr:uid="{2FAA6C57-C7CC-4919-A725-AD1635782C47}"/>
    <cellStyle name="Normal 11 5 3 4" xfId="30905" xr:uid="{BC78AD4A-98BA-4D1F-A556-56FB245EA10E}"/>
    <cellStyle name="Normal 11 5 4" xfId="11467" xr:uid="{00000000-0005-0000-0000-000069560000}"/>
    <cellStyle name="Normal 11 5 4 2" xfId="35317" xr:uid="{E8BA9100-552F-4A57-806C-D4AE15A6E42E}"/>
    <cellStyle name="Normal 11 5 5" xfId="19422" xr:uid="{00000000-0005-0000-0000-00006A560000}"/>
    <cellStyle name="Normal 11 5 5 2" xfId="43255" xr:uid="{23F9C611-CDB0-4E80-BD39-9D061F0246F6}"/>
    <cellStyle name="Normal 11 5 6" xfId="27375" xr:uid="{DB80921C-2C98-4D8E-8395-EC1370B4AAB0}"/>
    <cellStyle name="Normal 11 5_Exh G" xfId="3446" xr:uid="{00000000-0005-0000-0000-00006B560000}"/>
    <cellStyle name="Normal 11 6" xfId="4320" xr:uid="{00000000-0005-0000-0000-00006C560000}"/>
    <cellStyle name="Normal 11 6 2" xfId="7912" xr:uid="{00000000-0005-0000-0000-00006D560000}"/>
    <cellStyle name="Normal 11 6 2 2" xfId="15883" xr:uid="{00000000-0005-0000-0000-00006E560000}"/>
    <cellStyle name="Normal 11 6 2 2 2" xfId="39726" xr:uid="{985A5577-1D8D-4ED1-9E95-C11D02BADB30}"/>
    <cellStyle name="Normal 11 6 2 3" xfId="23829" xr:uid="{00000000-0005-0000-0000-00006F560000}"/>
    <cellStyle name="Normal 11 6 2 3 2" xfId="47662" xr:uid="{FA24D6BF-2C1E-47F7-82A4-F978821B9CC9}"/>
    <cellStyle name="Normal 11 6 2 4" xfId="31785" xr:uid="{D6D89E64-0102-4EBD-842B-3A4AC4159708}"/>
    <cellStyle name="Normal 11 6 3" xfId="12345" xr:uid="{00000000-0005-0000-0000-000070560000}"/>
    <cellStyle name="Normal 11 6 3 2" xfId="36195" xr:uid="{17F2499A-353E-497C-81C8-AC0A8DFB57E8}"/>
    <cellStyle name="Normal 11 6 4" xfId="20300" xr:uid="{00000000-0005-0000-0000-000071560000}"/>
    <cellStyle name="Normal 11 6 4 2" xfId="44133" xr:uid="{86DD01E7-C6B0-4132-8BCB-8223A620A96B}"/>
    <cellStyle name="Normal 11 6 5" xfId="28254" xr:uid="{F6186FF3-327D-44BB-BCF6-EE4FFF39EC96}"/>
    <cellStyle name="Normal 11 7" xfId="6140" xr:uid="{00000000-0005-0000-0000-000072560000}"/>
    <cellStyle name="Normal 11 7 2" xfId="14124" xr:uid="{00000000-0005-0000-0000-000073560000}"/>
    <cellStyle name="Normal 11 7 2 2" xfId="37968" xr:uid="{AABFB753-1530-4D30-B31A-C873C85A66C3}"/>
    <cellStyle name="Normal 11 7 3" xfId="22072" xr:uid="{00000000-0005-0000-0000-000074560000}"/>
    <cellStyle name="Normal 11 7 3 2" xfId="45905" xr:uid="{17A171B8-98A1-4DAD-80C5-CB4CB7BFCFDD}"/>
    <cellStyle name="Normal 11 7 4" xfId="30027" xr:uid="{9FF0A2A8-4D4D-426E-B566-9EEAE9B58154}"/>
    <cellStyle name="Normal 11 8" xfId="9693" xr:uid="{00000000-0005-0000-0000-000075560000}"/>
    <cellStyle name="Normal 11 8 2" xfId="17651" xr:uid="{00000000-0005-0000-0000-000076560000}"/>
    <cellStyle name="Normal 11 8 2 2" xfId="41492" xr:uid="{5DA8AC3D-1D19-49AB-BAA7-4122CB588EBC}"/>
    <cellStyle name="Normal 11 8 3" xfId="25595" xr:uid="{00000000-0005-0000-0000-000077560000}"/>
    <cellStyle name="Normal 11 8 3 2" xfId="49428" xr:uid="{CBE9483C-498E-4FB9-8F14-738D59AC0CA8}"/>
    <cellStyle name="Normal 11 8 4" xfId="33551" xr:uid="{1D16F752-2C22-48F8-BC98-1275C0C66DCE}"/>
    <cellStyle name="Normal 11 9" xfId="10589" xr:uid="{00000000-0005-0000-0000-000078560000}"/>
    <cellStyle name="Normal 11 9 2" xfId="34439" xr:uid="{81336FFD-E0C2-4C6D-834F-0BBEFCCF4FD2}"/>
    <cellStyle name="Normal 11_Exh G" xfId="3437" xr:uid="{00000000-0005-0000-0000-000079560000}"/>
    <cellStyle name="Normal 12" xfId="645" xr:uid="{00000000-0005-0000-0000-00007A560000}"/>
    <cellStyle name="Normal 12 10" xfId="18548" xr:uid="{00000000-0005-0000-0000-00007B560000}"/>
    <cellStyle name="Normal 12 10 2" xfId="42381" xr:uid="{74DE5901-0A4B-4C9D-B7FF-B3E39C5D4580}"/>
    <cellStyle name="Normal 12 11" xfId="26501" xr:uid="{F87F7B9A-C994-4F31-8017-ADD31FAA30FE}"/>
    <cellStyle name="Normal 12 2" xfId="646" xr:uid="{00000000-0005-0000-0000-00007C560000}"/>
    <cellStyle name="Normal 12 2 2" xfId="647" xr:uid="{00000000-0005-0000-0000-00007D560000}"/>
    <cellStyle name="Normal 12 2 2 2" xfId="1675" xr:uid="{00000000-0005-0000-0000-00007E560000}"/>
    <cellStyle name="Normal 12 2 2 2 2" xfId="5205" xr:uid="{00000000-0005-0000-0000-00007F560000}"/>
    <cellStyle name="Normal 12 2 2 2 2 2" xfId="8796" xr:uid="{00000000-0005-0000-0000-000080560000}"/>
    <cellStyle name="Normal 12 2 2 2 2 2 2" xfId="16767" xr:uid="{00000000-0005-0000-0000-000081560000}"/>
    <cellStyle name="Normal 12 2 2 2 2 2 2 2" xfId="40610" xr:uid="{CE6546A9-E72E-4281-8CFB-46CF634E2D93}"/>
    <cellStyle name="Normal 12 2 2 2 2 2 3" xfId="24713" xr:uid="{00000000-0005-0000-0000-000082560000}"/>
    <cellStyle name="Normal 12 2 2 2 2 2 3 2" xfId="48546" xr:uid="{7882D875-0EC7-455B-8DC8-4041123DB6E1}"/>
    <cellStyle name="Normal 12 2 2 2 2 2 4" xfId="32669" xr:uid="{0E13E71D-B918-489A-9212-17C6706E1E64}"/>
    <cellStyle name="Normal 12 2 2 2 2 3" xfId="13229" xr:uid="{00000000-0005-0000-0000-000083560000}"/>
    <cellStyle name="Normal 12 2 2 2 2 3 2" xfId="37079" xr:uid="{8F0B00FC-D8F0-4164-A375-5BB10E51549C}"/>
    <cellStyle name="Normal 12 2 2 2 2 4" xfId="21184" xr:uid="{00000000-0005-0000-0000-000084560000}"/>
    <cellStyle name="Normal 12 2 2 2 2 4 2" xfId="45017" xr:uid="{82FF255F-B32E-4E81-85DE-63EB00EF1144}"/>
    <cellStyle name="Normal 12 2 2 2 2 5" xfId="29138" xr:uid="{C153F772-9A6C-454D-821D-F9700A3C30E3}"/>
    <cellStyle name="Normal 12 2 2 2 3" xfId="7037" xr:uid="{00000000-0005-0000-0000-000085560000}"/>
    <cellStyle name="Normal 12 2 2 2 3 2" xfId="15009" xr:uid="{00000000-0005-0000-0000-000086560000}"/>
    <cellStyle name="Normal 12 2 2 2 3 2 2" xfId="38852" xr:uid="{86C559AC-7C21-411B-8F8D-2DB4FD61D532}"/>
    <cellStyle name="Normal 12 2 2 2 3 3" xfId="22956" xr:uid="{00000000-0005-0000-0000-000087560000}"/>
    <cellStyle name="Normal 12 2 2 2 3 3 2" xfId="46789" xr:uid="{B54D5160-7B66-4369-9CF8-D3E3DC446B3B}"/>
    <cellStyle name="Normal 12 2 2 2 3 4" xfId="30911" xr:uid="{1FEDB8DE-F3F0-440A-8FF6-1C072FA99358}"/>
    <cellStyle name="Normal 12 2 2 2 4" xfId="11473" xr:uid="{00000000-0005-0000-0000-000088560000}"/>
    <cellStyle name="Normal 12 2 2 2 4 2" xfId="35323" xr:uid="{82FC3EDA-489B-47AF-89C8-B45A6D41A675}"/>
    <cellStyle name="Normal 12 2 2 2 5" xfId="19428" xr:uid="{00000000-0005-0000-0000-000089560000}"/>
    <cellStyle name="Normal 12 2 2 2 5 2" xfId="43261" xr:uid="{C83408E1-6644-43B5-B6E3-720A191A56B6}"/>
    <cellStyle name="Normal 12 2 2 2 6" xfId="27381" xr:uid="{9A527DA1-E9FA-4066-B44B-65E6BE0E170C}"/>
    <cellStyle name="Normal 12 2 2 2_Exh G" xfId="3450" xr:uid="{00000000-0005-0000-0000-00008A560000}"/>
    <cellStyle name="Normal 12 2 2 3" xfId="4326" xr:uid="{00000000-0005-0000-0000-00008B560000}"/>
    <cellStyle name="Normal 12 2 2 3 2" xfId="7918" xr:uid="{00000000-0005-0000-0000-00008C560000}"/>
    <cellStyle name="Normal 12 2 2 3 2 2" xfId="15889" xr:uid="{00000000-0005-0000-0000-00008D560000}"/>
    <cellStyle name="Normal 12 2 2 3 2 2 2" xfId="39732" xr:uid="{075EBCDC-BFF1-4323-809F-1B5FF48FABF2}"/>
    <cellStyle name="Normal 12 2 2 3 2 3" xfId="23835" xr:uid="{00000000-0005-0000-0000-00008E560000}"/>
    <cellStyle name="Normal 12 2 2 3 2 3 2" xfId="47668" xr:uid="{6CA0A97A-2B83-4034-9B21-B9AA569C7FA0}"/>
    <cellStyle name="Normal 12 2 2 3 2 4" xfId="31791" xr:uid="{97ABEB5F-AD62-4C10-A279-9F8309CA74CB}"/>
    <cellStyle name="Normal 12 2 2 3 3" xfId="12351" xr:uid="{00000000-0005-0000-0000-00008F560000}"/>
    <cellStyle name="Normal 12 2 2 3 3 2" xfId="36201" xr:uid="{03FA9E93-1E1C-4CD7-914F-8962867D8DEB}"/>
    <cellStyle name="Normal 12 2 2 3 4" xfId="20306" xr:uid="{00000000-0005-0000-0000-000090560000}"/>
    <cellStyle name="Normal 12 2 2 3 4 2" xfId="44139" xr:uid="{8C41952F-5225-4320-9362-64F50CF52CE8}"/>
    <cellStyle name="Normal 12 2 2 3 5" xfId="28260" xr:uid="{D6423CF0-6A59-4D0E-A529-EA29F52BA7EF}"/>
    <cellStyle name="Normal 12 2 2 4" xfId="6146" xr:uid="{00000000-0005-0000-0000-000091560000}"/>
    <cellStyle name="Normal 12 2 2 4 2" xfId="14130" xr:uid="{00000000-0005-0000-0000-000092560000}"/>
    <cellStyle name="Normal 12 2 2 4 2 2" xfId="37974" xr:uid="{CCEB6060-A6CD-4131-BB21-FB15D03C6086}"/>
    <cellStyle name="Normal 12 2 2 4 3" xfId="22078" xr:uid="{00000000-0005-0000-0000-000093560000}"/>
    <cellStyle name="Normal 12 2 2 4 3 2" xfId="45911" xr:uid="{E1AE6F27-3642-47FF-B3C9-72FBC1572E72}"/>
    <cellStyle name="Normal 12 2 2 4 4" xfId="30033" xr:uid="{47FF1500-2455-446D-AE25-EE6CF389411C}"/>
    <cellStyle name="Normal 12 2 2 5" xfId="9699" xr:uid="{00000000-0005-0000-0000-000094560000}"/>
    <cellStyle name="Normal 12 2 2 5 2" xfId="17657" xr:uid="{00000000-0005-0000-0000-000095560000}"/>
    <cellStyle name="Normal 12 2 2 5 2 2" xfId="41498" xr:uid="{B61BA92E-D16C-465C-865D-747FF80999FF}"/>
    <cellStyle name="Normal 12 2 2 5 3" xfId="25601" xr:uid="{00000000-0005-0000-0000-000096560000}"/>
    <cellStyle name="Normal 12 2 2 5 3 2" xfId="49434" xr:uid="{E7F55E34-A51E-4F0D-B670-6FBF81D16660}"/>
    <cellStyle name="Normal 12 2 2 5 4" xfId="33557" xr:uid="{1BB81166-0646-4058-BB87-A8DFB69CF4C7}"/>
    <cellStyle name="Normal 12 2 2 6" xfId="10595" xr:uid="{00000000-0005-0000-0000-000097560000}"/>
    <cellStyle name="Normal 12 2 2 6 2" xfId="34445" xr:uid="{85EAEFC6-0A7A-4828-A12C-47F8F991D305}"/>
    <cellStyle name="Normal 12 2 2 7" xfId="18550" xr:uid="{00000000-0005-0000-0000-000098560000}"/>
    <cellStyle name="Normal 12 2 2 7 2" xfId="42383" xr:uid="{1557DA25-1571-4FA8-B53D-329246EEC79C}"/>
    <cellStyle name="Normal 12 2 2 8" xfId="26503" xr:uid="{EB4DB58D-31CF-4DB4-A67B-5B39C796EBE7}"/>
    <cellStyle name="Normal 12 2 2_Exh G" xfId="3449" xr:uid="{00000000-0005-0000-0000-000099560000}"/>
    <cellStyle name="Normal 12 2 3" xfId="1674" xr:uid="{00000000-0005-0000-0000-00009A560000}"/>
    <cellStyle name="Normal 12 2 3 2" xfId="5204" xr:uid="{00000000-0005-0000-0000-00009B560000}"/>
    <cellStyle name="Normal 12 2 3 2 2" xfId="8795" xr:uid="{00000000-0005-0000-0000-00009C560000}"/>
    <cellStyle name="Normal 12 2 3 2 2 2" xfId="16766" xr:uid="{00000000-0005-0000-0000-00009D560000}"/>
    <cellStyle name="Normal 12 2 3 2 2 2 2" xfId="40609" xr:uid="{94B95401-DF2D-4955-8E77-BF7730099995}"/>
    <cellStyle name="Normal 12 2 3 2 2 3" xfId="24712" xr:uid="{00000000-0005-0000-0000-00009E560000}"/>
    <cellStyle name="Normal 12 2 3 2 2 3 2" xfId="48545" xr:uid="{8AC068BD-DE29-43CB-9EDD-DACC64A4899C}"/>
    <cellStyle name="Normal 12 2 3 2 2 4" xfId="32668" xr:uid="{9E7CEF59-CDA2-4D9F-953E-14C86EAB5A32}"/>
    <cellStyle name="Normal 12 2 3 2 3" xfId="13228" xr:uid="{00000000-0005-0000-0000-00009F560000}"/>
    <cellStyle name="Normal 12 2 3 2 3 2" xfId="37078" xr:uid="{CAC0A5CE-CEDC-437E-8C9C-02E392E6239D}"/>
    <cellStyle name="Normal 12 2 3 2 4" xfId="21183" xr:uid="{00000000-0005-0000-0000-0000A0560000}"/>
    <cellStyle name="Normal 12 2 3 2 4 2" xfId="45016" xr:uid="{5894EEDA-3059-47E4-A2C4-F484BE9018FD}"/>
    <cellStyle name="Normal 12 2 3 2 5" xfId="29137" xr:uid="{CBAE1109-731F-48A0-B4B8-FEB71838AEAE}"/>
    <cellStyle name="Normal 12 2 3 3" xfId="7036" xr:uid="{00000000-0005-0000-0000-0000A1560000}"/>
    <cellStyle name="Normal 12 2 3 3 2" xfId="15008" xr:uid="{00000000-0005-0000-0000-0000A2560000}"/>
    <cellStyle name="Normal 12 2 3 3 2 2" xfId="38851" xr:uid="{42B4A7B6-D2F2-4F9B-AA88-CAF86522D659}"/>
    <cellStyle name="Normal 12 2 3 3 3" xfId="22955" xr:uid="{00000000-0005-0000-0000-0000A3560000}"/>
    <cellStyle name="Normal 12 2 3 3 3 2" xfId="46788" xr:uid="{5CAC5BA1-7D3B-4AF7-AC6D-2E196675DACB}"/>
    <cellStyle name="Normal 12 2 3 3 4" xfId="30910" xr:uid="{CD5C527F-D72F-4C83-946B-8EF77D9D4E81}"/>
    <cellStyle name="Normal 12 2 3 4" xfId="11472" xr:uid="{00000000-0005-0000-0000-0000A4560000}"/>
    <cellStyle name="Normal 12 2 3 4 2" xfId="35322" xr:uid="{F26CFF98-9D38-4CCD-8274-77C2F750719D}"/>
    <cellStyle name="Normal 12 2 3 5" xfId="19427" xr:uid="{00000000-0005-0000-0000-0000A5560000}"/>
    <cellStyle name="Normal 12 2 3 5 2" xfId="43260" xr:uid="{687E45C1-1377-4402-A8E9-6CCBE4B1D4E6}"/>
    <cellStyle name="Normal 12 2 3 6" xfId="27380" xr:uid="{57399ABE-4601-4BAC-BE6F-7D29663CECF5}"/>
    <cellStyle name="Normal 12 2 3_Exh G" xfId="3451" xr:uid="{00000000-0005-0000-0000-0000A6560000}"/>
    <cellStyle name="Normal 12 2 4" xfId="4325" xr:uid="{00000000-0005-0000-0000-0000A7560000}"/>
    <cellStyle name="Normal 12 2 4 2" xfId="7917" xr:uid="{00000000-0005-0000-0000-0000A8560000}"/>
    <cellStyle name="Normal 12 2 4 2 2" xfId="15888" xr:uid="{00000000-0005-0000-0000-0000A9560000}"/>
    <cellStyle name="Normal 12 2 4 2 2 2" xfId="39731" xr:uid="{1A091B23-2F15-4EDA-9BB7-A19ED6F73889}"/>
    <cellStyle name="Normal 12 2 4 2 3" xfId="23834" xr:uid="{00000000-0005-0000-0000-0000AA560000}"/>
    <cellStyle name="Normal 12 2 4 2 3 2" xfId="47667" xr:uid="{CD16E6FF-5C95-4F14-A476-4F6C9180D932}"/>
    <cellStyle name="Normal 12 2 4 2 4" xfId="31790" xr:uid="{D1EE9A86-837B-455C-B704-7E05441AEEB3}"/>
    <cellStyle name="Normal 12 2 4 3" xfId="12350" xr:uid="{00000000-0005-0000-0000-0000AB560000}"/>
    <cellStyle name="Normal 12 2 4 3 2" xfId="36200" xr:uid="{C37D929C-E143-4FE0-91C9-F01F947BF588}"/>
    <cellStyle name="Normal 12 2 4 4" xfId="20305" xr:uid="{00000000-0005-0000-0000-0000AC560000}"/>
    <cellStyle name="Normal 12 2 4 4 2" xfId="44138" xr:uid="{C3A45970-46F1-4AF4-BA13-582C25BFBC44}"/>
    <cellStyle name="Normal 12 2 4 5" xfId="28259" xr:uid="{C8DA4EFE-DF94-430E-B05A-7F742448A25D}"/>
    <cellStyle name="Normal 12 2 5" xfId="6145" xr:uid="{00000000-0005-0000-0000-0000AD560000}"/>
    <cellStyle name="Normal 12 2 5 2" xfId="14129" xr:uid="{00000000-0005-0000-0000-0000AE560000}"/>
    <cellStyle name="Normal 12 2 5 2 2" xfId="37973" xr:uid="{51DA890D-EF6C-4B34-AFA7-AA16EBE42A0E}"/>
    <cellStyle name="Normal 12 2 5 3" xfId="22077" xr:uid="{00000000-0005-0000-0000-0000AF560000}"/>
    <cellStyle name="Normal 12 2 5 3 2" xfId="45910" xr:uid="{38929C50-A6A3-4387-9D14-47A9A26679B8}"/>
    <cellStyle name="Normal 12 2 5 4" xfId="30032" xr:uid="{5966D8FD-E282-4491-B51B-704806889C98}"/>
    <cellStyle name="Normal 12 2 6" xfId="9698" xr:uid="{00000000-0005-0000-0000-0000B0560000}"/>
    <cellStyle name="Normal 12 2 6 2" xfId="17656" xr:uid="{00000000-0005-0000-0000-0000B1560000}"/>
    <cellStyle name="Normal 12 2 6 2 2" xfId="41497" xr:uid="{91CAA36B-825C-484D-9BE1-53C8627A6A20}"/>
    <cellStyle name="Normal 12 2 6 3" xfId="25600" xr:uid="{00000000-0005-0000-0000-0000B2560000}"/>
    <cellStyle name="Normal 12 2 6 3 2" xfId="49433" xr:uid="{ABD82CDE-8B28-4D12-99AE-6D55FD9838BE}"/>
    <cellStyle name="Normal 12 2 6 4" xfId="33556" xr:uid="{6A62734D-158C-4FBB-943C-283552BC17B1}"/>
    <cellStyle name="Normal 12 2 7" xfId="10594" xr:uid="{00000000-0005-0000-0000-0000B3560000}"/>
    <cellStyle name="Normal 12 2 7 2" xfId="34444" xr:uid="{8E3EE322-32F1-4E24-9BFC-AFCF49856222}"/>
    <cellStyle name="Normal 12 2 8" xfId="18549" xr:uid="{00000000-0005-0000-0000-0000B4560000}"/>
    <cellStyle name="Normal 12 2 8 2" xfId="42382" xr:uid="{4F8B1E1E-F6B1-4224-9116-779CEA764D7A}"/>
    <cellStyle name="Normal 12 2 9" xfId="26502" xr:uid="{108F043F-76A7-49FF-8B45-D81FF6A12351}"/>
    <cellStyle name="Normal 12 2_Exh G" xfId="3448" xr:uid="{00000000-0005-0000-0000-0000B5560000}"/>
    <cellStyle name="Normal 12 3" xfId="648" xr:uid="{00000000-0005-0000-0000-0000B6560000}"/>
    <cellStyle name="Normal 12 3 2" xfId="1676" xr:uid="{00000000-0005-0000-0000-0000B7560000}"/>
    <cellStyle name="Normal 12 3 2 2" xfId="5206" xr:uid="{00000000-0005-0000-0000-0000B8560000}"/>
    <cellStyle name="Normal 12 3 2 2 2" xfId="8797" xr:uid="{00000000-0005-0000-0000-0000B9560000}"/>
    <cellStyle name="Normal 12 3 2 2 2 2" xfId="16768" xr:uid="{00000000-0005-0000-0000-0000BA560000}"/>
    <cellStyle name="Normal 12 3 2 2 2 2 2" xfId="40611" xr:uid="{2840DCA6-B00B-4766-8D21-985AEF9BE40E}"/>
    <cellStyle name="Normal 12 3 2 2 2 3" xfId="24714" xr:uid="{00000000-0005-0000-0000-0000BB560000}"/>
    <cellStyle name="Normal 12 3 2 2 2 3 2" xfId="48547" xr:uid="{4521FBEA-D15C-450B-97F7-F99EEBFBC0DB}"/>
    <cellStyle name="Normal 12 3 2 2 2 4" xfId="32670" xr:uid="{CAC73CDC-7FE5-4F66-ADBA-3645D8FF3B94}"/>
    <cellStyle name="Normal 12 3 2 2 3" xfId="13230" xr:uid="{00000000-0005-0000-0000-0000BC560000}"/>
    <cellStyle name="Normal 12 3 2 2 3 2" xfId="37080" xr:uid="{E6082CD6-A1DF-4000-9DE1-4F80111CF816}"/>
    <cellStyle name="Normal 12 3 2 2 4" xfId="21185" xr:uid="{00000000-0005-0000-0000-0000BD560000}"/>
    <cellStyle name="Normal 12 3 2 2 4 2" xfId="45018" xr:uid="{239EEDBF-487F-42C3-B09F-A43D83B7E011}"/>
    <cellStyle name="Normal 12 3 2 2 5" xfId="29139" xr:uid="{34C23B87-FCBF-45CF-8E2B-7A234E2D692D}"/>
    <cellStyle name="Normal 12 3 2 3" xfId="7038" xr:uid="{00000000-0005-0000-0000-0000BE560000}"/>
    <cellStyle name="Normal 12 3 2 3 2" xfId="15010" xr:uid="{00000000-0005-0000-0000-0000BF560000}"/>
    <cellStyle name="Normal 12 3 2 3 2 2" xfId="38853" xr:uid="{6E9EA78B-A2F7-4003-8163-4F4C773C0006}"/>
    <cellStyle name="Normal 12 3 2 3 3" xfId="22957" xr:uid="{00000000-0005-0000-0000-0000C0560000}"/>
    <cellStyle name="Normal 12 3 2 3 3 2" xfId="46790" xr:uid="{46468FF8-593F-4A77-8DF7-A897FBAF569A}"/>
    <cellStyle name="Normal 12 3 2 3 4" xfId="30912" xr:uid="{9A352094-C3CC-4848-BAC8-B22A111EB20C}"/>
    <cellStyle name="Normal 12 3 2 4" xfId="11474" xr:uid="{00000000-0005-0000-0000-0000C1560000}"/>
    <cellStyle name="Normal 12 3 2 4 2" xfId="35324" xr:uid="{527B407C-76A0-4E5E-B2BB-6636D7C4F582}"/>
    <cellStyle name="Normal 12 3 2 5" xfId="19429" xr:uid="{00000000-0005-0000-0000-0000C2560000}"/>
    <cellStyle name="Normal 12 3 2 5 2" xfId="43262" xr:uid="{1FC28F7D-9EE1-42F4-919B-2B3B191CC538}"/>
    <cellStyle name="Normal 12 3 2 6" xfId="27382" xr:uid="{D28D496D-292A-43CF-89DA-CF52EEE91F20}"/>
    <cellStyle name="Normal 12 3 2_Exh G" xfId="3453" xr:uid="{00000000-0005-0000-0000-0000C3560000}"/>
    <cellStyle name="Normal 12 3 3" xfId="4327" xr:uid="{00000000-0005-0000-0000-0000C4560000}"/>
    <cellStyle name="Normal 12 3 3 2" xfId="7919" xr:uid="{00000000-0005-0000-0000-0000C5560000}"/>
    <cellStyle name="Normal 12 3 3 2 2" xfId="15890" xr:uid="{00000000-0005-0000-0000-0000C6560000}"/>
    <cellStyle name="Normal 12 3 3 2 2 2" xfId="39733" xr:uid="{5E9CF6DD-64A1-4FA7-8721-4E705F5D5C32}"/>
    <cellStyle name="Normal 12 3 3 2 3" xfId="23836" xr:uid="{00000000-0005-0000-0000-0000C7560000}"/>
    <cellStyle name="Normal 12 3 3 2 3 2" xfId="47669" xr:uid="{7EEE2BFE-FAE3-4094-BD9D-FCDCA74ECBCD}"/>
    <cellStyle name="Normal 12 3 3 2 4" xfId="31792" xr:uid="{81CA35F4-94A0-4C0C-86DD-A2CEB111333E}"/>
    <cellStyle name="Normal 12 3 3 3" xfId="12352" xr:uid="{00000000-0005-0000-0000-0000C8560000}"/>
    <cellStyle name="Normal 12 3 3 3 2" xfId="36202" xr:uid="{BECD49D6-D053-48FB-BEE9-2B1DD5816EAE}"/>
    <cellStyle name="Normal 12 3 3 4" xfId="20307" xr:uid="{00000000-0005-0000-0000-0000C9560000}"/>
    <cellStyle name="Normal 12 3 3 4 2" xfId="44140" xr:uid="{E854ACD5-42D5-4B97-87D9-52B718A94BBB}"/>
    <cellStyle name="Normal 12 3 3 5" xfId="28261" xr:uid="{F4743C47-FB99-409E-AA95-F363D52D8007}"/>
    <cellStyle name="Normal 12 3 4" xfId="6147" xr:uid="{00000000-0005-0000-0000-0000CA560000}"/>
    <cellStyle name="Normal 12 3 4 2" xfId="14131" xr:uid="{00000000-0005-0000-0000-0000CB560000}"/>
    <cellStyle name="Normal 12 3 4 2 2" xfId="37975" xr:uid="{62E29198-011E-45CC-8D6A-D540E3C2C9F3}"/>
    <cellStyle name="Normal 12 3 4 3" xfId="22079" xr:uid="{00000000-0005-0000-0000-0000CC560000}"/>
    <cellStyle name="Normal 12 3 4 3 2" xfId="45912" xr:uid="{7C9DC8C8-6868-446C-BD75-4E69EC40FC6F}"/>
    <cellStyle name="Normal 12 3 4 4" xfId="30034" xr:uid="{E494C759-C28F-4168-A700-930A5947EB69}"/>
    <cellStyle name="Normal 12 3 5" xfId="9700" xr:uid="{00000000-0005-0000-0000-0000CD560000}"/>
    <cellStyle name="Normal 12 3 5 2" xfId="17658" xr:uid="{00000000-0005-0000-0000-0000CE560000}"/>
    <cellStyle name="Normal 12 3 5 2 2" xfId="41499" xr:uid="{841BE3A4-47CC-4043-BA1F-18D7D3DBE4E0}"/>
    <cellStyle name="Normal 12 3 5 3" xfId="25602" xr:uid="{00000000-0005-0000-0000-0000CF560000}"/>
    <cellStyle name="Normal 12 3 5 3 2" xfId="49435" xr:uid="{883911A0-3506-4273-8054-2510F8B1D7E3}"/>
    <cellStyle name="Normal 12 3 5 4" xfId="33558" xr:uid="{49075CD7-0767-4890-84C7-84958A380A9E}"/>
    <cellStyle name="Normal 12 3 6" xfId="10596" xr:uid="{00000000-0005-0000-0000-0000D0560000}"/>
    <cellStyle name="Normal 12 3 6 2" xfId="34446" xr:uid="{4F255502-B6B3-4A92-B44D-1F04F5890766}"/>
    <cellStyle name="Normal 12 3 7" xfId="18551" xr:uid="{00000000-0005-0000-0000-0000D1560000}"/>
    <cellStyle name="Normal 12 3 7 2" xfId="42384" xr:uid="{E2DFB7E7-3158-4094-A334-2D76312BF0C7}"/>
    <cellStyle name="Normal 12 3 8" xfId="26504" xr:uid="{1ED33388-4CEE-4E99-9B22-C76F03FFCE71}"/>
    <cellStyle name="Normal 12 3_Exh G" xfId="3452" xr:uid="{00000000-0005-0000-0000-0000D2560000}"/>
    <cellStyle name="Normal 12 4" xfId="1014" xr:uid="{00000000-0005-0000-0000-0000D3560000}"/>
    <cellStyle name="Normal 12 4 2" xfId="1921" xr:uid="{00000000-0005-0000-0000-0000D4560000}"/>
    <cellStyle name="Normal 12 4 2 2" xfId="5439" xr:uid="{00000000-0005-0000-0000-0000D5560000}"/>
    <cellStyle name="Normal 12 4 2 2 2" xfId="9030" xr:uid="{00000000-0005-0000-0000-0000D6560000}"/>
    <cellStyle name="Normal 12 4 2 2 2 2" xfId="17001" xr:uid="{00000000-0005-0000-0000-0000D7560000}"/>
    <cellStyle name="Normal 12 4 2 2 2 2 2" xfId="40844" xr:uid="{648D7B80-84D6-4486-8815-5853F69F2999}"/>
    <cellStyle name="Normal 12 4 2 2 2 3" xfId="24947" xr:uid="{00000000-0005-0000-0000-0000D8560000}"/>
    <cellStyle name="Normal 12 4 2 2 2 3 2" xfId="48780" xr:uid="{B7722F37-3378-4241-8991-835F860BF3E6}"/>
    <cellStyle name="Normal 12 4 2 2 2 4" xfId="32903" xr:uid="{48EC140D-B635-4A63-BD38-5D3B9315FB9B}"/>
    <cellStyle name="Normal 12 4 2 2 3" xfId="13463" xr:uid="{00000000-0005-0000-0000-0000D9560000}"/>
    <cellStyle name="Normal 12 4 2 2 3 2" xfId="37313" xr:uid="{A2EC2535-1FA0-49C3-B1F3-45E60AC2BA3D}"/>
    <cellStyle name="Normal 12 4 2 2 4" xfId="21418" xr:uid="{00000000-0005-0000-0000-0000DA560000}"/>
    <cellStyle name="Normal 12 4 2 2 4 2" xfId="45251" xr:uid="{1AD73DA8-77BC-443F-91E5-CE2C5B5CBA30}"/>
    <cellStyle name="Normal 12 4 2 2 5" xfId="29372" xr:uid="{1263CD35-BE7D-4C7D-A4B7-9AE875D9CDE3}"/>
    <cellStyle name="Normal 12 4 2 3" xfId="7271" xr:uid="{00000000-0005-0000-0000-0000DB560000}"/>
    <cellStyle name="Normal 12 4 2 3 2" xfId="15243" xr:uid="{00000000-0005-0000-0000-0000DC560000}"/>
    <cellStyle name="Normal 12 4 2 3 2 2" xfId="39086" xr:uid="{78C1AFD5-2211-4133-99F8-4BA601148C79}"/>
    <cellStyle name="Normal 12 4 2 3 3" xfId="23190" xr:uid="{00000000-0005-0000-0000-0000DD560000}"/>
    <cellStyle name="Normal 12 4 2 3 3 2" xfId="47023" xr:uid="{F2E2ACF1-DB5B-4E30-9DC5-85DF1E3EBD07}"/>
    <cellStyle name="Normal 12 4 2 3 4" xfId="31145" xr:uid="{F90037BF-2111-477C-AAA2-A6F9E3442B73}"/>
    <cellStyle name="Normal 12 4 2 4" xfId="11707" xr:uid="{00000000-0005-0000-0000-0000DE560000}"/>
    <cellStyle name="Normal 12 4 2 4 2" xfId="35557" xr:uid="{9EF79539-20FD-4DBD-843A-784626243B1E}"/>
    <cellStyle name="Normal 12 4 2 5" xfId="19662" xr:uid="{00000000-0005-0000-0000-0000DF560000}"/>
    <cellStyle name="Normal 12 4 2 5 2" xfId="43495" xr:uid="{4BEF6540-2DE7-4CBA-89AC-EC4631741300}"/>
    <cellStyle name="Normal 12 4 2 6" xfId="27615" xr:uid="{0F20E80E-FD37-4526-A4BF-ABFEF453F992}"/>
    <cellStyle name="Normal 12 4 2_Exh G" xfId="3455" xr:uid="{00000000-0005-0000-0000-0000E0560000}"/>
    <cellStyle name="Normal 12 4 3" xfId="4560" xr:uid="{00000000-0005-0000-0000-0000E1560000}"/>
    <cellStyle name="Normal 12 4 3 2" xfId="8152" xr:uid="{00000000-0005-0000-0000-0000E2560000}"/>
    <cellStyle name="Normal 12 4 3 2 2" xfId="16123" xr:uid="{00000000-0005-0000-0000-0000E3560000}"/>
    <cellStyle name="Normal 12 4 3 2 2 2" xfId="39966" xr:uid="{9169960E-B1DE-479D-A427-03845815A895}"/>
    <cellStyle name="Normal 12 4 3 2 3" xfId="24069" xr:uid="{00000000-0005-0000-0000-0000E4560000}"/>
    <cellStyle name="Normal 12 4 3 2 3 2" xfId="47902" xr:uid="{58D89948-1CC5-4DF4-A1F8-C787FDB5E258}"/>
    <cellStyle name="Normal 12 4 3 2 4" xfId="32025" xr:uid="{976B3452-12E7-44CF-B6FF-3476AF4A0DC9}"/>
    <cellStyle name="Normal 12 4 3 3" xfId="12585" xr:uid="{00000000-0005-0000-0000-0000E5560000}"/>
    <cellStyle name="Normal 12 4 3 3 2" xfId="36435" xr:uid="{CC5CF8FA-AA12-4E7E-A749-F25B4FBA8055}"/>
    <cellStyle name="Normal 12 4 3 4" xfId="20540" xr:uid="{00000000-0005-0000-0000-0000E6560000}"/>
    <cellStyle name="Normal 12 4 3 4 2" xfId="44373" xr:uid="{D7AE90A6-F54B-440B-BCA1-DC19CADBD80A}"/>
    <cellStyle name="Normal 12 4 3 5" xfId="28494" xr:uid="{F5F4AA8F-95E0-42DB-AAF6-5CB8FEB2190D}"/>
    <cellStyle name="Normal 12 4 4" xfId="6390" xr:uid="{00000000-0005-0000-0000-0000E7560000}"/>
    <cellStyle name="Normal 12 4 4 2" xfId="14365" xr:uid="{00000000-0005-0000-0000-0000E8560000}"/>
    <cellStyle name="Normal 12 4 4 2 2" xfId="38208" xr:uid="{F6FECC30-2AC6-453A-901D-8439ACA956E6}"/>
    <cellStyle name="Normal 12 4 4 3" xfId="22312" xr:uid="{00000000-0005-0000-0000-0000E9560000}"/>
    <cellStyle name="Normal 12 4 4 3 2" xfId="46145" xr:uid="{EA2DA35D-FD75-4761-BE82-58C68F45B4C6}"/>
    <cellStyle name="Normal 12 4 4 4" xfId="30267" xr:uid="{26525A15-4232-4593-A7ED-BE339B615BC6}"/>
    <cellStyle name="Normal 12 4 5" xfId="9933" xr:uid="{00000000-0005-0000-0000-0000EA560000}"/>
    <cellStyle name="Normal 12 4 5 2" xfId="17891" xr:uid="{00000000-0005-0000-0000-0000EB560000}"/>
    <cellStyle name="Normal 12 4 5 2 2" xfId="41732" xr:uid="{12B5CCA3-A787-4D43-909D-1D3F31EF82B1}"/>
    <cellStyle name="Normal 12 4 5 3" xfId="25835" xr:uid="{00000000-0005-0000-0000-0000EC560000}"/>
    <cellStyle name="Normal 12 4 5 3 2" xfId="49668" xr:uid="{0637F5E2-9779-4D6D-B8A1-6A756A84765B}"/>
    <cellStyle name="Normal 12 4 5 4" xfId="33791" xr:uid="{5ECAD22B-1181-4F44-8FBD-F112D8800B05}"/>
    <cellStyle name="Normal 12 4 6" xfId="10829" xr:uid="{00000000-0005-0000-0000-0000ED560000}"/>
    <cellStyle name="Normal 12 4 6 2" xfId="34679" xr:uid="{273D726F-4B32-4556-B1DB-F9B739C795FA}"/>
    <cellStyle name="Normal 12 4 7" xfId="18784" xr:uid="{00000000-0005-0000-0000-0000EE560000}"/>
    <cellStyle name="Normal 12 4 7 2" xfId="42617" xr:uid="{032DFD1E-7108-4B57-AFCB-AC64F4E238AE}"/>
    <cellStyle name="Normal 12 4 8" xfId="26737" xr:uid="{B3597F57-F0C4-4CB0-9AC7-6AFD3065F271}"/>
    <cellStyle name="Normal 12 4_Exh G" xfId="3454" xr:uid="{00000000-0005-0000-0000-0000EF560000}"/>
    <cellStyle name="Normal 12 5" xfId="1673" xr:uid="{00000000-0005-0000-0000-0000F0560000}"/>
    <cellStyle name="Normal 12 5 2" xfId="5203" xr:uid="{00000000-0005-0000-0000-0000F1560000}"/>
    <cellStyle name="Normal 12 5 2 2" xfId="8794" xr:uid="{00000000-0005-0000-0000-0000F2560000}"/>
    <cellStyle name="Normal 12 5 2 2 2" xfId="16765" xr:uid="{00000000-0005-0000-0000-0000F3560000}"/>
    <cellStyle name="Normal 12 5 2 2 2 2" xfId="40608" xr:uid="{318D5987-E36E-408D-98E9-97AD1737A03F}"/>
    <cellStyle name="Normal 12 5 2 2 3" xfId="24711" xr:uid="{00000000-0005-0000-0000-0000F4560000}"/>
    <cellStyle name="Normal 12 5 2 2 3 2" xfId="48544" xr:uid="{9188E141-1B37-4E38-9BDF-9AE70EEADF0A}"/>
    <cellStyle name="Normal 12 5 2 2 4" xfId="32667" xr:uid="{D7B69F4A-B0B1-47ED-AAA8-545060886C01}"/>
    <cellStyle name="Normal 12 5 2 3" xfId="13227" xr:uid="{00000000-0005-0000-0000-0000F5560000}"/>
    <cellStyle name="Normal 12 5 2 3 2" xfId="37077" xr:uid="{DA25AD7A-0D4C-4FC3-9EB5-7A85561A61DB}"/>
    <cellStyle name="Normal 12 5 2 4" xfId="21182" xr:uid="{00000000-0005-0000-0000-0000F6560000}"/>
    <cellStyle name="Normal 12 5 2 4 2" xfId="45015" xr:uid="{D54D7A02-8AB2-40F5-AB72-271BCEE8A566}"/>
    <cellStyle name="Normal 12 5 2 5" xfId="29136" xr:uid="{C4209984-99BA-44C6-9555-908809248239}"/>
    <cellStyle name="Normal 12 5 3" xfId="7035" xr:uid="{00000000-0005-0000-0000-0000F7560000}"/>
    <cellStyle name="Normal 12 5 3 2" xfId="15007" xr:uid="{00000000-0005-0000-0000-0000F8560000}"/>
    <cellStyle name="Normal 12 5 3 2 2" xfId="38850" xr:uid="{8603855E-0F45-4FBF-A58D-2694146755EA}"/>
    <cellStyle name="Normal 12 5 3 3" xfId="22954" xr:uid="{00000000-0005-0000-0000-0000F9560000}"/>
    <cellStyle name="Normal 12 5 3 3 2" xfId="46787" xr:uid="{038FA30E-B899-4FAE-A3C3-D5C9692DBC7C}"/>
    <cellStyle name="Normal 12 5 3 4" xfId="30909" xr:uid="{33FDABE8-4C57-44DD-9ADD-DC9EBF185EC8}"/>
    <cellStyle name="Normal 12 5 4" xfId="11471" xr:uid="{00000000-0005-0000-0000-0000FA560000}"/>
    <cellStyle name="Normal 12 5 4 2" xfId="35321" xr:uid="{79099A1F-AF4A-41D3-B65D-2DB15EF4B3B0}"/>
    <cellStyle name="Normal 12 5 5" xfId="19426" xr:uid="{00000000-0005-0000-0000-0000FB560000}"/>
    <cellStyle name="Normal 12 5 5 2" xfId="43259" xr:uid="{64DD5E71-5682-4325-9F46-FD5124DF7FCB}"/>
    <cellStyle name="Normal 12 5 6" xfId="27379" xr:uid="{D473BBCD-82E9-45C1-9D95-2C1C56D0EE59}"/>
    <cellStyle name="Normal 12 5_Exh G" xfId="3456" xr:uid="{00000000-0005-0000-0000-0000FC560000}"/>
    <cellStyle name="Normal 12 6" xfId="4324" xr:uid="{00000000-0005-0000-0000-0000FD560000}"/>
    <cellStyle name="Normal 12 6 2" xfId="7916" xr:uid="{00000000-0005-0000-0000-0000FE560000}"/>
    <cellStyle name="Normal 12 6 2 2" xfId="15887" xr:uid="{00000000-0005-0000-0000-0000FF560000}"/>
    <cellStyle name="Normal 12 6 2 2 2" xfId="39730" xr:uid="{3C2C18E9-05E9-4099-B1D1-6269A320D345}"/>
    <cellStyle name="Normal 12 6 2 3" xfId="23833" xr:uid="{00000000-0005-0000-0000-000000570000}"/>
    <cellStyle name="Normal 12 6 2 3 2" xfId="47666" xr:uid="{91F5DB53-E4AE-416D-A4F8-0B567BDF5B8C}"/>
    <cellStyle name="Normal 12 6 2 4" xfId="31789" xr:uid="{6D6A45AE-F21C-4C86-9F25-5FA75D54B8B6}"/>
    <cellStyle name="Normal 12 6 3" xfId="12349" xr:uid="{00000000-0005-0000-0000-000001570000}"/>
    <cellStyle name="Normal 12 6 3 2" xfId="36199" xr:uid="{68F6A2F9-CE8A-4B44-B024-796E6AEF4DCD}"/>
    <cellStyle name="Normal 12 6 4" xfId="20304" xr:uid="{00000000-0005-0000-0000-000002570000}"/>
    <cellStyle name="Normal 12 6 4 2" xfId="44137" xr:uid="{9AD11F2E-8FDA-4A1E-B968-C15D4CF45AAF}"/>
    <cellStyle name="Normal 12 6 5" xfId="28258" xr:uid="{AFB2DF8C-F4EC-4CA5-A48C-1B3BB864D5A7}"/>
    <cellStyle name="Normal 12 7" xfId="6144" xr:uid="{00000000-0005-0000-0000-000003570000}"/>
    <cellStyle name="Normal 12 7 2" xfId="14128" xr:uid="{00000000-0005-0000-0000-000004570000}"/>
    <cellStyle name="Normal 12 7 2 2" xfId="37972" xr:uid="{7D2D40AA-FBDF-472E-A4EB-DA3587C52BD3}"/>
    <cellStyle name="Normal 12 7 3" xfId="22076" xr:uid="{00000000-0005-0000-0000-000005570000}"/>
    <cellStyle name="Normal 12 7 3 2" xfId="45909" xr:uid="{1D9BCD86-F13E-4BFA-834F-2855ED9CB85C}"/>
    <cellStyle name="Normal 12 7 4" xfId="30031" xr:uid="{37C118F8-6AB2-4E43-B9D2-687EC759A2D7}"/>
    <cellStyle name="Normal 12 8" xfId="9697" xr:uid="{00000000-0005-0000-0000-000006570000}"/>
    <cellStyle name="Normal 12 8 2" xfId="17655" xr:uid="{00000000-0005-0000-0000-000007570000}"/>
    <cellStyle name="Normal 12 8 2 2" xfId="41496" xr:uid="{971CAD70-9F14-4700-BE6C-AFC157E7D7EA}"/>
    <cellStyle name="Normal 12 8 3" xfId="25599" xr:uid="{00000000-0005-0000-0000-000008570000}"/>
    <cellStyle name="Normal 12 8 3 2" xfId="49432" xr:uid="{03651F11-A777-446C-9DC4-ED54339793D3}"/>
    <cellStyle name="Normal 12 8 4" xfId="33555" xr:uid="{2A266AB1-970D-49C5-A72A-333CB5789790}"/>
    <cellStyle name="Normal 12 9" xfId="10593" xr:uid="{00000000-0005-0000-0000-000009570000}"/>
    <cellStyle name="Normal 12 9 2" xfId="34443" xr:uid="{9AD54871-19D7-438B-B22E-8244665F2E4F}"/>
    <cellStyle name="Normal 12_Exh G" xfId="3447" xr:uid="{00000000-0005-0000-0000-00000A570000}"/>
    <cellStyle name="Normal 13" xfId="649" xr:uid="{00000000-0005-0000-0000-00000B570000}"/>
    <cellStyle name="Normal 13 10" xfId="18552" xr:uid="{00000000-0005-0000-0000-00000C570000}"/>
    <cellStyle name="Normal 13 10 2" xfId="42385" xr:uid="{FBFCDA2C-FB9B-4BEA-AAA2-135C21F0B68E}"/>
    <cellStyle name="Normal 13 11" xfId="26505" xr:uid="{265E1188-D4C6-4B55-89A1-39542EDC1478}"/>
    <cellStyle name="Normal 13 2" xfId="650" xr:uid="{00000000-0005-0000-0000-00000D570000}"/>
    <cellStyle name="Normal 13 2 2" xfId="651" xr:uid="{00000000-0005-0000-0000-00000E570000}"/>
    <cellStyle name="Normal 13 2 2 2" xfId="1679" xr:uid="{00000000-0005-0000-0000-00000F570000}"/>
    <cellStyle name="Normal 13 2 2 2 2" xfId="5209" xr:uid="{00000000-0005-0000-0000-000010570000}"/>
    <cellStyle name="Normal 13 2 2 2 2 2" xfId="8800" xr:uid="{00000000-0005-0000-0000-000011570000}"/>
    <cellStyle name="Normal 13 2 2 2 2 2 2" xfId="16771" xr:uid="{00000000-0005-0000-0000-000012570000}"/>
    <cellStyle name="Normal 13 2 2 2 2 2 2 2" xfId="40614" xr:uid="{E7A962AB-3C13-47DE-8C97-F5A9D9ACFF8F}"/>
    <cellStyle name="Normal 13 2 2 2 2 2 3" xfId="24717" xr:uid="{00000000-0005-0000-0000-000013570000}"/>
    <cellStyle name="Normal 13 2 2 2 2 2 3 2" xfId="48550" xr:uid="{DD46BBFE-DEA7-4104-9A05-43D99E14C795}"/>
    <cellStyle name="Normal 13 2 2 2 2 2 4" xfId="32673" xr:uid="{9E182F2C-09D7-4091-96B8-12E46ECACE46}"/>
    <cellStyle name="Normal 13 2 2 2 2 3" xfId="13233" xr:uid="{00000000-0005-0000-0000-000014570000}"/>
    <cellStyle name="Normal 13 2 2 2 2 3 2" xfId="37083" xr:uid="{A00E35BD-493B-4B0B-A4F4-62D3A60862F3}"/>
    <cellStyle name="Normal 13 2 2 2 2 4" xfId="21188" xr:uid="{00000000-0005-0000-0000-000015570000}"/>
    <cellStyle name="Normal 13 2 2 2 2 4 2" xfId="45021" xr:uid="{05DBF276-CFB7-4384-B028-DC1F707DC9B9}"/>
    <cellStyle name="Normal 13 2 2 2 2 5" xfId="29142" xr:uid="{5E4D30EB-DF1F-4486-904E-084EC61DBD6A}"/>
    <cellStyle name="Normal 13 2 2 2 3" xfId="7041" xr:uid="{00000000-0005-0000-0000-000016570000}"/>
    <cellStyle name="Normal 13 2 2 2 3 2" xfId="15013" xr:uid="{00000000-0005-0000-0000-000017570000}"/>
    <cellStyle name="Normal 13 2 2 2 3 2 2" xfId="38856" xr:uid="{1CB7293E-B495-4C87-A5E3-12AA36DAB637}"/>
    <cellStyle name="Normal 13 2 2 2 3 3" xfId="22960" xr:uid="{00000000-0005-0000-0000-000018570000}"/>
    <cellStyle name="Normal 13 2 2 2 3 3 2" xfId="46793" xr:uid="{609DBF39-3C3F-49D4-9855-60F12C4EE884}"/>
    <cellStyle name="Normal 13 2 2 2 3 4" xfId="30915" xr:uid="{AA91C344-DF63-437E-93C8-6E4FAACA116F}"/>
    <cellStyle name="Normal 13 2 2 2 4" xfId="11477" xr:uid="{00000000-0005-0000-0000-000019570000}"/>
    <cellStyle name="Normal 13 2 2 2 4 2" xfId="35327" xr:uid="{8E9CCB7F-4629-418B-AF4F-F29B070804C0}"/>
    <cellStyle name="Normal 13 2 2 2 5" xfId="19432" xr:uid="{00000000-0005-0000-0000-00001A570000}"/>
    <cellStyle name="Normal 13 2 2 2 5 2" xfId="43265" xr:uid="{192EBF15-1BB4-4260-B73E-62AC907D0623}"/>
    <cellStyle name="Normal 13 2 2 2 6" xfId="27385" xr:uid="{658BB4B4-09F5-4B27-A3BF-D8A1029C452E}"/>
    <cellStyle name="Normal 13 2 2 2_Exh G" xfId="3460" xr:uid="{00000000-0005-0000-0000-00001B570000}"/>
    <cellStyle name="Normal 13 2 2 3" xfId="4330" xr:uid="{00000000-0005-0000-0000-00001C570000}"/>
    <cellStyle name="Normal 13 2 2 3 2" xfId="7922" xr:uid="{00000000-0005-0000-0000-00001D570000}"/>
    <cellStyle name="Normal 13 2 2 3 2 2" xfId="15893" xr:uid="{00000000-0005-0000-0000-00001E570000}"/>
    <cellStyle name="Normal 13 2 2 3 2 2 2" xfId="39736" xr:uid="{683BFFB1-CD21-47A5-8338-552B8288E0F3}"/>
    <cellStyle name="Normal 13 2 2 3 2 3" xfId="23839" xr:uid="{00000000-0005-0000-0000-00001F570000}"/>
    <cellStyle name="Normal 13 2 2 3 2 3 2" xfId="47672" xr:uid="{A977B031-48E1-4782-B266-5F1E7C170E03}"/>
    <cellStyle name="Normal 13 2 2 3 2 4" xfId="31795" xr:uid="{5EA30114-BC0D-41C0-9359-85A7783294A8}"/>
    <cellStyle name="Normal 13 2 2 3 3" xfId="12355" xr:uid="{00000000-0005-0000-0000-000020570000}"/>
    <cellStyle name="Normal 13 2 2 3 3 2" xfId="36205" xr:uid="{B89A3C15-7336-45DD-A456-8F044E4D8DB7}"/>
    <cellStyle name="Normal 13 2 2 3 4" xfId="20310" xr:uid="{00000000-0005-0000-0000-000021570000}"/>
    <cellStyle name="Normal 13 2 2 3 4 2" xfId="44143" xr:uid="{D58871FE-BF3C-4725-B279-3D2B40B03F28}"/>
    <cellStyle name="Normal 13 2 2 3 5" xfId="28264" xr:uid="{951D047C-5010-42B3-ACBE-59443AB21622}"/>
    <cellStyle name="Normal 13 2 2 4" xfId="6150" xr:uid="{00000000-0005-0000-0000-000022570000}"/>
    <cellStyle name="Normal 13 2 2 4 2" xfId="14134" xr:uid="{00000000-0005-0000-0000-000023570000}"/>
    <cellStyle name="Normal 13 2 2 4 2 2" xfId="37978" xr:uid="{57B4C00D-7F7C-489F-953D-E9CC6234EF5E}"/>
    <cellStyle name="Normal 13 2 2 4 3" xfId="22082" xr:uid="{00000000-0005-0000-0000-000024570000}"/>
    <cellStyle name="Normal 13 2 2 4 3 2" xfId="45915" xr:uid="{AEB8AD8E-0EBC-4148-B9B1-32B45B68CD02}"/>
    <cellStyle name="Normal 13 2 2 4 4" xfId="30037" xr:uid="{A636872E-A8BA-4507-906A-B8C4C20C2333}"/>
    <cellStyle name="Normal 13 2 2 5" xfId="9703" xr:uid="{00000000-0005-0000-0000-000025570000}"/>
    <cellStyle name="Normal 13 2 2 5 2" xfId="17661" xr:uid="{00000000-0005-0000-0000-000026570000}"/>
    <cellStyle name="Normal 13 2 2 5 2 2" xfId="41502" xr:uid="{842282D5-32E6-4534-9A5B-E1DF10C7EEF4}"/>
    <cellStyle name="Normal 13 2 2 5 3" xfId="25605" xr:uid="{00000000-0005-0000-0000-000027570000}"/>
    <cellStyle name="Normal 13 2 2 5 3 2" xfId="49438" xr:uid="{547719C9-926E-4713-B802-DBD76DB57208}"/>
    <cellStyle name="Normal 13 2 2 5 4" xfId="33561" xr:uid="{6F05FBB6-B2F1-4940-8E0F-D6E6B10F4027}"/>
    <cellStyle name="Normal 13 2 2 6" xfId="10599" xr:uid="{00000000-0005-0000-0000-000028570000}"/>
    <cellStyle name="Normal 13 2 2 6 2" xfId="34449" xr:uid="{2C784EC4-7202-449C-8769-320FCAA58E39}"/>
    <cellStyle name="Normal 13 2 2 7" xfId="18554" xr:uid="{00000000-0005-0000-0000-000029570000}"/>
    <cellStyle name="Normal 13 2 2 7 2" xfId="42387" xr:uid="{B3F1AE26-4F5C-448E-A152-A36260E703C8}"/>
    <cellStyle name="Normal 13 2 2 8" xfId="26507" xr:uid="{A5C35E4E-1598-4443-BB8A-606D122E47C8}"/>
    <cellStyle name="Normal 13 2 2_Exh G" xfId="3459" xr:uid="{00000000-0005-0000-0000-00002A570000}"/>
    <cellStyle name="Normal 13 2 3" xfId="1678" xr:uid="{00000000-0005-0000-0000-00002B570000}"/>
    <cellStyle name="Normal 13 2 3 2" xfId="5208" xr:uid="{00000000-0005-0000-0000-00002C570000}"/>
    <cellStyle name="Normal 13 2 3 2 2" xfId="8799" xr:uid="{00000000-0005-0000-0000-00002D570000}"/>
    <cellStyle name="Normal 13 2 3 2 2 2" xfId="16770" xr:uid="{00000000-0005-0000-0000-00002E570000}"/>
    <cellStyle name="Normal 13 2 3 2 2 2 2" xfId="40613" xr:uid="{9A9285E2-87B3-433E-A8B1-10E80373BB86}"/>
    <cellStyle name="Normal 13 2 3 2 2 3" xfId="24716" xr:uid="{00000000-0005-0000-0000-00002F570000}"/>
    <cellStyle name="Normal 13 2 3 2 2 3 2" xfId="48549" xr:uid="{F47E8F64-22DA-44A4-B3C3-3EB6CF39E050}"/>
    <cellStyle name="Normal 13 2 3 2 2 4" xfId="32672" xr:uid="{1E37C449-A305-4C27-9911-0F489CAF106C}"/>
    <cellStyle name="Normal 13 2 3 2 3" xfId="13232" xr:uid="{00000000-0005-0000-0000-000030570000}"/>
    <cellStyle name="Normal 13 2 3 2 3 2" xfId="37082" xr:uid="{4A8DB202-D3A5-49A6-B0DB-5CFB99E99ABA}"/>
    <cellStyle name="Normal 13 2 3 2 4" xfId="21187" xr:uid="{00000000-0005-0000-0000-000031570000}"/>
    <cellStyle name="Normal 13 2 3 2 4 2" xfId="45020" xr:uid="{188C34F9-5126-4139-8779-A39F63222DFC}"/>
    <cellStyle name="Normal 13 2 3 2 5" xfId="29141" xr:uid="{C67EA261-7E7F-4BF5-A725-004D9CBC0E3B}"/>
    <cellStyle name="Normal 13 2 3 3" xfId="7040" xr:uid="{00000000-0005-0000-0000-000032570000}"/>
    <cellStyle name="Normal 13 2 3 3 2" xfId="15012" xr:uid="{00000000-0005-0000-0000-000033570000}"/>
    <cellStyle name="Normal 13 2 3 3 2 2" xfId="38855" xr:uid="{83000E35-921E-4899-AEE3-BB3BEF373274}"/>
    <cellStyle name="Normal 13 2 3 3 3" xfId="22959" xr:uid="{00000000-0005-0000-0000-000034570000}"/>
    <cellStyle name="Normal 13 2 3 3 3 2" xfId="46792" xr:uid="{CFF2BB63-6BFA-4CD1-ABD0-27666A596634}"/>
    <cellStyle name="Normal 13 2 3 3 4" xfId="30914" xr:uid="{D08A547E-D886-4283-82A1-034C5A6E4231}"/>
    <cellStyle name="Normal 13 2 3 4" xfId="11476" xr:uid="{00000000-0005-0000-0000-000035570000}"/>
    <cellStyle name="Normal 13 2 3 4 2" xfId="35326" xr:uid="{CF0DAE12-041D-490E-AAA9-10D9BE8784C3}"/>
    <cellStyle name="Normal 13 2 3 5" xfId="19431" xr:uid="{00000000-0005-0000-0000-000036570000}"/>
    <cellStyle name="Normal 13 2 3 5 2" xfId="43264" xr:uid="{B7D102E5-59CE-490A-A049-51F3A8FA035D}"/>
    <cellStyle name="Normal 13 2 3 6" xfId="27384" xr:uid="{FE393A82-6DA5-49D1-B0F5-86E02A51C373}"/>
    <cellStyle name="Normal 13 2 3_Exh G" xfId="3461" xr:uid="{00000000-0005-0000-0000-000037570000}"/>
    <cellStyle name="Normal 13 2 4" xfId="4329" xr:uid="{00000000-0005-0000-0000-000038570000}"/>
    <cellStyle name="Normal 13 2 4 2" xfId="7921" xr:uid="{00000000-0005-0000-0000-000039570000}"/>
    <cellStyle name="Normal 13 2 4 2 2" xfId="15892" xr:uid="{00000000-0005-0000-0000-00003A570000}"/>
    <cellStyle name="Normal 13 2 4 2 2 2" xfId="39735" xr:uid="{CFA7867D-F0FC-4F54-9E2A-19675614D28C}"/>
    <cellStyle name="Normal 13 2 4 2 3" xfId="23838" xr:uid="{00000000-0005-0000-0000-00003B570000}"/>
    <cellStyle name="Normal 13 2 4 2 3 2" xfId="47671" xr:uid="{EC492E97-BD7E-43DB-A27B-99E81D442591}"/>
    <cellStyle name="Normal 13 2 4 2 4" xfId="31794" xr:uid="{363FD03A-57B0-47EA-AC8C-DEB38DD7B7F3}"/>
    <cellStyle name="Normal 13 2 4 3" xfId="12354" xr:uid="{00000000-0005-0000-0000-00003C570000}"/>
    <cellStyle name="Normal 13 2 4 3 2" xfId="36204" xr:uid="{C2367FB0-C6B4-4158-9D09-DF5B2EC0ABF2}"/>
    <cellStyle name="Normal 13 2 4 4" xfId="20309" xr:uid="{00000000-0005-0000-0000-00003D570000}"/>
    <cellStyle name="Normal 13 2 4 4 2" xfId="44142" xr:uid="{A8C28C38-8DD5-46AE-B15F-A7CC04BD93CC}"/>
    <cellStyle name="Normal 13 2 4 5" xfId="28263" xr:uid="{62FC33AA-CA0D-4E63-A47C-19B950528D3C}"/>
    <cellStyle name="Normal 13 2 5" xfId="6149" xr:uid="{00000000-0005-0000-0000-00003E570000}"/>
    <cellStyle name="Normal 13 2 5 2" xfId="14133" xr:uid="{00000000-0005-0000-0000-00003F570000}"/>
    <cellStyle name="Normal 13 2 5 2 2" xfId="37977" xr:uid="{CD24267A-D1EA-4503-A481-59B94CCC6627}"/>
    <cellStyle name="Normal 13 2 5 3" xfId="22081" xr:uid="{00000000-0005-0000-0000-000040570000}"/>
    <cellStyle name="Normal 13 2 5 3 2" xfId="45914" xr:uid="{8DA08847-84E4-458C-AD1F-62177606FC03}"/>
    <cellStyle name="Normal 13 2 5 4" xfId="30036" xr:uid="{0C385799-06DB-4BE7-850F-EC5443D8C28A}"/>
    <cellStyle name="Normal 13 2 6" xfId="9702" xr:uid="{00000000-0005-0000-0000-000041570000}"/>
    <cellStyle name="Normal 13 2 6 2" xfId="17660" xr:uid="{00000000-0005-0000-0000-000042570000}"/>
    <cellStyle name="Normal 13 2 6 2 2" xfId="41501" xr:uid="{DEB1DCA6-3EEC-4547-9DA5-8BD15A7D1026}"/>
    <cellStyle name="Normal 13 2 6 3" xfId="25604" xr:uid="{00000000-0005-0000-0000-000043570000}"/>
    <cellStyle name="Normal 13 2 6 3 2" xfId="49437" xr:uid="{7A3D1C02-1F2A-4F44-8F72-9E56FE67A484}"/>
    <cellStyle name="Normal 13 2 6 4" xfId="33560" xr:uid="{083955F2-61AC-4571-839C-828E85D8ADB3}"/>
    <cellStyle name="Normal 13 2 7" xfId="10598" xr:uid="{00000000-0005-0000-0000-000044570000}"/>
    <cellStyle name="Normal 13 2 7 2" xfId="34448" xr:uid="{5FB26C88-014A-4016-9FC6-349824ECF232}"/>
    <cellStyle name="Normal 13 2 8" xfId="18553" xr:uid="{00000000-0005-0000-0000-000045570000}"/>
    <cellStyle name="Normal 13 2 8 2" xfId="42386" xr:uid="{D839053C-0594-4AA3-B836-ED7E1FF99C8B}"/>
    <cellStyle name="Normal 13 2 9" xfId="26506" xr:uid="{A8501A2A-234C-4749-B5C6-33BF11E8AD2F}"/>
    <cellStyle name="Normal 13 2_Exh G" xfId="3458" xr:uid="{00000000-0005-0000-0000-000046570000}"/>
    <cellStyle name="Normal 13 3" xfId="652" xr:uid="{00000000-0005-0000-0000-000047570000}"/>
    <cellStyle name="Normal 13 3 2" xfId="1680" xr:uid="{00000000-0005-0000-0000-000048570000}"/>
    <cellStyle name="Normal 13 3 2 2" xfId="5210" xr:uid="{00000000-0005-0000-0000-000049570000}"/>
    <cellStyle name="Normal 13 3 2 2 2" xfId="8801" xr:uid="{00000000-0005-0000-0000-00004A570000}"/>
    <cellStyle name="Normal 13 3 2 2 2 2" xfId="16772" xr:uid="{00000000-0005-0000-0000-00004B570000}"/>
    <cellStyle name="Normal 13 3 2 2 2 2 2" xfId="40615" xr:uid="{2592B65D-E404-4CBB-B8E9-1F2E4FB0097B}"/>
    <cellStyle name="Normal 13 3 2 2 2 3" xfId="24718" xr:uid="{00000000-0005-0000-0000-00004C570000}"/>
    <cellStyle name="Normal 13 3 2 2 2 3 2" xfId="48551" xr:uid="{B844E259-BA6C-4638-A361-BB5FD0BE5B53}"/>
    <cellStyle name="Normal 13 3 2 2 2 4" xfId="32674" xr:uid="{A06E0049-4FF3-49AE-BF81-AD76164476CE}"/>
    <cellStyle name="Normal 13 3 2 2 3" xfId="13234" xr:uid="{00000000-0005-0000-0000-00004D570000}"/>
    <cellStyle name="Normal 13 3 2 2 3 2" xfId="37084" xr:uid="{F0842216-30DF-4DCB-B9CD-ADD4D8937B85}"/>
    <cellStyle name="Normal 13 3 2 2 4" xfId="21189" xr:uid="{00000000-0005-0000-0000-00004E570000}"/>
    <cellStyle name="Normal 13 3 2 2 4 2" xfId="45022" xr:uid="{69F564EF-35F6-4BB2-931D-CBF84F873464}"/>
    <cellStyle name="Normal 13 3 2 2 5" xfId="29143" xr:uid="{595C89CC-6D94-4E72-9059-4785C8F8BAEA}"/>
    <cellStyle name="Normal 13 3 2 3" xfId="7042" xr:uid="{00000000-0005-0000-0000-00004F570000}"/>
    <cellStyle name="Normal 13 3 2 3 2" xfId="15014" xr:uid="{00000000-0005-0000-0000-000050570000}"/>
    <cellStyle name="Normal 13 3 2 3 2 2" xfId="38857" xr:uid="{7DF0DB1D-F0AE-4D7D-94DF-08208366480F}"/>
    <cellStyle name="Normal 13 3 2 3 3" xfId="22961" xr:uid="{00000000-0005-0000-0000-000051570000}"/>
    <cellStyle name="Normal 13 3 2 3 3 2" xfId="46794" xr:uid="{4785F8BE-904C-479D-BE6C-3A656110C70A}"/>
    <cellStyle name="Normal 13 3 2 3 4" xfId="30916" xr:uid="{22F7FC55-F50B-42FF-86C2-A68123CB14DF}"/>
    <cellStyle name="Normal 13 3 2 4" xfId="11478" xr:uid="{00000000-0005-0000-0000-000052570000}"/>
    <cellStyle name="Normal 13 3 2 4 2" xfId="35328" xr:uid="{D5E22F23-B40A-4689-9B6A-F9B3A2B7247D}"/>
    <cellStyle name="Normal 13 3 2 5" xfId="19433" xr:uid="{00000000-0005-0000-0000-000053570000}"/>
    <cellStyle name="Normal 13 3 2 5 2" xfId="43266" xr:uid="{995D1B77-DA57-49D2-B782-62B3D42D5DB3}"/>
    <cellStyle name="Normal 13 3 2 6" xfId="27386" xr:uid="{CDA86F09-5909-4AA1-91FF-6C258C2769D6}"/>
    <cellStyle name="Normal 13 3 2_Exh G" xfId="3463" xr:uid="{00000000-0005-0000-0000-000054570000}"/>
    <cellStyle name="Normal 13 3 3" xfId="4331" xr:uid="{00000000-0005-0000-0000-000055570000}"/>
    <cellStyle name="Normal 13 3 3 2" xfId="7923" xr:uid="{00000000-0005-0000-0000-000056570000}"/>
    <cellStyle name="Normal 13 3 3 2 2" xfId="15894" xr:uid="{00000000-0005-0000-0000-000057570000}"/>
    <cellStyle name="Normal 13 3 3 2 2 2" xfId="39737" xr:uid="{B7954930-A79F-496D-9FF5-FBB21C25C552}"/>
    <cellStyle name="Normal 13 3 3 2 3" xfId="23840" xr:uid="{00000000-0005-0000-0000-000058570000}"/>
    <cellStyle name="Normal 13 3 3 2 3 2" xfId="47673" xr:uid="{EDBD5F2C-190D-44CC-BE87-C13BED100BD9}"/>
    <cellStyle name="Normal 13 3 3 2 4" xfId="31796" xr:uid="{AE71D9FC-668A-4775-9F34-2A7FF15521BE}"/>
    <cellStyle name="Normal 13 3 3 3" xfId="12356" xr:uid="{00000000-0005-0000-0000-000059570000}"/>
    <cellStyle name="Normal 13 3 3 3 2" xfId="36206" xr:uid="{92DC62DD-2BC4-4E17-BCCC-EFC54A823572}"/>
    <cellStyle name="Normal 13 3 3 4" xfId="20311" xr:uid="{00000000-0005-0000-0000-00005A570000}"/>
    <cellStyle name="Normal 13 3 3 4 2" xfId="44144" xr:uid="{25A8CDC1-9A95-47D5-9245-1423F767C6C7}"/>
    <cellStyle name="Normal 13 3 3 5" xfId="28265" xr:uid="{B16BF95D-DA8E-4657-BEC2-C255F07B6952}"/>
    <cellStyle name="Normal 13 3 4" xfId="6151" xr:uid="{00000000-0005-0000-0000-00005B570000}"/>
    <cellStyle name="Normal 13 3 4 2" xfId="14135" xr:uid="{00000000-0005-0000-0000-00005C570000}"/>
    <cellStyle name="Normal 13 3 4 2 2" xfId="37979" xr:uid="{7D90FA44-34EE-4E91-8AF7-FD4738D191D8}"/>
    <cellStyle name="Normal 13 3 4 3" xfId="22083" xr:uid="{00000000-0005-0000-0000-00005D570000}"/>
    <cellStyle name="Normal 13 3 4 3 2" xfId="45916" xr:uid="{FE298EA0-C3DD-4FF9-9C4A-61745917F190}"/>
    <cellStyle name="Normal 13 3 4 4" xfId="30038" xr:uid="{62517662-64DF-4263-8F25-E3C91C176B9A}"/>
    <cellStyle name="Normal 13 3 5" xfId="9704" xr:uid="{00000000-0005-0000-0000-00005E570000}"/>
    <cellStyle name="Normal 13 3 5 2" xfId="17662" xr:uid="{00000000-0005-0000-0000-00005F570000}"/>
    <cellStyle name="Normal 13 3 5 2 2" xfId="41503" xr:uid="{C802459E-7C96-443C-9368-3049943FEED7}"/>
    <cellStyle name="Normal 13 3 5 3" xfId="25606" xr:uid="{00000000-0005-0000-0000-000060570000}"/>
    <cellStyle name="Normal 13 3 5 3 2" xfId="49439" xr:uid="{BC8A9D19-315D-4D66-9886-C21DE38B886E}"/>
    <cellStyle name="Normal 13 3 5 4" xfId="33562" xr:uid="{C9624D9B-F2EC-45EB-96C5-E2BB6CA96507}"/>
    <cellStyle name="Normal 13 3 6" xfId="10600" xr:uid="{00000000-0005-0000-0000-000061570000}"/>
    <cellStyle name="Normal 13 3 6 2" xfId="34450" xr:uid="{90A6B791-074A-49AC-AC8A-E409BFE03691}"/>
    <cellStyle name="Normal 13 3 7" xfId="18555" xr:uid="{00000000-0005-0000-0000-000062570000}"/>
    <cellStyle name="Normal 13 3 7 2" xfId="42388" xr:uid="{0359B91B-3512-48F7-B57F-65B4ACCAFB9B}"/>
    <cellStyle name="Normal 13 3 8" xfId="26508" xr:uid="{78D50DE0-3EB2-49BF-B1B3-491230F0DCBC}"/>
    <cellStyle name="Normal 13 3_Exh G" xfId="3462" xr:uid="{00000000-0005-0000-0000-000063570000}"/>
    <cellStyle name="Normal 13 4" xfId="1015" xr:uid="{00000000-0005-0000-0000-000064570000}"/>
    <cellStyle name="Normal 13 4 2" xfId="1922" xr:uid="{00000000-0005-0000-0000-000065570000}"/>
    <cellStyle name="Normal 13 4 2 2" xfId="5440" xr:uid="{00000000-0005-0000-0000-000066570000}"/>
    <cellStyle name="Normal 13 4 2 2 2" xfId="9031" xr:uid="{00000000-0005-0000-0000-000067570000}"/>
    <cellStyle name="Normal 13 4 2 2 2 2" xfId="17002" xr:uid="{00000000-0005-0000-0000-000068570000}"/>
    <cellStyle name="Normal 13 4 2 2 2 2 2" xfId="40845" xr:uid="{D5BDF230-3FAB-40D5-8403-C0DC47253D3E}"/>
    <cellStyle name="Normal 13 4 2 2 2 3" xfId="24948" xr:uid="{00000000-0005-0000-0000-000069570000}"/>
    <cellStyle name="Normal 13 4 2 2 2 3 2" xfId="48781" xr:uid="{1207B3FA-0378-4033-844D-8FA8B4038189}"/>
    <cellStyle name="Normal 13 4 2 2 2 4" xfId="32904" xr:uid="{01A06DEF-87B9-4CE8-B282-AF9B8D2FF712}"/>
    <cellStyle name="Normal 13 4 2 2 3" xfId="13464" xr:uid="{00000000-0005-0000-0000-00006A570000}"/>
    <cellStyle name="Normal 13 4 2 2 3 2" xfId="37314" xr:uid="{3CD86B87-94E4-41C7-A0DA-EB81859FCD40}"/>
    <cellStyle name="Normal 13 4 2 2 4" xfId="21419" xr:uid="{00000000-0005-0000-0000-00006B570000}"/>
    <cellStyle name="Normal 13 4 2 2 4 2" xfId="45252" xr:uid="{C69A037D-48A9-4A91-81D1-FC9793B6FA08}"/>
    <cellStyle name="Normal 13 4 2 2 5" xfId="29373" xr:uid="{E7857CD3-07E9-4C2A-AC11-6F9FEE8A70CB}"/>
    <cellStyle name="Normal 13 4 2 3" xfId="7272" xr:uid="{00000000-0005-0000-0000-00006C570000}"/>
    <cellStyle name="Normal 13 4 2 3 2" xfId="15244" xr:uid="{00000000-0005-0000-0000-00006D570000}"/>
    <cellStyle name="Normal 13 4 2 3 2 2" xfId="39087" xr:uid="{E74BFC50-AC4D-481A-ABAD-46E1E8BE6A38}"/>
    <cellStyle name="Normal 13 4 2 3 3" xfId="23191" xr:uid="{00000000-0005-0000-0000-00006E570000}"/>
    <cellStyle name="Normal 13 4 2 3 3 2" xfId="47024" xr:uid="{B736D0D8-9EFC-4D1C-AE44-13B573D9390B}"/>
    <cellStyle name="Normal 13 4 2 3 4" xfId="31146" xr:uid="{D553884F-BCEC-4134-8B84-AE2C8C7F6100}"/>
    <cellStyle name="Normal 13 4 2 4" xfId="11708" xr:uid="{00000000-0005-0000-0000-00006F570000}"/>
    <cellStyle name="Normal 13 4 2 4 2" xfId="35558" xr:uid="{C9D2D982-8278-4C9A-A525-439251A38804}"/>
    <cellStyle name="Normal 13 4 2 5" xfId="19663" xr:uid="{00000000-0005-0000-0000-000070570000}"/>
    <cellStyle name="Normal 13 4 2 5 2" xfId="43496" xr:uid="{5D6D8B59-F279-4648-A159-934DF883E9C0}"/>
    <cellStyle name="Normal 13 4 2 6" xfId="27616" xr:uid="{4BB04976-2194-40D0-876B-02DDD5A37DF7}"/>
    <cellStyle name="Normal 13 4 2_Exh G" xfId="3465" xr:uid="{00000000-0005-0000-0000-000071570000}"/>
    <cellStyle name="Normal 13 4 3" xfId="4561" xr:uid="{00000000-0005-0000-0000-000072570000}"/>
    <cellStyle name="Normal 13 4 3 2" xfId="8153" xr:uid="{00000000-0005-0000-0000-000073570000}"/>
    <cellStyle name="Normal 13 4 3 2 2" xfId="16124" xr:uid="{00000000-0005-0000-0000-000074570000}"/>
    <cellStyle name="Normal 13 4 3 2 2 2" xfId="39967" xr:uid="{D1231726-1DD2-44B1-89DB-0F181D7A1CEC}"/>
    <cellStyle name="Normal 13 4 3 2 3" xfId="24070" xr:uid="{00000000-0005-0000-0000-000075570000}"/>
    <cellStyle name="Normal 13 4 3 2 3 2" xfId="47903" xr:uid="{7FE9D3F4-FD41-4A8D-A4EE-9B074980A69C}"/>
    <cellStyle name="Normal 13 4 3 2 4" xfId="32026" xr:uid="{B5C4F42D-545E-4E7A-AAF7-04359F8CB5F3}"/>
    <cellStyle name="Normal 13 4 3 3" xfId="12586" xr:uid="{00000000-0005-0000-0000-000076570000}"/>
    <cellStyle name="Normal 13 4 3 3 2" xfId="36436" xr:uid="{0384F55B-A5D6-4B0E-8C71-D817D79F9075}"/>
    <cellStyle name="Normal 13 4 3 4" xfId="20541" xr:uid="{00000000-0005-0000-0000-000077570000}"/>
    <cellStyle name="Normal 13 4 3 4 2" xfId="44374" xr:uid="{9B7987BD-7743-4274-84FC-55D145FB182C}"/>
    <cellStyle name="Normal 13 4 3 5" xfId="28495" xr:uid="{8B0A897F-7187-4FA4-A1EE-FA6D5B677A4E}"/>
    <cellStyle name="Normal 13 4 4" xfId="6391" xr:uid="{00000000-0005-0000-0000-000078570000}"/>
    <cellStyle name="Normal 13 4 4 2" xfId="14366" xr:uid="{00000000-0005-0000-0000-000079570000}"/>
    <cellStyle name="Normal 13 4 4 2 2" xfId="38209" xr:uid="{9A33817E-5444-4140-B59A-3016EE1949DB}"/>
    <cellStyle name="Normal 13 4 4 3" xfId="22313" xr:uid="{00000000-0005-0000-0000-00007A570000}"/>
    <cellStyle name="Normal 13 4 4 3 2" xfId="46146" xr:uid="{923AB8DA-CE9E-4FD9-9FB8-C30B6EA44B17}"/>
    <cellStyle name="Normal 13 4 4 4" xfId="30268" xr:uid="{7E45D254-18EF-42CA-B5D3-F82FA8FCF526}"/>
    <cellStyle name="Normal 13 4 5" xfId="9934" xr:uid="{00000000-0005-0000-0000-00007B570000}"/>
    <cellStyle name="Normal 13 4 5 2" xfId="17892" xr:uid="{00000000-0005-0000-0000-00007C570000}"/>
    <cellStyle name="Normal 13 4 5 2 2" xfId="41733" xr:uid="{AD789336-C1C8-4DBE-8969-213B0F33DF4F}"/>
    <cellStyle name="Normal 13 4 5 3" xfId="25836" xr:uid="{00000000-0005-0000-0000-00007D570000}"/>
    <cellStyle name="Normal 13 4 5 3 2" xfId="49669" xr:uid="{64817B84-BAA4-433D-87C7-3BEC989A2ABF}"/>
    <cellStyle name="Normal 13 4 5 4" xfId="33792" xr:uid="{701994FF-E7CD-424E-8040-4814FA9F91B3}"/>
    <cellStyle name="Normal 13 4 6" xfId="10830" xr:uid="{00000000-0005-0000-0000-00007E570000}"/>
    <cellStyle name="Normal 13 4 6 2" xfId="34680" xr:uid="{EF6E9F87-8C09-47AF-B682-34F19B0DB49C}"/>
    <cellStyle name="Normal 13 4 7" xfId="18785" xr:uid="{00000000-0005-0000-0000-00007F570000}"/>
    <cellStyle name="Normal 13 4 7 2" xfId="42618" xr:uid="{1A92DB23-D992-4E9C-97A2-EA11D6FC284B}"/>
    <cellStyle name="Normal 13 4 8" xfId="26738" xr:uid="{C7F679B0-EFA2-47BE-8B69-C5901D1ED42B}"/>
    <cellStyle name="Normal 13 4_Exh G" xfId="3464" xr:uid="{00000000-0005-0000-0000-000080570000}"/>
    <cellStyle name="Normal 13 5" xfId="1677" xr:uid="{00000000-0005-0000-0000-000081570000}"/>
    <cellStyle name="Normal 13 5 2" xfId="5207" xr:uid="{00000000-0005-0000-0000-000082570000}"/>
    <cellStyle name="Normal 13 5 2 2" xfId="8798" xr:uid="{00000000-0005-0000-0000-000083570000}"/>
    <cellStyle name="Normal 13 5 2 2 2" xfId="16769" xr:uid="{00000000-0005-0000-0000-000084570000}"/>
    <cellStyle name="Normal 13 5 2 2 2 2" xfId="40612" xr:uid="{EBBCDC68-066D-4646-B17B-7128BB97AA28}"/>
    <cellStyle name="Normal 13 5 2 2 3" xfId="24715" xr:uid="{00000000-0005-0000-0000-000085570000}"/>
    <cellStyle name="Normal 13 5 2 2 3 2" xfId="48548" xr:uid="{B7ACAF30-AAFD-4AD8-B5D4-AD1E0D4C49D9}"/>
    <cellStyle name="Normal 13 5 2 2 4" xfId="32671" xr:uid="{7A870AA7-0774-4BED-9030-7969B0A813E4}"/>
    <cellStyle name="Normal 13 5 2 3" xfId="13231" xr:uid="{00000000-0005-0000-0000-000086570000}"/>
    <cellStyle name="Normal 13 5 2 3 2" xfId="37081" xr:uid="{800B65E3-CDC2-4693-B01E-5FC98885BB0E}"/>
    <cellStyle name="Normal 13 5 2 4" xfId="21186" xr:uid="{00000000-0005-0000-0000-000087570000}"/>
    <cellStyle name="Normal 13 5 2 4 2" xfId="45019" xr:uid="{1457BDC6-3F56-49C5-9F2C-ABD0288A256F}"/>
    <cellStyle name="Normal 13 5 2 5" xfId="29140" xr:uid="{8AF51EF9-B369-4BBC-AE5C-05A9F215ED7C}"/>
    <cellStyle name="Normal 13 5 3" xfId="7039" xr:uid="{00000000-0005-0000-0000-000088570000}"/>
    <cellStyle name="Normal 13 5 3 2" xfId="15011" xr:uid="{00000000-0005-0000-0000-000089570000}"/>
    <cellStyle name="Normal 13 5 3 2 2" xfId="38854" xr:uid="{C7B9A4D0-15D7-4672-8333-E2E24D46ED45}"/>
    <cellStyle name="Normal 13 5 3 3" xfId="22958" xr:uid="{00000000-0005-0000-0000-00008A570000}"/>
    <cellStyle name="Normal 13 5 3 3 2" xfId="46791" xr:uid="{3D56BE94-5F31-438B-AB86-B9D6C625C35E}"/>
    <cellStyle name="Normal 13 5 3 4" xfId="30913" xr:uid="{365044FC-7008-44E9-B427-5E92C9065C9C}"/>
    <cellStyle name="Normal 13 5 4" xfId="11475" xr:uid="{00000000-0005-0000-0000-00008B570000}"/>
    <cellStyle name="Normal 13 5 4 2" xfId="35325" xr:uid="{629E1324-8AB2-4C40-B2ED-6CD6E3179613}"/>
    <cellStyle name="Normal 13 5 5" xfId="19430" xr:uid="{00000000-0005-0000-0000-00008C570000}"/>
    <cellStyle name="Normal 13 5 5 2" xfId="43263" xr:uid="{9C776D26-738A-4EA9-AC55-FF3602576581}"/>
    <cellStyle name="Normal 13 5 6" xfId="27383" xr:uid="{8AA04CF6-D23D-49AF-97E9-530C8E8F6E8D}"/>
    <cellStyle name="Normal 13 5_Exh G" xfId="3466" xr:uid="{00000000-0005-0000-0000-00008D570000}"/>
    <cellStyle name="Normal 13 6" xfId="4328" xr:uid="{00000000-0005-0000-0000-00008E570000}"/>
    <cellStyle name="Normal 13 6 2" xfId="7920" xr:uid="{00000000-0005-0000-0000-00008F570000}"/>
    <cellStyle name="Normal 13 6 2 2" xfId="15891" xr:uid="{00000000-0005-0000-0000-000090570000}"/>
    <cellStyle name="Normal 13 6 2 2 2" xfId="39734" xr:uid="{0AA2C701-E90D-41D6-AA7B-ACD71012CBF4}"/>
    <cellStyle name="Normal 13 6 2 3" xfId="23837" xr:uid="{00000000-0005-0000-0000-000091570000}"/>
    <cellStyle name="Normal 13 6 2 3 2" xfId="47670" xr:uid="{9D3B4DCC-D3B2-4A13-AA2E-7F141F259684}"/>
    <cellStyle name="Normal 13 6 2 4" xfId="31793" xr:uid="{BB4C0495-5B7F-43FC-BBF4-3C01344124B9}"/>
    <cellStyle name="Normal 13 6 3" xfId="12353" xr:uid="{00000000-0005-0000-0000-000092570000}"/>
    <cellStyle name="Normal 13 6 3 2" xfId="36203" xr:uid="{6D9C0F01-07C2-41D3-88B6-277E6641DF62}"/>
    <cellStyle name="Normal 13 6 4" xfId="20308" xr:uid="{00000000-0005-0000-0000-000093570000}"/>
    <cellStyle name="Normal 13 6 4 2" xfId="44141" xr:uid="{3D19BF9D-CEDA-4397-93B3-CFBE578A6017}"/>
    <cellStyle name="Normal 13 6 5" xfId="28262" xr:uid="{278D6CD4-AF0C-4196-A57D-74A4473D35E3}"/>
    <cellStyle name="Normal 13 7" xfId="6148" xr:uid="{00000000-0005-0000-0000-000094570000}"/>
    <cellStyle name="Normal 13 7 2" xfId="14132" xr:uid="{00000000-0005-0000-0000-000095570000}"/>
    <cellStyle name="Normal 13 7 2 2" xfId="37976" xr:uid="{4A8D9761-3394-4F21-AE1F-4D2A736AD1E1}"/>
    <cellStyle name="Normal 13 7 3" xfId="22080" xr:uid="{00000000-0005-0000-0000-000096570000}"/>
    <cellStyle name="Normal 13 7 3 2" xfId="45913" xr:uid="{598D7A80-43C2-46B5-A241-515E455BDCF3}"/>
    <cellStyle name="Normal 13 7 4" xfId="30035" xr:uid="{25BD1744-F446-4680-9F99-8987AFC45BA7}"/>
    <cellStyle name="Normal 13 8" xfId="9701" xr:uid="{00000000-0005-0000-0000-000097570000}"/>
    <cellStyle name="Normal 13 8 2" xfId="17659" xr:uid="{00000000-0005-0000-0000-000098570000}"/>
    <cellStyle name="Normal 13 8 2 2" xfId="41500" xr:uid="{19D6D4A0-F2B5-4338-9CB8-F7F1330FC763}"/>
    <cellStyle name="Normal 13 8 3" xfId="25603" xr:uid="{00000000-0005-0000-0000-000099570000}"/>
    <cellStyle name="Normal 13 8 3 2" xfId="49436" xr:uid="{74B6F2F2-CFD5-44E9-A52C-FDF22AEDAC0C}"/>
    <cellStyle name="Normal 13 8 4" xfId="33559" xr:uid="{3DF90E1D-39AB-4FCD-BA98-488702B1ECA8}"/>
    <cellStyle name="Normal 13 9" xfId="10597" xr:uid="{00000000-0005-0000-0000-00009A570000}"/>
    <cellStyle name="Normal 13 9 2" xfId="34447" xr:uid="{9DF9FB6F-C9A0-496F-A833-14993B0207E6}"/>
    <cellStyle name="Normal 13_Exh G" xfId="3457" xr:uid="{00000000-0005-0000-0000-00009B570000}"/>
    <cellStyle name="Normal 14" xfId="653" xr:uid="{00000000-0005-0000-0000-00009C570000}"/>
    <cellStyle name="Normal 14 10" xfId="10601" xr:uid="{00000000-0005-0000-0000-00009D570000}"/>
    <cellStyle name="Normal 14 10 2" xfId="34451" xr:uid="{50DC33FB-4339-4519-AD84-9CCA3EC19E07}"/>
    <cellStyle name="Normal 14 11" xfId="18556" xr:uid="{00000000-0005-0000-0000-00009E570000}"/>
    <cellStyle name="Normal 14 11 2" xfId="42389" xr:uid="{083B69B9-10CA-4830-AF05-DE8C81C8A3C2}"/>
    <cellStyle name="Normal 14 12" xfId="26509" xr:uid="{687BF3BF-672A-4D8F-8F69-77A2137926F3}"/>
    <cellStyle name="Normal 14 2" xfId="654" xr:uid="{00000000-0005-0000-0000-00009F570000}"/>
    <cellStyle name="Normal 14 2 2" xfId="655" xr:uid="{00000000-0005-0000-0000-0000A0570000}"/>
    <cellStyle name="Normal 14 2 2 2" xfId="1683" xr:uid="{00000000-0005-0000-0000-0000A1570000}"/>
    <cellStyle name="Normal 14 2 2 2 2" xfId="5213" xr:uid="{00000000-0005-0000-0000-0000A2570000}"/>
    <cellStyle name="Normal 14 2 2 2 2 2" xfId="8804" xr:uid="{00000000-0005-0000-0000-0000A3570000}"/>
    <cellStyle name="Normal 14 2 2 2 2 2 2" xfId="16775" xr:uid="{00000000-0005-0000-0000-0000A4570000}"/>
    <cellStyle name="Normal 14 2 2 2 2 2 2 2" xfId="40618" xr:uid="{4DE281A1-730B-4422-B60B-A565F2B1F3EC}"/>
    <cellStyle name="Normal 14 2 2 2 2 2 3" xfId="24721" xr:uid="{00000000-0005-0000-0000-0000A5570000}"/>
    <cellStyle name="Normal 14 2 2 2 2 2 3 2" xfId="48554" xr:uid="{E69FF179-02AD-4733-92A2-B7D4F08FDBE2}"/>
    <cellStyle name="Normal 14 2 2 2 2 2 4" xfId="32677" xr:uid="{37BFAF3E-5423-427B-BAE1-86CC0A1352C8}"/>
    <cellStyle name="Normal 14 2 2 2 2 3" xfId="13237" xr:uid="{00000000-0005-0000-0000-0000A6570000}"/>
    <cellStyle name="Normal 14 2 2 2 2 3 2" xfId="37087" xr:uid="{D08D4CD1-9323-4ABC-A16B-75B5EAB7225C}"/>
    <cellStyle name="Normal 14 2 2 2 2 4" xfId="21192" xr:uid="{00000000-0005-0000-0000-0000A7570000}"/>
    <cellStyle name="Normal 14 2 2 2 2 4 2" xfId="45025" xr:uid="{C24C01C7-C7D4-4DC0-9461-8BC01130CBAD}"/>
    <cellStyle name="Normal 14 2 2 2 2 5" xfId="29146" xr:uid="{B515FEB8-4517-42DE-BF7C-563EE6F9AE9C}"/>
    <cellStyle name="Normal 14 2 2 2 3" xfId="7045" xr:uid="{00000000-0005-0000-0000-0000A8570000}"/>
    <cellStyle name="Normal 14 2 2 2 3 2" xfId="15017" xr:uid="{00000000-0005-0000-0000-0000A9570000}"/>
    <cellStyle name="Normal 14 2 2 2 3 2 2" xfId="38860" xr:uid="{FEAF2744-3237-46C9-869D-601D200D4623}"/>
    <cellStyle name="Normal 14 2 2 2 3 3" xfId="22964" xr:uid="{00000000-0005-0000-0000-0000AA570000}"/>
    <cellStyle name="Normal 14 2 2 2 3 3 2" xfId="46797" xr:uid="{B5BA0364-4C46-426A-9FDE-40CC836E07F6}"/>
    <cellStyle name="Normal 14 2 2 2 3 4" xfId="30919" xr:uid="{82966107-1F99-469D-A9FB-52A669C4D9E8}"/>
    <cellStyle name="Normal 14 2 2 2 4" xfId="11481" xr:uid="{00000000-0005-0000-0000-0000AB570000}"/>
    <cellStyle name="Normal 14 2 2 2 4 2" xfId="35331" xr:uid="{E3792A19-A78A-46A7-B183-4DDFB30BFCEA}"/>
    <cellStyle name="Normal 14 2 2 2 5" xfId="19436" xr:uid="{00000000-0005-0000-0000-0000AC570000}"/>
    <cellStyle name="Normal 14 2 2 2 5 2" xfId="43269" xr:uid="{B53B45BA-3BB1-45CB-B43E-0706821E3651}"/>
    <cellStyle name="Normal 14 2 2 2 6" xfId="27389" xr:uid="{F9E9A995-59DB-4AE4-BBC7-41D7410D7EF7}"/>
    <cellStyle name="Normal 14 2 2 2_Exh G" xfId="3470" xr:uid="{00000000-0005-0000-0000-0000AD570000}"/>
    <cellStyle name="Normal 14 2 2 3" xfId="4334" xr:uid="{00000000-0005-0000-0000-0000AE570000}"/>
    <cellStyle name="Normal 14 2 2 3 2" xfId="7926" xr:uid="{00000000-0005-0000-0000-0000AF570000}"/>
    <cellStyle name="Normal 14 2 2 3 2 2" xfId="15897" xr:uid="{00000000-0005-0000-0000-0000B0570000}"/>
    <cellStyle name="Normal 14 2 2 3 2 2 2" xfId="39740" xr:uid="{46CF2916-575E-493A-B6A2-8C03AE1F5B2B}"/>
    <cellStyle name="Normal 14 2 2 3 2 3" xfId="23843" xr:uid="{00000000-0005-0000-0000-0000B1570000}"/>
    <cellStyle name="Normal 14 2 2 3 2 3 2" xfId="47676" xr:uid="{CEFDB3E4-0482-4D93-A4C3-33AE9066B1DD}"/>
    <cellStyle name="Normal 14 2 2 3 2 4" xfId="31799" xr:uid="{199336D0-F996-4DBF-8960-89FAC79DEF8D}"/>
    <cellStyle name="Normal 14 2 2 3 3" xfId="12359" xr:uid="{00000000-0005-0000-0000-0000B2570000}"/>
    <cellStyle name="Normal 14 2 2 3 3 2" xfId="36209" xr:uid="{3C57568D-FFDF-46B8-9633-9B59D46A5647}"/>
    <cellStyle name="Normal 14 2 2 3 4" xfId="20314" xr:uid="{00000000-0005-0000-0000-0000B3570000}"/>
    <cellStyle name="Normal 14 2 2 3 4 2" xfId="44147" xr:uid="{F589DA57-DC74-4834-BC37-427AB73DE109}"/>
    <cellStyle name="Normal 14 2 2 3 5" xfId="28268" xr:uid="{91CEE010-8C5F-49DF-99F5-29DF68A4D4E9}"/>
    <cellStyle name="Normal 14 2 2 4" xfId="6154" xr:uid="{00000000-0005-0000-0000-0000B4570000}"/>
    <cellStyle name="Normal 14 2 2 4 2" xfId="14138" xr:uid="{00000000-0005-0000-0000-0000B5570000}"/>
    <cellStyle name="Normal 14 2 2 4 2 2" xfId="37982" xr:uid="{5B5D0CAE-0128-450A-B7A1-19DBF763B4F4}"/>
    <cellStyle name="Normal 14 2 2 4 3" xfId="22086" xr:uid="{00000000-0005-0000-0000-0000B6570000}"/>
    <cellStyle name="Normal 14 2 2 4 3 2" xfId="45919" xr:uid="{4D17172D-4FD2-4630-952F-C98F7F359C7B}"/>
    <cellStyle name="Normal 14 2 2 4 4" xfId="30041" xr:uid="{875C3186-4F33-4A99-B838-C28CCED3D742}"/>
    <cellStyle name="Normal 14 2 2 5" xfId="9707" xr:uid="{00000000-0005-0000-0000-0000B7570000}"/>
    <cellStyle name="Normal 14 2 2 5 2" xfId="17665" xr:uid="{00000000-0005-0000-0000-0000B8570000}"/>
    <cellStyle name="Normal 14 2 2 5 2 2" xfId="41506" xr:uid="{56835BDA-B768-4FEC-A96A-7CB6A0B9E7DF}"/>
    <cellStyle name="Normal 14 2 2 5 3" xfId="25609" xr:uid="{00000000-0005-0000-0000-0000B9570000}"/>
    <cellStyle name="Normal 14 2 2 5 3 2" xfId="49442" xr:uid="{247C5970-02AB-4B25-B678-2C1430FA0C05}"/>
    <cellStyle name="Normal 14 2 2 5 4" xfId="33565" xr:uid="{08DD6105-DDB6-4C66-AB88-EF3CC2214F97}"/>
    <cellStyle name="Normal 14 2 2 6" xfId="10603" xr:uid="{00000000-0005-0000-0000-0000BA570000}"/>
    <cellStyle name="Normal 14 2 2 6 2" xfId="34453" xr:uid="{689642DD-745B-4EA0-AD90-F49EFA963FFE}"/>
    <cellStyle name="Normal 14 2 2 7" xfId="18558" xr:uid="{00000000-0005-0000-0000-0000BB570000}"/>
    <cellStyle name="Normal 14 2 2 7 2" xfId="42391" xr:uid="{134D6EF8-978E-4F73-A475-B0896E396127}"/>
    <cellStyle name="Normal 14 2 2 8" xfId="26511" xr:uid="{4C2D5CA2-36E7-4E69-9F95-A2F342AE3306}"/>
    <cellStyle name="Normal 14 2 2_Exh G" xfId="3469" xr:uid="{00000000-0005-0000-0000-0000BC570000}"/>
    <cellStyle name="Normal 14 2 3" xfId="1682" xr:uid="{00000000-0005-0000-0000-0000BD570000}"/>
    <cellStyle name="Normal 14 2 3 2" xfId="5212" xr:uid="{00000000-0005-0000-0000-0000BE570000}"/>
    <cellStyle name="Normal 14 2 3 2 2" xfId="8803" xr:uid="{00000000-0005-0000-0000-0000BF570000}"/>
    <cellStyle name="Normal 14 2 3 2 2 2" xfId="16774" xr:uid="{00000000-0005-0000-0000-0000C0570000}"/>
    <cellStyle name="Normal 14 2 3 2 2 2 2" xfId="40617" xr:uid="{25506908-12CB-4A48-9843-5113078C5B03}"/>
    <cellStyle name="Normal 14 2 3 2 2 3" xfId="24720" xr:uid="{00000000-0005-0000-0000-0000C1570000}"/>
    <cellStyle name="Normal 14 2 3 2 2 3 2" xfId="48553" xr:uid="{437FCACB-818F-4C3D-97C0-D2A23C0E1A52}"/>
    <cellStyle name="Normal 14 2 3 2 2 4" xfId="32676" xr:uid="{E83EEB95-D3FD-4CA2-BF04-DBE4A8568215}"/>
    <cellStyle name="Normal 14 2 3 2 3" xfId="13236" xr:uid="{00000000-0005-0000-0000-0000C2570000}"/>
    <cellStyle name="Normal 14 2 3 2 3 2" xfId="37086" xr:uid="{E0456EFE-9AB9-4F15-A7EC-657FC1051FD1}"/>
    <cellStyle name="Normal 14 2 3 2 4" xfId="21191" xr:uid="{00000000-0005-0000-0000-0000C3570000}"/>
    <cellStyle name="Normal 14 2 3 2 4 2" xfId="45024" xr:uid="{6410325F-91E1-45C6-BB81-E1EE83ADA57D}"/>
    <cellStyle name="Normal 14 2 3 2 5" xfId="29145" xr:uid="{C904E170-0670-490E-A730-11D610FB2B7C}"/>
    <cellStyle name="Normal 14 2 3 3" xfId="7044" xr:uid="{00000000-0005-0000-0000-0000C4570000}"/>
    <cellStyle name="Normal 14 2 3 3 2" xfId="15016" xr:uid="{00000000-0005-0000-0000-0000C5570000}"/>
    <cellStyle name="Normal 14 2 3 3 2 2" xfId="38859" xr:uid="{4997CDC3-E1F5-40C6-B18E-7C1A5DA30541}"/>
    <cellStyle name="Normal 14 2 3 3 3" xfId="22963" xr:uid="{00000000-0005-0000-0000-0000C6570000}"/>
    <cellStyle name="Normal 14 2 3 3 3 2" xfId="46796" xr:uid="{991FFC88-F252-49A1-AE72-A1199DE3588C}"/>
    <cellStyle name="Normal 14 2 3 3 4" xfId="30918" xr:uid="{6F85DEA0-5053-48BB-9A37-CC5B9A56E41C}"/>
    <cellStyle name="Normal 14 2 3 4" xfId="11480" xr:uid="{00000000-0005-0000-0000-0000C7570000}"/>
    <cellStyle name="Normal 14 2 3 4 2" xfId="35330" xr:uid="{2F2B3633-89A2-4064-8E42-5FB3644B24C7}"/>
    <cellStyle name="Normal 14 2 3 5" xfId="19435" xr:uid="{00000000-0005-0000-0000-0000C8570000}"/>
    <cellStyle name="Normal 14 2 3 5 2" xfId="43268" xr:uid="{E2598914-349D-4150-B6D8-94B042BD665E}"/>
    <cellStyle name="Normal 14 2 3 6" xfId="27388" xr:uid="{033F1FB9-D5D7-428F-BC8B-B06240472A15}"/>
    <cellStyle name="Normal 14 2 3_Exh G" xfId="3471" xr:uid="{00000000-0005-0000-0000-0000C9570000}"/>
    <cellStyle name="Normal 14 2 4" xfId="4333" xr:uid="{00000000-0005-0000-0000-0000CA570000}"/>
    <cellStyle name="Normal 14 2 4 2" xfId="7925" xr:uid="{00000000-0005-0000-0000-0000CB570000}"/>
    <cellStyle name="Normal 14 2 4 2 2" xfId="15896" xr:uid="{00000000-0005-0000-0000-0000CC570000}"/>
    <cellStyle name="Normal 14 2 4 2 2 2" xfId="39739" xr:uid="{C5C5FF83-1869-46B9-8CA9-5BA0318F58F2}"/>
    <cellStyle name="Normal 14 2 4 2 3" xfId="23842" xr:uid="{00000000-0005-0000-0000-0000CD570000}"/>
    <cellStyle name="Normal 14 2 4 2 3 2" xfId="47675" xr:uid="{8296EA4D-689F-4C8D-B7BE-698363D723CB}"/>
    <cellStyle name="Normal 14 2 4 2 4" xfId="31798" xr:uid="{FFF4F655-AE31-4F7B-B557-19684AAF8F86}"/>
    <cellStyle name="Normal 14 2 4 3" xfId="12358" xr:uid="{00000000-0005-0000-0000-0000CE570000}"/>
    <cellStyle name="Normal 14 2 4 3 2" xfId="36208" xr:uid="{D6FF201B-80EC-4DCD-A45D-A97DFCBD2B11}"/>
    <cellStyle name="Normal 14 2 4 4" xfId="20313" xr:uid="{00000000-0005-0000-0000-0000CF570000}"/>
    <cellStyle name="Normal 14 2 4 4 2" xfId="44146" xr:uid="{2D521A0B-8E2F-42EF-AA7A-AAB89ECB3A87}"/>
    <cellStyle name="Normal 14 2 4 5" xfId="28267" xr:uid="{46DC1B9F-6F65-4145-B0E6-EFB7824546B8}"/>
    <cellStyle name="Normal 14 2 5" xfId="6153" xr:uid="{00000000-0005-0000-0000-0000D0570000}"/>
    <cellStyle name="Normal 14 2 5 2" xfId="14137" xr:uid="{00000000-0005-0000-0000-0000D1570000}"/>
    <cellStyle name="Normal 14 2 5 2 2" xfId="37981" xr:uid="{2CBB3918-9C88-47EA-BCF5-88CB11AC9420}"/>
    <cellStyle name="Normal 14 2 5 3" xfId="22085" xr:uid="{00000000-0005-0000-0000-0000D2570000}"/>
    <cellStyle name="Normal 14 2 5 3 2" xfId="45918" xr:uid="{F6FCBB6C-FB44-42CA-AE1D-0B0B82949927}"/>
    <cellStyle name="Normal 14 2 5 4" xfId="30040" xr:uid="{3A1562E3-9639-4CA3-9F92-32EB14FEEB1D}"/>
    <cellStyle name="Normal 14 2 6" xfId="9706" xr:uid="{00000000-0005-0000-0000-0000D3570000}"/>
    <cellStyle name="Normal 14 2 6 2" xfId="17664" xr:uid="{00000000-0005-0000-0000-0000D4570000}"/>
    <cellStyle name="Normal 14 2 6 2 2" xfId="41505" xr:uid="{97D17F12-D435-49E5-95C0-60C9CE7A2C46}"/>
    <cellStyle name="Normal 14 2 6 3" xfId="25608" xr:uid="{00000000-0005-0000-0000-0000D5570000}"/>
    <cellStyle name="Normal 14 2 6 3 2" xfId="49441" xr:uid="{BD013AE7-7045-4D8B-B33A-E01D68D9C55B}"/>
    <cellStyle name="Normal 14 2 6 4" xfId="33564" xr:uid="{755A4890-ED01-4B17-B8B1-6B4C8515E611}"/>
    <cellStyle name="Normal 14 2 7" xfId="10602" xr:uid="{00000000-0005-0000-0000-0000D6570000}"/>
    <cellStyle name="Normal 14 2 7 2" xfId="34452" xr:uid="{DB6CEC9B-0A26-4F80-BEEE-45C5F9627D3B}"/>
    <cellStyle name="Normal 14 2 8" xfId="18557" xr:uid="{00000000-0005-0000-0000-0000D7570000}"/>
    <cellStyle name="Normal 14 2 8 2" xfId="42390" xr:uid="{2538583F-EDF4-467F-B139-5492B9024986}"/>
    <cellStyle name="Normal 14 2 9" xfId="26510" xr:uid="{C4FDE6C4-031B-4F1A-8BF1-126A0FD10496}"/>
    <cellStyle name="Normal 14 2_Exh G" xfId="3468" xr:uid="{00000000-0005-0000-0000-0000D8570000}"/>
    <cellStyle name="Normal 14 3" xfId="656" xr:uid="{00000000-0005-0000-0000-0000D9570000}"/>
    <cellStyle name="Normal 14 3 2" xfId="1684" xr:uid="{00000000-0005-0000-0000-0000DA570000}"/>
    <cellStyle name="Normal 14 3 2 2" xfId="5214" xr:uid="{00000000-0005-0000-0000-0000DB570000}"/>
    <cellStyle name="Normal 14 3 2 2 2" xfId="8805" xr:uid="{00000000-0005-0000-0000-0000DC570000}"/>
    <cellStyle name="Normal 14 3 2 2 2 2" xfId="16776" xr:uid="{00000000-0005-0000-0000-0000DD570000}"/>
    <cellStyle name="Normal 14 3 2 2 2 2 2" xfId="40619" xr:uid="{0A2307A9-F5A0-48B5-9396-590B03990657}"/>
    <cellStyle name="Normal 14 3 2 2 2 3" xfId="24722" xr:uid="{00000000-0005-0000-0000-0000DE570000}"/>
    <cellStyle name="Normal 14 3 2 2 2 3 2" xfId="48555" xr:uid="{735DFB79-AD7F-4687-AC75-FCC975D1F35F}"/>
    <cellStyle name="Normal 14 3 2 2 2 4" xfId="32678" xr:uid="{63604058-F64E-41AF-9D88-305D60125650}"/>
    <cellStyle name="Normal 14 3 2 2 3" xfId="13238" xr:uid="{00000000-0005-0000-0000-0000DF570000}"/>
    <cellStyle name="Normal 14 3 2 2 3 2" xfId="37088" xr:uid="{62C86107-4BD3-40DC-ADD1-0E96054C7FC9}"/>
    <cellStyle name="Normal 14 3 2 2 4" xfId="21193" xr:uid="{00000000-0005-0000-0000-0000E0570000}"/>
    <cellStyle name="Normal 14 3 2 2 4 2" xfId="45026" xr:uid="{E2771125-91C7-4674-BCCE-0E588B8A38ED}"/>
    <cellStyle name="Normal 14 3 2 2 5" xfId="29147" xr:uid="{DFFED9C1-334C-4DE8-A0A2-87D2632FCFCE}"/>
    <cellStyle name="Normal 14 3 2 3" xfId="7046" xr:uid="{00000000-0005-0000-0000-0000E1570000}"/>
    <cellStyle name="Normal 14 3 2 3 2" xfId="15018" xr:uid="{00000000-0005-0000-0000-0000E2570000}"/>
    <cellStyle name="Normal 14 3 2 3 2 2" xfId="38861" xr:uid="{BF15524F-D0E3-4297-9EC8-512F129AFF57}"/>
    <cellStyle name="Normal 14 3 2 3 3" xfId="22965" xr:uid="{00000000-0005-0000-0000-0000E3570000}"/>
    <cellStyle name="Normal 14 3 2 3 3 2" xfId="46798" xr:uid="{C1D385A7-5D8E-42BF-A324-FDAD5BAAD0E3}"/>
    <cellStyle name="Normal 14 3 2 3 4" xfId="30920" xr:uid="{700E9ABE-DCEB-45B9-9BDD-3485252009D5}"/>
    <cellStyle name="Normal 14 3 2 4" xfId="11482" xr:uid="{00000000-0005-0000-0000-0000E4570000}"/>
    <cellStyle name="Normal 14 3 2 4 2" xfId="35332" xr:uid="{3CC1CFFC-35F3-4CFF-BB4C-F1E0DC83AC19}"/>
    <cellStyle name="Normal 14 3 2 5" xfId="19437" xr:uid="{00000000-0005-0000-0000-0000E5570000}"/>
    <cellStyle name="Normal 14 3 2 5 2" xfId="43270" xr:uid="{1FB59C2A-048C-4569-B4C8-E0650B66DE67}"/>
    <cellStyle name="Normal 14 3 2 6" xfId="27390" xr:uid="{D12B9973-0A30-4D1D-8EA9-207CC25D419A}"/>
    <cellStyle name="Normal 14 3 2_Exh G" xfId="3473" xr:uid="{00000000-0005-0000-0000-0000E6570000}"/>
    <cellStyle name="Normal 14 3 3" xfId="4335" xr:uid="{00000000-0005-0000-0000-0000E7570000}"/>
    <cellStyle name="Normal 14 3 3 2" xfId="7927" xr:uid="{00000000-0005-0000-0000-0000E8570000}"/>
    <cellStyle name="Normal 14 3 3 2 2" xfId="15898" xr:uid="{00000000-0005-0000-0000-0000E9570000}"/>
    <cellStyle name="Normal 14 3 3 2 2 2" xfId="39741" xr:uid="{047D3AD6-7517-458A-AC2E-5EE068431D94}"/>
    <cellStyle name="Normal 14 3 3 2 3" xfId="23844" xr:uid="{00000000-0005-0000-0000-0000EA570000}"/>
    <cellStyle name="Normal 14 3 3 2 3 2" xfId="47677" xr:uid="{E1F77CA7-70D4-4D46-A1DD-17259ACD0114}"/>
    <cellStyle name="Normal 14 3 3 2 4" xfId="31800" xr:uid="{0F8B9B86-A4FB-4FB1-B176-13D99F113F29}"/>
    <cellStyle name="Normal 14 3 3 3" xfId="12360" xr:uid="{00000000-0005-0000-0000-0000EB570000}"/>
    <cellStyle name="Normal 14 3 3 3 2" xfId="36210" xr:uid="{A9F930FF-0527-45FF-B862-930AF9E7B65A}"/>
    <cellStyle name="Normal 14 3 3 4" xfId="20315" xr:uid="{00000000-0005-0000-0000-0000EC570000}"/>
    <cellStyle name="Normal 14 3 3 4 2" xfId="44148" xr:uid="{654A8DC6-6275-492C-BF11-2CDF9D80A94C}"/>
    <cellStyle name="Normal 14 3 3 5" xfId="28269" xr:uid="{395FB91A-39A6-4544-9AB7-CAB571AEBA25}"/>
    <cellStyle name="Normal 14 3 4" xfId="6155" xr:uid="{00000000-0005-0000-0000-0000ED570000}"/>
    <cellStyle name="Normal 14 3 4 2" xfId="14139" xr:uid="{00000000-0005-0000-0000-0000EE570000}"/>
    <cellStyle name="Normal 14 3 4 2 2" xfId="37983" xr:uid="{50156382-1EB4-4F36-980A-BF768C1527B0}"/>
    <cellStyle name="Normal 14 3 4 3" xfId="22087" xr:uid="{00000000-0005-0000-0000-0000EF570000}"/>
    <cellStyle name="Normal 14 3 4 3 2" xfId="45920" xr:uid="{70EEDB12-B290-4A1F-B2F7-864916299A2A}"/>
    <cellStyle name="Normal 14 3 4 4" xfId="30042" xr:uid="{DC8E03F2-D440-4190-9A7C-72BFAF820930}"/>
    <cellStyle name="Normal 14 3 5" xfId="9708" xr:uid="{00000000-0005-0000-0000-0000F0570000}"/>
    <cellStyle name="Normal 14 3 5 2" xfId="17666" xr:uid="{00000000-0005-0000-0000-0000F1570000}"/>
    <cellStyle name="Normal 14 3 5 2 2" xfId="41507" xr:uid="{272582AD-0E86-469F-BD5B-4C4A2F3B6ECD}"/>
    <cellStyle name="Normal 14 3 5 3" xfId="25610" xr:uid="{00000000-0005-0000-0000-0000F2570000}"/>
    <cellStyle name="Normal 14 3 5 3 2" xfId="49443" xr:uid="{996BEE28-559E-4551-8912-C13D22862A79}"/>
    <cellStyle name="Normal 14 3 5 4" xfId="33566" xr:uid="{7DACEA1E-6A56-45F6-B5AE-29F3BF9DE27C}"/>
    <cellStyle name="Normal 14 3 6" xfId="10604" xr:uid="{00000000-0005-0000-0000-0000F3570000}"/>
    <cellStyle name="Normal 14 3 6 2" xfId="34454" xr:uid="{A304E13E-9240-43BB-9B93-F6E1D4A419C7}"/>
    <cellStyle name="Normal 14 3 7" xfId="18559" xr:uid="{00000000-0005-0000-0000-0000F4570000}"/>
    <cellStyle name="Normal 14 3 7 2" xfId="42392" xr:uid="{DE406B8C-0856-49BA-B363-54D37D1DC596}"/>
    <cellStyle name="Normal 14 3 8" xfId="26512" xr:uid="{E22D8495-8382-491E-9BEE-88DDCE0E2FF2}"/>
    <cellStyle name="Normal 14 3_Exh G" xfId="3472" xr:uid="{00000000-0005-0000-0000-0000F5570000}"/>
    <cellStyle name="Normal 14 4" xfId="740" xr:uid="{00000000-0005-0000-0000-0000F6570000}"/>
    <cellStyle name="Normal 14 4 2" xfId="1767" xr:uid="{00000000-0005-0000-0000-0000F7570000}"/>
    <cellStyle name="Normal 14 4_Exh G" xfId="3474" xr:uid="{00000000-0005-0000-0000-0000F8570000}"/>
    <cellStyle name="Normal 14 5" xfId="1016" xr:uid="{00000000-0005-0000-0000-0000F9570000}"/>
    <cellStyle name="Normal 14 6" xfId="1681" xr:uid="{00000000-0005-0000-0000-0000FA570000}"/>
    <cellStyle name="Normal 14 6 2" xfId="5211" xr:uid="{00000000-0005-0000-0000-0000FB570000}"/>
    <cellStyle name="Normal 14 6 2 2" xfId="8802" xr:uid="{00000000-0005-0000-0000-0000FC570000}"/>
    <cellStyle name="Normal 14 6 2 2 2" xfId="16773" xr:uid="{00000000-0005-0000-0000-0000FD570000}"/>
    <cellStyle name="Normal 14 6 2 2 2 2" xfId="40616" xr:uid="{C738BB45-A310-479C-BDDE-2B02DD7F71F0}"/>
    <cellStyle name="Normal 14 6 2 2 3" xfId="24719" xr:uid="{00000000-0005-0000-0000-0000FE570000}"/>
    <cellStyle name="Normal 14 6 2 2 3 2" xfId="48552" xr:uid="{773DDDF3-C0B4-4F49-9CE8-7A2C6E89A441}"/>
    <cellStyle name="Normal 14 6 2 2 4" xfId="32675" xr:uid="{95FEED62-7758-42D0-9000-57B7BA7A49BE}"/>
    <cellStyle name="Normal 14 6 2 3" xfId="13235" xr:uid="{00000000-0005-0000-0000-0000FF570000}"/>
    <cellStyle name="Normal 14 6 2 3 2" xfId="37085" xr:uid="{E8FA6053-62C9-4D75-9809-15D6C69815DC}"/>
    <cellStyle name="Normal 14 6 2 4" xfId="21190" xr:uid="{00000000-0005-0000-0000-000000580000}"/>
    <cellStyle name="Normal 14 6 2 4 2" xfId="45023" xr:uid="{6271A331-9EC0-45D9-AE70-14E8E8A1A4FD}"/>
    <cellStyle name="Normal 14 6 2 5" xfId="29144" xr:uid="{4F19D093-91BE-4158-9992-032CC1456293}"/>
    <cellStyle name="Normal 14 6 3" xfId="7043" xr:uid="{00000000-0005-0000-0000-000001580000}"/>
    <cellStyle name="Normal 14 6 3 2" xfId="15015" xr:uid="{00000000-0005-0000-0000-000002580000}"/>
    <cellStyle name="Normal 14 6 3 2 2" xfId="38858" xr:uid="{C67E8BE8-070F-4ECF-9969-2AF9ECDBDBEC}"/>
    <cellStyle name="Normal 14 6 3 3" xfId="22962" xr:uid="{00000000-0005-0000-0000-000003580000}"/>
    <cellStyle name="Normal 14 6 3 3 2" xfId="46795" xr:uid="{4D40B863-9DE9-4B27-BFE9-8C1E7896F842}"/>
    <cellStyle name="Normal 14 6 3 4" xfId="30917" xr:uid="{335F37DA-356B-4CA7-AB58-C80B5A51ADE1}"/>
    <cellStyle name="Normal 14 6 4" xfId="11479" xr:uid="{00000000-0005-0000-0000-000004580000}"/>
    <cellStyle name="Normal 14 6 4 2" xfId="35329" xr:uid="{98BAEB66-923F-4D9A-A230-26FD90008587}"/>
    <cellStyle name="Normal 14 6 5" xfId="19434" xr:uid="{00000000-0005-0000-0000-000005580000}"/>
    <cellStyle name="Normal 14 6 5 2" xfId="43267" xr:uid="{342000C5-A20F-49A5-AA10-968DB708F50C}"/>
    <cellStyle name="Normal 14 6 6" xfId="27387" xr:uid="{F494606D-57C6-410A-8D85-57287A64789B}"/>
    <cellStyle name="Normal 14 6_Exh G" xfId="3475" xr:uid="{00000000-0005-0000-0000-000006580000}"/>
    <cellStyle name="Normal 14 7" xfId="4332" xr:uid="{00000000-0005-0000-0000-000007580000}"/>
    <cellStyle name="Normal 14 7 2" xfId="7924" xr:uid="{00000000-0005-0000-0000-000008580000}"/>
    <cellStyle name="Normal 14 7 2 2" xfId="15895" xr:uid="{00000000-0005-0000-0000-000009580000}"/>
    <cellStyle name="Normal 14 7 2 2 2" xfId="39738" xr:uid="{75F76BDB-1D70-4E87-850A-C501AA70CDEF}"/>
    <cellStyle name="Normal 14 7 2 3" xfId="23841" xr:uid="{00000000-0005-0000-0000-00000A580000}"/>
    <cellStyle name="Normal 14 7 2 3 2" xfId="47674" xr:uid="{5FD5D76A-D143-4CC9-B239-DE4E1A8BF1CE}"/>
    <cellStyle name="Normal 14 7 2 4" xfId="31797" xr:uid="{140502A6-0ED6-4578-94B5-34B1AC94D559}"/>
    <cellStyle name="Normal 14 7 3" xfId="12357" xr:uid="{00000000-0005-0000-0000-00000B580000}"/>
    <cellStyle name="Normal 14 7 3 2" xfId="36207" xr:uid="{0DD8A3B8-4E57-4486-91AF-E19A5B083704}"/>
    <cellStyle name="Normal 14 7 4" xfId="20312" xr:uid="{00000000-0005-0000-0000-00000C580000}"/>
    <cellStyle name="Normal 14 7 4 2" xfId="44145" xr:uid="{55E376A8-7498-438A-9D60-B224A9A593B6}"/>
    <cellStyle name="Normal 14 7 5" xfId="28266" xr:uid="{87FAC7FB-2FBB-4E04-8CE5-E82138ED2D9C}"/>
    <cellStyle name="Normal 14 8" xfId="6152" xr:uid="{00000000-0005-0000-0000-00000D580000}"/>
    <cellStyle name="Normal 14 8 2" xfId="14136" xr:uid="{00000000-0005-0000-0000-00000E580000}"/>
    <cellStyle name="Normal 14 8 2 2" xfId="37980" xr:uid="{EDA8DD48-9D69-4F86-BE8C-080434C3220A}"/>
    <cellStyle name="Normal 14 8 3" xfId="22084" xr:uid="{00000000-0005-0000-0000-00000F580000}"/>
    <cellStyle name="Normal 14 8 3 2" xfId="45917" xr:uid="{B0631894-59C2-42EC-B4B1-0AC7EFBD655F}"/>
    <cellStyle name="Normal 14 8 4" xfId="30039" xr:uid="{21008920-6EC9-4C1B-A8A7-CD8424981C9D}"/>
    <cellStyle name="Normal 14 9" xfId="9705" xr:uid="{00000000-0005-0000-0000-000010580000}"/>
    <cellStyle name="Normal 14 9 2" xfId="17663" xr:uid="{00000000-0005-0000-0000-000011580000}"/>
    <cellStyle name="Normal 14 9 2 2" xfId="41504" xr:uid="{D1A79BAD-B26A-4706-BFF2-66B33CF4B757}"/>
    <cellStyle name="Normal 14 9 3" xfId="25607" xr:uid="{00000000-0005-0000-0000-000012580000}"/>
    <cellStyle name="Normal 14 9 3 2" xfId="49440" xr:uid="{AF39ABC4-A1CE-4A6C-B9C3-89CA504BA29A}"/>
    <cellStyle name="Normal 14 9 4" xfId="33563" xr:uid="{D968259D-D4D4-42E4-88D8-B8B3C0E30366}"/>
    <cellStyle name="Normal 14_Exh G" xfId="3467" xr:uid="{00000000-0005-0000-0000-000013580000}"/>
    <cellStyle name="Normal 15" xfId="657" xr:uid="{00000000-0005-0000-0000-000014580000}"/>
    <cellStyle name="Normal 15 10" xfId="26513" xr:uid="{21149C01-40AF-4E42-85D8-F42151A8434B}"/>
    <cellStyle name="Normal 15 2" xfId="658" xr:uid="{00000000-0005-0000-0000-000015580000}"/>
    <cellStyle name="Normal 15 2 2" xfId="659" xr:uid="{00000000-0005-0000-0000-000016580000}"/>
    <cellStyle name="Normal 15 2 2 2" xfId="1687" xr:uid="{00000000-0005-0000-0000-000017580000}"/>
    <cellStyle name="Normal 15 2 2 2 2" xfId="5217" xr:uid="{00000000-0005-0000-0000-000018580000}"/>
    <cellStyle name="Normal 15 2 2 2 2 2" xfId="8808" xr:uid="{00000000-0005-0000-0000-000019580000}"/>
    <cellStyle name="Normal 15 2 2 2 2 2 2" xfId="16779" xr:uid="{00000000-0005-0000-0000-00001A580000}"/>
    <cellStyle name="Normal 15 2 2 2 2 2 2 2" xfId="40622" xr:uid="{F379B9FA-4CB6-4189-9656-A52A4858B19C}"/>
    <cellStyle name="Normal 15 2 2 2 2 2 3" xfId="24725" xr:uid="{00000000-0005-0000-0000-00001B580000}"/>
    <cellStyle name="Normal 15 2 2 2 2 2 3 2" xfId="48558" xr:uid="{DB46EC3A-BE78-407E-8010-0EDBF0ACF9FC}"/>
    <cellStyle name="Normal 15 2 2 2 2 2 4" xfId="32681" xr:uid="{08731125-F961-4786-835C-B7A64EE77B7A}"/>
    <cellStyle name="Normal 15 2 2 2 2 3" xfId="13241" xr:uid="{00000000-0005-0000-0000-00001C580000}"/>
    <cellStyle name="Normal 15 2 2 2 2 3 2" xfId="37091" xr:uid="{36459197-8B95-4F15-AD41-20113A26AFE3}"/>
    <cellStyle name="Normal 15 2 2 2 2 4" xfId="21196" xr:uid="{00000000-0005-0000-0000-00001D580000}"/>
    <cellStyle name="Normal 15 2 2 2 2 4 2" xfId="45029" xr:uid="{A2B4E5BA-ADC4-49F0-8FFD-77F3E4784A7C}"/>
    <cellStyle name="Normal 15 2 2 2 2 5" xfId="29150" xr:uid="{E77B6579-F7DE-497E-9631-2EEFC09B1CE1}"/>
    <cellStyle name="Normal 15 2 2 2 3" xfId="7049" xr:uid="{00000000-0005-0000-0000-00001E580000}"/>
    <cellStyle name="Normal 15 2 2 2 3 2" xfId="15021" xr:uid="{00000000-0005-0000-0000-00001F580000}"/>
    <cellStyle name="Normal 15 2 2 2 3 2 2" xfId="38864" xr:uid="{44EF4786-44EB-4D1B-954E-DAC150B207DB}"/>
    <cellStyle name="Normal 15 2 2 2 3 3" xfId="22968" xr:uid="{00000000-0005-0000-0000-000020580000}"/>
    <cellStyle name="Normal 15 2 2 2 3 3 2" xfId="46801" xr:uid="{9E5B2B1C-0D7C-4DC0-A5FE-86A5BA08A9D2}"/>
    <cellStyle name="Normal 15 2 2 2 3 4" xfId="30923" xr:uid="{05124D1A-5C7D-4A7C-800E-E93D419DA796}"/>
    <cellStyle name="Normal 15 2 2 2 4" xfId="11485" xr:uid="{00000000-0005-0000-0000-000021580000}"/>
    <cellStyle name="Normal 15 2 2 2 4 2" xfId="35335" xr:uid="{936FC353-748F-4DE9-932D-B0740E5D5017}"/>
    <cellStyle name="Normal 15 2 2 2 5" xfId="19440" xr:uid="{00000000-0005-0000-0000-000022580000}"/>
    <cellStyle name="Normal 15 2 2 2 5 2" xfId="43273" xr:uid="{5F982E12-DEE7-40C0-95DA-E1781D66BB56}"/>
    <cellStyle name="Normal 15 2 2 2 6" xfId="27393" xr:uid="{DEBF0FF2-865E-4F4E-9DEE-9738071BC969}"/>
    <cellStyle name="Normal 15 2 2 2_Exh G" xfId="3479" xr:uid="{00000000-0005-0000-0000-000023580000}"/>
    <cellStyle name="Normal 15 2 2 3" xfId="4338" xr:uid="{00000000-0005-0000-0000-000024580000}"/>
    <cellStyle name="Normal 15 2 2 3 2" xfId="7930" xr:uid="{00000000-0005-0000-0000-000025580000}"/>
    <cellStyle name="Normal 15 2 2 3 2 2" xfId="15901" xr:uid="{00000000-0005-0000-0000-000026580000}"/>
    <cellStyle name="Normal 15 2 2 3 2 2 2" xfId="39744" xr:uid="{E3E7F5BC-D198-4CE6-ABBF-18DE1607EDF3}"/>
    <cellStyle name="Normal 15 2 2 3 2 3" xfId="23847" xr:uid="{00000000-0005-0000-0000-000027580000}"/>
    <cellStyle name="Normal 15 2 2 3 2 3 2" xfId="47680" xr:uid="{4570C0A4-54DD-4BCA-BDBB-371364BA7C6A}"/>
    <cellStyle name="Normal 15 2 2 3 2 4" xfId="31803" xr:uid="{3BCA10F5-A23B-43EC-AECC-E6C7DA3DBAF8}"/>
    <cellStyle name="Normal 15 2 2 3 3" xfId="12363" xr:uid="{00000000-0005-0000-0000-000028580000}"/>
    <cellStyle name="Normal 15 2 2 3 3 2" xfId="36213" xr:uid="{B7B89EF9-55DF-47DF-9AF4-E71F9F667131}"/>
    <cellStyle name="Normal 15 2 2 3 4" xfId="20318" xr:uid="{00000000-0005-0000-0000-000029580000}"/>
    <cellStyle name="Normal 15 2 2 3 4 2" xfId="44151" xr:uid="{805855F9-7E5E-45FC-8926-A18FB2BDB891}"/>
    <cellStyle name="Normal 15 2 2 3 5" xfId="28272" xr:uid="{1221500B-2DBE-427A-9EC3-E282D97169AA}"/>
    <cellStyle name="Normal 15 2 2 4" xfId="6158" xr:uid="{00000000-0005-0000-0000-00002A580000}"/>
    <cellStyle name="Normal 15 2 2 4 2" xfId="14142" xr:uid="{00000000-0005-0000-0000-00002B580000}"/>
    <cellStyle name="Normal 15 2 2 4 2 2" xfId="37986" xr:uid="{0E100CA0-7F7A-4EE6-9AE9-EAFAD400C9F5}"/>
    <cellStyle name="Normal 15 2 2 4 3" xfId="22090" xr:uid="{00000000-0005-0000-0000-00002C580000}"/>
    <cellStyle name="Normal 15 2 2 4 3 2" xfId="45923" xr:uid="{47C1AA8D-E6A7-459F-8D14-4BD14A42DB8F}"/>
    <cellStyle name="Normal 15 2 2 4 4" xfId="30045" xr:uid="{FB4C63A3-96E2-4DBF-BCAB-B9E64EEDDB33}"/>
    <cellStyle name="Normal 15 2 2 5" xfId="9711" xr:uid="{00000000-0005-0000-0000-00002D580000}"/>
    <cellStyle name="Normal 15 2 2 5 2" xfId="17669" xr:uid="{00000000-0005-0000-0000-00002E580000}"/>
    <cellStyle name="Normal 15 2 2 5 2 2" xfId="41510" xr:uid="{2B6D45FE-DD68-49A7-814E-048CBE1C05B4}"/>
    <cellStyle name="Normal 15 2 2 5 3" xfId="25613" xr:uid="{00000000-0005-0000-0000-00002F580000}"/>
    <cellStyle name="Normal 15 2 2 5 3 2" xfId="49446" xr:uid="{9B3E7ACD-BE50-420D-9F5C-D4247EFED8E3}"/>
    <cellStyle name="Normal 15 2 2 5 4" xfId="33569" xr:uid="{1FB5C8EB-B42C-45BF-8599-87420319707E}"/>
    <cellStyle name="Normal 15 2 2 6" xfId="10607" xr:uid="{00000000-0005-0000-0000-000030580000}"/>
    <cellStyle name="Normal 15 2 2 6 2" xfId="34457" xr:uid="{CD68F73C-1153-48E1-91A5-4B214DDA0450}"/>
    <cellStyle name="Normal 15 2 2 7" xfId="18562" xr:uid="{00000000-0005-0000-0000-000031580000}"/>
    <cellStyle name="Normal 15 2 2 7 2" xfId="42395" xr:uid="{8F63A110-38D6-41BE-997C-34FCBE75162B}"/>
    <cellStyle name="Normal 15 2 2 8" xfId="26515" xr:uid="{77664BDC-0E2C-4AB8-95C0-E07507A28F84}"/>
    <cellStyle name="Normal 15 2 2_Exh G" xfId="3478" xr:uid="{00000000-0005-0000-0000-000032580000}"/>
    <cellStyle name="Normal 15 2 3" xfId="1686" xr:uid="{00000000-0005-0000-0000-000033580000}"/>
    <cellStyle name="Normal 15 2 3 2" xfId="5216" xr:uid="{00000000-0005-0000-0000-000034580000}"/>
    <cellStyle name="Normal 15 2 3 2 2" xfId="8807" xr:uid="{00000000-0005-0000-0000-000035580000}"/>
    <cellStyle name="Normal 15 2 3 2 2 2" xfId="16778" xr:uid="{00000000-0005-0000-0000-000036580000}"/>
    <cellStyle name="Normal 15 2 3 2 2 2 2" xfId="40621" xr:uid="{F351FB24-E090-49C6-B205-C470908AFA8E}"/>
    <cellStyle name="Normal 15 2 3 2 2 3" xfId="24724" xr:uid="{00000000-0005-0000-0000-000037580000}"/>
    <cellStyle name="Normal 15 2 3 2 2 3 2" xfId="48557" xr:uid="{A16C00D2-2B97-4859-BC3D-DB840951FF33}"/>
    <cellStyle name="Normal 15 2 3 2 2 4" xfId="32680" xr:uid="{5D90C92E-9CEA-4FAE-BB89-06821C80F70C}"/>
    <cellStyle name="Normal 15 2 3 2 3" xfId="13240" xr:uid="{00000000-0005-0000-0000-000038580000}"/>
    <cellStyle name="Normal 15 2 3 2 3 2" xfId="37090" xr:uid="{3A5055CA-5075-4A60-AD7C-D633544CE1C3}"/>
    <cellStyle name="Normal 15 2 3 2 4" xfId="21195" xr:uid="{00000000-0005-0000-0000-000039580000}"/>
    <cellStyle name="Normal 15 2 3 2 4 2" xfId="45028" xr:uid="{51E2249D-BD6B-44DC-865E-7BF2226ADF8C}"/>
    <cellStyle name="Normal 15 2 3 2 5" xfId="29149" xr:uid="{54EC0020-4EBD-4E82-9B1A-8DF5A8D767D3}"/>
    <cellStyle name="Normal 15 2 3 3" xfId="7048" xr:uid="{00000000-0005-0000-0000-00003A580000}"/>
    <cellStyle name="Normal 15 2 3 3 2" xfId="15020" xr:uid="{00000000-0005-0000-0000-00003B580000}"/>
    <cellStyle name="Normal 15 2 3 3 2 2" xfId="38863" xr:uid="{5420EB80-4530-4AF7-8E98-B773B2B7BFE8}"/>
    <cellStyle name="Normal 15 2 3 3 3" xfId="22967" xr:uid="{00000000-0005-0000-0000-00003C580000}"/>
    <cellStyle name="Normal 15 2 3 3 3 2" xfId="46800" xr:uid="{269CABE6-1F27-4DD5-9080-CF30D415CD52}"/>
    <cellStyle name="Normal 15 2 3 3 4" xfId="30922" xr:uid="{E5BA7FD4-B4A1-48DE-9800-6E5226ED6A4E}"/>
    <cellStyle name="Normal 15 2 3 4" xfId="11484" xr:uid="{00000000-0005-0000-0000-00003D580000}"/>
    <cellStyle name="Normal 15 2 3 4 2" xfId="35334" xr:uid="{2BA27475-6DC7-4EAA-9BD3-2D7BEB893C7A}"/>
    <cellStyle name="Normal 15 2 3 5" xfId="19439" xr:uid="{00000000-0005-0000-0000-00003E580000}"/>
    <cellStyle name="Normal 15 2 3 5 2" xfId="43272" xr:uid="{B82C79FF-4E0B-40BC-86B3-F1CC92A6DF81}"/>
    <cellStyle name="Normal 15 2 3 6" xfId="27392" xr:uid="{4B388B91-8A4C-4753-AEF6-EC61C422CD0E}"/>
    <cellStyle name="Normal 15 2 3_Exh G" xfId="3480" xr:uid="{00000000-0005-0000-0000-00003F580000}"/>
    <cellStyle name="Normal 15 2 4" xfId="4337" xr:uid="{00000000-0005-0000-0000-000040580000}"/>
    <cellStyle name="Normal 15 2 4 2" xfId="7929" xr:uid="{00000000-0005-0000-0000-000041580000}"/>
    <cellStyle name="Normal 15 2 4 2 2" xfId="15900" xr:uid="{00000000-0005-0000-0000-000042580000}"/>
    <cellStyle name="Normal 15 2 4 2 2 2" xfId="39743" xr:uid="{B3922477-4205-451D-951B-198CBE094193}"/>
    <cellStyle name="Normal 15 2 4 2 3" xfId="23846" xr:uid="{00000000-0005-0000-0000-000043580000}"/>
    <cellStyle name="Normal 15 2 4 2 3 2" xfId="47679" xr:uid="{E7093FB3-21CE-4062-8FE0-B3E82B5516CA}"/>
    <cellStyle name="Normal 15 2 4 2 4" xfId="31802" xr:uid="{23C24D53-2E44-4AEB-8143-A89EF3953EB7}"/>
    <cellStyle name="Normal 15 2 4 3" xfId="12362" xr:uid="{00000000-0005-0000-0000-000044580000}"/>
    <cellStyle name="Normal 15 2 4 3 2" xfId="36212" xr:uid="{18D47DE4-655C-4B74-9181-107BAF965BBB}"/>
    <cellStyle name="Normal 15 2 4 4" xfId="20317" xr:uid="{00000000-0005-0000-0000-000045580000}"/>
    <cellStyle name="Normal 15 2 4 4 2" xfId="44150" xr:uid="{64A6096B-A5B8-419E-A4CC-04B03F39EED9}"/>
    <cellStyle name="Normal 15 2 4 5" xfId="28271" xr:uid="{CBF47298-ABF9-49CC-A097-8AE1898A91EF}"/>
    <cellStyle name="Normal 15 2 5" xfId="6157" xr:uid="{00000000-0005-0000-0000-000046580000}"/>
    <cellStyle name="Normal 15 2 5 2" xfId="14141" xr:uid="{00000000-0005-0000-0000-000047580000}"/>
    <cellStyle name="Normal 15 2 5 2 2" xfId="37985" xr:uid="{0E4B26DF-1A8A-48D4-832C-CB95D4D39D85}"/>
    <cellStyle name="Normal 15 2 5 3" xfId="22089" xr:uid="{00000000-0005-0000-0000-000048580000}"/>
    <cellStyle name="Normal 15 2 5 3 2" xfId="45922" xr:uid="{E266AF53-1BF6-43BC-AFE5-8B4538B0E167}"/>
    <cellStyle name="Normal 15 2 5 4" xfId="30044" xr:uid="{6395E7AA-3F0F-48F4-BB9F-99B37FA84B13}"/>
    <cellStyle name="Normal 15 2 6" xfId="9710" xr:uid="{00000000-0005-0000-0000-000049580000}"/>
    <cellStyle name="Normal 15 2 6 2" xfId="17668" xr:uid="{00000000-0005-0000-0000-00004A580000}"/>
    <cellStyle name="Normal 15 2 6 2 2" xfId="41509" xr:uid="{92ABFA9B-CB30-4BF9-951A-ACE75515D5AC}"/>
    <cellStyle name="Normal 15 2 6 3" xfId="25612" xr:uid="{00000000-0005-0000-0000-00004B580000}"/>
    <cellStyle name="Normal 15 2 6 3 2" xfId="49445" xr:uid="{1EF7EF3F-9AF9-45C2-828D-EBD1BFADB9AC}"/>
    <cellStyle name="Normal 15 2 6 4" xfId="33568" xr:uid="{4B0162DB-4924-4120-867C-39B2A0196435}"/>
    <cellStyle name="Normal 15 2 7" xfId="10606" xr:uid="{00000000-0005-0000-0000-00004C580000}"/>
    <cellStyle name="Normal 15 2 7 2" xfId="34456" xr:uid="{31F00016-77A6-4B4C-A27F-DBEDAF9F9D4D}"/>
    <cellStyle name="Normal 15 2 8" xfId="18561" xr:uid="{00000000-0005-0000-0000-00004D580000}"/>
    <cellStyle name="Normal 15 2 8 2" xfId="42394" xr:uid="{8EF9B64B-7FA7-4A6F-9455-8A8AB9D5EE98}"/>
    <cellStyle name="Normal 15 2 9" xfId="26514" xr:uid="{5EA0CF09-8FDC-4E45-AADB-0B5E3FBAB0F9}"/>
    <cellStyle name="Normal 15 2_Exh G" xfId="3477" xr:uid="{00000000-0005-0000-0000-00004E580000}"/>
    <cellStyle name="Normal 15 3" xfId="660" xr:uid="{00000000-0005-0000-0000-00004F580000}"/>
    <cellStyle name="Normal 15 3 2" xfId="1688" xr:uid="{00000000-0005-0000-0000-000050580000}"/>
    <cellStyle name="Normal 15 3 2 2" xfId="5218" xr:uid="{00000000-0005-0000-0000-000051580000}"/>
    <cellStyle name="Normal 15 3 2 2 2" xfId="8809" xr:uid="{00000000-0005-0000-0000-000052580000}"/>
    <cellStyle name="Normal 15 3 2 2 2 2" xfId="16780" xr:uid="{00000000-0005-0000-0000-000053580000}"/>
    <cellStyle name="Normal 15 3 2 2 2 2 2" xfId="40623" xr:uid="{13BB9C5A-F7B4-4584-9191-31D989D2E9FF}"/>
    <cellStyle name="Normal 15 3 2 2 2 3" xfId="24726" xr:uid="{00000000-0005-0000-0000-000054580000}"/>
    <cellStyle name="Normal 15 3 2 2 2 3 2" xfId="48559" xr:uid="{0F0E8950-3D31-41AB-91E4-2E89F5545997}"/>
    <cellStyle name="Normal 15 3 2 2 2 4" xfId="32682" xr:uid="{5AA48AF4-3197-469B-9CB3-27CCA7154019}"/>
    <cellStyle name="Normal 15 3 2 2 3" xfId="13242" xr:uid="{00000000-0005-0000-0000-000055580000}"/>
    <cellStyle name="Normal 15 3 2 2 3 2" xfId="37092" xr:uid="{C5D40E28-108D-4E53-A591-F6008AC0D7AE}"/>
    <cellStyle name="Normal 15 3 2 2 4" xfId="21197" xr:uid="{00000000-0005-0000-0000-000056580000}"/>
    <cellStyle name="Normal 15 3 2 2 4 2" xfId="45030" xr:uid="{6C7F0EE9-BC6A-4114-9ECB-A125FD1200F8}"/>
    <cellStyle name="Normal 15 3 2 2 5" xfId="29151" xr:uid="{AEA94A2D-3E8D-444D-B62A-95A3C8815083}"/>
    <cellStyle name="Normal 15 3 2 3" xfId="7050" xr:uid="{00000000-0005-0000-0000-000057580000}"/>
    <cellStyle name="Normal 15 3 2 3 2" xfId="15022" xr:uid="{00000000-0005-0000-0000-000058580000}"/>
    <cellStyle name="Normal 15 3 2 3 2 2" xfId="38865" xr:uid="{E49C3531-0BB1-4161-8BB8-9DCBE468334F}"/>
    <cellStyle name="Normal 15 3 2 3 3" xfId="22969" xr:uid="{00000000-0005-0000-0000-000059580000}"/>
    <cellStyle name="Normal 15 3 2 3 3 2" xfId="46802" xr:uid="{C6F4FBA8-96E7-4D4B-8BE1-2AFF16A2CD64}"/>
    <cellStyle name="Normal 15 3 2 3 4" xfId="30924" xr:uid="{4E162BCC-2FFB-4FA6-9319-853759D94DB2}"/>
    <cellStyle name="Normal 15 3 2 4" xfId="11486" xr:uid="{00000000-0005-0000-0000-00005A580000}"/>
    <cellStyle name="Normal 15 3 2 4 2" xfId="35336" xr:uid="{5C16DC8A-530A-4DD4-9546-B24ED6F19ED3}"/>
    <cellStyle name="Normal 15 3 2 5" xfId="19441" xr:uid="{00000000-0005-0000-0000-00005B580000}"/>
    <cellStyle name="Normal 15 3 2 5 2" xfId="43274" xr:uid="{70BADCE5-B231-4AC5-80ED-634A519206BC}"/>
    <cellStyle name="Normal 15 3 2 6" xfId="27394" xr:uid="{8172C6DB-5AA9-4B68-9D72-45066FCE6BAC}"/>
    <cellStyle name="Normal 15 3 2_Exh G" xfId="3482" xr:uid="{00000000-0005-0000-0000-00005C580000}"/>
    <cellStyle name="Normal 15 3 3" xfId="4339" xr:uid="{00000000-0005-0000-0000-00005D580000}"/>
    <cellStyle name="Normal 15 3 3 2" xfId="7931" xr:uid="{00000000-0005-0000-0000-00005E580000}"/>
    <cellStyle name="Normal 15 3 3 2 2" xfId="15902" xr:uid="{00000000-0005-0000-0000-00005F580000}"/>
    <cellStyle name="Normal 15 3 3 2 2 2" xfId="39745" xr:uid="{B5D900F6-546E-4045-B344-977148C914EC}"/>
    <cellStyle name="Normal 15 3 3 2 3" xfId="23848" xr:uid="{00000000-0005-0000-0000-000060580000}"/>
    <cellStyle name="Normal 15 3 3 2 3 2" xfId="47681" xr:uid="{92C4A51A-F8BB-452E-A73F-8AFA8758A2AC}"/>
    <cellStyle name="Normal 15 3 3 2 4" xfId="31804" xr:uid="{856E4DFE-FE6F-4605-9C2E-D8B7626FC56A}"/>
    <cellStyle name="Normal 15 3 3 3" xfId="12364" xr:uid="{00000000-0005-0000-0000-000061580000}"/>
    <cellStyle name="Normal 15 3 3 3 2" xfId="36214" xr:uid="{C5A6A696-6349-467F-8F5F-34BD90966AB3}"/>
    <cellStyle name="Normal 15 3 3 4" xfId="20319" xr:uid="{00000000-0005-0000-0000-000062580000}"/>
    <cellStyle name="Normal 15 3 3 4 2" xfId="44152" xr:uid="{4FD3CBAA-5875-45AF-8DC4-933615FC7C1A}"/>
    <cellStyle name="Normal 15 3 3 5" xfId="28273" xr:uid="{4E2EF0FE-E636-4F54-9A1C-A60E3F95CB5C}"/>
    <cellStyle name="Normal 15 3 4" xfId="6159" xr:uid="{00000000-0005-0000-0000-000063580000}"/>
    <cellStyle name="Normal 15 3 4 2" xfId="14143" xr:uid="{00000000-0005-0000-0000-000064580000}"/>
    <cellStyle name="Normal 15 3 4 2 2" xfId="37987" xr:uid="{7385FD31-3AA5-41D0-9CC5-C0764B65A0B7}"/>
    <cellStyle name="Normal 15 3 4 3" xfId="22091" xr:uid="{00000000-0005-0000-0000-000065580000}"/>
    <cellStyle name="Normal 15 3 4 3 2" xfId="45924" xr:uid="{9A8E275D-C5F6-48BC-BCE2-30D745347323}"/>
    <cellStyle name="Normal 15 3 4 4" xfId="30046" xr:uid="{3EEAA209-5E18-4FE9-81A8-53A4C0CD82E1}"/>
    <cellStyle name="Normal 15 3 5" xfId="9712" xr:uid="{00000000-0005-0000-0000-000066580000}"/>
    <cellStyle name="Normal 15 3 5 2" xfId="17670" xr:uid="{00000000-0005-0000-0000-000067580000}"/>
    <cellStyle name="Normal 15 3 5 2 2" xfId="41511" xr:uid="{826184BA-1554-44C0-921A-3DDA83DEA746}"/>
    <cellStyle name="Normal 15 3 5 3" xfId="25614" xr:uid="{00000000-0005-0000-0000-000068580000}"/>
    <cellStyle name="Normal 15 3 5 3 2" xfId="49447" xr:uid="{88396C2C-8BA8-425A-BB45-993DDF538C59}"/>
    <cellStyle name="Normal 15 3 5 4" xfId="33570" xr:uid="{513752ED-BA10-420A-BDF1-774F7A0E6F54}"/>
    <cellStyle name="Normal 15 3 6" xfId="10608" xr:uid="{00000000-0005-0000-0000-000069580000}"/>
    <cellStyle name="Normal 15 3 6 2" xfId="34458" xr:uid="{6EF2F8FC-50BA-4B96-86CE-81DF0E4D00DE}"/>
    <cellStyle name="Normal 15 3 7" xfId="18563" xr:uid="{00000000-0005-0000-0000-00006A580000}"/>
    <cellStyle name="Normal 15 3 7 2" xfId="42396" xr:uid="{DF701F60-DC3E-41DD-9E8C-CDD964C0633E}"/>
    <cellStyle name="Normal 15 3 8" xfId="26516" xr:uid="{E296EAEA-A535-41EB-8A53-B831A866E639}"/>
    <cellStyle name="Normal 15 3_Exh G" xfId="3481" xr:uid="{00000000-0005-0000-0000-00006B580000}"/>
    <cellStyle name="Normal 15 4" xfId="1685" xr:uid="{00000000-0005-0000-0000-00006C580000}"/>
    <cellStyle name="Normal 15 4 2" xfId="5215" xr:uid="{00000000-0005-0000-0000-00006D580000}"/>
    <cellStyle name="Normal 15 4 2 2" xfId="8806" xr:uid="{00000000-0005-0000-0000-00006E580000}"/>
    <cellStyle name="Normal 15 4 2 2 2" xfId="16777" xr:uid="{00000000-0005-0000-0000-00006F580000}"/>
    <cellStyle name="Normal 15 4 2 2 2 2" xfId="40620" xr:uid="{1C150356-AE1F-4D62-A256-4145DB59CC2D}"/>
    <cellStyle name="Normal 15 4 2 2 3" xfId="24723" xr:uid="{00000000-0005-0000-0000-000070580000}"/>
    <cellStyle name="Normal 15 4 2 2 3 2" xfId="48556" xr:uid="{B0500DE4-3452-4DD7-BE28-7A65C9129F15}"/>
    <cellStyle name="Normal 15 4 2 2 4" xfId="32679" xr:uid="{7CE1111C-73B4-4B74-8388-237ECBB55D00}"/>
    <cellStyle name="Normal 15 4 2 3" xfId="13239" xr:uid="{00000000-0005-0000-0000-000071580000}"/>
    <cellStyle name="Normal 15 4 2 3 2" xfId="37089" xr:uid="{81DC7667-03D5-4F2E-9569-307324848F45}"/>
    <cellStyle name="Normal 15 4 2 4" xfId="21194" xr:uid="{00000000-0005-0000-0000-000072580000}"/>
    <cellStyle name="Normal 15 4 2 4 2" xfId="45027" xr:uid="{5563164D-9AF7-4E25-B0A4-5CEB3B5AC696}"/>
    <cellStyle name="Normal 15 4 2 5" xfId="29148" xr:uid="{858AAF8B-7FA1-4E55-8DD2-79E0EE7CE1BD}"/>
    <cellStyle name="Normal 15 4 3" xfId="7047" xr:uid="{00000000-0005-0000-0000-000073580000}"/>
    <cellStyle name="Normal 15 4 3 2" xfId="15019" xr:uid="{00000000-0005-0000-0000-000074580000}"/>
    <cellStyle name="Normal 15 4 3 2 2" xfId="38862" xr:uid="{4EC088FF-D501-471B-A671-EA0E94498F13}"/>
    <cellStyle name="Normal 15 4 3 3" xfId="22966" xr:uid="{00000000-0005-0000-0000-000075580000}"/>
    <cellStyle name="Normal 15 4 3 3 2" xfId="46799" xr:uid="{456DFDBB-B00B-493B-BD88-6CBB8402127B}"/>
    <cellStyle name="Normal 15 4 3 4" xfId="30921" xr:uid="{B123A98A-9D15-427B-9D7D-ED0BFA007647}"/>
    <cellStyle name="Normal 15 4 4" xfId="11483" xr:uid="{00000000-0005-0000-0000-000076580000}"/>
    <cellStyle name="Normal 15 4 4 2" xfId="35333" xr:uid="{BFE7B5A1-E5DA-41E5-97F4-795B382E6419}"/>
    <cellStyle name="Normal 15 4 5" xfId="19438" xr:uid="{00000000-0005-0000-0000-000077580000}"/>
    <cellStyle name="Normal 15 4 5 2" xfId="43271" xr:uid="{17017260-4293-492F-AB6D-DBFBD9DA1640}"/>
    <cellStyle name="Normal 15 4 6" xfId="27391" xr:uid="{8C181BB1-B884-4413-89A5-D9356AAB7E8A}"/>
    <cellStyle name="Normal 15 4_Exh G" xfId="3483" xr:uid="{00000000-0005-0000-0000-000078580000}"/>
    <cellStyle name="Normal 15 5" xfId="4336" xr:uid="{00000000-0005-0000-0000-000079580000}"/>
    <cellStyle name="Normal 15 5 2" xfId="7928" xr:uid="{00000000-0005-0000-0000-00007A580000}"/>
    <cellStyle name="Normal 15 5 2 2" xfId="15899" xr:uid="{00000000-0005-0000-0000-00007B580000}"/>
    <cellStyle name="Normal 15 5 2 2 2" xfId="39742" xr:uid="{76C9E5BB-1C1F-4455-AE21-55613E081209}"/>
    <cellStyle name="Normal 15 5 2 3" xfId="23845" xr:uid="{00000000-0005-0000-0000-00007C580000}"/>
    <cellStyle name="Normal 15 5 2 3 2" xfId="47678" xr:uid="{3255D300-895A-45B4-8FDA-6EE620DC2DDF}"/>
    <cellStyle name="Normal 15 5 2 4" xfId="31801" xr:uid="{F0290ABE-2198-4229-AF54-41ACE489C609}"/>
    <cellStyle name="Normal 15 5 3" xfId="12361" xr:uid="{00000000-0005-0000-0000-00007D580000}"/>
    <cellStyle name="Normal 15 5 3 2" xfId="36211" xr:uid="{DA8716A3-6DED-4F91-89EC-6EF09B80207C}"/>
    <cellStyle name="Normal 15 5 4" xfId="20316" xr:uid="{00000000-0005-0000-0000-00007E580000}"/>
    <cellStyle name="Normal 15 5 4 2" xfId="44149" xr:uid="{9ED2E680-4B39-4FE1-B13B-C76CD160FF7A}"/>
    <cellStyle name="Normal 15 5 5" xfId="28270" xr:uid="{C40B6ACA-1DE1-4E7C-B4E6-2FAE40D6F913}"/>
    <cellStyle name="Normal 15 6" xfId="6156" xr:uid="{00000000-0005-0000-0000-00007F580000}"/>
    <cellStyle name="Normal 15 6 2" xfId="14140" xr:uid="{00000000-0005-0000-0000-000080580000}"/>
    <cellStyle name="Normal 15 6 2 2" xfId="37984" xr:uid="{A0480116-0B83-4B88-BC3F-61315A021569}"/>
    <cellStyle name="Normal 15 6 3" xfId="22088" xr:uid="{00000000-0005-0000-0000-000081580000}"/>
    <cellStyle name="Normal 15 6 3 2" xfId="45921" xr:uid="{D54F3212-39AF-4F7F-B26B-AF93E4E25645}"/>
    <cellStyle name="Normal 15 6 4" xfId="30043" xr:uid="{6FB4FAA1-FB14-4319-8D7A-9CD10701C794}"/>
    <cellStyle name="Normal 15 7" xfId="9709" xr:uid="{00000000-0005-0000-0000-000082580000}"/>
    <cellStyle name="Normal 15 7 2" xfId="17667" xr:uid="{00000000-0005-0000-0000-000083580000}"/>
    <cellStyle name="Normal 15 7 2 2" xfId="41508" xr:uid="{74CA552D-1435-47BA-BD6B-C389F9FAD077}"/>
    <cellStyle name="Normal 15 7 3" xfId="25611" xr:uid="{00000000-0005-0000-0000-000084580000}"/>
    <cellStyle name="Normal 15 7 3 2" xfId="49444" xr:uid="{DB7D0178-62CA-434A-8345-4E91522E8247}"/>
    <cellStyle name="Normal 15 7 4" xfId="33567" xr:uid="{538EDC4B-E40E-4BDA-A758-F0B2FCD67E7F}"/>
    <cellStyle name="Normal 15 8" xfId="10605" xr:uid="{00000000-0005-0000-0000-000085580000}"/>
    <cellStyle name="Normal 15 8 2" xfId="34455" xr:uid="{87103FE6-2A73-42E2-A100-E7CF37885DEC}"/>
    <cellStyle name="Normal 15 9" xfId="18560" xr:uid="{00000000-0005-0000-0000-000086580000}"/>
    <cellStyle name="Normal 15 9 2" xfId="42393" xr:uid="{4675C1AB-2879-4A6C-B645-15648637B6F6}"/>
    <cellStyle name="Normal 15_Exh G" xfId="3476" xr:uid="{00000000-0005-0000-0000-000087580000}"/>
    <cellStyle name="Normal 16" xfId="661" xr:uid="{00000000-0005-0000-0000-000088580000}"/>
    <cellStyle name="Normal 16 10" xfId="26517" xr:uid="{A6FD268E-EB29-4F63-AFA7-67184380192C}"/>
    <cellStyle name="Normal 16 2" xfId="662" xr:uid="{00000000-0005-0000-0000-000089580000}"/>
    <cellStyle name="Normal 16 2 2" xfId="663" xr:uid="{00000000-0005-0000-0000-00008A580000}"/>
    <cellStyle name="Normal 16 2 2 2" xfId="1691" xr:uid="{00000000-0005-0000-0000-00008B580000}"/>
    <cellStyle name="Normal 16 2 2 2 2" xfId="5221" xr:uid="{00000000-0005-0000-0000-00008C580000}"/>
    <cellStyle name="Normal 16 2 2 2 2 2" xfId="8812" xr:uid="{00000000-0005-0000-0000-00008D580000}"/>
    <cellStyle name="Normal 16 2 2 2 2 2 2" xfId="16783" xr:uid="{00000000-0005-0000-0000-00008E580000}"/>
    <cellStyle name="Normal 16 2 2 2 2 2 2 2" xfId="40626" xr:uid="{BE4B00CD-C715-43CA-AAAA-A926DB1D7079}"/>
    <cellStyle name="Normal 16 2 2 2 2 2 3" xfId="24729" xr:uid="{00000000-0005-0000-0000-00008F580000}"/>
    <cellStyle name="Normal 16 2 2 2 2 2 3 2" xfId="48562" xr:uid="{39BF429B-FD16-42E7-9AFA-2D5F33DB74C5}"/>
    <cellStyle name="Normal 16 2 2 2 2 2 4" xfId="32685" xr:uid="{6709CFB2-CF3C-4FCB-B09F-5ED9F3661E4D}"/>
    <cellStyle name="Normal 16 2 2 2 2 3" xfId="13245" xr:uid="{00000000-0005-0000-0000-000090580000}"/>
    <cellStyle name="Normal 16 2 2 2 2 3 2" xfId="37095" xr:uid="{604206FC-63EB-4A38-9A01-A5EFA09EACAB}"/>
    <cellStyle name="Normal 16 2 2 2 2 4" xfId="21200" xr:uid="{00000000-0005-0000-0000-000091580000}"/>
    <cellStyle name="Normal 16 2 2 2 2 4 2" xfId="45033" xr:uid="{C5E42267-7F63-4196-84CC-BC1D8AE65F0A}"/>
    <cellStyle name="Normal 16 2 2 2 2 5" xfId="29154" xr:uid="{FCF15D18-6ACC-4A99-9783-BC7341C4B9E5}"/>
    <cellStyle name="Normal 16 2 2 2 3" xfId="7053" xr:uid="{00000000-0005-0000-0000-000092580000}"/>
    <cellStyle name="Normal 16 2 2 2 3 2" xfId="15025" xr:uid="{00000000-0005-0000-0000-000093580000}"/>
    <cellStyle name="Normal 16 2 2 2 3 2 2" xfId="38868" xr:uid="{FFDF7BDF-EF3B-4C20-AE3E-37E2B36F00C9}"/>
    <cellStyle name="Normal 16 2 2 2 3 3" xfId="22972" xr:uid="{00000000-0005-0000-0000-000094580000}"/>
    <cellStyle name="Normal 16 2 2 2 3 3 2" xfId="46805" xr:uid="{441F46C2-FB8B-4B4D-AABB-9A94E78B35D4}"/>
    <cellStyle name="Normal 16 2 2 2 3 4" xfId="30927" xr:uid="{8E7C605C-184C-47F2-9BD3-CFC39EEE5016}"/>
    <cellStyle name="Normal 16 2 2 2 4" xfId="11489" xr:uid="{00000000-0005-0000-0000-000095580000}"/>
    <cellStyle name="Normal 16 2 2 2 4 2" xfId="35339" xr:uid="{FFC222C1-0B76-46E9-ADDF-3BCB0FD6A8AC}"/>
    <cellStyle name="Normal 16 2 2 2 5" xfId="19444" xr:uid="{00000000-0005-0000-0000-000096580000}"/>
    <cellStyle name="Normal 16 2 2 2 5 2" xfId="43277" xr:uid="{B8A66CEE-6F8F-4BD0-86B4-AB9FE73F554D}"/>
    <cellStyle name="Normal 16 2 2 2 6" xfId="27397" xr:uid="{611D32C8-A697-4A40-8F42-49C88D1023C6}"/>
    <cellStyle name="Normal 16 2 2 2_Exh G" xfId="3487" xr:uid="{00000000-0005-0000-0000-000097580000}"/>
    <cellStyle name="Normal 16 2 2 3" xfId="4342" xr:uid="{00000000-0005-0000-0000-000098580000}"/>
    <cellStyle name="Normal 16 2 2 3 2" xfId="7934" xr:uid="{00000000-0005-0000-0000-000099580000}"/>
    <cellStyle name="Normal 16 2 2 3 2 2" xfId="15905" xr:uid="{00000000-0005-0000-0000-00009A580000}"/>
    <cellStyle name="Normal 16 2 2 3 2 2 2" xfId="39748" xr:uid="{A267C48F-726A-4A47-A15A-9B6ED3C2A85D}"/>
    <cellStyle name="Normal 16 2 2 3 2 3" xfId="23851" xr:uid="{00000000-0005-0000-0000-00009B580000}"/>
    <cellStyle name="Normal 16 2 2 3 2 3 2" xfId="47684" xr:uid="{7281EB19-5524-4A45-818C-76CC735B2764}"/>
    <cellStyle name="Normal 16 2 2 3 2 4" xfId="31807" xr:uid="{5C54C877-D24C-41EF-BE98-E4A2BB812269}"/>
    <cellStyle name="Normal 16 2 2 3 3" xfId="12367" xr:uid="{00000000-0005-0000-0000-00009C580000}"/>
    <cellStyle name="Normal 16 2 2 3 3 2" xfId="36217" xr:uid="{77F8D3B2-0C39-4ABB-8A26-9A40E3CC0E65}"/>
    <cellStyle name="Normal 16 2 2 3 4" xfId="20322" xr:uid="{00000000-0005-0000-0000-00009D580000}"/>
    <cellStyle name="Normal 16 2 2 3 4 2" xfId="44155" xr:uid="{8D061681-3FDA-4873-AEDF-424AB6F7FCC2}"/>
    <cellStyle name="Normal 16 2 2 3 5" xfId="28276" xr:uid="{01BE6857-68EE-485D-B884-CDEFC7E45A4D}"/>
    <cellStyle name="Normal 16 2 2 4" xfId="6162" xr:uid="{00000000-0005-0000-0000-00009E580000}"/>
    <cellStyle name="Normal 16 2 2 4 2" xfId="14146" xr:uid="{00000000-0005-0000-0000-00009F580000}"/>
    <cellStyle name="Normal 16 2 2 4 2 2" xfId="37990" xr:uid="{2473EFBD-0138-4087-ACC6-E6DC9AE1EB8F}"/>
    <cellStyle name="Normal 16 2 2 4 3" xfId="22094" xr:uid="{00000000-0005-0000-0000-0000A0580000}"/>
    <cellStyle name="Normal 16 2 2 4 3 2" xfId="45927" xr:uid="{0769999D-7650-430F-B668-E527B3203427}"/>
    <cellStyle name="Normal 16 2 2 4 4" xfId="30049" xr:uid="{806A8A45-83AA-44D0-97EF-B15DE07C3B3D}"/>
    <cellStyle name="Normal 16 2 2 5" xfId="9715" xr:uid="{00000000-0005-0000-0000-0000A1580000}"/>
    <cellStyle name="Normal 16 2 2 5 2" xfId="17673" xr:uid="{00000000-0005-0000-0000-0000A2580000}"/>
    <cellStyle name="Normal 16 2 2 5 2 2" xfId="41514" xr:uid="{EE5503D6-B384-4FBE-BC32-3B84EE54033F}"/>
    <cellStyle name="Normal 16 2 2 5 3" xfId="25617" xr:uid="{00000000-0005-0000-0000-0000A3580000}"/>
    <cellStyle name="Normal 16 2 2 5 3 2" xfId="49450" xr:uid="{38A55E71-08FF-46DE-B74D-9D6583CA5EEC}"/>
    <cellStyle name="Normal 16 2 2 5 4" xfId="33573" xr:uid="{3498FE0F-51CC-4D46-9606-68C8FEB856BA}"/>
    <cellStyle name="Normal 16 2 2 6" xfId="10611" xr:uid="{00000000-0005-0000-0000-0000A4580000}"/>
    <cellStyle name="Normal 16 2 2 6 2" xfId="34461" xr:uid="{0C5E19F6-AC9E-4DFB-BB18-E3C16D652968}"/>
    <cellStyle name="Normal 16 2 2 7" xfId="18566" xr:uid="{00000000-0005-0000-0000-0000A5580000}"/>
    <cellStyle name="Normal 16 2 2 7 2" xfId="42399" xr:uid="{34F96B3F-0C09-40C3-92DA-1151B9E04D57}"/>
    <cellStyle name="Normal 16 2 2 8" xfId="26519" xr:uid="{4571E81D-5CF1-4FB0-B11C-734A58E78FE4}"/>
    <cellStyle name="Normal 16 2 2_Exh G" xfId="3486" xr:uid="{00000000-0005-0000-0000-0000A6580000}"/>
    <cellStyle name="Normal 16 2 3" xfId="1690" xr:uid="{00000000-0005-0000-0000-0000A7580000}"/>
    <cellStyle name="Normal 16 2 3 2" xfId="5220" xr:uid="{00000000-0005-0000-0000-0000A8580000}"/>
    <cellStyle name="Normal 16 2 3 2 2" xfId="8811" xr:uid="{00000000-0005-0000-0000-0000A9580000}"/>
    <cellStyle name="Normal 16 2 3 2 2 2" xfId="16782" xr:uid="{00000000-0005-0000-0000-0000AA580000}"/>
    <cellStyle name="Normal 16 2 3 2 2 2 2" xfId="40625" xr:uid="{1958E15A-1D66-4C25-9252-21E65A889C8B}"/>
    <cellStyle name="Normal 16 2 3 2 2 3" xfId="24728" xr:uid="{00000000-0005-0000-0000-0000AB580000}"/>
    <cellStyle name="Normal 16 2 3 2 2 3 2" xfId="48561" xr:uid="{02134602-07DA-4DF7-BF9E-14F80434D180}"/>
    <cellStyle name="Normal 16 2 3 2 2 4" xfId="32684" xr:uid="{560258B2-FF55-4B04-A01F-9B8B147269E7}"/>
    <cellStyle name="Normal 16 2 3 2 3" xfId="13244" xr:uid="{00000000-0005-0000-0000-0000AC580000}"/>
    <cellStyle name="Normal 16 2 3 2 3 2" xfId="37094" xr:uid="{A2DF6C65-BF86-4A17-908A-C711C5DF2B63}"/>
    <cellStyle name="Normal 16 2 3 2 4" xfId="21199" xr:uid="{00000000-0005-0000-0000-0000AD580000}"/>
    <cellStyle name="Normal 16 2 3 2 4 2" xfId="45032" xr:uid="{38731EEE-6BB0-4118-8B00-E29930DC3F76}"/>
    <cellStyle name="Normal 16 2 3 2 5" xfId="29153" xr:uid="{FA824177-7638-47B7-8D65-030CA408616C}"/>
    <cellStyle name="Normal 16 2 3 3" xfId="7052" xr:uid="{00000000-0005-0000-0000-0000AE580000}"/>
    <cellStyle name="Normal 16 2 3 3 2" xfId="15024" xr:uid="{00000000-0005-0000-0000-0000AF580000}"/>
    <cellStyle name="Normal 16 2 3 3 2 2" xfId="38867" xr:uid="{1F17A650-5449-43FD-AE49-8205DD1C4290}"/>
    <cellStyle name="Normal 16 2 3 3 3" xfId="22971" xr:uid="{00000000-0005-0000-0000-0000B0580000}"/>
    <cellStyle name="Normal 16 2 3 3 3 2" xfId="46804" xr:uid="{ED45D079-CA55-44E7-BBBF-3279B27E888D}"/>
    <cellStyle name="Normal 16 2 3 3 4" xfId="30926" xr:uid="{879D5628-72A8-471E-9260-939AC2DB942C}"/>
    <cellStyle name="Normal 16 2 3 4" xfId="11488" xr:uid="{00000000-0005-0000-0000-0000B1580000}"/>
    <cellStyle name="Normal 16 2 3 4 2" xfId="35338" xr:uid="{C3F1051E-835E-40D7-A3A3-EC63AED294C3}"/>
    <cellStyle name="Normal 16 2 3 5" xfId="19443" xr:uid="{00000000-0005-0000-0000-0000B2580000}"/>
    <cellStyle name="Normal 16 2 3 5 2" xfId="43276" xr:uid="{5A705CEB-94D2-429E-8C8C-552024798394}"/>
    <cellStyle name="Normal 16 2 3 6" xfId="27396" xr:uid="{1AA53D9C-ED28-42D8-A5F3-1F6A73850B56}"/>
    <cellStyle name="Normal 16 2 3_Exh G" xfId="3488" xr:uid="{00000000-0005-0000-0000-0000B3580000}"/>
    <cellStyle name="Normal 16 2 4" xfId="4341" xr:uid="{00000000-0005-0000-0000-0000B4580000}"/>
    <cellStyle name="Normal 16 2 4 2" xfId="7933" xr:uid="{00000000-0005-0000-0000-0000B5580000}"/>
    <cellStyle name="Normal 16 2 4 2 2" xfId="15904" xr:uid="{00000000-0005-0000-0000-0000B6580000}"/>
    <cellStyle name="Normal 16 2 4 2 2 2" xfId="39747" xr:uid="{50B2BEF6-0C60-4C80-8DD9-C43BA790E3B1}"/>
    <cellStyle name="Normal 16 2 4 2 3" xfId="23850" xr:uid="{00000000-0005-0000-0000-0000B7580000}"/>
    <cellStyle name="Normal 16 2 4 2 3 2" xfId="47683" xr:uid="{278334C6-0076-446B-BF34-BE0B121ABD59}"/>
    <cellStyle name="Normal 16 2 4 2 4" xfId="31806" xr:uid="{AFC90B34-D424-4A6B-9D2E-7BBFA90FA810}"/>
    <cellStyle name="Normal 16 2 4 3" xfId="12366" xr:uid="{00000000-0005-0000-0000-0000B8580000}"/>
    <cellStyle name="Normal 16 2 4 3 2" xfId="36216" xr:uid="{EEA5E99F-EC5C-4D97-89D7-1C355A2E6E80}"/>
    <cellStyle name="Normal 16 2 4 4" xfId="20321" xr:uid="{00000000-0005-0000-0000-0000B9580000}"/>
    <cellStyle name="Normal 16 2 4 4 2" xfId="44154" xr:uid="{7E2A75C8-36D9-4EF0-A672-A7B11864A96E}"/>
    <cellStyle name="Normal 16 2 4 5" xfId="28275" xr:uid="{18FE4C8D-5D5A-47D1-8ED2-C07A6BB8BB0A}"/>
    <cellStyle name="Normal 16 2 5" xfId="6161" xr:uid="{00000000-0005-0000-0000-0000BA580000}"/>
    <cellStyle name="Normal 16 2 5 2" xfId="14145" xr:uid="{00000000-0005-0000-0000-0000BB580000}"/>
    <cellStyle name="Normal 16 2 5 2 2" xfId="37989" xr:uid="{E1F9584F-E16D-4D03-B70B-A1B7C0146270}"/>
    <cellStyle name="Normal 16 2 5 3" xfId="22093" xr:uid="{00000000-0005-0000-0000-0000BC580000}"/>
    <cellStyle name="Normal 16 2 5 3 2" xfId="45926" xr:uid="{B7835D1E-39B7-41A7-9811-C15302D61218}"/>
    <cellStyle name="Normal 16 2 5 4" xfId="30048" xr:uid="{350240F6-A3B6-479F-9497-FC7B4BD03CA5}"/>
    <cellStyle name="Normal 16 2 6" xfId="9714" xr:uid="{00000000-0005-0000-0000-0000BD580000}"/>
    <cellStyle name="Normal 16 2 6 2" xfId="17672" xr:uid="{00000000-0005-0000-0000-0000BE580000}"/>
    <cellStyle name="Normal 16 2 6 2 2" xfId="41513" xr:uid="{9CFE6887-C61E-4127-B02E-8A3A5B5CB068}"/>
    <cellStyle name="Normal 16 2 6 3" xfId="25616" xr:uid="{00000000-0005-0000-0000-0000BF580000}"/>
    <cellStyle name="Normal 16 2 6 3 2" xfId="49449" xr:uid="{DE4EBF84-0834-45F0-9C8E-C2C34C4AF239}"/>
    <cellStyle name="Normal 16 2 6 4" xfId="33572" xr:uid="{2DA6C31C-A49A-45FE-AEBE-B826B97F69C1}"/>
    <cellStyle name="Normal 16 2 7" xfId="10610" xr:uid="{00000000-0005-0000-0000-0000C0580000}"/>
    <cellStyle name="Normal 16 2 7 2" xfId="34460" xr:uid="{C7A9D26C-1A2B-463A-B5AA-E631AD5B525D}"/>
    <cellStyle name="Normal 16 2 8" xfId="18565" xr:uid="{00000000-0005-0000-0000-0000C1580000}"/>
    <cellStyle name="Normal 16 2 8 2" xfId="42398" xr:uid="{9EA77198-271A-4914-904A-221934264F09}"/>
    <cellStyle name="Normal 16 2 9" xfId="26518" xr:uid="{9204BE35-90E2-435C-962A-DF601398D614}"/>
    <cellStyle name="Normal 16 2_Exh G" xfId="3485" xr:uid="{00000000-0005-0000-0000-0000C2580000}"/>
    <cellStyle name="Normal 16 3" xfId="664" xr:uid="{00000000-0005-0000-0000-0000C3580000}"/>
    <cellStyle name="Normal 16 3 2" xfId="1692" xr:uid="{00000000-0005-0000-0000-0000C4580000}"/>
    <cellStyle name="Normal 16 3 2 2" xfId="5222" xr:uid="{00000000-0005-0000-0000-0000C5580000}"/>
    <cellStyle name="Normal 16 3 2 2 2" xfId="8813" xr:uid="{00000000-0005-0000-0000-0000C6580000}"/>
    <cellStyle name="Normal 16 3 2 2 2 2" xfId="16784" xr:uid="{00000000-0005-0000-0000-0000C7580000}"/>
    <cellStyle name="Normal 16 3 2 2 2 2 2" xfId="40627" xr:uid="{FFCB948B-7D1E-4FD3-8AE0-A1975BB70DBA}"/>
    <cellStyle name="Normal 16 3 2 2 2 3" xfId="24730" xr:uid="{00000000-0005-0000-0000-0000C8580000}"/>
    <cellStyle name="Normal 16 3 2 2 2 3 2" xfId="48563" xr:uid="{B87F88C5-BDC0-4AF3-B6F6-3D3D7B7007F6}"/>
    <cellStyle name="Normal 16 3 2 2 2 4" xfId="32686" xr:uid="{A95BBE95-EFAF-447B-9FC0-4F6E89B750F7}"/>
    <cellStyle name="Normal 16 3 2 2 3" xfId="13246" xr:uid="{00000000-0005-0000-0000-0000C9580000}"/>
    <cellStyle name="Normal 16 3 2 2 3 2" xfId="37096" xr:uid="{3B86D77A-911C-45BF-BD1F-1B8EBAEBB126}"/>
    <cellStyle name="Normal 16 3 2 2 4" xfId="21201" xr:uid="{00000000-0005-0000-0000-0000CA580000}"/>
    <cellStyle name="Normal 16 3 2 2 4 2" xfId="45034" xr:uid="{50C3EB4C-4BA7-40B4-A4CD-E98CC83207FB}"/>
    <cellStyle name="Normal 16 3 2 2 5" xfId="29155" xr:uid="{843896EF-3860-4BAF-BF6D-96BC049E96FF}"/>
    <cellStyle name="Normal 16 3 2 3" xfId="7054" xr:uid="{00000000-0005-0000-0000-0000CB580000}"/>
    <cellStyle name="Normal 16 3 2 3 2" xfId="15026" xr:uid="{00000000-0005-0000-0000-0000CC580000}"/>
    <cellStyle name="Normal 16 3 2 3 2 2" xfId="38869" xr:uid="{1954A31B-71A9-4D13-96F8-86B260F07DD7}"/>
    <cellStyle name="Normal 16 3 2 3 3" xfId="22973" xr:uid="{00000000-0005-0000-0000-0000CD580000}"/>
    <cellStyle name="Normal 16 3 2 3 3 2" xfId="46806" xr:uid="{4A3D0B12-97D3-4CE8-A094-50D0680C4966}"/>
    <cellStyle name="Normal 16 3 2 3 4" xfId="30928" xr:uid="{0E911996-FE6C-4DCD-9A64-17DD95AEDBD3}"/>
    <cellStyle name="Normal 16 3 2 4" xfId="11490" xr:uid="{00000000-0005-0000-0000-0000CE580000}"/>
    <cellStyle name="Normal 16 3 2 4 2" xfId="35340" xr:uid="{07CAD474-D8BB-4546-A7CA-EDF24CD5260F}"/>
    <cellStyle name="Normal 16 3 2 5" xfId="19445" xr:uid="{00000000-0005-0000-0000-0000CF580000}"/>
    <cellStyle name="Normal 16 3 2 5 2" xfId="43278" xr:uid="{A8D3206E-9680-4C10-8FD5-2382F8B3C49D}"/>
    <cellStyle name="Normal 16 3 2 6" xfId="27398" xr:uid="{952923F6-7651-4AB0-939C-FC8CAA976499}"/>
    <cellStyle name="Normal 16 3 2_Exh G" xfId="3490" xr:uid="{00000000-0005-0000-0000-0000D0580000}"/>
    <cellStyle name="Normal 16 3 3" xfId="4343" xr:uid="{00000000-0005-0000-0000-0000D1580000}"/>
    <cellStyle name="Normal 16 3 3 2" xfId="7935" xr:uid="{00000000-0005-0000-0000-0000D2580000}"/>
    <cellStyle name="Normal 16 3 3 2 2" xfId="15906" xr:uid="{00000000-0005-0000-0000-0000D3580000}"/>
    <cellStyle name="Normal 16 3 3 2 2 2" xfId="39749" xr:uid="{5BB10D34-04E0-4ED0-9026-21CCEB1294EB}"/>
    <cellStyle name="Normal 16 3 3 2 3" xfId="23852" xr:uid="{00000000-0005-0000-0000-0000D4580000}"/>
    <cellStyle name="Normal 16 3 3 2 3 2" xfId="47685" xr:uid="{BCCC0915-382D-4208-B621-92A291AAFC22}"/>
    <cellStyle name="Normal 16 3 3 2 4" xfId="31808" xr:uid="{E4914C13-E85C-4FAE-A204-9CD967624891}"/>
    <cellStyle name="Normal 16 3 3 3" xfId="12368" xr:uid="{00000000-0005-0000-0000-0000D5580000}"/>
    <cellStyle name="Normal 16 3 3 3 2" xfId="36218" xr:uid="{D1F9FCA6-DD33-4E5D-8E77-539A98AD9547}"/>
    <cellStyle name="Normal 16 3 3 4" xfId="20323" xr:uid="{00000000-0005-0000-0000-0000D6580000}"/>
    <cellStyle name="Normal 16 3 3 4 2" xfId="44156" xr:uid="{642F6306-D469-4DFA-BF27-1CA440090C27}"/>
    <cellStyle name="Normal 16 3 3 5" xfId="28277" xr:uid="{00D82B51-246A-448A-ADAA-B4725933146D}"/>
    <cellStyle name="Normal 16 3 4" xfId="6163" xr:uid="{00000000-0005-0000-0000-0000D7580000}"/>
    <cellStyle name="Normal 16 3 4 2" xfId="14147" xr:uid="{00000000-0005-0000-0000-0000D8580000}"/>
    <cellStyle name="Normal 16 3 4 2 2" xfId="37991" xr:uid="{10C3F438-A38F-42D9-948F-5B524F04CDA8}"/>
    <cellStyle name="Normal 16 3 4 3" xfId="22095" xr:uid="{00000000-0005-0000-0000-0000D9580000}"/>
    <cellStyle name="Normal 16 3 4 3 2" xfId="45928" xr:uid="{5E673980-87D4-42F2-A91C-D272CF91644F}"/>
    <cellStyle name="Normal 16 3 4 4" xfId="30050" xr:uid="{7AE0921E-8A7A-4191-BB47-4275CA00E19B}"/>
    <cellStyle name="Normal 16 3 5" xfId="9716" xr:uid="{00000000-0005-0000-0000-0000DA580000}"/>
    <cellStyle name="Normal 16 3 5 2" xfId="17674" xr:uid="{00000000-0005-0000-0000-0000DB580000}"/>
    <cellStyle name="Normal 16 3 5 2 2" xfId="41515" xr:uid="{226199AA-1CDF-4FAD-A14B-DB15734003C0}"/>
    <cellStyle name="Normal 16 3 5 3" xfId="25618" xr:uid="{00000000-0005-0000-0000-0000DC580000}"/>
    <cellStyle name="Normal 16 3 5 3 2" xfId="49451" xr:uid="{FC5C5F82-6705-4C12-94DB-5B1379D1492D}"/>
    <cellStyle name="Normal 16 3 5 4" xfId="33574" xr:uid="{0AF6520E-967D-4508-A3E0-DEF1AE6C19B8}"/>
    <cellStyle name="Normal 16 3 6" xfId="10612" xr:uid="{00000000-0005-0000-0000-0000DD580000}"/>
    <cellStyle name="Normal 16 3 6 2" xfId="34462" xr:uid="{03BFC366-9B4C-486C-AE17-3FCA8B2C89E6}"/>
    <cellStyle name="Normal 16 3 7" xfId="18567" xr:uid="{00000000-0005-0000-0000-0000DE580000}"/>
    <cellStyle name="Normal 16 3 7 2" xfId="42400" xr:uid="{FE2D2585-3DE6-422A-85B3-220AB51383E6}"/>
    <cellStyle name="Normal 16 3 8" xfId="26520" xr:uid="{A63D656C-3523-4C2D-BEF4-ED7963AAA8CB}"/>
    <cellStyle name="Normal 16 3_Exh G" xfId="3489" xr:uid="{00000000-0005-0000-0000-0000DF580000}"/>
    <cellStyle name="Normal 16 4" xfId="1689" xr:uid="{00000000-0005-0000-0000-0000E0580000}"/>
    <cellStyle name="Normal 16 4 2" xfId="5219" xr:uid="{00000000-0005-0000-0000-0000E1580000}"/>
    <cellStyle name="Normal 16 4 2 2" xfId="8810" xr:uid="{00000000-0005-0000-0000-0000E2580000}"/>
    <cellStyle name="Normal 16 4 2 2 2" xfId="16781" xr:uid="{00000000-0005-0000-0000-0000E3580000}"/>
    <cellStyle name="Normal 16 4 2 2 2 2" xfId="40624" xr:uid="{30E2C23E-3086-4027-A286-AE5F80D67BD0}"/>
    <cellStyle name="Normal 16 4 2 2 3" xfId="24727" xr:uid="{00000000-0005-0000-0000-0000E4580000}"/>
    <cellStyle name="Normal 16 4 2 2 3 2" xfId="48560" xr:uid="{9872A359-BB45-4681-91EB-D7D7B1676054}"/>
    <cellStyle name="Normal 16 4 2 2 4" xfId="32683" xr:uid="{372467FD-5418-4143-B39E-F5AD42E34321}"/>
    <cellStyle name="Normal 16 4 2 3" xfId="13243" xr:uid="{00000000-0005-0000-0000-0000E5580000}"/>
    <cellStyle name="Normal 16 4 2 3 2" xfId="37093" xr:uid="{412CE1F1-7F2B-4F33-903D-F8DD33C912F3}"/>
    <cellStyle name="Normal 16 4 2 4" xfId="21198" xr:uid="{00000000-0005-0000-0000-0000E6580000}"/>
    <cellStyle name="Normal 16 4 2 4 2" xfId="45031" xr:uid="{9E4ED78C-2C21-4144-93A7-B17C7B47A202}"/>
    <cellStyle name="Normal 16 4 2 5" xfId="29152" xr:uid="{841628B0-5726-46B7-8C81-9CB90836DB04}"/>
    <cellStyle name="Normal 16 4 3" xfId="7051" xr:uid="{00000000-0005-0000-0000-0000E7580000}"/>
    <cellStyle name="Normal 16 4 3 2" xfId="15023" xr:uid="{00000000-0005-0000-0000-0000E8580000}"/>
    <cellStyle name="Normal 16 4 3 2 2" xfId="38866" xr:uid="{91DA8F5F-DAFE-42BC-9A57-92C2A568830C}"/>
    <cellStyle name="Normal 16 4 3 3" xfId="22970" xr:uid="{00000000-0005-0000-0000-0000E9580000}"/>
    <cellStyle name="Normal 16 4 3 3 2" xfId="46803" xr:uid="{34B64492-E944-40FA-B99C-B1FDD1FBB70A}"/>
    <cellStyle name="Normal 16 4 3 4" xfId="30925" xr:uid="{75DE6D21-A163-44DD-9289-3707CB367859}"/>
    <cellStyle name="Normal 16 4 4" xfId="11487" xr:uid="{00000000-0005-0000-0000-0000EA580000}"/>
    <cellStyle name="Normal 16 4 4 2" xfId="35337" xr:uid="{C7316644-92CB-4133-A9E0-140F0865FE7C}"/>
    <cellStyle name="Normal 16 4 5" xfId="19442" xr:uid="{00000000-0005-0000-0000-0000EB580000}"/>
    <cellStyle name="Normal 16 4 5 2" xfId="43275" xr:uid="{1D341720-DE00-42C1-A23B-92535C47B7EF}"/>
    <cellStyle name="Normal 16 4 6" xfId="27395" xr:uid="{4D12D854-30F9-45C5-8BE5-68523F1E0F78}"/>
    <cellStyle name="Normal 16 4_Exh G" xfId="3491" xr:uid="{00000000-0005-0000-0000-0000EC580000}"/>
    <cellStyle name="Normal 16 5" xfId="4340" xr:uid="{00000000-0005-0000-0000-0000ED580000}"/>
    <cellStyle name="Normal 16 5 2" xfId="7932" xr:uid="{00000000-0005-0000-0000-0000EE580000}"/>
    <cellStyle name="Normal 16 5 2 2" xfId="15903" xr:uid="{00000000-0005-0000-0000-0000EF580000}"/>
    <cellStyle name="Normal 16 5 2 2 2" xfId="39746" xr:uid="{72E6E7AF-D83C-4F33-8FC3-5A46731A0B67}"/>
    <cellStyle name="Normal 16 5 2 3" xfId="23849" xr:uid="{00000000-0005-0000-0000-0000F0580000}"/>
    <cellStyle name="Normal 16 5 2 3 2" xfId="47682" xr:uid="{BAB5FBC4-C5D6-4027-A964-9A2D951E1ADF}"/>
    <cellStyle name="Normal 16 5 2 4" xfId="31805" xr:uid="{0D0B5AC3-AD2D-4FB9-BC2D-BDC5F21235B0}"/>
    <cellStyle name="Normal 16 5 3" xfId="12365" xr:uid="{00000000-0005-0000-0000-0000F1580000}"/>
    <cellStyle name="Normal 16 5 3 2" xfId="36215" xr:uid="{2DFDA4F4-94F2-49BC-9465-03BF94565EC3}"/>
    <cellStyle name="Normal 16 5 4" xfId="20320" xr:uid="{00000000-0005-0000-0000-0000F2580000}"/>
    <cellStyle name="Normal 16 5 4 2" xfId="44153" xr:uid="{8DE2707A-5598-4D6C-AC89-7F34A14F0892}"/>
    <cellStyle name="Normal 16 5 5" xfId="28274" xr:uid="{11E669B5-A849-4783-88F4-6CCEBD1939AB}"/>
    <cellStyle name="Normal 16 6" xfId="6160" xr:uid="{00000000-0005-0000-0000-0000F3580000}"/>
    <cellStyle name="Normal 16 6 2" xfId="14144" xr:uid="{00000000-0005-0000-0000-0000F4580000}"/>
    <cellStyle name="Normal 16 6 2 2" xfId="37988" xr:uid="{7379088E-BB63-4CAC-B149-5BBF243F355C}"/>
    <cellStyle name="Normal 16 6 3" xfId="22092" xr:uid="{00000000-0005-0000-0000-0000F5580000}"/>
    <cellStyle name="Normal 16 6 3 2" xfId="45925" xr:uid="{C99B2C35-0DFB-4527-A71B-173BEB33EFDD}"/>
    <cellStyle name="Normal 16 6 4" xfId="30047" xr:uid="{178BE9CD-9C3A-4FC1-85FA-207E13D2AE84}"/>
    <cellStyle name="Normal 16 7" xfId="9713" xr:uid="{00000000-0005-0000-0000-0000F6580000}"/>
    <cellStyle name="Normal 16 7 2" xfId="17671" xr:uid="{00000000-0005-0000-0000-0000F7580000}"/>
    <cellStyle name="Normal 16 7 2 2" xfId="41512" xr:uid="{F957D493-6B94-42DD-BC66-323F4C7B5B2D}"/>
    <cellStyle name="Normal 16 7 3" xfId="25615" xr:uid="{00000000-0005-0000-0000-0000F8580000}"/>
    <cellStyle name="Normal 16 7 3 2" xfId="49448" xr:uid="{D46C6A4B-BFCF-482C-8B8A-EB6994897447}"/>
    <cellStyle name="Normal 16 7 4" xfId="33571" xr:uid="{74A59828-5180-4989-9E48-955F56EF63A1}"/>
    <cellStyle name="Normal 16 8" xfId="10609" xr:uid="{00000000-0005-0000-0000-0000F9580000}"/>
    <cellStyle name="Normal 16 8 2" xfId="34459" xr:uid="{9176336F-9F49-4D72-B168-FA35EE0C3031}"/>
    <cellStyle name="Normal 16 9" xfId="18564" xr:uid="{00000000-0005-0000-0000-0000FA580000}"/>
    <cellStyle name="Normal 16 9 2" xfId="42397" xr:uid="{72E24B7C-1D46-4C4A-9145-3F920078F79F}"/>
    <cellStyle name="Normal 16_Exh G" xfId="3484" xr:uid="{00000000-0005-0000-0000-0000FB580000}"/>
    <cellStyle name="Normal 17" xfId="665" xr:uid="{00000000-0005-0000-0000-0000FC580000}"/>
    <cellStyle name="Normal 17 2" xfId="1693" xr:uid="{00000000-0005-0000-0000-0000FD580000}"/>
    <cellStyle name="Normal 17 2 2" xfId="5223" xr:uid="{00000000-0005-0000-0000-0000FE580000}"/>
    <cellStyle name="Normal 17 2 2 2" xfId="8814" xr:uid="{00000000-0005-0000-0000-0000FF580000}"/>
    <cellStyle name="Normal 17 2 2 2 2" xfId="16785" xr:uid="{00000000-0005-0000-0000-000000590000}"/>
    <cellStyle name="Normal 17 2 2 2 2 2" xfId="40628" xr:uid="{CBEB1649-0744-458C-9825-80F8318492BF}"/>
    <cellStyle name="Normal 17 2 2 2 3" xfId="24731" xr:uid="{00000000-0005-0000-0000-000001590000}"/>
    <cellStyle name="Normal 17 2 2 2 3 2" xfId="48564" xr:uid="{8590307C-B70D-4E80-B1B4-17BD9E16C1BC}"/>
    <cellStyle name="Normal 17 2 2 2 4" xfId="32687" xr:uid="{C2E01FA8-9D70-44BE-892C-675F2AED211B}"/>
    <cellStyle name="Normal 17 2 2 3" xfId="13247" xr:uid="{00000000-0005-0000-0000-000002590000}"/>
    <cellStyle name="Normal 17 2 2 3 2" xfId="37097" xr:uid="{B55F5518-3653-4A4A-B546-7F8A68ED57D2}"/>
    <cellStyle name="Normal 17 2 2 4" xfId="21202" xr:uid="{00000000-0005-0000-0000-000003590000}"/>
    <cellStyle name="Normal 17 2 2 4 2" xfId="45035" xr:uid="{8C78F591-8198-4577-874C-FECCB6F32393}"/>
    <cellStyle name="Normal 17 2 2 5" xfId="29156" xr:uid="{FB54F897-7710-46E7-B510-064313B8A29F}"/>
    <cellStyle name="Normal 17 2 3" xfId="7055" xr:uid="{00000000-0005-0000-0000-000004590000}"/>
    <cellStyle name="Normal 17 2 3 2" xfId="15027" xr:uid="{00000000-0005-0000-0000-000005590000}"/>
    <cellStyle name="Normal 17 2 3 2 2" xfId="38870" xr:uid="{1A4C52FF-28C6-48E2-B3E0-B04B8492DDF1}"/>
    <cellStyle name="Normal 17 2 3 3" xfId="22974" xr:uid="{00000000-0005-0000-0000-000006590000}"/>
    <cellStyle name="Normal 17 2 3 3 2" xfId="46807" xr:uid="{1ECA9D3E-D9AC-4113-8ED1-2CE8729E5C6D}"/>
    <cellStyle name="Normal 17 2 3 4" xfId="30929" xr:uid="{F6801BE3-4844-4458-9F2A-756E9707FF5F}"/>
    <cellStyle name="Normal 17 2 4" xfId="11491" xr:uid="{00000000-0005-0000-0000-000007590000}"/>
    <cellStyle name="Normal 17 2 4 2" xfId="35341" xr:uid="{E0F0C13C-4311-4CD2-B0C6-0761C9867B1F}"/>
    <cellStyle name="Normal 17 2 5" xfId="19446" xr:uid="{00000000-0005-0000-0000-000008590000}"/>
    <cellStyle name="Normal 17 2 5 2" xfId="43279" xr:uid="{CE474272-CDE6-4791-8506-00F927BC4B87}"/>
    <cellStyle name="Normal 17 2 6" xfId="27399" xr:uid="{BDCEC457-2383-4539-AE7A-6765FE9F0F16}"/>
    <cellStyle name="Normal 17 2_Exh G" xfId="3493" xr:uid="{00000000-0005-0000-0000-000009590000}"/>
    <cellStyle name="Normal 17 3" xfId="4344" xr:uid="{00000000-0005-0000-0000-00000A590000}"/>
    <cellStyle name="Normal 17 3 2" xfId="7936" xr:uid="{00000000-0005-0000-0000-00000B590000}"/>
    <cellStyle name="Normal 17 3 2 2" xfId="15907" xr:uid="{00000000-0005-0000-0000-00000C590000}"/>
    <cellStyle name="Normal 17 3 2 2 2" xfId="39750" xr:uid="{2B588A99-0B61-40FD-A7D3-CE75A9C8935E}"/>
    <cellStyle name="Normal 17 3 2 3" xfId="23853" xr:uid="{00000000-0005-0000-0000-00000D590000}"/>
    <cellStyle name="Normal 17 3 2 3 2" xfId="47686" xr:uid="{979526AC-DF92-4773-9566-83D9D6F0D73B}"/>
    <cellStyle name="Normal 17 3 2 4" xfId="31809" xr:uid="{D2E60AF4-E4ED-446C-B97F-75BDC6FD8E42}"/>
    <cellStyle name="Normal 17 3 3" xfId="12369" xr:uid="{00000000-0005-0000-0000-00000E590000}"/>
    <cellStyle name="Normal 17 3 3 2" xfId="36219" xr:uid="{C8DFE15C-20A2-4DDB-BF52-D00E1908BFFE}"/>
    <cellStyle name="Normal 17 3 4" xfId="20324" xr:uid="{00000000-0005-0000-0000-00000F590000}"/>
    <cellStyle name="Normal 17 3 4 2" xfId="44157" xr:uid="{BD812DFC-8F92-4F45-90F0-C632D9754F71}"/>
    <cellStyle name="Normal 17 3 5" xfId="28278" xr:uid="{F5873240-A0BF-4314-8DC5-698146D1F709}"/>
    <cellStyle name="Normal 17 4" xfId="6164" xr:uid="{00000000-0005-0000-0000-000010590000}"/>
    <cellStyle name="Normal 17 4 2" xfId="14148" xr:uid="{00000000-0005-0000-0000-000011590000}"/>
    <cellStyle name="Normal 17 4 2 2" xfId="37992" xr:uid="{D492F8DD-0F98-4B4F-A6B5-7734E5A0F070}"/>
    <cellStyle name="Normal 17 4 3" xfId="22096" xr:uid="{00000000-0005-0000-0000-000012590000}"/>
    <cellStyle name="Normal 17 4 3 2" xfId="45929" xr:uid="{2FA5330D-97E0-4581-BA77-BB7BD6DD7ACD}"/>
    <cellStyle name="Normal 17 4 4" xfId="30051" xr:uid="{A5E949DC-841C-480F-A4EB-F8F53E0B1663}"/>
    <cellStyle name="Normal 17 5" xfId="9717" xr:uid="{00000000-0005-0000-0000-000013590000}"/>
    <cellStyle name="Normal 17 5 2" xfId="17675" xr:uid="{00000000-0005-0000-0000-000014590000}"/>
    <cellStyle name="Normal 17 5 2 2" xfId="41516" xr:uid="{57040DE7-B379-4C35-A71D-D48A40D114FC}"/>
    <cellStyle name="Normal 17 5 3" xfId="25619" xr:uid="{00000000-0005-0000-0000-000015590000}"/>
    <cellStyle name="Normal 17 5 3 2" xfId="49452" xr:uid="{4DB0B8FC-5171-468B-B6B1-E2D53CD01BF0}"/>
    <cellStyle name="Normal 17 5 4" xfId="33575" xr:uid="{AFFED29A-FD6D-4A10-8E6C-5A3AE836D672}"/>
    <cellStyle name="Normal 17 6" xfId="10613" xr:uid="{00000000-0005-0000-0000-000016590000}"/>
    <cellStyle name="Normal 17 6 2" xfId="34463" xr:uid="{1E3FFC6F-B24F-4A5A-A750-F8CCD5EC0D44}"/>
    <cellStyle name="Normal 17 7" xfId="18568" xr:uid="{00000000-0005-0000-0000-000017590000}"/>
    <cellStyle name="Normal 17 7 2" xfId="42401" xr:uid="{A3F949D9-022D-4205-8770-40EC5B6495E4}"/>
    <cellStyle name="Normal 17 8" xfId="26521" xr:uid="{3A93CE96-2F78-43CA-9D1C-3E235D7E1A50}"/>
    <cellStyle name="Normal 17_Exh G" xfId="3492" xr:uid="{00000000-0005-0000-0000-000018590000}"/>
    <cellStyle name="Normal 18" xfId="739" xr:uid="{00000000-0005-0000-0000-000019590000}"/>
    <cellStyle name="Normal 19" xfId="827" xr:uid="{00000000-0005-0000-0000-00001A590000}"/>
    <cellStyle name="Normal 19 2" xfId="1769" xr:uid="{00000000-0005-0000-0000-00001B590000}"/>
    <cellStyle name="Normal 19 2 2" xfId="5298" xr:uid="{00000000-0005-0000-0000-00001C590000}"/>
    <cellStyle name="Normal 19 2 2 2" xfId="8889" xr:uid="{00000000-0005-0000-0000-00001D590000}"/>
    <cellStyle name="Normal 19 2 2 2 2" xfId="16860" xr:uid="{00000000-0005-0000-0000-00001E590000}"/>
    <cellStyle name="Normal 19 2 2 2 2 2" xfId="40703" xr:uid="{5B2ABC8A-89C9-48B1-AF70-F78DCB61F643}"/>
    <cellStyle name="Normal 19 2 2 2 3" xfId="24806" xr:uid="{00000000-0005-0000-0000-00001F590000}"/>
    <cellStyle name="Normal 19 2 2 2 3 2" xfId="48639" xr:uid="{518AB5CF-E5B2-436B-965A-1C1CCB6B1ACA}"/>
    <cellStyle name="Normal 19 2 2 2 4" xfId="32762" xr:uid="{258F00AF-CF29-4F88-9E9C-EBED6D60B2B3}"/>
    <cellStyle name="Normal 19 2 2 3" xfId="13322" xr:uid="{00000000-0005-0000-0000-000020590000}"/>
    <cellStyle name="Normal 19 2 2 3 2" xfId="37172" xr:uid="{EFBC4F81-613E-40B1-9EEA-8DE3D8C3C85C}"/>
    <cellStyle name="Normal 19 2 2 4" xfId="21277" xr:uid="{00000000-0005-0000-0000-000021590000}"/>
    <cellStyle name="Normal 19 2 2 4 2" xfId="45110" xr:uid="{E7F116C7-FFE3-4276-80EF-3179522A0029}"/>
    <cellStyle name="Normal 19 2 2 5" xfId="29231" xr:uid="{27DD1935-69DB-4CCD-8510-4E29416036E7}"/>
    <cellStyle name="Normal 19 2 3" xfId="7130" xr:uid="{00000000-0005-0000-0000-000022590000}"/>
    <cellStyle name="Normal 19 2 3 2" xfId="15102" xr:uid="{00000000-0005-0000-0000-000023590000}"/>
    <cellStyle name="Normal 19 2 3 2 2" xfId="38945" xr:uid="{DEB92A1F-CC09-4770-B7D1-99C392F027A3}"/>
    <cellStyle name="Normal 19 2 3 3" xfId="23049" xr:uid="{00000000-0005-0000-0000-000024590000}"/>
    <cellStyle name="Normal 19 2 3 3 2" xfId="46882" xr:uid="{FB82E61D-6092-4529-A212-BBB6B632D4CD}"/>
    <cellStyle name="Normal 19 2 3 4" xfId="31004" xr:uid="{39C48AAF-2ABF-4F06-9E01-4691AF7E2CAE}"/>
    <cellStyle name="Normal 19 2 4" xfId="11566" xr:uid="{00000000-0005-0000-0000-000025590000}"/>
    <cellStyle name="Normal 19 2 4 2" xfId="35416" xr:uid="{424D5D3B-C840-47B5-8252-57E5698DD9AE}"/>
    <cellStyle name="Normal 19 2 5" xfId="19521" xr:uid="{00000000-0005-0000-0000-000026590000}"/>
    <cellStyle name="Normal 19 2 5 2" xfId="43354" xr:uid="{61A9EE44-5CCE-4665-A061-A9982B1D726D}"/>
    <cellStyle name="Normal 19 2 6" xfId="27474" xr:uid="{889AC3D5-B0E5-4A97-9C57-0E5B95E6858B}"/>
    <cellStyle name="Normal 19 2_Exh G" xfId="3495" xr:uid="{00000000-0005-0000-0000-000027590000}"/>
    <cellStyle name="Normal 19 3" xfId="4419" xr:uid="{00000000-0005-0000-0000-000028590000}"/>
    <cellStyle name="Normal 19 3 2" xfId="8011" xr:uid="{00000000-0005-0000-0000-000029590000}"/>
    <cellStyle name="Normal 19 3 2 2" xfId="15982" xr:uid="{00000000-0005-0000-0000-00002A590000}"/>
    <cellStyle name="Normal 19 3 2 2 2" xfId="39825" xr:uid="{BA15E2CD-85A9-460A-B1C4-DB11BBA392E3}"/>
    <cellStyle name="Normal 19 3 2 3" xfId="23928" xr:uid="{00000000-0005-0000-0000-00002B590000}"/>
    <cellStyle name="Normal 19 3 2 3 2" xfId="47761" xr:uid="{CA74B028-6423-42DA-B6AE-09201A25CE48}"/>
    <cellStyle name="Normal 19 3 2 4" xfId="31884" xr:uid="{050E366D-3CBC-47E4-BAC2-377DAC6FED34}"/>
    <cellStyle name="Normal 19 3 3" xfId="12444" xr:uid="{00000000-0005-0000-0000-00002C590000}"/>
    <cellStyle name="Normal 19 3 3 2" xfId="36294" xr:uid="{7D33ED9C-DC3E-4BAD-9452-D328D79F4DA6}"/>
    <cellStyle name="Normal 19 3 4" xfId="20399" xr:uid="{00000000-0005-0000-0000-00002D590000}"/>
    <cellStyle name="Normal 19 3 4 2" xfId="44232" xr:uid="{DC038BBA-86A3-4589-A6A0-01ED0738A485}"/>
    <cellStyle name="Normal 19 3 5" xfId="28353" xr:uid="{B246B8A9-39C6-42A9-B858-E40C30139AD8}"/>
    <cellStyle name="Normal 19 4" xfId="6249" xr:uid="{00000000-0005-0000-0000-00002E590000}"/>
    <cellStyle name="Normal 19 4 2" xfId="14224" xr:uid="{00000000-0005-0000-0000-00002F590000}"/>
    <cellStyle name="Normal 19 4 2 2" xfId="38067" xr:uid="{599EBAAE-87C3-4EF3-8A4B-0E3E89B6822B}"/>
    <cellStyle name="Normal 19 4 3" xfId="22171" xr:uid="{00000000-0005-0000-0000-000030590000}"/>
    <cellStyle name="Normal 19 4 3 2" xfId="46004" xr:uid="{7D741624-F8C5-44B0-9267-1BCDEFB7CEAC}"/>
    <cellStyle name="Normal 19 4 4" xfId="30126" xr:uid="{5F74C9B9-EE21-4FB0-9808-9E234F6F0501}"/>
    <cellStyle name="Normal 19 5" xfId="9792" xr:uid="{00000000-0005-0000-0000-000031590000}"/>
    <cellStyle name="Normal 19 5 2" xfId="17750" xr:uid="{00000000-0005-0000-0000-000032590000}"/>
    <cellStyle name="Normal 19 5 2 2" xfId="41591" xr:uid="{71E7F761-33A1-4483-9936-A72BD4DF4FA7}"/>
    <cellStyle name="Normal 19 5 3" xfId="25694" xr:uid="{00000000-0005-0000-0000-000033590000}"/>
    <cellStyle name="Normal 19 5 3 2" xfId="49527" xr:uid="{680AB394-DCCC-4074-BA2A-670437EBB0A4}"/>
    <cellStyle name="Normal 19 5 4" xfId="33650" xr:uid="{BF5784CF-1792-42FB-8550-80E447AB00E4}"/>
    <cellStyle name="Normal 19 6" xfId="10688" xr:uid="{00000000-0005-0000-0000-000034590000}"/>
    <cellStyle name="Normal 19 6 2" xfId="34538" xr:uid="{44B12C2C-4DF9-4AD5-B1AE-1F70CBDDD822}"/>
    <cellStyle name="Normal 19 7" xfId="18643" xr:uid="{00000000-0005-0000-0000-000035590000}"/>
    <cellStyle name="Normal 19 7 2" xfId="42476" xr:uid="{4824B267-7420-48ED-9915-05432C8FCCEF}"/>
    <cellStyle name="Normal 19 8" xfId="26596" xr:uid="{25CF70A7-EBEA-44BE-9A45-0B60E78F4EFD}"/>
    <cellStyle name="Normal 19_Exh G" xfId="3494" xr:uid="{00000000-0005-0000-0000-000036590000}"/>
    <cellStyle name="Normal 2" xfId="2" xr:uid="{00000000-0005-0000-0000-000037590000}"/>
    <cellStyle name="Normal 2 10" xfId="5462" xr:uid="{00000000-0005-0000-0000-000038590000}"/>
    <cellStyle name="Normal 2 10 2" xfId="9053" xr:uid="{00000000-0005-0000-0000-000039590000}"/>
    <cellStyle name="Normal 2 10 2 2" xfId="17020" xr:uid="{00000000-0005-0000-0000-00003A590000}"/>
    <cellStyle name="Normal 2 10 2 2 2" xfId="40863" xr:uid="{CA64C857-0E4D-4095-B12A-C4924280CFBA}"/>
    <cellStyle name="Normal 2 10 2 3" xfId="24966" xr:uid="{00000000-0005-0000-0000-00003B590000}"/>
    <cellStyle name="Normal 2 10 2 3 2" xfId="48799" xr:uid="{86712D4D-4B6B-457B-9593-03784B4C9BB8}"/>
    <cellStyle name="Normal 2 10 2 4" xfId="32922" xr:uid="{71FBAA7C-1A27-4A61-82CC-4E1CF5EDEBF4}"/>
    <cellStyle name="Normal 2 10 3" xfId="13483" xr:uid="{00000000-0005-0000-0000-00003C590000}"/>
    <cellStyle name="Normal 2 10 3 2" xfId="37333" xr:uid="{4E763002-6455-479E-8B20-55E2DBF62A1D}"/>
    <cellStyle name="Normal 2 10 4" xfId="21437" xr:uid="{00000000-0005-0000-0000-00003D590000}"/>
    <cellStyle name="Normal 2 10 4 2" xfId="45270" xr:uid="{9CDD32F5-0FF6-498C-BA8C-2321537B70B8}"/>
    <cellStyle name="Normal 2 10 5" xfId="29392" xr:uid="{933B2BD8-A164-4E0A-97F3-1D18FF929208}"/>
    <cellStyle name="Normal 2 11" xfId="5465" xr:uid="{00000000-0005-0000-0000-00003E590000}"/>
    <cellStyle name="Normal 2 11 2" xfId="9056" xr:uid="{00000000-0005-0000-0000-00003F590000}"/>
    <cellStyle name="Normal 2 11 2 2" xfId="17021" xr:uid="{00000000-0005-0000-0000-000040590000}"/>
    <cellStyle name="Normal 2 11 2 2 2" xfId="40864" xr:uid="{6F381C3A-2742-4E43-81CD-D8FD78BCC7F2}"/>
    <cellStyle name="Normal 2 11 2 3" xfId="24967" xr:uid="{00000000-0005-0000-0000-000041590000}"/>
    <cellStyle name="Normal 2 11 2 3 2" xfId="48800" xr:uid="{D14CDD11-3A83-4E5E-81DF-5CC3D9D748F4}"/>
    <cellStyle name="Normal 2 11 2 4" xfId="32923" xr:uid="{37FBBE42-34DE-4D66-9E26-AAB89F4B1668}"/>
    <cellStyle name="Normal 2 11 3" xfId="13484" xr:uid="{00000000-0005-0000-0000-000042590000}"/>
    <cellStyle name="Normal 2 11 3 2" xfId="37334" xr:uid="{880CC8E0-B78D-4F71-A6A0-82FBB7CFEEAB}"/>
    <cellStyle name="Normal 2 11 4" xfId="21438" xr:uid="{00000000-0005-0000-0000-000043590000}"/>
    <cellStyle name="Normal 2 11 4 2" xfId="45271" xr:uid="{FA9C8238-5237-498F-BC5D-2191F7CB86AD}"/>
    <cellStyle name="Normal 2 11 5" xfId="29393" xr:uid="{705D4795-728C-4F45-942B-3C13BA6D41DF}"/>
    <cellStyle name="Normal 2 12" xfId="5483" xr:uid="{00000000-0005-0000-0000-000044590000}"/>
    <cellStyle name="Normal 2 12 2" xfId="9063" xr:uid="{00000000-0005-0000-0000-000045590000}"/>
    <cellStyle name="Normal 2 12 2 2" xfId="17024" xr:uid="{00000000-0005-0000-0000-000046590000}"/>
    <cellStyle name="Normal 2 12 2 2 2" xfId="40867" xr:uid="{CE08DC2E-0ECF-4D2C-B27B-7C421E6206CF}"/>
    <cellStyle name="Normal 2 12 2 3" xfId="24970" xr:uid="{00000000-0005-0000-0000-000047590000}"/>
    <cellStyle name="Normal 2 12 2 3 2" xfId="48803" xr:uid="{1BC5D93A-43FF-4DF7-9445-80ABAF0F67C7}"/>
    <cellStyle name="Normal 2 12 2 4" xfId="32926" xr:uid="{7013E045-97F8-4806-A73F-626E21C58374}"/>
    <cellStyle name="Normal 2 12 3" xfId="13487" xr:uid="{00000000-0005-0000-0000-000048590000}"/>
    <cellStyle name="Normal 2 12 3 2" xfId="37337" xr:uid="{934825D1-3AFB-4219-AD79-A9291D26D6DA}"/>
    <cellStyle name="Normal 2 12 4" xfId="21441" xr:uid="{00000000-0005-0000-0000-000049590000}"/>
    <cellStyle name="Normal 2 12 4 2" xfId="45274" xr:uid="{8E4A6420-C73F-44B4-9F03-97D314CF6E47}"/>
    <cellStyle name="Normal 2 12 5" xfId="29396" xr:uid="{7DA6A644-1520-4161-B164-2F14788DFE52}"/>
    <cellStyle name="Normal 2 13" xfId="5489" xr:uid="{00000000-0005-0000-0000-00004A590000}"/>
    <cellStyle name="Normal 2 13 2" xfId="9068" xr:uid="{00000000-0005-0000-0000-00004B590000}"/>
    <cellStyle name="Normal 2 13 2 2" xfId="17027" xr:uid="{00000000-0005-0000-0000-00004C590000}"/>
    <cellStyle name="Normal 2 13 2 2 2" xfId="40870" xr:uid="{1A0C09B2-B4F3-4BEA-848B-AACF75B8F005}"/>
    <cellStyle name="Normal 2 13 2 3" xfId="24973" xr:uid="{00000000-0005-0000-0000-00004D590000}"/>
    <cellStyle name="Normal 2 13 2 3 2" xfId="48806" xr:uid="{425D28B4-1CD7-4EBC-9D9C-235BE32BE464}"/>
    <cellStyle name="Normal 2 13 2 4" xfId="32929" xr:uid="{5D0C0387-3291-4EA3-92C8-60FBD43BDE8D}"/>
    <cellStyle name="Normal 2 13 3" xfId="13490" xr:uid="{00000000-0005-0000-0000-00004E590000}"/>
    <cellStyle name="Normal 2 13 3 2" xfId="37340" xr:uid="{01EEE57E-9E86-4D5E-AECF-EDE173D0F02B}"/>
    <cellStyle name="Normal 2 13 4" xfId="21444" xr:uid="{00000000-0005-0000-0000-00004F590000}"/>
    <cellStyle name="Normal 2 13 4 2" xfId="45277" xr:uid="{BF85894B-2A00-4DF6-86C7-FFD30F033C7D}"/>
    <cellStyle name="Normal 2 13 5" xfId="29399" xr:uid="{4E13AB3D-92BD-4B4C-A1FB-E91D1AD63A6F}"/>
    <cellStyle name="Normal 2 14" xfId="5495" xr:uid="{00000000-0005-0000-0000-000050590000}"/>
    <cellStyle name="Normal 2 14 2" xfId="5515" xr:uid="{00000000-0005-0000-0000-000051590000}"/>
    <cellStyle name="Normal 2 14 3" xfId="13493" xr:uid="{00000000-0005-0000-0000-000052590000}"/>
    <cellStyle name="Normal 2 14 3 2" xfId="37341" xr:uid="{53FF9071-205A-42CA-B1A9-9507AAD078DB}"/>
    <cellStyle name="Normal 2 14 4" xfId="21445" xr:uid="{00000000-0005-0000-0000-000053590000}"/>
    <cellStyle name="Normal 2 14 4 2" xfId="45278" xr:uid="{368F7750-C68F-4ADE-B9C7-80A7A62184F7}"/>
    <cellStyle name="Normal 2 14 5" xfId="29400" xr:uid="{2A9983A8-2855-4237-8284-4C66F3E14061}"/>
    <cellStyle name="Normal 2 15" xfId="5501" xr:uid="{00000000-0005-0000-0000-000054590000}"/>
    <cellStyle name="Normal 2 15 2" xfId="13498" xr:uid="{00000000-0005-0000-0000-000055590000}"/>
    <cellStyle name="Normal 2 15 2 2" xfId="37344" xr:uid="{BFF33DCC-F8E0-41A8-8B03-F663413A5D6D}"/>
    <cellStyle name="Normal 2 15 3" xfId="21448" xr:uid="{00000000-0005-0000-0000-000056590000}"/>
    <cellStyle name="Normal 2 15 3 2" xfId="45281" xr:uid="{A3CB689D-0673-4DC3-AB4C-E18CDC2DC468}"/>
    <cellStyle name="Normal 2 15 4" xfId="29403" xr:uid="{2CFB5E36-766C-4347-8B04-F49CB97039E9}"/>
    <cellStyle name="Normal 2 16" xfId="5506" xr:uid="{00000000-0005-0000-0000-000057590000}"/>
    <cellStyle name="Normal 2 16 2" xfId="13502" xr:uid="{00000000-0005-0000-0000-000058590000}"/>
    <cellStyle name="Normal 2 16 2 2" xfId="37347" xr:uid="{180EEF91-F1F8-4E24-9949-82623DBA6F89}"/>
    <cellStyle name="Normal 2 16 3" xfId="21451" xr:uid="{00000000-0005-0000-0000-000059590000}"/>
    <cellStyle name="Normal 2 16 3 2" xfId="45284" xr:uid="{A157F319-99EA-46EF-9B76-D25EB890EA28}"/>
    <cellStyle name="Normal 2 16 4" xfId="29406" xr:uid="{B7E78D63-4AB2-44C5-A16D-0AB05EFE9420}"/>
    <cellStyle name="Normal 2 17" xfId="9071" xr:uid="{00000000-0005-0000-0000-00005A590000}"/>
    <cellStyle name="Normal 2 17 2" xfId="17030" xr:uid="{00000000-0005-0000-0000-00005B590000}"/>
    <cellStyle name="Normal 2 17 2 2" xfId="40871" xr:uid="{3269B66B-819B-4AB7-9316-DB77EEDE9B93}"/>
    <cellStyle name="Normal 2 17 3" xfId="24974" xr:uid="{00000000-0005-0000-0000-00005C590000}"/>
    <cellStyle name="Normal 2 17 3 2" xfId="48807" xr:uid="{9A3CD6CF-C3E6-40D7-84E5-7F72EC064C7E}"/>
    <cellStyle name="Normal 2 17 4" xfId="32930" xr:uid="{588FA9DA-27BB-425A-82EA-4C3DC945A1E3}"/>
    <cellStyle name="Normal 2 18" xfId="9959" xr:uid="{00000000-0005-0000-0000-00005D590000}"/>
    <cellStyle name="Normal 2 18 2" xfId="17916" xr:uid="{00000000-0005-0000-0000-00005E590000}"/>
    <cellStyle name="Normal 2 18 2 2" xfId="41755" xr:uid="{02C5C722-951E-4DAE-8BB5-0432FFC85EC9}"/>
    <cellStyle name="Normal 2 18 3" xfId="25858" xr:uid="{00000000-0005-0000-0000-00005F590000}"/>
    <cellStyle name="Normal 2 18 3 2" xfId="49691" xr:uid="{B20B1106-552A-4BA3-BFF6-56243D226A79}"/>
    <cellStyle name="Normal 2 18 4" xfId="33814" xr:uid="{1AF24AAD-962A-4FC2-953F-BA60382AD946}"/>
    <cellStyle name="Normal 2 19" xfId="9968" xr:uid="{00000000-0005-0000-0000-000060590000}"/>
    <cellStyle name="Normal 2 19 2" xfId="33818" xr:uid="{70AD8C96-C0A3-40A1-8793-DED3E2124329}"/>
    <cellStyle name="Normal 2 2" xfId="18" xr:uid="{00000000-0005-0000-0000-000061590000}"/>
    <cellStyle name="Normal 2 2 10" xfId="5503" xr:uid="{00000000-0005-0000-0000-000062590000}"/>
    <cellStyle name="Normal 2 2 10 2" xfId="13500" xr:uid="{00000000-0005-0000-0000-000063590000}"/>
    <cellStyle name="Normal 2 2 10 2 2" xfId="37346" xr:uid="{082509E2-CB2A-4396-A2E6-9D4D0D728F41}"/>
    <cellStyle name="Normal 2 2 10 3" xfId="21450" xr:uid="{00000000-0005-0000-0000-000064590000}"/>
    <cellStyle name="Normal 2 2 10 3 2" xfId="45283" xr:uid="{4F90B1C3-FEF9-4B81-B18C-39539B9C8D68}"/>
    <cellStyle name="Normal 2 2 10 4" xfId="29405" xr:uid="{D38603B3-1628-40C2-8D29-C7BF5C8198BF}"/>
    <cellStyle name="Normal 2 2 11" xfId="5510" xr:uid="{00000000-0005-0000-0000-000065590000}"/>
    <cellStyle name="Normal 2 2 11 2" xfId="13503" xr:uid="{00000000-0005-0000-0000-000066590000}"/>
    <cellStyle name="Normal 2 2 11 2 2" xfId="37348" xr:uid="{A6CD7530-F076-4F2D-8B70-24A85DD02046}"/>
    <cellStyle name="Normal 2 2 11 3" xfId="21452" xr:uid="{00000000-0005-0000-0000-000067590000}"/>
    <cellStyle name="Normal 2 2 11 3 2" xfId="45285" xr:uid="{5417BAB6-1FEF-4C29-B99B-4C7144245821}"/>
    <cellStyle name="Normal 2 2 11 4" xfId="29407" xr:uid="{C7BCEAEE-DAED-4BAD-9F4C-2E3C33BB060E}"/>
    <cellStyle name="Normal 2 2 12" xfId="9072" xr:uid="{00000000-0005-0000-0000-000068590000}"/>
    <cellStyle name="Normal 2 2 12 2" xfId="17031" xr:uid="{00000000-0005-0000-0000-000069590000}"/>
    <cellStyle name="Normal 2 2 12 2 2" xfId="40872" xr:uid="{E99533CF-5C5C-464A-872C-42D7CC6BF07F}"/>
    <cellStyle name="Normal 2 2 12 3" xfId="24975" xr:uid="{00000000-0005-0000-0000-00006A590000}"/>
    <cellStyle name="Normal 2 2 12 3 2" xfId="48808" xr:uid="{A320C410-2794-4ADA-A1BF-715B475A10CA}"/>
    <cellStyle name="Normal 2 2 12 4" xfId="32931" xr:uid="{0C79E119-86B5-4042-80A2-50FC35DEEF6B}"/>
    <cellStyle name="Normal 2 2 13" xfId="9073" xr:uid="{00000000-0005-0000-0000-00006B590000}"/>
    <cellStyle name="Normal 2 2 14" xfId="9960" xr:uid="{00000000-0005-0000-0000-00006C590000}"/>
    <cellStyle name="Normal 2 2 14 2" xfId="17917" xr:uid="{00000000-0005-0000-0000-00006D590000}"/>
    <cellStyle name="Normal 2 2 14 2 2" xfId="41756" xr:uid="{AC16A0B6-914D-4CAC-B3A4-1965BD1FE787}"/>
    <cellStyle name="Normal 2 2 14 3" xfId="25859" xr:uid="{00000000-0005-0000-0000-00006E590000}"/>
    <cellStyle name="Normal 2 2 14 3 2" xfId="49692" xr:uid="{14B83742-4E16-432A-BB69-A3F473692810}"/>
    <cellStyle name="Normal 2 2 14 4" xfId="33815" xr:uid="{2B46D65C-3B24-49BD-8E0E-99D93ADDDADC}"/>
    <cellStyle name="Normal 2 2 15" xfId="9969" xr:uid="{00000000-0005-0000-0000-00006F590000}"/>
    <cellStyle name="Normal 2 2 15 2" xfId="33819" xr:uid="{0F849721-D032-4DA7-A4AB-E7D5645A724C}"/>
    <cellStyle name="Normal 2 2 16" xfId="25872" xr:uid="{00000000-0005-0000-0000-000070590000}"/>
    <cellStyle name="Normal 2 2 2" xfId="666" xr:uid="{00000000-0005-0000-0000-000071590000}"/>
    <cellStyle name="Normal 2 2 2 2" xfId="1694" xr:uid="{00000000-0005-0000-0000-000072590000}"/>
    <cellStyle name="Normal 2 2 2 2 2" xfId="5224" xr:uid="{00000000-0005-0000-0000-000073590000}"/>
    <cellStyle name="Normal 2 2 2 2 2 2" xfId="8815" xr:uid="{00000000-0005-0000-0000-000074590000}"/>
    <cellStyle name="Normal 2 2 2 2 2 2 2" xfId="16786" xr:uid="{00000000-0005-0000-0000-000075590000}"/>
    <cellStyle name="Normal 2 2 2 2 2 2 2 2" xfId="40629" xr:uid="{05CA9161-5010-4CEB-B8F0-0C17F42FF7FE}"/>
    <cellStyle name="Normal 2 2 2 2 2 2 3" xfId="24732" xr:uid="{00000000-0005-0000-0000-000076590000}"/>
    <cellStyle name="Normal 2 2 2 2 2 2 3 2" xfId="48565" xr:uid="{0E3ED9EB-A39A-476F-A1D2-08F74AF61F0A}"/>
    <cellStyle name="Normal 2 2 2 2 2 2 4" xfId="32688" xr:uid="{91C2F312-8529-4910-ACE7-45649C23CB4B}"/>
    <cellStyle name="Normal 2 2 2 2 2 3" xfId="13248" xr:uid="{00000000-0005-0000-0000-000077590000}"/>
    <cellStyle name="Normal 2 2 2 2 2 3 2" xfId="37098" xr:uid="{EDA704F4-FC07-4491-9EE5-44BBC8F41B46}"/>
    <cellStyle name="Normal 2 2 2 2 2 4" xfId="21203" xr:uid="{00000000-0005-0000-0000-000078590000}"/>
    <cellStyle name="Normal 2 2 2 2 2 4 2" xfId="45036" xr:uid="{03EB3905-33CD-4DB5-8999-9B1A383C958F}"/>
    <cellStyle name="Normal 2 2 2 2 2 5" xfId="29157" xr:uid="{9EB6F73E-F6C4-4ADC-AA0E-7B7E1427443B}"/>
    <cellStyle name="Normal 2 2 2 2 3" xfId="7056" xr:uid="{00000000-0005-0000-0000-000079590000}"/>
    <cellStyle name="Normal 2 2 2 2 3 2" xfId="15028" xr:uid="{00000000-0005-0000-0000-00007A590000}"/>
    <cellStyle name="Normal 2 2 2 2 3 2 2" xfId="38871" xr:uid="{CE9BC003-0692-4420-9BBB-DC982FCDA782}"/>
    <cellStyle name="Normal 2 2 2 2 3 3" xfId="22975" xr:uid="{00000000-0005-0000-0000-00007B590000}"/>
    <cellStyle name="Normal 2 2 2 2 3 3 2" xfId="46808" xr:uid="{C099D7F7-285C-4E76-B3DA-ABD4B96DE614}"/>
    <cellStyle name="Normal 2 2 2 2 3 4" xfId="30930" xr:uid="{F33BCA04-70EB-4DE6-9AB5-099F2B65EEF1}"/>
    <cellStyle name="Normal 2 2 2 2 4" xfId="11492" xr:uid="{00000000-0005-0000-0000-00007C590000}"/>
    <cellStyle name="Normal 2 2 2 2 4 2" xfId="35342" xr:uid="{E0042E79-2227-4B90-935C-531902483ABE}"/>
    <cellStyle name="Normal 2 2 2 2 5" xfId="19447" xr:uid="{00000000-0005-0000-0000-00007D590000}"/>
    <cellStyle name="Normal 2 2 2 2 5 2" xfId="43280" xr:uid="{535C7EF9-DE83-430D-A360-947B08448D08}"/>
    <cellStyle name="Normal 2 2 2 2 6" xfId="27400" xr:uid="{EA5B24B8-5048-424C-8E3A-36F617F7F296}"/>
    <cellStyle name="Normal 2 2 2 2_Exh G" xfId="3498" xr:uid="{00000000-0005-0000-0000-00007E590000}"/>
    <cellStyle name="Normal 2 2 2 3" xfId="4345" xr:uid="{00000000-0005-0000-0000-00007F590000}"/>
    <cellStyle name="Normal 2 2 2 3 2" xfId="7937" xr:uid="{00000000-0005-0000-0000-000080590000}"/>
    <cellStyle name="Normal 2 2 2 3 2 2" xfId="15908" xr:uid="{00000000-0005-0000-0000-000081590000}"/>
    <cellStyle name="Normal 2 2 2 3 2 2 2" xfId="39751" xr:uid="{33439CE0-CE7D-4755-8A85-DB06CD12C459}"/>
    <cellStyle name="Normal 2 2 2 3 2 3" xfId="23854" xr:uid="{00000000-0005-0000-0000-000082590000}"/>
    <cellStyle name="Normal 2 2 2 3 2 3 2" xfId="47687" xr:uid="{C95BE1C7-7092-4C80-B915-D77F176D27FA}"/>
    <cellStyle name="Normal 2 2 2 3 2 4" xfId="31810" xr:uid="{43674D97-25E4-47F9-9273-2FE0F38E34B7}"/>
    <cellStyle name="Normal 2 2 2 3 3" xfId="12370" xr:uid="{00000000-0005-0000-0000-000083590000}"/>
    <cellStyle name="Normal 2 2 2 3 3 2" xfId="36220" xr:uid="{8EC68992-412D-4326-A729-C7435C60DA30}"/>
    <cellStyle name="Normal 2 2 2 3 4" xfId="20325" xr:uid="{00000000-0005-0000-0000-000084590000}"/>
    <cellStyle name="Normal 2 2 2 3 4 2" xfId="44158" xr:uid="{EB2B009D-CAAF-4020-8C78-E2F441B7F5B4}"/>
    <cellStyle name="Normal 2 2 2 3 5" xfId="28279" xr:uid="{531493D9-4D06-465C-906A-8E5142A9B286}"/>
    <cellStyle name="Normal 2 2 2 4" xfId="6165" xr:uid="{00000000-0005-0000-0000-000085590000}"/>
    <cellStyle name="Normal 2 2 2 4 2" xfId="14149" xr:uid="{00000000-0005-0000-0000-000086590000}"/>
    <cellStyle name="Normal 2 2 2 4 2 2" xfId="37993" xr:uid="{D24C46E5-331E-4913-8166-862CB5374948}"/>
    <cellStyle name="Normal 2 2 2 4 3" xfId="22097" xr:uid="{00000000-0005-0000-0000-000087590000}"/>
    <cellStyle name="Normal 2 2 2 4 3 2" xfId="45930" xr:uid="{2AF5DE24-4476-42C2-9CC0-B674FC17886E}"/>
    <cellStyle name="Normal 2 2 2 4 4" xfId="30052" xr:uid="{3451B5C1-0E4A-45EC-ACF5-320C4445F41D}"/>
    <cellStyle name="Normal 2 2 2 5" xfId="9718" xr:uid="{00000000-0005-0000-0000-000088590000}"/>
    <cellStyle name="Normal 2 2 2 5 2" xfId="17676" xr:uid="{00000000-0005-0000-0000-000089590000}"/>
    <cellStyle name="Normal 2 2 2 5 2 2" xfId="41517" xr:uid="{783F2A89-7B65-497E-AD09-46A24481B1DD}"/>
    <cellStyle name="Normal 2 2 2 5 3" xfId="25620" xr:uid="{00000000-0005-0000-0000-00008A590000}"/>
    <cellStyle name="Normal 2 2 2 5 3 2" xfId="49453" xr:uid="{EB2983A7-1585-4556-B915-7E0AA62DFC89}"/>
    <cellStyle name="Normal 2 2 2 5 4" xfId="33576" xr:uid="{57BCB749-2C18-405D-BAA0-C9BD2C8E135D}"/>
    <cellStyle name="Normal 2 2 2 6" xfId="10614" xr:uid="{00000000-0005-0000-0000-00008B590000}"/>
    <cellStyle name="Normal 2 2 2 6 2" xfId="34464" xr:uid="{8D8C0D61-4FC5-4710-ADD6-467999521D39}"/>
    <cellStyle name="Normal 2 2 2 7" xfId="18569" xr:uid="{00000000-0005-0000-0000-00008C590000}"/>
    <cellStyle name="Normal 2 2 2 7 2" xfId="42402" xr:uid="{11890A84-5A03-4FDF-B816-7FC30A4E1939}"/>
    <cellStyle name="Normal 2 2 2 8" xfId="26522" xr:uid="{A533B630-704F-4A5A-8572-06F9C37601E9}"/>
    <cellStyle name="Normal 2 2 2_Exh G" xfId="3497" xr:uid="{00000000-0005-0000-0000-00008D590000}"/>
    <cellStyle name="Normal 2 2 3" xfId="1049" xr:uid="{00000000-0005-0000-0000-00008E590000}"/>
    <cellStyle name="Normal 2 2 4" xfId="3700" xr:uid="{00000000-0005-0000-0000-00008F590000}"/>
    <cellStyle name="Normal 2 2 5" xfId="5471" xr:uid="{00000000-0005-0000-0000-000090590000}"/>
    <cellStyle name="Normal 2 2 5 2" xfId="9057" xr:uid="{00000000-0005-0000-0000-000091590000}"/>
    <cellStyle name="Normal 2 2 5 2 2" xfId="17022" xr:uid="{00000000-0005-0000-0000-000092590000}"/>
    <cellStyle name="Normal 2 2 5 2 2 2" xfId="40865" xr:uid="{88A756D3-8C04-4845-8D43-EBC4D0EF0BF8}"/>
    <cellStyle name="Normal 2 2 5 2 3" xfId="24968" xr:uid="{00000000-0005-0000-0000-000093590000}"/>
    <cellStyle name="Normal 2 2 5 2 3 2" xfId="48801" xr:uid="{49E2727D-A7F0-44C2-9B08-11D0AD8A2C65}"/>
    <cellStyle name="Normal 2 2 5 2 4" xfId="32924" xr:uid="{CA1478AB-A214-49BD-8E08-620EE9E64940}"/>
    <cellStyle name="Normal 2 2 5 3" xfId="13485" xr:uid="{00000000-0005-0000-0000-000094590000}"/>
    <cellStyle name="Normal 2 2 5 3 2" xfId="37335" xr:uid="{B4EFB79E-C46A-4479-9A10-2D73D4DFA6B6}"/>
    <cellStyle name="Normal 2 2 5 4" xfId="21439" xr:uid="{00000000-0005-0000-0000-000095590000}"/>
    <cellStyle name="Normal 2 2 5 4 2" xfId="45272" xr:uid="{D53C26F2-1C9E-4F23-9895-70FEBA490119}"/>
    <cellStyle name="Normal 2 2 5 5" xfId="29394" xr:uid="{5EE61492-D19A-4A65-AF12-A74B76449568}"/>
    <cellStyle name="Normal 2 2 6" xfId="5478" xr:uid="{00000000-0005-0000-0000-000096590000}"/>
    <cellStyle name="Normal 2 2 6 2" xfId="9059" xr:uid="{00000000-0005-0000-0000-000097590000}"/>
    <cellStyle name="Normal 2 2 6 2 2" xfId="17023" xr:uid="{00000000-0005-0000-0000-000098590000}"/>
    <cellStyle name="Normal 2 2 6 2 2 2" xfId="40866" xr:uid="{1310FF05-7ACF-4319-BB71-FCB8DEB38D75}"/>
    <cellStyle name="Normal 2 2 6 2 3" xfId="24969" xr:uid="{00000000-0005-0000-0000-000099590000}"/>
    <cellStyle name="Normal 2 2 6 2 3 2" xfId="48802" xr:uid="{EBE4349C-766D-4979-BC9C-68EED463584C}"/>
    <cellStyle name="Normal 2 2 6 2 4" xfId="32925" xr:uid="{AEC58115-9E0A-4580-A821-2E6C03516575}"/>
    <cellStyle name="Normal 2 2 6 3" xfId="13486" xr:uid="{00000000-0005-0000-0000-00009A590000}"/>
    <cellStyle name="Normal 2 2 6 3 2" xfId="37336" xr:uid="{A20B7E8B-083A-478E-B0B1-A301531E6E5D}"/>
    <cellStyle name="Normal 2 2 6 4" xfId="21440" xr:uid="{00000000-0005-0000-0000-00009B590000}"/>
    <cellStyle name="Normal 2 2 6 4 2" xfId="45273" xr:uid="{C295ED51-20FB-485D-A459-A0F5468CF889}"/>
    <cellStyle name="Normal 2 2 6 5" xfId="29395" xr:uid="{6C6C0616-AC05-494F-A0D8-155AD4CE91D2}"/>
    <cellStyle name="Normal 2 2 7" xfId="5496" xr:uid="{00000000-0005-0000-0000-00009C590000}"/>
    <cellStyle name="Normal 2 2 7 2" xfId="5520" xr:uid="{00000000-0005-0000-0000-00009D590000}"/>
    <cellStyle name="Normal 2 2 7 3" xfId="13494" xr:uid="{00000000-0005-0000-0000-00009E590000}"/>
    <cellStyle name="Normal 2 2 7 3 2" xfId="37342" xr:uid="{D36A97EF-0044-4C2D-B982-AE1C85B5D74A}"/>
    <cellStyle name="Normal 2 2 7 4" xfId="21446" xr:uid="{00000000-0005-0000-0000-00009F590000}"/>
    <cellStyle name="Normal 2 2 7 4 2" xfId="45279" xr:uid="{9FB16E1F-4F17-410A-BD7C-62D637A1F2B7}"/>
    <cellStyle name="Normal 2 2 7 5" xfId="29401" xr:uid="{1908E5A6-4CB3-4AF0-BDBB-77AEAC16E6AD}"/>
    <cellStyle name="Normal 2 2 8" xfId="5498" xr:uid="{00000000-0005-0000-0000-0000A0590000}"/>
    <cellStyle name="Normal 2 2 8 2" xfId="13495" xr:uid="{00000000-0005-0000-0000-0000A1590000}"/>
    <cellStyle name="Normal 2 2 8 2 2" xfId="37343" xr:uid="{7C778C82-E261-4523-A3F6-D534F94A0B9A}"/>
    <cellStyle name="Normal 2 2 8 3" xfId="21447" xr:uid="{00000000-0005-0000-0000-0000A2590000}"/>
    <cellStyle name="Normal 2 2 8 3 2" xfId="45280" xr:uid="{23180705-62E1-41D5-AB60-7E3706506D00}"/>
    <cellStyle name="Normal 2 2 8 4" xfId="29402" xr:uid="{17FE8D38-CA3B-4721-B774-2E489D2BA79D}"/>
    <cellStyle name="Normal 2 2 9" xfId="5502" xr:uid="{00000000-0005-0000-0000-0000A3590000}"/>
    <cellStyle name="Normal 2 2 9 2" xfId="13499" xr:uid="{00000000-0005-0000-0000-0000A4590000}"/>
    <cellStyle name="Normal 2 2 9 2 2" xfId="37345" xr:uid="{306A2A7B-3CE3-44EB-9CB7-5DFAA8155466}"/>
    <cellStyle name="Normal 2 2 9 3" xfId="21449" xr:uid="{00000000-0005-0000-0000-0000A5590000}"/>
    <cellStyle name="Normal 2 2 9 3 2" xfId="45282" xr:uid="{7D93B973-DD5F-47CA-9364-E77D1E5A1AEA}"/>
    <cellStyle name="Normal 2 2 9 4" xfId="29404" xr:uid="{52A38E6E-C4FC-4E37-9EE8-9C54BF410621}"/>
    <cellStyle name="Normal 2 2_Exh G" xfId="3496" xr:uid="{00000000-0005-0000-0000-0000A6590000}"/>
    <cellStyle name="Normal 2 3" xfId="667" xr:uid="{00000000-0005-0000-0000-0000A7590000}"/>
    <cellStyle name="Normal 2 3 10" xfId="26523" xr:uid="{7EBA1C10-6AC7-46C9-B9F6-14DD8768E21C}"/>
    <cellStyle name="Normal 2 3 2" xfId="836" xr:uid="{00000000-0005-0000-0000-0000A8590000}"/>
    <cellStyle name="Normal 2 3 2 2" xfId="1776" xr:uid="{00000000-0005-0000-0000-0000A9590000}"/>
    <cellStyle name="Normal 2 3 2_Exh G" xfId="3500" xr:uid="{00000000-0005-0000-0000-0000AA590000}"/>
    <cellStyle name="Normal 2 3 3" xfId="1695" xr:uid="{00000000-0005-0000-0000-0000AB590000}"/>
    <cellStyle name="Normal 2 3 3 2" xfId="5225" xr:uid="{00000000-0005-0000-0000-0000AC590000}"/>
    <cellStyle name="Normal 2 3 3 2 2" xfId="8816" xr:uid="{00000000-0005-0000-0000-0000AD590000}"/>
    <cellStyle name="Normal 2 3 3 2 2 2" xfId="16787" xr:uid="{00000000-0005-0000-0000-0000AE590000}"/>
    <cellStyle name="Normal 2 3 3 2 2 2 2" xfId="40630" xr:uid="{90C35C50-1CCC-4D16-B9D4-7D140862FABE}"/>
    <cellStyle name="Normal 2 3 3 2 2 3" xfId="24733" xr:uid="{00000000-0005-0000-0000-0000AF590000}"/>
    <cellStyle name="Normal 2 3 3 2 2 3 2" xfId="48566" xr:uid="{435577D2-9E4E-4980-97DD-6D64DE722813}"/>
    <cellStyle name="Normal 2 3 3 2 2 4" xfId="32689" xr:uid="{CAFF9C11-B42D-40F7-A44E-6190F3740C44}"/>
    <cellStyle name="Normal 2 3 3 2 3" xfId="13249" xr:uid="{00000000-0005-0000-0000-0000B0590000}"/>
    <cellStyle name="Normal 2 3 3 2 3 2" xfId="37099" xr:uid="{E4540856-B6E0-4558-BF0F-BBEE50BB76FE}"/>
    <cellStyle name="Normal 2 3 3 2 4" xfId="21204" xr:uid="{00000000-0005-0000-0000-0000B1590000}"/>
    <cellStyle name="Normal 2 3 3 2 4 2" xfId="45037" xr:uid="{C67BF61D-BB2B-4F57-A0DD-0259F1CAC28A}"/>
    <cellStyle name="Normal 2 3 3 2 5" xfId="29158" xr:uid="{7EF5649A-4D0F-419C-A36A-7F90E506E9A9}"/>
    <cellStyle name="Normal 2 3 3 3" xfId="7057" xr:uid="{00000000-0005-0000-0000-0000B2590000}"/>
    <cellStyle name="Normal 2 3 3 3 2" xfId="15029" xr:uid="{00000000-0005-0000-0000-0000B3590000}"/>
    <cellStyle name="Normal 2 3 3 3 2 2" xfId="38872" xr:uid="{78D59A54-CB50-43FE-BB09-C45E2A08932A}"/>
    <cellStyle name="Normal 2 3 3 3 3" xfId="22976" xr:uid="{00000000-0005-0000-0000-0000B4590000}"/>
    <cellStyle name="Normal 2 3 3 3 3 2" xfId="46809" xr:uid="{1AB9F581-AB55-4674-87E2-9BD9A8AD4539}"/>
    <cellStyle name="Normal 2 3 3 3 4" xfId="30931" xr:uid="{1ECF316E-85A0-45EA-88F5-28F2A0D0606B}"/>
    <cellStyle name="Normal 2 3 3 4" xfId="11493" xr:uid="{00000000-0005-0000-0000-0000B5590000}"/>
    <cellStyle name="Normal 2 3 3 4 2" xfId="35343" xr:uid="{E36C6936-189E-4773-8C2E-8055E6B061DA}"/>
    <cellStyle name="Normal 2 3 3 5" xfId="19448" xr:uid="{00000000-0005-0000-0000-0000B6590000}"/>
    <cellStyle name="Normal 2 3 3 5 2" xfId="43281" xr:uid="{DE681D3C-F13F-403C-A4E6-6F3708F1E9D8}"/>
    <cellStyle name="Normal 2 3 3 6" xfId="27401" xr:uid="{1653CD93-4888-426A-BB54-C21D8524F198}"/>
    <cellStyle name="Normal 2 3 3_Exh G" xfId="3501" xr:uid="{00000000-0005-0000-0000-0000B7590000}"/>
    <cellStyle name="Normal 2 3 4" xfId="4346" xr:uid="{00000000-0005-0000-0000-0000B8590000}"/>
    <cellStyle name="Normal 2 3 4 2" xfId="7938" xr:uid="{00000000-0005-0000-0000-0000B9590000}"/>
    <cellStyle name="Normal 2 3 4 2 2" xfId="15909" xr:uid="{00000000-0005-0000-0000-0000BA590000}"/>
    <cellStyle name="Normal 2 3 4 2 2 2" xfId="39752" xr:uid="{762279E9-D1C7-40C8-A0E7-E91A8610B236}"/>
    <cellStyle name="Normal 2 3 4 2 3" xfId="23855" xr:uid="{00000000-0005-0000-0000-0000BB590000}"/>
    <cellStyle name="Normal 2 3 4 2 3 2" xfId="47688" xr:uid="{7CB39C11-37AE-4612-98F6-0CF4EFA3CEC9}"/>
    <cellStyle name="Normal 2 3 4 2 4" xfId="31811" xr:uid="{2F265F1C-60EC-41ED-BF25-A1F62713AE1B}"/>
    <cellStyle name="Normal 2 3 4 3" xfId="12371" xr:uid="{00000000-0005-0000-0000-0000BC590000}"/>
    <cellStyle name="Normal 2 3 4 3 2" xfId="36221" xr:uid="{EE1DAE62-740A-41E9-9AD7-C299559DF50E}"/>
    <cellStyle name="Normal 2 3 4 4" xfId="20326" xr:uid="{00000000-0005-0000-0000-0000BD590000}"/>
    <cellStyle name="Normal 2 3 4 4 2" xfId="44159" xr:uid="{89A83E7E-573B-4DED-9DEF-0E3D8F307C8E}"/>
    <cellStyle name="Normal 2 3 4 5" xfId="28280" xr:uid="{6065C7AB-0447-42E8-ABDC-FB049FDA2FB4}"/>
    <cellStyle name="Normal 2 3 5" xfId="6166" xr:uid="{00000000-0005-0000-0000-0000BE590000}"/>
    <cellStyle name="Normal 2 3 5 2" xfId="14150" xr:uid="{00000000-0005-0000-0000-0000BF590000}"/>
    <cellStyle name="Normal 2 3 5 2 2" xfId="37994" xr:uid="{BA400C9A-3D47-4FCE-AA87-AE403D3F29BA}"/>
    <cellStyle name="Normal 2 3 5 3" xfId="22098" xr:uid="{00000000-0005-0000-0000-0000C0590000}"/>
    <cellStyle name="Normal 2 3 5 3 2" xfId="45931" xr:uid="{C60554F8-2F8B-4D3E-8CDB-BFBE0D19672E}"/>
    <cellStyle name="Normal 2 3 5 4" xfId="30053" xr:uid="{3B8DB166-7767-481E-865D-CEF0394B7825}"/>
    <cellStyle name="Normal 2 3 6" xfId="7291" xr:uid="{00000000-0005-0000-0000-0000C1590000}"/>
    <cellStyle name="Normal 2 3 6 2" xfId="15262" xr:uid="{00000000-0005-0000-0000-0000C2590000}"/>
    <cellStyle name="Normal 2 3 6 2 2" xfId="39105" xr:uid="{4C99232A-9244-4E81-8E45-ADC941EE2F96}"/>
    <cellStyle name="Normal 2 3 6 3" xfId="23209" xr:uid="{00000000-0005-0000-0000-0000C3590000}"/>
    <cellStyle name="Normal 2 3 6 3 2" xfId="47042" xr:uid="{766C022F-E377-4282-B319-51BB404DF9DE}"/>
    <cellStyle name="Normal 2 3 6 4" xfId="31164" xr:uid="{52FBFC9B-8C4B-4E4B-88C5-D4BC54DB9293}"/>
    <cellStyle name="Normal 2 3 7" xfId="9719" xr:uid="{00000000-0005-0000-0000-0000C4590000}"/>
    <cellStyle name="Normal 2 3 7 2" xfId="17677" xr:uid="{00000000-0005-0000-0000-0000C5590000}"/>
    <cellStyle name="Normal 2 3 7 2 2" xfId="41518" xr:uid="{AA492640-635A-4E01-9DDB-CACBFDC00E8B}"/>
    <cellStyle name="Normal 2 3 7 3" xfId="25621" xr:uid="{00000000-0005-0000-0000-0000C6590000}"/>
    <cellStyle name="Normal 2 3 7 3 2" xfId="49454" xr:uid="{4CEBB174-DA2B-4DCB-8B06-E0239BE4CF4F}"/>
    <cellStyle name="Normal 2 3 7 4" xfId="33577" xr:uid="{25FA3257-ADC0-4433-AAEA-96FBCA3598D5}"/>
    <cellStyle name="Normal 2 3 8" xfId="10615" xr:uid="{00000000-0005-0000-0000-0000C7590000}"/>
    <cellStyle name="Normal 2 3 8 2" xfId="34465" xr:uid="{A5C7D6F2-9B83-41D7-8EB9-8113DCDD16CF}"/>
    <cellStyle name="Normal 2 3 9" xfId="18570" xr:uid="{00000000-0005-0000-0000-0000C8590000}"/>
    <cellStyle name="Normal 2 3 9 2" xfId="42403" xr:uid="{1D6B96BF-8056-48B5-BCE2-DC1E5B875302}"/>
    <cellStyle name="Normal 2 3_Exh G" xfId="3499" xr:uid="{00000000-0005-0000-0000-0000C9590000}"/>
    <cellStyle name="Normal 2 4" xfId="829" xr:uid="{00000000-0005-0000-0000-0000CA590000}"/>
    <cellStyle name="Normal 2 4 2" xfId="1770" xr:uid="{00000000-0005-0000-0000-0000CB590000}"/>
    <cellStyle name="Normal 2 4_Exh G" xfId="3502" xr:uid="{00000000-0005-0000-0000-0000CC590000}"/>
    <cellStyle name="Normal 2 5" xfId="837" xr:uid="{00000000-0005-0000-0000-0000CD590000}"/>
    <cellStyle name="Normal 2 5 2" xfId="1777" xr:uid="{00000000-0005-0000-0000-0000CE590000}"/>
    <cellStyle name="Normal 2 5_Exh G" xfId="3503" xr:uid="{00000000-0005-0000-0000-0000CF590000}"/>
    <cellStyle name="Normal 2 6" xfId="838" xr:uid="{00000000-0005-0000-0000-0000D0590000}"/>
    <cellStyle name="Normal 2 6 2" xfId="1778" xr:uid="{00000000-0005-0000-0000-0000D1590000}"/>
    <cellStyle name="Normal 2 6_Exh G" xfId="3504" xr:uid="{00000000-0005-0000-0000-0000D2590000}"/>
    <cellStyle name="Normal 2 7" xfId="839" xr:uid="{00000000-0005-0000-0000-0000D3590000}"/>
    <cellStyle name="Normal 2 7 2" xfId="858" xr:uid="{00000000-0005-0000-0000-0000D4590000}"/>
    <cellStyle name="Normal 2 7 2 2" xfId="1797" xr:uid="{00000000-0005-0000-0000-0000D5590000}"/>
    <cellStyle name="Normal 2 7 2_Exh G" xfId="3506" xr:uid="{00000000-0005-0000-0000-0000D6590000}"/>
    <cellStyle name="Normal 2 7 3" xfId="1779" xr:uid="{00000000-0005-0000-0000-0000D7590000}"/>
    <cellStyle name="Normal 2 7_Exh G" xfId="3505" xr:uid="{00000000-0005-0000-0000-0000D8590000}"/>
    <cellStyle name="Normal 2 8" xfId="859" xr:uid="{00000000-0005-0000-0000-0000D9590000}"/>
    <cellStyle name="Normal 2 8 2" xfId="1798" xr:uid="{00000000-0005-0000-0000-0000DA590000}"/>
    <cellStyle name="Normal 2 8_Exh G" xfId="3507" xr:uid="{00000000-0005-0000-0000-0000DB590000}"/>
    <cellStyle name="Normal 2 9" xfId="1017" xr:uid="{00000000-0005-0000-0000-0000DC590000}"/>
    <cellStyle name="Normal 20" xfId="828" xr:uid="{00000000-0005-0000-0000-0000DD590000}"/>
    <cellStyle name="Normal 21" xfId="830" xr:uid="{00000000-0005-0000-0000-0000DE590000}"/>
    <cellStyle name="Normal 22" xfId="831" xr:uid="{00000000-0005-0000-0000-0000DF590000}"/>
    <cellStyle name="Normal 22 10" xfId="18644" xr:uid="{00000000-0005-0000-0000-0000E0590000}"/>
    <cellStyle name="Normal 22 10 2" xfId="42477" xr:uid="{31947228-6284-4DC2-9617-ACA2E6EA5459}"/>
    <cellStyle name="Normal 22 11" xfId="26597" xr:uid="{22396913-E7FA-4A6A-886D-15E72AB366BD}"/>
    <cellStyle name="Normal 22 2" xfId="1771" xr:uid="{00000000-0005-0000-0000-0000E1590000}"/>
    <cellStyle name="Normal 22 2 2" xfId="5299" xr:uid="{00000000-0005-0000-0000-0000E2590000}"/>
    <cellStyle name="Normal 22 2 2 2" xfId="8890" xr:uid="{00000000-0005-0000-0000-0000E3590000}"/>
    <cellStyle name="Normal 22 2 2 2 2" xfId="16861" xr:uid="{00000000-0005-0000-0000-0000E4590000}"/>
    <cellStyle name="Normal 22 2 2 2 2 2" xfId="40704" xr:uid="{DDDCBC29-0FE7-4281-8F0F-37E524ADB6C4}"/>
    <cellStyle name="Normal 22 2 2 2 3" xfId="24807" xr:uid="{00000000-0005-0000-0000-0000E5590000}"/>
    <cellStyle name="Normal 22 2 2 2 3 2" xfId="48640" xr:uid="{B2D42A6F-44C8-433A-A967-8B71AAD503C0}"/>
    <cellStyle name="Normal 22 2 2 2 4" xfId="32763" xr:uid="{52F6FDD4-6F20-44CD-828F-FEC7B155E5D4}"/>
    <cellStyle name="Normal 22 2 2 3" xfId="13323" xr:uid="{00000000-0005-0000-0000-0000E6590000}"/>
    <cellStyle name="Normal 22 2 2 3 2" xfId="37173" xr:uid="{D0B876EC-1ED2-4CA0-B5FF-0AA4CE1FE720}"/>
    <cellStyle name="Normal 22 2 2 4" xfId="21278" xr:uid="{00000000-0005-0000-0000-0000E7590000}"/>
    <cellStyle name="Normal 22 2 2 4 2" xfId="45111" xr:uid="{7C5CCC13-182D-4687-92CF-18CE7A7F3A03}"/>
    <cellStyle name="Normal 22 2 2 5" xfId="29232" xr:uid="{8D9EC4CE-FCE0-4F99-B331-6DBE7A39806A}"/>
    <cellStyle name="Normal 22 2 3" xfId="7131" xr:uid="{00000000-0005-0000-0000-0000E8590000}"/>
    <cellStyle name="Normal 22 2 3 2" xfId="15103" xr:uid="{00000000-0005-0000-0000-0000E9590000}"/>
    <cellStyle name="Normal 22 2 3 2 2" xfId="38946" xr:uid="{9C1DB8D1-C330-43A2-ACAC-59B566FB0108}"/>
    <cellStyle name="Normal 22 2 3 3" xfId="23050" xr:uid="{00000000-0005-0000-0000-0000EA590000}"/>
    <cellStyle name="Normal 22 2 3 3 2" xfId="46883" xr:uid="{C1CAA8DD-E0F7-40BF-A182-C76C11E456C2}"/>
    <cellStyle name="Normal 22 2 3 4" xfId="31005" xr:uid="{54062A95-16E3-4AB0-AC49-E38A08066BBE}"/>
    <cellStyle name="Normal 22 2 4" xfId="11567" xr:uid="{00000000-0005-0000-0000-0000EB590000}"/>
    <cellStyle name="Normal 22 2 4 2" xfId="35417" xr:uid="{9C1389D6-74C0-4D27-85BB-97E1DCE188CE}"/>
    <cellStyle name="Normal 22 2 5" xfId="19522" xr:uid="{00000000-0005-0000-0000-0000EC590000}"/>
    <cellStyle name="Normal 22 2 5 2" xfId="43355" xr:uid="{FC021F9D-6F30-488C-B592-2A521BCADAD3}"/>
    <cellStyle name="Normal 22 2 6" xfId="27475" xr:uid="{5608E945-EC8A-44BC-8647-BBC3C43DB392}"/>
    <cellStyle name="Normal 22 2_Exh G" xfId="3509" xr:uid="{00000000-0005-0000-0000-0000ED590000}"/>
    <cellStyle name="Normal 22 3" xfId="4420" xr:uid="{00000000-0005-0000-0000-0000EE590000}"/>
    <cellStyle name="Normal 22 3 2" xfId="8012" xr:uid="{00000000-0005-0000-0000-0000EF590000}"/>
    <cellStyle name="Normal 22 3 2 2" xfId="15983" xr:uid="{00000000-0005-0000-0000-0000F0590000}"/>
    <cellStyle name="Normal 22 3 2 2 2" xfId="39826" xr:uid="{56D5E541-6DDE-4745-AF59-92BC17C4173F}"/>
    <cellStyle name="Normal 22 3 2 3" xfId="23929" xr:uid="{00000000-0005-0000-0000-0000F1590000}"/>
    <cellStyle name="Normal 22 3 2 3 2" xfId="47762" xr:uid="{22A788EF-6240-4A9D-B221-C77B3C4EC4BB}"/>
    <cellStyle name="Normal 22 3 2 4" xfId="31885" xr:uid="{D1CA4997-3216-4458-80E2-8FCBF9B03B4A}"/>
    <cellStyle name="Normal 22 3 3" xfId="12445" xr:uid="{00000000-0005-0000-0000-0000F2590000}"/>
    <cellStyle name="Normal 22 3 3 2" xfId="36295" xr:uid="{8EB68725-02DF-414E-8FD2-C88B8FF385AC}"/>
    <cellStyle name="Normal 22 3 4" xfId="20400" xr:uid="{00000000-0005-0000-0000-0000F3590000}"/>
    <cellStyle name="Normal 22 3 4 2" xfId="44233" xr:uid="{53D26A7E-9369-4D1C-8C24-FFD231E16DD8}"/>
    <cellStyle name="Normal 22 3 5" xfId="28354" xr:uid="{3B337913-C627-4DC7-9731-DC86153553D6}"/>
    <cellStyle name="Normal 22 4" xfId="5487" xr:uid="{00000000-0005-0000-0000-0000F4590000}"/>
    <cellStyle name="Normal 22 4 2" xfId="9067" xr:uid="{00000000-0005-0000-0000-0000F5590000}"/>
    <cellStyle name="Normal 22 4 2 2" xfId="17026" xr:uid="{00000000-0005-0000-0000-0000F6590000}"/>
    <cellStyle name="Normal 22 4 2 2 2" xfId="40869" xr:uid="{EAF5C9A6-5CA1-4BE6-BF5E-1F6371DD2244}"/>
    <cellStyle name="Normal 22 4 2 3" xfId="24972" xr:uid="{00000000-0005-0000-0000-0000F7590000}"/>
    <cellStyle name="Normal 22 4 2 3 2" xfId="48805" xr:uid="{BC005DE5-D234-4D6B-90A7-5204863496A4}"/>
    <cellStyle name="Normal 22 4 2 4" xfId="32928" xr:uid="{2EEC1C81-079C-40DC-8DC8-107D000D5EC9}"/>
    <cellStyle name="Normal 22 4 3" xfId="13489" xr:uid="{00000000-0005-0000-0000-0000F8590000}"/>
    <cellStyle name="Normal 22 4 3 2" xfId="37339" xr:uid="{9259C4E1-45CA-4B30-90E8-91C96AEC2196}"/>
    <cellStyle name="Normal 22 4 4" xfId="21443" xr:uid="{00000000-0005-0000-0000-0000F9590000}"/>
    <cellStyle name="Normal 22 4 4 2" xfId="45276" xr:uid="{A0A47890-6605-4BB7-A0D6-D5D94B907FA4}"/>
    <cellStyle name="Normal 22 4 5" xfId="29398" xr:uid="{47D5B65B-972E-4ACB-ABAB-0B53F7519B24}"/>
    <cellStyle name="Normal 22 5" xfId="6250" xr:uid="{00000000-0005-0000-0000-0000FA590000}"/>
    <cellStyle name="Normal 22 5 2" xfId="14225" xr:uid="{00000000-0005-0000-0000-0000FB590000}"/>
    <cellStyle name="Normal 22 5 2 2" xfId="38068" xr:uid="{1F09014C-EF47-4D0F-9B91-5C5A12202349}"/>
    <cellStyle name="Normal 22 5 3" xfId="22172" xr:uid="{00000000-0005-0000-0000-0000FC590000}"/>
    <cellStyle name="Normal 22 5 3 2" xfId="46005" xr:uid="{DF88879D-188E-41F7-ACD2-3410797478C3}"/>
    <cellStyle name="Normal 22 5 4" xfId="30127" xr:uid="{228773AF-E040-46F9-B4AD-20C59322F245}"/>
    <cellStyle name="Normal 22 6" xfId="9793" xr:uid="{00000000-0005-0000-0000-0000FD590000}"/>
    <cellStyle name="Normal 22 6 2" xfId="17751" xr:uid="{00000000-0005-0000-0000-0000FE590000}"/>
    <cellStyle name="Normal 22 6 2 2" xfId="41592" xr:uid="{507227AD-AE84-46F8-A6D9-FE57AE4C0617}"/>
    <cellStyle name="Normal 22 6 3" xfId="25695" xr:uid="{00000000-0005-0000-0000-0000FF590000}"/>
    <cellStyle name="Normal 22 6 3 2" xfId="49528" xr:uid="{F7D58918-755D-4766-8F2B-B92A63474A72}"/>
    <cellStyle name="Normal 22 6 4" xfId="33651" xr:uid="{14896CC1-337C-43C6-8B87-F429D1BA760D}"/>
    <cellStyle name="Normal 22 7" xfId="9953" xr:uid="{00000000-0005-0000-0000-0000005A0000}"/>
    <cellStyle name="Normal 22 7 2" xfId="17911" xr:uid="{00000000-0005-0000-0000-0000015A0000}"/>
    <cellStyle name="Normal 22 7 2 2" xfId="41752" xr:uid="{3CFF87DE-AE81-4EC7-9B75-61D7C8C23A57}"/>
    <cellStyle name="Normal 22 7 3" xfId="25855" xr:uid="{00000000-0005-0000-0000-0000025A0000}"/>
    <cellStyle name="Normal 22 7 3 2" xfId="49688" xr:uid="{929F3391-080B-40DF-8472-0AEC53304DDD}"/>
    <cellStyle name="Normal 22 7 4" xfId="33811" xr:uid="{EF7EA776-EF8E-45EF-A108-083DE36E14D3}"/>
    <cellStyle name="Normal 22 8" xfId="9955" xr:uid="{00000000-0005-0000-0000-0000035A0000}"/>
    <cellStyle name="Normal 22 8 2" xfId="17913" xr:uid="{00000000-0005-0000-0000-0000045A0000}"/>
    <cellStyle name="Normal 22 8 2 2" xfId="41754" xr:uid="{6E769E63-D316-4403-B88F-79D7D2FBA8C4}"/>
    <cellStyle name="Normal 22 8 3" xfId="25857" xr:uid="{00000000-0005-0000-0000-0000055A0000}"/>
    <cellStyle name="Normal 22 8 3 2" xfId="49690" xr:uid="{ECA951CB-90DE-4CDA-8097-C4E836E07820}"/>
    <cellStyle name="Normal 22 8 4" xfId="33813" xr:uid="{666EC59C-8EB4-468C-B427-971B90C4C90F}"/>
    <cellStyle name="Normal 22 9" xfId="10689" xr:uid="{00000000-0005-0000-0000-0000065A0000}"/>
    <cellStyle name="Normal 22 9 2" xfId="34539" xr:uid="{5557E314-5136-4A49-BF07-D5159F78D705}"/>
    <cellStyle name="Normal 22_Exh G" xfId="3508" xr:uid="{00000000-0005-0000-0000-0000075A0000}"/>
    <cellStyle name="Normal 23" xfId="840" xr:uid="{00000000-0005-0000-0000-0000085A0000}"/>
    <cellStyle name="Normal 24" xfId="841" xr:uid="{00000000-0005-0000-0000-0000095A0000}"/>
    <cellStyle name="Normal 24 2" xfId="1780" xr:uid="{00000000-0005-0000-0000-00000A5A0000}"/>
    <cellStyle name="Normal 24 2 2" xfId="5301" xr:uid="{00000000-0005-0000-0000-00000B5A0000}"/>
    <cellStyle name="Normal 24 2 2 2" xfId="8892" xr:uid="{00000000-0005-0000-0000-00000C5A0000}"/>
    <cellStyle name="Normal 24 2 2 2 2" xfId="16863" xr:uid="{00000000-0005-0000-0000-00000D5A0000}"/>
    <cellStyle name="Normal 24 2 2 2 2 2" xfId="40706" xr:uid="{78E4027E-58AB-4BE8-BAB6-37B646854A9C}"/>
    <cellStyle name="Normal 24 2 2 2 3" xfId="24809" xr:uid="{00000000-0005-0000-0000-00000E5A0000}"/>
    <cellStyle name="Normal 24 2 2 2 3 2" xfId="48642" xr:uid="{5A50FE6A-DE5C-4BED-B204-783E0F9116C0}"/>
    <cellStyle name="Normal 24 2 2 2 4" xfId="32765" xr:uid="{A5423978-E5E9-4E90-8608-8CC7FD683C2E}"/>
    <cellStyle name="Normal 24 2 2 3" xfId="13325" xr:uid="{00000000-0005-0000-0000-00000F5A0000}"/>
    <cellStyle name="Normal 24 2 2 3 2" xfId="37175" xr:uid="{429555E4-E1BF-4C66-911A-97D8FA687943}"/>
    <cellStyle name="Normal 24 2 2 4" xfId="21280" xr:uid="{00000000-0005-0000-0000-0000105A0000}"/>
    <cellStyle name="Normal 24 2 2 4 2" xfId="45113" xr:uid="{ED05053D-577F-49F1-83FB-B8EB50DF1A0D}"/>
    <cellStyle name="Normal 24 2 2 5" xfId="29234" xr:uid="{3C36D7B3-A627-4F39-8453-3DD53457AE6E}"/>
    <cellStyle name="Normal 24 2 3" xfId="7133" xr:uid="{00000000-0005-0000-0000-0000115A0000}"/>
    <cellStyle name="Normal 24 2 3 2" xfId="15105" xr:uid="{00000000-0005-0000-0000-0000125A0000}"/>
    <cellStyle name="Normal 24 2 3 2 2" xfId="38948" xr:uid="{5417A021-1B4F-49BF-84C0-227778E7F90C}"/>
    <cellStyle name="Normal 24 2 3 3" xfId="23052" xr:uid="{00000000-0005-0000-0000-0000135A0000}"/>
    <cellStyle name="Normal 24 2 3 3 2" xfId="46885" xr:uid="{00E1532D-373F-417F-B024-B09DDB02DD31}"/>
    <cellStyle name="Normal 24 2 3 4" xfId="31007" xr:uid="{E4A68E10-8B85-407C-9B75-5D2FDFF4B78B}"/>
    <cellStyle name="Normal 24 2 4" xfId="11569" xr:uid="{00000000-0005-0000-0000-0000145A0000}"/>
    <cellStyle name="Normal 24 2 4 2" xfId="35419" xr:uid="{CD755745-9153-404E-BCA5-DB15C8E1129F}"/>
    <cellStyle name="Normal 24 2 5" xfId="19524" xr:uid="{00000000-0005-0000-0000-0000155A0000}"/>
    <cellStyle name="Normal 24 2 5 2" xfId="43357" xr:uid="{FFC1900B-C84B-4981-9A34-43D63B63C750}"/>
    <cellStyle name="Normal 24 2 6" xfId="27477" xr:uid="{6DE44637-CF6F-4927-8769-5370D50BB682}"/>
    <cellStyle name="Normal 24 2_Exh G" xfId="3511" xr:uid="{00000000-0005-0000-0000-0000165A0000}"/>
    <cellStyle name="Normal 24 3" xfId="4422" xr:uid="{00000000-0005-0000-0000-0000175A0000}"/>
    <cellStyle name="Normal 24 3 2" xfId="8014" xr:uid="{00000000-0005-0000-0000-0000185A0000}"/>
    <cellStyle name="Normal 24 3 2 2" xfId="15985" xr:uid="{00000000-0005-0000-0000-0000195A0000}"/>
    <cellStyle name="Normal 24 3 2 2 2" xfId="39828" xr:uid="{F27ACDB3-8627-46DC-8C12-6D95909F88BC}"/>
    <cellStyle name="Normal 24 3 2 3" xfId="23931" xr:uid="{00000000-0005-0000-0000-00001A5A0000}"/>
    <cellStyle name="Normal 24 3 2 3 2" xfId="47764" xr:uid="{32E50BC7-D857-4A60-9003-F72766CE7096}"/>
    <cellStyle name="Normal 24 3 2 4" xfId="31887" xr:uid="{0889A5C2-33BF-4387-8598-94653BD89A5A}"/>
    <cellStyle name="Normal 24 3 3" xfId="12447" xr:uid="{00000000-0005-0000-0000-00001B5A0000}"/>
    <cellStyle name="Normal 24 3 3 2" xfId="36297" xr:uid="{BEB5200F-54BE-452D-B9EA-E179AB091B27}"/>
    <cellStyle name="Normal 24 3 4" xfId="20402" xr:uid="{00000000-0005-0000-0000-00001C5A0000}"/>
    <cellStyle name="Normal 24 3 4 2" xfId="44235" xr:uid="{3569DCBD-8238-4800-9F51-44A8CF15F6C3}"/>
    <cellStyle name="Normal 24 3 5" xfId="28356" xr:uid="{21BD3045-3C3B-4A18-B33D-667DF0C449F8}"/>
    <cellStyle name="Normal 24 4" xfId="6252" xr:uid="{00000000-0005-0000-0000-00001D5A0000}"/>
    <cellStyle name="Normal 24 4 2" xfId="14227" xr:uid="{00000000-0005-0000-0000-00001E5A0000}"/>
    <cellStyle name="Normal 24 4 2 2" xfId="38070" xr:uid="{15C9D778-0BC9-4466-B73D-E93EA17C56D6}"/>
    <cellStyle name="Normal 24 4 3" xfId="22174" xr:uid="{00000000-0005-0000-0000-00001F5A0000}"/>
    <cellStyle name="Normal 24 4 3 2" xfId="46007" xr:uid="{C46981C3-0406-4C15-B7F3-9E3813FBE512}"/>
    <cellStyle name="Normal 24 4 4" xfId="30129" xr:uid="{3FC524CE-5096-4A76-8A4D-D95105A5714B}"/>
    <cellStyle name="Normal 24 5" xfId="9795" xr:uid="{00000000-0005-0000-0000-0000205A0000}"/>
    <cellStyle name="Normal 24 5 2" xfId="17753" xr:uid="{00000000-0005-0000-0000-0000215A0000}"/>
    <cellStyle name="Normal 24 5 2 2" xfId="41594" xr:uid="{CAD9003B-368D-428D-A419-A6C1C16DB730}"/>
    <cellStyle name="Normal 24 5 3" xfId="25697" xr:uid="{00000000-0005-0000-0000-0000225A0000}"/>
    <cellStyle name="Normal 24 5 3 2" xfId="49530" xr:uid="{36112C38-BF51-422E-98A0-D94A47019289}"/>
    <cellStyle name="Normal 24 5 4" xfId="33653" xr:uid="{63BD8D66-8CCC-4F0C-A01C-75C65AF2ADC3}"/>
    <cellStyle name="Normal 24 6" xfId="10691" xr:uid="{00000000-0005-0000-0000-0000235A0000}"/>
    <cellStyle name="Normal 24 6 2" xfId="34541" xr:uid="{C874C65C-9A23-4BB7-BF5C-20A7B718BDA4}"/>
    <cellStyle name="Normal 24 7" xfId="18646" xr:uid="{00000000-0005-0000-0000-0000245A0000}"/>
    <cellStyle name="Normal 24 7 2" xfId="42479" xr:uid="{B8B23BF4-D3A2-408B-AB81-FB6DD9F74712}"/>
    <cellStyle name="Normal 24 8" xfId="26599" xr:uid="{6059FEA6-E40F-4363-B0AE-F362B678C5D0}"/>
    <cellStyle name="Normal 24_Exh G" xfId="3510" xr:uid="{00000000-0005-0000-0000-0000255A0000}"/>
    <cellStyle name="Normal 25" xfId="860" xr:uid="{00000000-0005-0000-0000-0000265A0000}"/>
    <cellStyle name="Normal 26" xfId="1042" xr:uid="{00000000-0005-0000-0000-0000275A0000}"/>
    <cellStyle name="Normal 26 2" xfId="4579" xr:uid="{00000000-0005-0000-0000-0000285A0000}"/>
    <cellStyle name="Normal 26_Exh G" xfId="3512" xr:uid="{00000000-0005-0000-0000-0000295A0000}"/>
    <cellStyle name="Normal 27" xfId="1041" xr:uid="{00000000-0005-0000-0000-00002A5A0000}"/>
    <cellStyle name="Normal 27 2" xfId="25875" xr:uid="{00000000-0005-0000-0000-00002B5A0000}"/>
    <cellStyle name="Normal 28" xfId="5458" xr:uid="{00000000-0005-0000-0000-00002C5A0000}"/>
    <cellStyle name="Normal 29" xfId="5459" xr:uid="{00000000-0005-0000-0000-00002D5A0000}"/>
    <cellStyle name="Normal 29 2" xfId="9050" xr:uid="{00000000-0005-0000-0000-00002E5A0000}"/>
    <cellStyle name="Normal 3" xfId="3" xr:uid="{00000000-0005-0000-0000-00002F5A0000}"/>
    <cellStyle name="Normal 3 10" xfId="6411" xr:uid="{00000000-0005-0000-0000-0000305A0000}"/>
    <cellStyle name="Normal 3 11" xfId="49832" xr:uid="{A9B57D07-A9FA-43B9-B1EA-A68B6BE4180B}"/>
    <cellStyle name="Normal 3 2" xfId="668" xr:uid="{00000000-0005-0000-0000-0000315A0000}"/>
    <cellStyle name="Normal 3 2 10" xfId="26524" xr:uid="{8E735E9D-8663-47AE-A21E-11108BC8919A}"/>
    <cellStyle name="Normal 3 2 2" xfId="669" xr:uid="{00000000-0005-0000-0000-0000325A0000}"/>
    <cellStyle name="Normal 3 2 2 2" xfId="1697" xr:uid="{00000000-0005-0000-0000-0000335A0000}"/>
    <cellStyle name="Normal 3 2 2 2 2" xfId="5227" xr:uid="{00000000-0005-0000-0000-0000345A0000}"/>
    <cellStyle name="Normal 3 2 2 2 2 2" xfId="8818" xr:uid="{00000000-0005-0000-0000-0000355A0000}"/>
    <cellStyle name="Normal 3 2 2 2 2 2 2" xfId="16789" xr:uid="{00000000-0005-0000-0000-0000365A0000}"/>
    <cellStyle name="Normal 3 2 2 2 2 2 2 2" xfId="40632" xr:uid="{5865A4F8-8273-4804-B509-57D87E102BA7}"/>
    <cellStyle name="Normal 3 2 2 2 2 2 3" xfId="24735" xr:uid="{00000000-0005-0000-0000-0000375A0000}"/>
    <cellStyle name="Normal 3 2 2 2 2 2 3 2" xfId="48568" xr:uid="{7203DB1E-39E6-4D29-A068-681AA7DD0662}"/>
    <cellStyle name="Normal 3 2 2 2 2 2 4" xfId="32691" xr:uid="{C7F0333F-C4CA-4C64-A0C4-AF2C899B55FA}"/>
    <cellStyle name="Normal 3 2 2 2 2 3" xfId="13251" xr:uid="{00000000-0005-0000-0000-0000385A0000}"/>
    <cellStyle name="Normal 3 2 2 2 2 3 2" xfId="37101" xr:uid="{198A6414-49E0-4AAA-8EB8-ADE8ACCFEAAD}"/>
    <cellStyle name="Normal 3 2 2 2 2 4" xfId="21206" xr:uid="{00000000-0005-0000-0000-0000395A0000}"/>
    <cellStyle name="Normal 3 2 2 2 2 4 2" xfId="45039" xr:uid="{906A1E8A-0EAE-4303-9B85-D7AA2FB7D843}"/>
    <cellStyle name="Normal 3 2 2 2 2 5" xfId="29160" xr:uid="{FAA7A720-24F0-44AF-89D5-179509EF73F5}"/>
    <cellStyle name="Normal 3 2 2 2 3" xfId="7059" xr:uid="{00000000-0005-0000-0000-00003A5A0000}"/>
    <cellStyle name="Normal 3 2 2 2 3 2" xfId="15031" xr:uid="{00000000-0005-0000-0000-00003B5A0000}"/>
    <cellStyle name="Normal 3 2 2 2 3 2 2" xfId="38874" xr:uid="{85BCEA76-4052-4B96-8A72-90181ED06749}"/>
    <cellStyle name="Normal 3 2 2 2 3 3" xfId="22978" xr:uid="{00000000-0005-0000-0000-00003C5A0000}"/>
    <cellStyle name="Normal 3 2 2 2 3 3 2" xfId="46811" xr:uid="{28D9924A-D694-42A7-BE2A-89DDA6ACEB2A}"/>
    <cellStyle name="Normal 3 2 2 2 3 4" xfId="30933" xr:uid="{19780A3D-9D12-4355-AE2A-2321A01387E4}"/>
    <cellStyle name="Normal 3 2 2 2 4" xfId="11495" xr:uid="{00000000-0005-0000-0000-00003D5A0000}"/>
    <cellStyle name="Normal 3 2 2 2 4 2" xfId="35345" xr:uid="{384F5503-2712-4085-BA73-AB5ED2769E01}"/>
    <cellStyle name="Normal 3 2 2 2 5" xfId="19450" xr:uid="{00000000-0005-0000-0000-00003E5A0000}"/>
    <cellStyle name="Normal 3 2 2 2 5 2" xfId="43283" xr:uid="{41B49686-446A-45E1-9EBE-1A1488814567}"/>
    <cellStyle name="Normal 3 2 2 2 6" xfId="27403" xr:uid="{438345BA-C66B-46A0-8E5D-670471087E9D}"/>
    <cellStyle name="Normal 3 2 2 2_Exh G" xfId="3515" xr:uid="{00000000-0005-0000-0000-00003F5A0000}"/>
    <cellStyle name="Normal 3 2 2 3" xfId="4348" xr:uid="{00000000-0005-0000-0000-0000405A0000}"/>
    <cellStyle name="Normal 3 2 2 3 2" xfId="7940" xr:uid="{00000000-0005-0000-0000-0000415A0000}"/>
    <cellStyle name="Normal 3 2 2 3 2 2" xfId="15911" xr:uid="{00000000-0005-0000-0000-0000425A0000}"/>
    <cellStyle name="Normal 3 2 2 3 2 2 2" xfId="39754" xr:uid="{79C37170-D400-4D0B-BFB3-F25771F6DA3B}"/>
    <cellStyle name="Normal 3 2 2 3 2 3" xfId="23857" xr:uid="{00000000-0005-0000-0000-0000435A0000}"/>
    <cellStyle name="Normal 3 2 2 3 2 3 2" xfId="47690" xr:uid="{C9599BC9-302C-4BD2-992F-8F9F1A771EC6}"/>
    <cellStyle name="Normal 3 2 2 3 2 4" xfId="31813" xr:uid="{10F856B5-78B6-4711-96CA-80AE57D9F34A}"/>
    <cellStyle name="Normal 3 2 2 3 3" xfId="12373" xr:uid="{00000000-0005-0000-0000-0000445A0000}"/>
    <cellStyle name="Normal 3 2 2 3 3 2" xfId="36223" xr:uid="{E373C16C-93FC-4DE5-9A58-F485F6019F2E}"/>
    <cellStyle name="Normal 3 2 2 3 4" xfId="20328" xr:uid="{00000000-0005-0000-0000-0000455A0000}"/>
    <cellStyle name="Normal 3 2 2 3 4 2" xfId="44161" xr:uid="{F6D598D0-98F5-4E90-B76C-6AC86DDF675F}"/>
    <cellStyle name="Normal 3 2 2 3 5" xfId="28282" xr:uid="{E979A139-FFB5-4E5E-AE1F-D3876D813E09}"/>
    <cellStyle name="Normal 3 2 2 4" xfId="6168" xr:uid="{00000000-0005-0000-0000-0000465A0000}"/>
    <cellStyle name="Normal 3 2 2 4 2" xfId="14152" xr:uid="{00000000-0005-0000-0000-0000475A0000}"/>
    <cellStyle name="Normal 3 2 2 4 2 2" xfId="37996" xr:uid="{8D75B7D1-C6A6-42C6-A86E-9E036E5083D0}"/>
    <cellStyle name="Normal 3 2 2 4 3" xfId="22100" xr:uid="{00000000-0005-0000-0000-0000485A0000}"/>
    <cellStyle name="Normal 3 2 2 4 3 2" xfId="45933" xr:uid="{055C676A-6250-4280-89DF-21B9EDCDCD3E}"/>
    <cellStyle name="Normal 3 2 2 4 4" xfId="30055" xr:uid="{EFA0A9FA-95B1-4A7A-8DD0-9E63B6E1AB45}"/>
    <cellStyle name="Normal 3 2 2 5" xfId="9721" xr:uid="{00000000-0005-0000-0000-0000495A0000}"/>
    <cellStyle name="Normal 3 2 2 5 2" xfId="17679" xr:uid="{00000000-0005-0000-0000-00004A5A0000}"/>
    <cellStyle name="Normal 3 2 2 5 2 2" xfId="41520" xr:uid="{4DB77D2B-54F0-481D-9F54-DB1E8D1F9FBD}"/>
    <cellStyle name="Normal 3 2 2 5 3" xfId="25623" xr:uid="{00000000-0005-0000-0000-00004B5A0000}"/>
    <cellStyle name="Normal 3 2 2 5 3 2" xfId="49456" xr:uid="{A8406A9C-F709-4EC1-9AF3-CD49CCABBD2C}"/>
    <cellStyle name="Normal 3 2 2 5 4" xfId="33579" xr:uid="{05D5F4F4-697F-4848-B531-F34F3C683EB4}"/>
    <cellStyle name="Normal 3 2 2 6" xfId="10617" xr:uid="{00000000-0005-0000-0000-00004C5A0000}"/>
    <cellStyle name="Normal 3 2 2 6 2" xfId="34467" xr:uid="{8943871A-87FF-40A9-9E6A-597F08BC674B}"/>
    <cellStyle name="Normal 3 2 2 7" xfId="18572" xr:uid="{00000000-0005-0000-0000-00004D5A0000}"/>
    <cellStyle name="Normal 3 2 2 7 2" xfId="42405" xr:uid="{2A8398DD-7F15-4C25-9A96-BDF5D5F26DDF}"/>
    <cellStyle name="Normal 3 2 2 8" xfId="26525" xr:uid="{471D227A-F66C-4A85-8AAE-959A02327833}"/>
    <cellStyle name="Normal 3 2 2_Exh G" xfId="3514" xr:uid="{00000000-0005-0000-0000-00004E5A0000}"/>
    <cellStyle name="Normal 3 2 3" xfId="1019" xr:uid="{00000000-0005-0000-0000-00004F5A0000}"/>
    <cellStyle name="Normal 3 2 3 2" xfId="1924" xr:uid="{00000000-0005-0000-0000-0000505A0000}"/>
    <cellStyle name="Normal 3 2 3 2 2" xfId="5442" xr:uid="{00000000-0005-0000-0000-0000515A0000}"/>
    <cellStyle name="Normal 3 2 3 2 2 2" xfId="9033" xr:uid="{00000000-0005-0000-0000-0000525A0000}"/>
    <cellStyle name="Normal 3 2 3 2 2 2 2" xfId="17004" xr:uid="{00000000-0005-0000-0000-0000535A0000}"/>
    <cellStyle name="Normal 3 2 3 2 2 2 2 2" xfId="40847" xr:uid="{67516DFB-82C4-40AC-872D-3717EA0F3CD6}"/>
    <cellStyle name="Normal 3 2 3 2 2 2 3" xfId="24950" xr:uid="{00000000-0005-0000-0000-0000545A0000}"/>
    <cellStyle name="Normal 3 2 3 2 2 2 3 2" xfId="48783" xr:uid="{5FC2995E-6B0C-4B3D-8CDD-0703FEF8974D}"/>
    <cellStyle name="Normal 3 2 3 2 2 2 4" xfId="32906" xr:uid="{EECB7DB6-AF6E-46C0-B6D8-081C295DFB0E}"/>
    <cellStyle name="Normal 3 2 3 2 2 3" xfId="13466" xr:uid="{00000000-0005-0000-0000-0000555A0000}"/>
    <cellStyle name="Normal 3 2 3 2 2 3 2" xfId="37316" xr:uid="{56B0857A-D76E-428F-B411-421075514B1F}"/>
    <cellStyle name="Normal 3 2 3 2 2 4" xfId="21421" xr:uid="{00000000-0005-0000-0000-0000565A0000}"/>
    <cellStyle name="Normal 3 2 3 2 2 4 2" xfId="45254" xr:uid="{F0E251FE-5007-47CD-9C6C-180894D0077F}"/>
    <cellStyle name="Normal 3 2 3 2 2 5" xfId="29375" xr:uid="{65B79373-F584-42B4-A70B-6770F792F336}"/>
    <cellStyle name="Normal 3 2 3 2 3" xfId="7274" xr:uid="{00000000-0005-0000-0000-0000575A0000}"/>
    <cellStyle name="Normal 3 2 3 2 3 2" xfId="15246" xr:uid="{00000000-0005-0000-0000-0000585A0000}"/>
    <cellStyle name="Normal 3 2 3 2 3 2 2" xfId="39089" xr:uid="{431A6467-BEB1-440D-A8ED-C10242FD06C8}"/>
    <cellStyle name="Normal 3 2 3 2 3 3" xfId="23193" xr:uid="{00000000-0005-0000-0000-0000595A0000}"/>
    <cellStyle name="Normal 3 2 3 2 3 3 2" xfId="47026" xr:uid="{A529CA79-C820-4BEF-9189-F050FF8F7C1F}"/>
    <cellStyle name="Normal 3 2 3 2 3 4" xfId="31148" xr:uid="{A22FB146-3DBF-458D-BCA2-12CF785CB346}"/>
    <cellStyle name="Normal 3 2 3 2 4" xfId="11710" xr:uid="{00000000-0005-0000-0000-00005A5A0000}"/>
    <cellStyle name="Normal 3 2 3 2 4 2" xfId="35560" xr:uid="{7A5611F6-12FE-4179-99A2-BD7866FD50B1}"/>
    <cellStyle name="Normal 3 2 3 2 5" xfId="19665" xr:uid="{00000000-0005-0000-0000-00005B5A0000}"/>
    <cellStyle name="Normal 3 2 3 2 5 2" xfId="43498" xr:uid="{D90B3EA8-0BD9-4D12-BF98-D643435BBA57}"/>
    <cellStyle name="Normal 3 2 3 2 6" xfId="27618" xr:uid="{4F844FB9-BB5D-4397-92B3-E2DD4675746B}"/>
    <cellStyle name="Normal 3 2 3 2_Exh G" xfId="3517" xr:uid="{00000000-0005-0000-0000-00005C5A0000}"/>
    <cellStyle name="Normal 3 2 3 3" xfId="4563" xr:uid="{00000000-0005-0000-0000-00005D5A0000}"/>
    <cellStyle name="Normal 3 2 3 3 2" xfId="8155" xr:uid="{00000000-0005-0000-0000-00005E5A0000}"/>
    <cellStyle name="Normal 3 2 3 3 2 2" xfId="16126" xr:uid="{00000000-0005-0000-0000-00005F5A0000}"/>
    <cellStyle name="Normal 3 2 3 3 2 2 2" xfId="39969" xr:uid="{9AA4E2FD-7946-4E1F-8E0E-68918AE2EC71}"/>
    <cellStyle name="Normal 3 2 3 3 2 3" xfId="24072" xr:uid="{00000000-0005-0000-0000-0000605A0000}"/>
    <cellStyle name="Normal 3 2 3 3 2 3 2" xfId="47905" xr:uid="{C3088529-6265-42A5-AFDD-C8E2334C3554}"/>
    <cellStyle name="Normal 3 2 3 3 2 4" xfId="32028" xr:uid="{C94848AC-27EC-4225-ADC1-A2EC68761CDD}"/>
    <cellStyle name="Normal 3 2 3 3 3" xfId="12588" xr:uid="{00000000-0005-0000-0000-0000615A0000}"/>
    <cellStyle name="Normal 3 2 3 3 3 2" xfId="36438" xr:uid="{2B25F25B-31AA-40BD-82CE-010738A2CAFD}"/>
    <cellStyle name="Normal 3 2 3 3 4" xfId="20543" xr:uid="{00000000-0005-0000-0000-0000625A0000}"/>
    <cellStyle name="Normal 3 2 3 3 4 2" xfId="44376" xr:uid="{DFDFA728-7969-45ED-ABCE-590095839F2A}"/>
    <cellStyle name="Normal 3 2 3 3 5" xfId="28497" xr:uid="{E8891464-4F84-4EA7-94AF-858E3E426EC9}"/>
    <cellStyle name="Normal 3 2 3 4" xfId="6393" xr:uid="{00000000-0005-0000-0000-0000635A0000}"/>
    <cellStyle name="Normal 3 2 3 4 2" xfId="14368" xr:uid="{00000000-0005-0000-0000-0000645A0000}"/>
    <cellStyle name="Normal 3 2 3 4 2 2" xfId="38211" xr:uid="{3500EF31-F612-4119-94E2-0BC65D4BE3A1}"/>
    <cellStyle name="Normal 3 2 3 4 3" xfId="22315" xr:uid="{00000000-0005-0000-0000-0000655A0000}"/>
    <cellStyle name="Normal 3 2 3 4 3 2" xfId="46148" xr:uid="{1140E684-F922-42CC-9113-56B22B9D06E8}"/>
    <cellStyle name="Normal 3 2 3 4 4" xfId="30270" xr:uid="{7D86A6B7-44D1-48AA-BA1F-86B786408C99}"/>
    <cellStyle name="Normal 3 2 3 5" xfId="9936" xr:uid="{00000000-0005-0000-0000-0000665A0000}"/>
    <cellStyle name="Normal 3 2 3 5 2" xfId="17894" xr:uid="{00000000-0005-0000-0000-0000675A0000}"/>
    <cellStyle name="Normal 3 2 3 5 2 2" xfId="41735" xr:uid="{771074BE-4359-4A7B-8666-C538CC8D9AB1}"/>
    <cellStyle name="Normal 3 2 3 5 3" xfId="25838" xr:uid="{00000000-0005-0000-0000-0000685A0000}"/>
    <cellStyle name="Normal 3 2 3 5 3 2" xfId="49671" xr:uid="{D6A7D107-6AE9-438F-B2CB-D09EAF24D119}"/>
    <cellStyle name="Normal 3 2 3 5 4" xfId="33794" xr:uid="{8F934E8D-04A6-46DA-B8CC-60650BB81FAC}"/>
    <cellStyle name="Normal 3 2 3 6" xfId="10832" xr:uid="{00000000-0005-0000-0000-0000695A0000}"/>
    <cellStyle name="Normal 3 2 3 6 2" xfId="34682" xr:uid="{75E27A0A-C210-484B-ACC4-2ACECF6C6828}"/>
    <cellStyle name="Normal 3 2 3 7" xfId="18787" xr:uid="{00000000-0005-0000-0000-00006A5A0000}"/>
    <cellStyle name="Normal 3 2 3 7 2" xfId="42620" xr:uid="{67D0D14A-98B0-48E2-BD81-8805BD957C19}"/>
    <cellStyle name="Normal 3 2 3 8" xfId="26740" xr:uid="{977CB5AE-A5C2-40CB-8962-9513D46E3DDC}"/>
    <cellStyle name="Normal 3 2 3_Exh G" xfId="3516" xr:uid="{00000000-0005-0000-0000-00006B5A0000}"/>
    <cellStyle name="Normal 3 2 4" xfId="1696" xr:uid="{00000000-0005-0000-0000-00006C5A0000}"/>
    <cellStyle name="Normal 3 2 4 2" xfId="5226" xr:uid="{00000000-0005-0000-0000-00006D5A0000}"/>
    <cellStyle name="Normal 3 2 4 2 2" xfId="8817" xr:uid="{00000000-0005-0000-0000-00006E5A0000}"/>
    <cellStyle name="Normal 3 2 4 2 2 2" xfId="16788" xr:uid="{00000000-0005-0000-0000-00006F5A0000}"/>
    <cellStyle name="Normal 3 2 4 2 2 2 2" xfId="40631" xr:uid="{6BC3349C-6C61-4053-B9C2-1ABBCA1C5B6E}"/>
    <cellStyle name="Normal 3 2 4 2 2 3" xfId="24734" xr:uid="{00000000-0005-0000-0000-0000705A0000}"/>
    <cellStyle name="Normal 3 2 4 2 2 3 2" xfId="48567" xr:uid="{6906E151-31D2-415A-A550-E57CFFA3CD09}"/>
    <cellStyle name="Normal 3 2 4 2 2 4" xfId="32690" xr:uid="{3C8B561D-26CC-4EE0-8C62-A8FEEFA085E1}"/>
    <cellStyle name="Normal 3 2 4 2 3" xfId="13250" xr:uid="{00000000-0005-0000-0000-0000715A0000}"/>
    <cellStyle name="Normal 3 2 4 2 3 2" xfId="37100" xr:uid="{C8E32DE5-F45B-45D4-89D4-4ED66F39E45A}"/>
    <cellStyle name="Normal 3 2 4 2 4" xfId="21205" xr:uid="{00000000-0005-0000-0000-0000725A0000}"/>
    <cellStyle name="Normal 3 2 4 2 4 2" xfId="45038" xr:uid="{26C5FA4A-13F4-4F43-901E-2997FB66D010}"/>
    <cellStyle name="Normal 3 2 4 2 5" xfId="29159" xr:uid="{D259D284-D634-490F-B85D-41E72683EF99}"/>
    <cellStyle name="Normal 3 2 4 3" xfId="7058" xr:uid="{00000000-0005-0000-0000-0000735A0000}"/>
    <cellStyle name="Normal 3 2 4 3 2" xfId="15030" xr:uid="{00000000-0005-0000-0000-0000745A0000}"/>
    <cellStyle name="Normal 3 2 4 3 2 2" xfId="38873" xr:uid="{5BD278FA-3C26-415F-8C14-7248AC0D0AF0}"/>
    <cellStyle name="Normal 3 2 4 3 3" xfId="22977" xr:uid="{00000000-0005-0000-0000-0000755A0000}"/>
    <cellStyle name="Normal 3 2 4 3 3 2" xfId="46810" xr:uid="{4C3D8588-65BC-4B7D-99F0-90F16F4F944F}"/>
    <cellStyle name="Normal 3 2 4 3 4" xfId="30932" xr:uid="{6DDFCC73-BAAA-4FE1-B488-786B58BFDAFD}"/>
    <cellStyle name="Normal 3 2 4 4" xfId="11494" xr:uid="{00000000-0005-0000-0000-0000765A0000}"/>
    <cellStyle name="Normal 3 2 4 4 2" xfId="35344" xr:uid="{BBF94091-D6B7-4C6E-8621-EBB010699ED3}"/>
    <cellStyle name="Normal 3 2 4 5" xfId="19449" xr:uid="{00000000-0005-0000-0000-0000775A0000}"/>
    <cellStyle name="Normal 3 2 4 5 2" xfId="43282" xr:uid="{CD865D77-07B7-4BC2-A3F5-2D98A584A092}"/>
    <cellStyle name="Normal 3 2 4 6" xfId="27402" xr:uid="{59282816-F4AD-4AFF-965F-F86E2B3A1445}"/>
    <cellStyle name="Normal 3 2 4_Exh G" xfId="3518" xr:uid="{00000000-0005-0000-0000-0000785A0000}"/>
    <cellStyle name="Normal 3 2 5" xfId="4347" xr:uid="{00000000-0005-0000-0000-0000795A0000}"/>
    <cellStyle name="Normal 3 2 5 2" xfId="7939" xr:uid="{00000000-0005-0000-0000-00007A5A0000}"/>
    <cellStyle name="Normal 3 2 5 2 2" xfId="15910" xr:uid="{00000000-0005-0000-0000-00007B5A0000}"/>
    <cellStyle name="Normal 3 2 5 2 2 2" xfId="39753" xr:uid="{0C4920B6-9AB5-4DF4-AFE1-682B1BB608C2}"/>
    <cellStyle name="Normal 3 2 5 2 3" xfId="23856" xr:uid="{00000000-0005-0000-0000-00007C5A0000}"/>
    <cellStyle name="Normal 3 2 5 2 3 2" xfId="47689" xr:uid="{E032A6AC-012D-4CB9-BFE7-058870671475}"/>
    <cellStyle name="Normal 3 2 5 2 4" xfId="31812" xr:uid="{67300B4A-5F12-4D4F-AB4B-86A758676D54}"/>
    <cellStyle name="Normal 3 2 5 3" xfId="12372" xr:uid="{00000000-0005-0000-0000-00007D5A0000}"/>
    <cellStyle name="Normal 3 2 5 3 2" xfId="36222" xr:uid="{C03F8669-B420-4824-A594-0617460E24ED}"/>
    <cellStyle name="Normal 3 2 5 4" xfId="20327" xr:uid="{00000000-0005-0000-0000-00007E5A0000}"/>
    <cellStyle name="Normal 3 2 5 4 2" xfId="44160" xr:uid="{75A0780D-E1C9-4526-A76D-1E752E8B696F}"/>
    <cellStyle name="Normal 3 2 5 5" xfId="28281" xr:uid="{512AD40A-A2CD-4402-9AD2-5432678232CC}"/>
    <cellStyle name="Normal 3 2 6" xfId="6167" xr:uid="{00000000-0005-0000-0000-00007F5A0000}"/>
    <cellStyle name="Normal 3 2 6 2" xfId="14151" xr:uid="{00000000-0005-0000-0000-0000805A0000}"/>
    <cellStyle name="Normal 3 2 6 2 2" xfId="37995" xr:uid="{1510BEB2-2F72-4462-9830-D265477B8A9A}"/>
    <cellStyle name="Normal 3 2 6 3" xfId="22099" xr:uid="{00000000-0005-0000-0000-0000815A0000}"/>
    <cellStyle name="Normal 3 2 6 3 2" xfId="45932" xr:uid="{F324C2EC-EA2B-4EB9-8E0C-FB1E9073E267}"/>
    <cellStyle name="Normal 3 2 6 4" xfId="30054" xr:uid="{6425A3E6-3A4B-4456-B6D2-7BDCE277A45F}"/>
    <cellStyle name="Normal 3 2 7" xfId="9720" xr:uid="{00000000-0005-0000-0000-0000825A0000}"/>
    <cellStyle name="Normal 3 2 7 2" xfId="17678" xr:uid="{00000000-0005-0000-0000-0000835A0000}"/>
    <cellStyle name="Normal 3 2 7 2 2" xfId="41519" xr:uid="{ED0CD159-8F33-4F01-B978-186763EEDC4C}"/>
    <cellStyle name="Normal 3 2 7 3" xfId="25622" xr:uid="{00000000-0005-0000-0000-0000845A0000}"/>
    <cellStyle name="Normal 3 2 7 3 2" xfId="49455" xr:uid="{4E039654-3FCD-4810-B3F7-E9529B3352C5}"/>
    <cellStyle name="Normal 3 2 7 4" xfId="33578" xr:uid="{78C7E7E7-EFC5-4527-ACAB-E2F8738CA0A0}"/>
    <cellStyle name="Normal 3 2 8" xfId="10616" xr:uid="{00000000-0005-0000-0000-0000855A0000}"/>
    <cellStyle name="Normal 3 2 8 2" xfId="34466" xr:uid="{D9875C60-3B18-4528-B3E7-037551DD8DB0}"/>
    <cellStyle name="Normal 3 2 9" xfId="18571" xr:uid="{00000000-0005-0000-0000-0000865A0000}"/>
    <cellStyle name="Normal 3 2 9 2" xfId="42404" xr:uid="{C6B9A555-4E24-4438-A91F-5E9B1D003750}"/>
    <cellStyle name="Normal 3 2_Exh G" xfId="3513" xr:uid="{00000000-0005-0000-0000-0000875A0000}"/>
    <cellStyle name="Normal 3 3" xfId="670" xr:uid="{00000000-0005-0000-0000-0000885A0000}"/>
    <cellStyle name="Normal 3 3 2" xfId="1698" xr:uid="{00000000-0005-0000-0000-0000895A0000}"/>
    <cellStyle name="Normal 3 3 2 2" xfId="5228" xr:uid="{00000000-0005-0000-0000-00008A5A0000}"/>
    <cellStyle name="Normal 3 3 2 2 2" xfId="8819" xr:uid="{00000000-0005-0000-0000-00008B5A0000}"/>
    <cellStyle name="Normal 3 3 2 2 2 2" xfId="16790" xr:uid="{00000000-0005-0000-0000-00008C5A0000}"/>
    <cellStyle name="Normal 3 3 2 2 2 2 2" xfId="40633" xr:uid="{A3D283C7-F7A6-42D8-933A-89917DEF10C2}"/>
    <cellStyle name="Normal 3 3 2 2 2 3" xfId="24736" xr:uid="{00000000-0005-0000-0000-00008D5A0000}"/>
    <cellStyle name="Normal 3 3 2 2 2 3 2" xfId="48569" xr:uid="{0F5D9003-EB85-43F1-8364-39591F68ECA9}"/>
    <cellStyle name="Normal 3 3 2 2 2 4" xfId="32692" xr:uid="{E53BA89F-CA66-4DB7-B15E-CC0CCE62491E}"/>
    <cellStyle name="Normal 3 3 2 2 3" xfId="13252" xr:uid="{00000000-0005-0000-0000-00008E5A0000}"/>
    <cellStyle name="Normal 3 3 2 2 3 2" xfId="37102" xr:uid="{7C61AF97-EC6E-4376-B78D-284BB927D2D6}"/>
    <cellStyle name="Normal 3 3 2 2 4" xfId="21207" xr:uid="{00000000-0005-0000-0000-00008F5A0000}"/>
    <cellStyle name="Normal 3 3 2 2 4 2" xfId="45040" xr:uid="{D55D6581-A423-41C8-86BF-B2455ECB4124}"/>
    <cellStyle name="Normal 3 3 2 2 5" xfId="29161" xr:uid="{F3D43E99-603E-4511-BECA-A2DB365C0499}"/>
    <cellStyle name="Normal 3 3 2 3" xfId="7060" xr:uid="{00000000-0005-0000-0000-0000905A0000}"/>
    <cellStyle name="Normal 3 3 2 3 2" xfId="15032" xr:uid="{00000000-0005-0000-0000-0000915A0000}"/>
    <cellStyle name="Normal 3 3 2 3 2 2" xfId="38875" xr:uid="{EC02C9D8-DAAE-4E62-9DB4-3A308F71FF87}"/>
    <cellStyle name="Normal 3 3 2 3 3" xfId="22979" xr:uid="{00000000-0005-0000-0000-0000925A0000}"/>
    <cellStyle name="Normal 3 3 2 3 3 2" xfId="46812" xr:uid="{082AC056-3D73-4C4C-89A6-D1E9F7938438}"/>
    <cellStyle name="Normal 3 3 2 3 4" xfId="30934" xr:uid="{4467CF73-98CA-4752-9063-70A71D94DE41}"/>
    <cellStyle name="Normal 3 3 2 4" xfId="11496" xr:uid="{00000000-0005-0000-0000-0000935A0000}"/>
    <cellStyle name="Normal 3 3 2 4 2" xfId="35346" xr:uid="{C5F39555-367C-4BBF-B00C-4FF60678E257}"/>
    <cellStyle name="Normal 3 3 2 5" xfId="19451" xr:uid="{00000000-0005-0000-0000-0000945A0000}"/>
    <cellStyle name="Normal 3 3 2 5 2" xfId="43284" xr:uid="{60E08524-82F4-4384-90E1-A39E2E9D4543}"/>
    <cellStyle name="Normal 3 3 2 6" xfId="27404" xr:uid="{AABAD101-F0DF-476D-85EA-97EEC33A9900}"/>
    <cellStyle name="Normal 3 3 2_Exh G" xfId="3520" xr:uid="{00000000-0005-0000-0000-0000955A0000}"/>
    <cellStyle name="Normal 3 3 3" xfId="4349" xr:uid="{00000000-0005-0000-0000-0000965A0000}"/>
    <cellStyle name="Normal 3 3 3 2" xfId="7941" xr:uid="{00000000-0005-0000-0000-0000975A0000}"/>
    <cellStyle name="Normal 3 3 3 2 2" xfId="15912" xr:uid="{00000000-0005-0000-0000-0000985A0000}"/>
    <cellStyle name="Normal 3 3 3 2 2 2" xfId="39755" xr:uid="{286D5959-F68D-4AD2-9D87-009FB8160A7C}"/>
    <cellStyle name="Normal 3 3 3 2 3" xfId="23858" xr:uid="{00000000-0005-0000-0000-0000995A0000}"/>
    <cellStyle name="Normal 3 3 3 2 3 2" xfId="47691" xr:uid="{6E844428-E050-405C-A9B3-9D3911A0CF17}"/>
    <cellStyle name="Normal 3 3 3 2 4" xfId="31814" xr:uid="{D6344D2C-A74A-4D01-A81C-E4FF795B424F}"/>
    <cellStyle name="Normal 3 3 3 3" xfId="12374" xr:uid="{00000000-0005-0000-0000-00009A5A0000}"/>
    <cellStyle name="Normal 3 3 3 3 2" xfId="36224" xr:uid="{0019C411-6D58-44D8-8856-D37B0ED633FF}"/>
    <cellStyle name="Normal 3 3 3 4" xfId="20329" xr:uid="{00000000-0005-0000-0000-00009B5A0000}"/>
    <cellStyle name="Normal 3 3 3 4 2" xfId="44162" xr:uid="{26E03B27-C89F-482A-865C-6439527D1D96}"/>
    <cellStyle name="Normal 3 3 3 5" xfId="28283" xr:uid="{48443D11-745C-423B-8C11-D1E3FAA033B1}"/>
    <cellStyle name="Normal 3 3 4" xfId="6169" xr:uid="{00000000-0005-0000-0000-00009C5A0000}"/>
    <cellStyle name="Normal 3 3 4 2" xfId="14153" xr:uid="{00000000-0005-0000-0000-00009D5A0000}"/>
    <cellStyle name="Normal 3 3 4 2 2" xfId="37997" xr:uid="{3652950D-81AF-4DE0-8D43-E1762A836378}"/>
    <cellStyle name="Normal 3 3 4 3" xfId="22101" xr:uid="{00000000-0005-0000-0000-00009E5A0000}"/>
    <cellStyle name="Normal 3 3 4 3 2" xfId="45934" xr:uid="{A29D40F1-E45B-4140-9EB1-4352E8174D74}"/>
    <cellStyle name="Normal 3 3 4 4" xfId="30056" xr:uid="{F4F7EDD7-A6CD-4A50-9316-CE246511F638}"/>
    <cellStyle name="Normal 3 3 5" xfId="9722" xr:uid="{00000000-0005-0000-0000-00009F5A0000}"/>
    <cellStyle name="Normal 3 3 5 2" xfId="17680" xr:uid="{00000000-0005-0000-0000-0000A05A0000}"/>
    <cellStyle name="Normal 3 3 5 2 2" xfId="41521" xr:uid="{D11CEB18-207F-427E-AF08-A7C306630B12}"/>
    <cellStyle name="Normal 3 3 5 3" xfId="25624" xr:uid="{00000000-0005-0000-0000-0000A15A0000}"/>
    <cellStyle name="Normal 3 3 5 3 2" xfId="49457" xr:uid="{790C71AA-C6BA-48DE-83AB-BB8A55376079}"/>
    <cellStyle name="Normal 3 3 5 4" xfId="33580" xr:uid="{E1123C10-A712-4BC0-BF93-29BA7C783D0E}"/>
    <cellStyle name="Normal 3 3 6" xfId="10618" xr:uid="{00000000-0005-0000-0000-0000A25A0000}"/>
    <cellStyle name="Normal 3 3 6 2" xfId="34468" xr:uid="{9A1B2711-D20C-4F1C-8F7C-DB489F720F6F}"/>
    <cellStyle name="Normal 3 3 7" xfId="18573" xr:uid="{00000000-0005-0000-0000-0000A35A0000}"/>
    <cellStyle name="Normal 3 3 7 2" xfId="42406" xr:uid="{45003ED4-4C18-460A-9971-D9F3EC38950B}"/>
    <cellStyle name="Normal 3 3 8" xfId="26526" xr:uid="{74970A78-40DD-4D73-948A-A6195BBDBB31}"/>
    <cellStyle name="Normal 3 3_Exh G" xfId="3519" xr:uid="{00000000-0005-0000-0000-0000A45A0000}"/>
    <cellStyle name="Normal 3 4" xfId="1018" xr:uid="{00000000-0005-0000-0000-0000A55A0000}"/>
    <cellStyle name="Normal 3 4 2" xfId="1923" xr:uid="{00000000-0005-0000-0000-0000A65A0000}"/>
    <cellStyle name="Normal 3 4 2 2" xfId="5441" xr:uid="{00000000-0005-0000-0000-0000A75A0000}"/>
    <cellStyle name="Normal 3 4 2 2 2" xfId="9032" xr:uid="{00000000-0005-0000-0000-0000A85A0000}"/>
    <cellStyle name="Normal 3 4 2 2 2 2" xfId="17003" xr:uid="{00000000-0005-0000-0000-0000A95A0000}"/>
    <cellStyle name="Normal 3 4 2 2 2 2 2" xfId="40846" xr:uid="{D72FDD52-8193-4AE0-A48C-D661AFA11F31}"/>
    <cellStyle name="Normal 3 4 2 2 2 3" xfId="24949" xr:uid="{00000000-0005-0000-0000-0000AA5A0000}"/>
    <cellStyle name="Normal 3 4 2 2 2 3 2" xfId="48782" xr:uid="{14FD1B2D-7DB0-4A48-AA63-7BC5BF46121A}"/>
    <cellStyle name="Normal 3 4 2 2 2 4" xfId="32905" xr:uid="{12261900-5E02-498C-8C11-8F34314F4BA0}"/>
    <cellStyle name="Normal 3 4 2 2 3" xfId="13465" xr:uid="{00000000-0005-0000-0000-0000AB5A0000}"/>
    <cellStyle name="Normal 3 4 2 2 3 2" xfId="37315" xr:uid="{E6E0B72B-B57B-4126-9BFE-AA85DF1F2558}"/>
    <cellStyle name="Normal 3 4 2 2 4" xfId="21420" xr:uid="{00000000-0005-0000-0000-0000AC5A0000}"/>
    <cellStyle name="Normal 3 4 2 2 4 2" xfId="45253" xr:uid="{6FDA1DEA-97F0-4B58-920A-D69CE4D6669A}"/>
    <cellStyle name="Normal 3 4 2 2 5" xfId="29374" xr:uid="{84A0B80B-8207-42AC-A77E-43658E18AC3E}"/>
    <cellStyle name="Normal 3 4 2 3" xfId="7273" xr:uid="{00000000-0005-0000-0000-0000AD5A0000}"/>
    <cellStyle name="Normal 3 4 2 3 2" xfId="15245" xr:uid="{00000000-0005-0000-0000-0000AE5A0000}"/>
    <cellStyle name="Normal 3 4 2 3 2 2" xfId="39088" xr:uid="{6C93929E-B57F-4025-95C6-CC44E857E34C}"/>
    <cellStyle name="Normal 3 4 2 3 3" xfId="23192" xr:uid="{00000000-0005-0000-0000-0000AF5A0000}"/>
    <cellStyle name="Normal 3 4 2 3 3 2" xfId="47025" xr:uid="{726F9917-81EC-474E-941E-2DF6F9531EB5}"/>
    <cellStyle name="Normal 3 4 2 3 4" xfId="31147" xr:uid="{6E5B3D2D-8A5A-47BF-830C-3F9E1B7ED6C5}"/>
    <cellStyle name="Normal 3 4 2 4" xfId="11709" xr:uid="{00000000-0005-0000-0000-0000B05A0000}"/>
    <cellStyle name="Normal 3 4 2 4 2" xfId="35559" xr:uid="{32705D4C-B91E-4024-B501-41523B728302}"/>
    <cellStyle name="Normal 3 4 2 5" xfId="19664" xr:uid="{00000000-0005-0000-0000-0000B15A0000}"/>
    <cellStyle name="Normal 3 4 2 5 2" xfId="43497" xr:uid="{8BB1F2E9-C0B1-4539-A250-ECD9776A1FD3}"/>
    <cellStyle name="Normal 3 4 2 6" xfId="27617" xr:uid="{E4EE7908-236E-4B7C-8EE8-AF7C1B37CBEE}"/>
    <cellStyle name="Normal 3 4 2_Exh G" xfId="3522" xr:uid="{00000000-0005-0000-0000-0000B25A0000}"/>
    <cellStyle name="Normal 3 4 3" xfId="4562" xr:uid="{00000000-0005-0000-0000-0000B35A0000}"/>
    <cellStyle name="Normal 3 4 3 2" xfId="8154" xr:uid="{00000000-0005-0000-0000-0000B45A0000}"/>
    <cellStyle name="Normal 3 4 3 2 2" xfId="16125" xr:uid="{00000000-0005-0000-0000-0000B55A0000}"/>
    <cellStyle name="Normal 3 4 3 2 2 2" xfId="39968" xr:uid="{ADD358FD-FCEE-4C79-8516-39D86593A113}"/>
    <cellStyle name="Normal 3 4 3 2 3" xfId="24071" xr:uid="{00000000-0005-0000-0000-0000B65A0000}"/>
    <cellStyle name="Normal 3 4 3 2 3 2" xfId="47904" xr:uid="{E8AB8E65-7459-4EA5-92CB-8DC35F95021E}"/>
    <cellStyle name="Normal 3 4 3 2 4" xfId="32027" xr:uid="{43303025-1B33-42FC-AC3B-8F95B34908DB}"/>
    <cellStyle name="Normal 3 4 3 3" xfId="12587" xr:uid="{00000000-0005-0000-0000-0000B75A0000}"/>
    <cellStyle name="Normal 3 4 3 3 2" xfId="36437" xr:uid="{E7E48D67-A958-4115-B65D-A8939602978C}"/>
    <cellStyle name="Normal 3 4 3 4" xfId="20542" xr:uid="{00000000-0005-0000-0000-0000B85A0000}"/>
    <cellStyle name="Normal 3 4 3 4 2" xfId="44375" xr:uid="{02C46267-D450-4E80-A51D-EB140A2F951D}"/>
    <cellStyle name="Normal 3 4 3 5" xfId="28496" xr:uid="{7F4F5141-9D06-4D8E-BB0E-126FE67D0C3E}"/>
    <cellStyle name="Normal 3 4 4" xfId="6392" xr:uid="{00000000-0005-0000-0000-0000B95A0000}"/>
    <cellStyle name="Normal 3 4 4 2" xfId="14367" xr:uid="{00000000-0005-0000-0000-0000BA5A0000}"/>
    <cellStyle name="Normal 3 4 4 2 2" xfId="38210" xr:uid="{AA3BA163-7AB6-45B3-A413-EBBECCDEFB23}"/>
    <cellStyle name="Normal 3 4 4 3" xfId="22314" xr:uid="{00000000-0005-0000-0000-0000BB5A0000}"/>
    <cellStyle name="Normal 3 4 4 3 2" xfId="46147" xr:uid="{26B41090-EBD2-4AB8-AC02-A916011A6ACF}"/>
    <cellStyle name="Normal 3 4 4 4" xfId="30269" xr:uid="{B9FFE2D1-9BAC-4C56-9256-A0EF9EAE19A9}"/>
    <cellStyle name="Normal 3 4 5" xfId="9935" xr:uid="{00000000-0005-0000-0000-0000BC5A0000}"/>
    <cellStyle name="Normal 3 4 5 2" xfId="17893" xr:uid="{00000000-0005-0000-0000-0000BD5A0000}"/>
    <cellStyle name="Normal 3 4 5 2 2" xfId="41734" xr:uid="{DC2469D1-353B-4A4C-9DD2-4FD4DC8AB1A8}"/>
    <cellStyle name="Normal 3 4 5 3" xfId="25837" xr:uid="{00000000-0005-0000-0000-0000BE5A0000}"/>
    <cellStyle name="Normal 3 4 5 3 2" xfId="49670" xr:uid="{6FCD0C32-3B0B-4453-BA56-8D89B151D36F}"/>
    <cellStyle name="Normal 3 4 5 4" xfId="33793" xr:uid="{BDE8FD9B-1650-457D-8750-0B540A594732}"/>
    <cellStyle name="Normal 3 4 6" xfId="10831" xr:uid="{00000000-0005-0000-0000-0000BF5A0000}"/>
    <cellStyle name="Normal 3 4 6 2" xfId="34681" xr:uid="{BE064379-358F-4247-91B2-97B215F6B300}"/>
    <cellStyle name="Normal 3 4 7" xfId="18786" xr:uid="{00000000-0005-0000-0000-0000C05A0000}"/>
    <cellStyle name="Normal 3 4 7 2" xfId="42619" xr:uid="{6371ACE5-8124-4DC7-BD20-22DF61395FDF}"/>
    <cellStyle name="Normal 3 4 8" xfId="26739" xr:uid="{93774915-426B-4D4E-B482-E560591BDAAF}"/>
    <cellStyle name="Normal 3 4_Exh G" xfId="3521" xr:uid="{00000000-0005-0000-0000-0000C15A0000}"/>
    <cellStyle name="Normal 3 5" xfId="5466" xr:uid="{00000000-0005-0000-0000-0000C25A0000}"/>
    <cellStyle name="Normal 3 6" xfId="5475" xr:uid="{00000000-0005-0000-0000-0000C35A0000}"/>
    <cellStyle name="Normal 3 7" xfId="5490" xr:uid="{00000000-0005-0000-0000-0000C45A0000}"/>
    <cellStyle name="Normal 3 8" xfId="5516" xr:uid="{00000000-0005-0000-0000-0000C55A0000}"/>
    <cellStyle name="Normal 3 9" xfId="5507" xr:uid="{00000000-0005-0000-0000-0000C65A0000}"/>
    <cellStyle name="Normal 30" xfId="5461" xr:uid="{00000000-0005-0000-0000-0000C75A0000}"/>
    <cellStyle name="Normal 30 2" xfId="9052" xr:uid="{00000000-0005-0000-0000-0000C85A0000}"/>
    <cellStyle name="Normal 31" xfId="5463" xr:uid="{00000000-0005-0000-0000-0000C95A0000}"/>
    <cellStyle name="Normal 31 2" xfId="9054" xr:uid="{00000000-0005-0000-0000-0000CA5A0000}"/>
    <cellStyle name="Normal 32" xfId="5464" xr:uid="{00000000-0005-0000-0000-0000CB5A0000}"/>
    <cellStyle name="Normal 32 2" xfId="9055" xr:uid="{00000000-0005-0000-0000-0000CC5A0000}"/>
    <cellStyle name="Normal 33" xfId="5481" xr:uid="{00000000-0005-0000-0000-0000CD5A0000}"/>
    <cellStyle name="Normal 33 2" xfId="9061" xr:uid="{00000000-0005-0000-0000-0000CE5A0000}"/>
    <cellStyle name="Normal 34" xfId="5482" xr:uid="{00000000-0005-0000-0000-0000CF5A0000}"/>
    <cellStyle name="Normal 34 2" xfId="9062" xr:uid="{00000000-0005-0000-0000-0000D05A0000}"/>
    <cellStyle name="Normal 35" xfId="5484" xr:uid="{00000000-0005-0000-0000-0000D15A0000}"/>
    <cellStyle name="Normal 35 2" xfId="9064" xr:uid="{00000000-0005-0000-0000-0000D25A0000}"/>
    <cellStyle name="Normal 36" xfId="5485" xr:uid="{00000000-0005-0000-0000-0000D35A0000}"/>
    <cellStyle name="Normal 36 2" xfId="9065" xr:uid="{00000000-0005-0000-0000-0000D45A0000}"/>
    <cellStyle name="Normal 37" xfId="5486" xr:uid="{00000000-0005-0000-0000-0000D55A0000}"/>
    <cellStyle name="Normal 37 2" xfId="9066" xr:uid="{00000000-0005-0000-0000-0000D65A0000}"/>
    <cellStyle name="Normal 37 2 2" xfId="17025" xr:uid="{00000000-0005-0000-0000-0000D75A0000}"/>
    <cellStyle name="Normal 37 2 2 2" xfId="40868" xr:uid="{161A778C-1C81-42B4-B578-96CE1BD60C39}"/>
    <cellStyle name="Normal 37 2 3" xfId="24971" xr:uid="{00000000-0005-0000-0000-0000D85A0000}"/>
    <cellStyle name="Normal 37 2 3 2" xfId="48804" xr:uid="{926C806C-ADCA-461F-9BBC-DE25391A9E98}"/>
    <cellStyle name="Normal 37 2 4" xfId="32927" xr:uid="{452D333C-2EC4-4B35-9A56-4D5CE79A4391}"/>
    <cellStyle name="Normal 37 3" xfId="13488" xr:uid="{00000000-0005-0000-0000-0000D95A0000}"/>
    <cellStyle name="Normal 37 3 2" xfId="37338" xr:uid="{2A397325-D99B-47F3-965D-252A9D1C14FF}"/>
    <cellStyle name="Normal 37 4" xfId="21442" xr:uid="{00000000-0005-0000-0000-0000DA5A0000}"/>
    <cellStyle name="Normal 37 4 2" xfId="45275" xr:uid="{00CFBEE0-51E0-4075-A243-D4FF688ACEDC}"/>
    <cellStyle name="Normal 37 5" xfId="29397" xr:uid="{BFEF0C60-6F7E-4C20-B2BC-0B95C8CF453A}"/>
    <cellStyle name="Normal 38" xfId="5488" xr:uid="{00000000-0005-0000-0000-0000DB5A0000}"/>
    <cellStyle name="Normal 39" xfId="5493" xr:uid="{00000000-0005-0000-0000-0000DC5A0000}"/>
    <cellStyle name="Normal 39 2" xfId="5513" xr:uid="{00000000-0005-0000-0000-0000DD5A0000}"/>
    <cellStyle name="Normal 39 2 2" xfId="13504" xr:uid="{00000000-0005-0000-0000-0000DE5A0000}"/>
    <cellStyle name="Normal 39 3" xfId="13491" xr:uid="{00000000-0005-0000-0000-0000DF5A0000}"/>
    <cellStyle name="Normal 4" xfId="4" xr:uid="{00000000-0005-0000-0000-0000E05A0000}"/>
    <cellStyle name="Normal 4 10" xfId="5517" xr:uid="{00000000-0005-0000-0000-0000E15A0000}"/>
    <cellStyle name="Normal 4 11" xfId="5508" xr:uid="{00000000-0005-0000-0000-0000E25A0000}"/>
    <cellStyle name="Normal 4 2" xfId="671" xr:uid="{00000000-0005-0000-0000-0000E35A0000}"/>
    <cellStyle name="Normal 4 2 10" xfId="5505" xr:uid="{00000000-0005-0000-0000-0000E45A0000}"/>
    <cellStyle name="Normal 4 2 11" xfId="9723" xr:uid="{00000000-0005-0000-0000-0000E55A0000}"/>
    <cellStyle name="Normal 4 2 11 2" xfId="17681" xr:uid="{00000000-0005-0000-0000-0000E65A0000}"/>
    <cellStyle name="Normal 4 2 11 2 2" xfId="41522" xr:uid="{D4FE9E9C-91BC-4B29-B51C-3D7DAE5ED16E}"/>
    <cellStyle name="Normal 4 2 11 3" xfId="25625" xr:uid="{00000000-0005-0000-0000-0000E75A0000}"/>
    <cellStyle name="Normal 4 2 11 3 2" xfId="49458" xr:uid="{310BCA1A-62A0-425D-AB16-98F61EEC9399}"/>
    <cellStyle name="Normal 4 2 11 4" xfId="33581" xr:uid="{A3E0D0A8-7965-4503-9D7A-40DA5AB595FB}"/>
    <cellStyle name="Normal 4 2 12" xfId="10619" xr:uid="{00000000-0005-0000-0000-0000E85A0000}"/>
    <cellStyle name="Normal 4 2 12 2" xfId="34469" xr:uid="{B03CABAA-F0D9-41DD-AC63-CBF9D9E94573}"/>
    <cellStyle name="Normal 4 2 13" xfId="18574" xr:uid="{00000000-0005-0000-0000-0000E95A0000}"/>
    <cellStyle name="Normal 4 2 13 2" xfId="42407" xr:uid="{298595F9-5173-48C3-B171-390DC0C19B4A}"/>
    <cellStyle name="Normal 4 2 14" xfId="26527" xr:uid="{754FA3D9-6343-441F-9F0B-46BE5CA76D64}"/>
    <cellStyle name="Normal 4 2 2" xfId="672" xr:uid="{00000000-0005-0000-0000-0000EA5A0000}"/>
    <cellStyle name="Normal 4 2 2 2" xfId="1700" xr:uid="{00000000-0005-0000-0000-0000EB5A0000}"/>
    <cellStyle name="Normal 4 2 2 2 2" xfId="5230" xr:uid="{00000000-0005-0000-0000-0000EC5A0000}"/>
    <cellStyle name="Normal 4 2 2 2 2 2" xfId="8821" xr:uid="{00000000-0005-0000-0000-0000ED5A0000}"/>
    <cellStyle name="Normal 4 2 2 2 2 2 2" xfId="16792" xr:uid="{00000000-0005-0000-0000-0000EE5A0000}"/>
    <cellStyle name="Normal 4 2 2 2 2 2 2 2" xfId="40635" xr:uid="{A2A81480-3A6C-4F85-A3FD-AF259F7C6D54}"/>
    <cellStyle name="Normal 4 2 2 2 2 2 3" xfId="24738" xr:uid="{00000000-0005-0000-0000-0000EF5A0000}"/>
    <cellStyle name="Normal 4 2 2 2 2 2 3 2" xfId="48571" xr:uid="{4A581F53-AA3E-4190-8459-FF1F9B2CC50F}"/>
    <cellStyle name="Normal 4 2 2 2 2 2 4" xfId="32694" xr:uid="{799CBE96-5DBA-4D2C-9A00-4DE632BF60A6}"/>
    <cellStyle name="Normal 4 2 2 2 2 3" xfId="13254" xr:uid="{00000000-0005-0000-0000-0000F05A0000}"/>
    <cellStyle name="Normal 4 2 2 2 2 3 2" xfId="37104" xr:uid="{DA2DAF94-DDF3-4EB9-8212-9D4455631DC1}"/>
    <cellStyle name="Normal 4 2 2 2 2 4" xfId="21209" xr:uid="{00000000-0005-0000-0000-0000F15A0000}"/>
    <cellStyle name="Normal 4 2 2 2 2 4 2" xfId="45042" xr:uid="{C1C7933B-3427-424A-8FF6-1B3749D4838C}"/>
    <cellStyle name="Normal 4 2 2 2 2 5" xfId="29163" xr:uid="{27C14F40-E4D0-4A93-8D4D-811701A0BA27}"/>
    <cellStyle name="Normal 4 2 2 2 3" xfId="7062" xr:uid="{00000000-0005-0000-0000-0000F25A0000}"/>
    <cellStyle name="Normal 4 2 2 2 3 2" xfId="15034" xr:uid="{00000000-0005-0000-0000-0000F35A0000}"/>
    <cellStyle name="Normal 4 2 2 2 3 2 2" xfId="38877" xr:uid="{D5118EF6-D199-48F3-B084-3F344CCA4949}"/>
    <cellStyle name="Normal 4 2 2 2 3 3" xfId="22981" xr:uid="{00000000-0005-0000-0000-0000F45A0000}"/>
    <cellStyle name="Normal 4 2 2 2 3 3 2" xfId="46814" xr:uid="{381EB0C2-0315-4272-BE70-F6EB573FEDC7}"/>
    <cellStyle name="Normal 4 2 2 2 3 4" xfId="30936" xr:uid="{71618219-5AA4-4B1B-B70B-2E56FA36BEF7}"/>
    <cellStyle name="Normal 4 2 2 2 4" xfId="11498" xr:uid="{00000000-0005-0000-0000-0000F55A0000}"/>
    <cellStyle name="Normal 4 2 2 2 4 2" xfId="35348" xr:uid="{FCFE2840-AFEC-4C20-83ED-6CF4259A55A6}"/>
    <cellStyle name="Normal 4 2 2 2 5" xfId="19453" xr:uid="{00000000-0005-0000-0000-0000F65A0000}"/>
    <cellStyle name="Normal 4 2 2 2 5 2" xfId="43286" xr:uid="{24A94AE8-8307-467F-BF0A-83B352FBA97E}"/>
    <cellStyle name="Normal 4 2 2 2 6" xfId="27406" xr:uid="{A8DEDE8F-B4E4-45B0-A80C-81A59345C842}"/>
    <cellStyle name="Normal 4 2 2 2_Exh G" xfId="3526" xr:uid="{00000000-0005-0000-0000-0000F75A0000}"/>
    <cellStyle name="Normal 4 2 2 3" xfId="4351" xr:uid="{00000000-0005-0000-0000-0000F85A0000}"/>
    <cellStyle name="Normal 4 2 2 3 2" xfId="7943" xr:uid="{00000000-0005-0000-0000-0000F95A0000}"/>
    <cellStyle name="Normal 4 2 2 3 2 2" xfId="15914" xr:uid="{00000000-0005-0000-0000-0000FA5A0000}"/>
    <cellStyle name="Normal 4 2 2 3 2 2 2" xfId="39757" xr:uid="{A75CABCC-34C1-43AA-A0FC-4F973E1BB6F8}"/>
    <cellStyle name="Normal 4 2 2 3 2 3" xfId="23860" xr:uid="{00000000-0005-0000-0000-0000FB5A0000}"/>
    <cellStyle name="Normal 4 2 2 3 2 3 2" xfId="47693" xr:uid="{F79A0840-1746-45CE-9224-440502F73A3C}"/>
    <cellStyle name="Normal 4 2 2 3 2 4" xfId="31816" xr:uid="{ABE22496-BEB4-46B9-BA0A-AF1811EAD02C}"/>
    <cellStyle name="Normal 4 2 2 3 3" xfId="12376" xr:uid="{00000000-0005-0000-0000-0000FC5A0000}"/>
    <cellStyle name="Normal 4 2 2 3 3 2" xfId="36226" xr:uid="{26F639CD-9777-4547-8674-100509A68B21}"/>
    <cellStyle name="Normal 4 2 2 3 4" xfId="20331" xr:uid="{00000000-0005-0000-0000-0000FD5A0000}"/>
    <cellStyle name="Normal 4 2 2 3 4 2" xfId="44164" xr:uid="{F76C8ACE-DB65-4908-AC59-1861105CCFA0}"/>
    <cellStyle name="Normal 4 2 2 3 5" xfId="28285" xr:uid="{09DF61B6-47D4-4254-84D8-C30C1BD0E7D9}"/>
    <cellStyle name="Normal 4 2 2 4" xfId="6171" xr:uid="{00000000-0005-0000-0000-0000FE5A0000}"/>
    <cellStyle name="Normal 4 2 2 4 2" xfId="14155" xr:uid="{00000000-0005-0000-0000-0000FF5A0000}"/>
    <cellStyle name="Normal 4 2 2 4 2 2" xfId="37999" xr:uid="{FA7F0CA2-6054-47EB-A4E0-7D69BF601876}"/>
    <cellStyle name="Normal 4 2 2 4 3" xfId="22103" xr:uid="{00000000-0005-0000-0000-0000005B0000}"/>
    <cellStyle name="Normal 4 2 2 4 3 2" xfId="45936" xr:uid="{1AFC6B18-D743-4F69-9D11-305630F53112}"/>
    <cellStyle name="Normal 4 2 2 4 4" xfId="30058" xr:uid="{02606D28-79C3-4735-A768-2D1CF1CFF871}"/>
    <cellStyle name="Normal 4 2 2 5" xfId="9724" xr:uid="{00000000-0005-0000-0000-0000015B0000}"/>
    <cellStyle name="Normal 4 2 2 5 2" xfId="17682" xr:uid="{00000000-0005-0000-0000-0000025B0000}"/>
    <cellStyle name="Normal 4 2 2 5 2 2" xfId="41523" xr:uid="{8C5870B8-907B-4C23-92B1-CF0CAB561C73}"/>
    <cellStyle name="Normal 4 2 2 5 3" xfId="25626" xr:uid="{00000000-0005-0000-0000-0000035B0000}"/>
    <cellStyle name="Normal 4 2 2 5 3 2" xfId="49459" xr:uid="{ECCE9DA5-57E4-460F-9107-2239AA658313}"/>
    <cellStyle name="Normal 4 2 2 5 4" xfId="33582" xr:uid="{AE86A50E-5022-49F3-8AB6-1010D573CABB}"/>
    <cellStyle name="Normal 4 2 2 6" xfId="10620" xr:uid="{00000000-0005-0000-0000-0000045B0000}"/>
    <cellStyle name="Normal 4 2 2 6 2" xfId="34470" xr:uid="{0889EE6D-8E7E-4A3F-9E9A-F152DBA34E75}"/>
    <cellStyle name="Normal 4 2 2 7" xfId="18575" xr:uid="{00000000-0005-0000-0000-0000055B0000}"/>
    <cellStyle name="Normal 4 2 2 7 2" xfId="42408" xr:uid="{E68AB874-D251-46F0-8BA7-E2F437B29A4B}"/>
    <cellStyle name="Normal 4 2 2 8" xfId="26528" xr:uid="{B729D2FE-78F1-448E-BDB0-7D8670DBD3A1}"/>
    <cellStyle name="Normal 4 2 2_Exh G" xfId="3525" xr:uid="{00000000-0005-0000-0000-0000065B0000}"/>
    <cellStyle name="Normal 4 2 3" xfId="1021" xr:uid="{00000000-0005-0000-0000-0000075B0000}"/>
    <cellStyle name="Normal 4 2 3 2" xfId="1926" xr:uid="{00000000-0005-0000-0000-0000085B0000}"/>
    <cellStyle name="Normal 4 2 3 2 2" xfId="5444" xr:uid="{00000000-0005-0000-0000-0000095B0000}"/>
    <cellStyle name="Normal 4 2 3 2 2 2" xfId="9035" xr:uid="{00000000-0005-0000-0000-00000A5B0000}"/>
    <cellStyle name="Normal 4 2 3 2 2 2 2" xfId="17006" xr:uid="{00000000-0005-0000-0000-00000B5B0000}"/>
    <cellStyle name="Normal 4 2 3 2 2 2 2 2" xfId="40849" xr:uid="{0CF12FB3-5C15-4EAB-B3AE-77EC2EDFFCB8}"/>
    <cellStyle name="Normal 4 2 3 2 2 2 3" xfId="24952" xr:uid="{00000000-0005-0000-0000-00000C5B0000}"/>
    <cellStyle name="Normal 4 2 3 2 2 2 3 2" xfId="48785" xr:uid="{6A0A8BDA-5F64-44C9-9B03-4788308DD815}"/>
    <cellStyle name="Normal 4 2 3 2 2 2 4" xfId="32908" xr:uid="{1073A1CD-AE54-4FC9-B2D0-5A678A21415B}"/>
    <cellStyle name="Normal 4 2 3 2 2 3" xfId="13468" xr:uid="{00000000-0005-0000-0000-00000D5B0000}"/>
    <cellStyle name="Normal 4 2 3 2 2 3 2" xfId="37318" xr:uid="{72E1B9D4-7FC3-4760-823C-F8350026680A}"/>
    <cellStyle name="Normal 4 2 3 2 2 4" xfId="21423" xr:uid="{00000000-0005-0000-0000-00000E5B0000}"/>
    <cellStyle name="Normal 4 2 3 2 2 4 2" xfId="45256" xr:uid="{C618C59C-D309-4315-8CBD-1102E2DBB436}"/>
    <cellStyle name="Normal 4 2 3 2 2 5" xfId="29377" xr:uid="{8C86D2C8-E083-4833-B688-50C51AF311E5}"/>
    <cellStyle name="Normal 4 2 3 2 3" xfId="7276" xr:uid="{00000000-0005-0000-0000-00000F5B0000}"/>
    <cellStyle name="Normal 4 2 3 2 3 2" xfId="15248" xr:uid="{00000000-0005-0000-0000-0000105B0000}"/>
    <cellStyle name="Normal 4 2 3 2 3 2 2" xfId="39091" xr:uid="{536A2EEE-942D-4694-AD87-6EE985A9DD89}"/>
    <cellStyle name="Normal 4 2 3 2 3 3" xfId="23195" xr:uid="{00000000-0005-0000-0000-0000115B0000}"/>
    <cellStyle name="Normal 4 2 3 2 3 3 2" xfId="47028" xr:uid="{CA0EAE84-983A-4B88-B970-44601C00E400}"/>
    <cellStyle name="Normal 4 2 3 2 3 4" xfId="31150" xr:uid="{53E2F811-FD2D-4A29-9147-C1B5FA0ECB49}"/>
    <cellStyle name="Normal 4 2 3 2 4" xfId="11712" xr:uid="{00000000-0005-0000-0000-0000125B0000}"/>
    <cellStyle name="Normal 4 2 3 2 4 2" xfId="35562" xr:uid="{8B28B491-DBF3-4D3F-9282-4425DB3C6207}"/>
    <cellStyle name="Normal 4 2 3 2 5" xfId="19667" xr:uid="{00000000-0005-0000-0000-0000135B0000}"/>
    <cellStyle name="Normal 4 2 3 2 5 2" xfId="43500" xr:uid="{3837740A-BC98-43E6-AA2C-AD656DDCB2AD}"/>
    <cellStyle name="Normal 4 2 3 2 6" xfId="27620" xr:uid="{A56F8236-1B83-45B0-B0E4-D5385D1CFFE5}"/>
    <cellStyle name="Normal 4 2 3 2_Exh G" xfId="3528" xr:uid="{00000000-0005-0000-0000-0000145B0000}"/>
    <cellStyle name="Normal 4 2 3 3" xfId="4565" xr:uid="{00000000-0005-0000-0000-0000155B0000}"/>
    <cellStyle name="Normal 4 2 3 3 2" xfId="8157" xr:uid="{00000000-0005-0000-0000-0000165B0000}"/>
    <cellStyle name="Normal 4 2 3 3 2 2" xfId="16128" xr:uid="{00000000-0005-0000-0000-0000175B0000}"/>
    <cellStyle name="Normal 4 2 3 3 2 2 2" xfId="39971" xr:uid="{94F56576-CF9C-4639-BE50-20AD4D7D75EA}"/>
    <cellStyle name="Normal 4 2 3 3 2 3" xfId="24074" xr:uid="{00000000-0005-0000-0000-0000185B0000}"/>
    <cellStyle name="Normal 4 2 3 3 2 3 2" xfId="47907" xr:uid="{B3754F1B-ED1F-4D94-80EF-EECB6C733AAC}"/>
    <cellStyle name="Normal 4 2 3 3 2 4" xfId="32030" xr:uid="{F2A3B4B8-0BA9-4AB6-9566-DFD97F09B682}"/>
    <cellStyle name="Normal 4 2 3 3 3" xfId="12590" xr:uid="{00000000-0005-0000-0000-0000195B0000}"/>
    <cellStyle name="Normal 4 2 3 3 3 2" xfId="36440" xr:uid="{FBC4F45D-2431-495F-8C4B-E00017CAB22A}"/>
    <cellStyle name="Normal 4 2 3 3 4" xfId="20545" xr:uid="{00000000-0005-0000-0000-00001A5B0000}"/>
    <cellStyle name="Normal 4 2 3 3 4 2" xfId="44378" xr:uid="{D5691C13-A449-4F80-883A-A3A7190DB9FB}"/>
    <cellStyle name="Normal 4 2 3 3 5" xfId="28499" xr:uid="{B1BB44B6-D47F-4B0E-AF7D-E53447B6A4E8}"/>
    <cellStyle name="Normal 4 2 3 4" xfId="6395" xr:uid="{00000000-0005-0000-0000-00001B5B0000}"/>
    <cellStyle name="Normal 4 2 3 4 2" xfId="14370" xr:uid="{00000000-0005-0000-0000-00001C5B0000}"/>
    <cellStyle name="Normal 4 2 3 4 2 2" xfId="38213" xr:uid="{C166A558-36E2-446D-B4C4-D7A48CD2F885}"/>
    <cellStyle name="Normal 4 2 3 4 3" xfId="22317" xr:uid="{00000000-0005-0000-0000-00001D5B0000}"/>
    <cellStyle name="Normal 4 2 3 4 3 2" xfId="46150" xr:uid="{E9AEF763-52E5-47DB-B585-7F5BF81A5418}"/>
    <cellStyle name="Normal 4 2 3 4 4" xfId="30272" xr:uid="{C9495894-160F-4ED2-9469-A1E911240E9D}"/>
    <cellStyle name="Normal 4 2 3 5" xfId="9938" xr:uid="{00000000-0005-0000-0000-00001E5B0000}"/>
    <cellStyle name="Normal 4 2 3 5 2" xfId="17896" xr:uid="{00000000-0005-0000-0000-00001F5B0000}"/>
    <cellStyle name="Normal 4 2 3 5 2 2" xfId="41737" xr:uid="{570043E6-E2BD-4587-A7D4-FEF9D954B8FE}"/>
    <cellStyle name="Normal 4 2 3 5 3" xfId="25840" xr:uid="{00000000-0005-0000-0000-0000205B0000}"/>
    <cellStyle name="Normal 4 2 3 5 3 2" xfId="49673" xr:uid="{92B21F28-9034-43A1-91E8-8CDDC495FB8B}"/>
    <cellStyle name="Normal 4 2 3 5 4" xfId="33796" xr:uid="{D577321F-0279-4970-99F3-D92707E5DB46}"/>
    <cellStyle name="Normal 4 2 3 6" xfId="10834" xr:uid="{00000000-0005-0000-0000-0000215B0000}"/>
    <cellStyle name="Normal 4 2 3 6 2" xfId="34684" xr:uid="{26726439-CBD4-44D0-A9D5-C00A37AC1F0B}"/>
    <cellStyle name="Normal 4 2 3 7" xfId="18789" xr:uid="{00000000-0005-0000-0000-0000225B0000}"/>
    <cellStyle name="Normal 4 2 3 7 2" xfId="42622" xr:uid="{ADD81AEB-0D0E-48A3-9A5E-3D6CF5600DA9}"/>
    <cellStyle name="Normal 4 2 3 8" xfId="26742" xr:uid="{F8495095-4CC4-4EA7-9A7A-4FA31C0C69E6}"/>
    <cellStyle name="Normal 4 2 3_Exh G" xfId="3527" xr:uid="{00000000-0005-0000-0000-0000235B0000}"/>
    <cellStyle name="Normal 4 2 4" xfId="1699" xr:uid="{00000000-0005-0000-0000-0000245B0000}"/>
    <cellStyle name="Normal 4 2 4 2" xfId="5229" xr:uid="{00000000-0005-0000-0000-0000255B0000}"/>
    <cellStyle name="Normal 4 2 4 2 2" xfId="8820" xr:uid="{00000000-0005-0000-0000-0000265B0000}"/>
    <cellStyle name="Normal 4 2 4 2 2 2" xfId="16791" xr:uid="{00000000-0005-0000-0000-0000275B0000}"/>
    <cellStyle name="Normal 4 2 4 2 2 2 2" xfId="40634" xr:uid="{8A410990-40E1-4801-AE54-A143673E7130}"/>
    <cellStyle name="Normal 4 2 4 2 2 3" xfId="24737" xr:uid="{00000000-0005-0000-0000-0000285B0000}"/>
    <cellStyle name="Normal 4 2 4 2 2 3 2" xfId="48570" xr:uid="{1CE42006-675F-4317-A689-133A372F3DC5}"/>
    <cellStyle name="Normal 4 2 4 2 2 4" xfId="32693" xr:uid="{E293A1C7-B377-4A88-A3B0-2DA393120BBD}"/>
    <cellStyle name="Normal 4 2 4 2 3" xfId="13253" xr:uid="{00000000-0005-0000-0000-0000295B0000}"/>
    <cellStyle name="Normal 4 2 4 2 3 2" xfId="37103" xr:uid="{537CBFC5-84F8-4E92-9D40-D8E3DB0B9EA7}"/>
    <cellStyle name="Normal 4 2 4 2 4" xfId="21208" xr:uid="{00000000-0005-0000-0000-00002A5B0000}"/>
    <cellStyle name="Normal 4 2 4 2 4 2" xfId="45041" xr:uid="{6959E99D-EC4A-448F-B533-CE3627AA9827}"/>
    <cellStyle name="Normal 4 2 4 2 5" xfId="29162" xr:uid="{7E6D5CEE-8EAD-4FFB-BD4F-6ED36BE09CB3}"/>
    <cellStyle name="Normal 4 2 4 3" xfId="7061" xr:uid="{00000000-0005-0000-0000-00002B5B0000}"/>
    <cellStyle name="Normal 4 2 4 3 2" xfId="15033" xr:uid="{00000000-0005-0000-0000-00002C5B0000}"/>
    <cellStyle name="Normal 4 2 4 3 2 2" xfId="38876" xr:uid="{C98D3F7F-B19D-4F88-AC3C-C2C3580C6993}"/>
    <cellStyle name="Normal 4 2 4 3 3" xfId="22980" xr:uid="{00000000-0005-0000-0000-00002D5B0000}"/>
    <cellStyle name="Normal 4 2 4 3 3 2" xfId="46813" xr:uid="{7BA9A754-3D55-4D2A-800B-DB18A507184C}"/>
    <cellStyle name="Normal 4 2 4 3 4" xfId="30935" xr:uid="{CDD7A2DD-E3D1-4049-AB34-BA5239CC3325}"/>
    <cellStyle name="Normal 4 2 4 4" xfId="11497" xr:uid="{00000000-0005-0000-0000-00002E5B0000}"/>
    <cellStyle name="Normal 4 2 4 4 2" xfId="35347" xr:uid="{1ED9514F-E234-427D-B7DD-1BB515F7CF15}"/>
    <cellStyle name="Normal 4 2 4 5" xfId="19452" xr:uid="{00000000-0005-0000-0000-00002F5B0000}"/>
    <cellStyle name="Normal 4 2 4 5 2" xfId="43285" xr:uid="{DB39A032-6452-4015-B8CF-9540E4FCCCB0}"/>
    <cellStyle name="Normal 4 2 4 6" xfId="27405" xr:uid="{118B784C-2995-4B04-B3AA-594E6634BC5F}"/>
    <cellStyle name="Normal 4 2 4_Exh G" xfId="3529" xr:uid="{00000000-0005-0000-0000-0000305B0000}"/>
    <cellStyle name="Normal 4 2 5" xfId="4350" xr:uid="{00000000-0005-0000-0000-0000315B0000}"/>
    <cellStyle name="Normal 4 2 5 2" xfId="7942" xr:uid="{00000000-0005-0000-0000-0000325B0000}"/>
    <cellStyle name="Normal 4 2 5 2 2" xfId="15913" xr:uid="{00000000-0005-0000-0000-0000335B0000}"/>
    <cellStyle name="Normal 4 2 5 2 2 2" xfId="39756" xr:uid="{4A670C80-07AD-4B52-A6F4-DB5504429589}"/>
    <cellStyle name="Normal 4 2 5 2 3" xfId="23859" xr:uid="{00000000-0005-0000-0000-0000345B0000}"/>
    <cellStyle name="Normal 4 2 5 2 3 2" xfId="47692" xr:uid="{F3A60766-7EDF-403F-8033-24699256D9AD}"/>
    <cellStyle name="Normal 4 2 5 2 4" xfId="31815" xr:uid="{CD2C5F65-6A7A-48BC-B0F1-097D3E789DCB}"/>
    <cellStyle name="Normal 4 2 5 3" xfId="12375" xr:uid="{00000000-0005-0000-0000-0000355B0000}"/>
    <cellStyle name="Normal 4 2 5 3 2" xfId="36225" xr:uid="{0B675E7D-FB76-47D0-892C-352BBF57CF88}"/>
    <cellStyle name="Normal 4 2 5 4" xfId="20330" xr:uid="{00000000-0005-0000-0000-0000365B0000}"/>
    <cellStyle name="Normal 4 2 5 4 2" xfId="44163" xr:uid="{E104A238-5118-4929-A999-FAF3141EE6AF}"/>
    <cellStyle name="Normal 4 2 5 5" xfId="28284" xr:uid="{07187815-E500-474F-B6D4-86137F70F48B}"/>
    <cellStyle name="Normal 4 2 6" xfId="5472" xr:uid="{00000000-0005-0000-0000-0000375B0000}"/>
    <cellStyle name="Normal 4 2 7" xfId="5479" xr:uid="{00000000-0005-0000-0000-0000385B0000}"/>
    <cellStyle name="Normal 4 2 8" xfId="6170" xr:uid="{00000000-0005-0000-0000-0000395B0000}"/>
    <cellStyle name="Normal 4 2 8 2" xfId="14154" xr:uid="{00000000-0005-0000-0000-00003A5B0000}"/>
    <cellStyle name="Normal 4 2 8 2 2" xfId="37998" xr:uid="{D1CD2FE6-0782-4826-82EE-4665A3D0A63C}"/>
    <cellStyle name="Normal 4 2 8 3" xfId="22102" xr:uid="{00000000-0005-0000-0000-00003B5B0000}"/>
    <cellStyle name="Normal 4 2 8 3 2" xfId="45935" xr:uid="{8D8728F7-3F39-446B-A3B4-281F4C3AF1EC}"/>
    <cellStyle name="Normal 4 2 8 4" xfId="30057" xr:uid="{9A867873-03DF-4F40-A46B-5F99ADCA6AF3}"/>
    <cellStyle name="Normal 4 2 9" xfId="5511" xr:uid="{00000000-0005-0000-0000-00003C5B0000}"/>
    <cellStyle name="Normal 4 2_Exh G" xfId="3524" xr:uid="{00000000-0005-0000-0000-00003D5B0000}"/>
    <cellStyle name="Normal 4 3" xfId="673" xr:uid="{00000000-0005-0000-0000-00003E5B0000}"/>
    <cellStyle name="Normal 4 3 2" xfId="1701" xr:uid="{00000000-0005-0000-0000-00003F5B0000}"/>
    <cellStyle name="Normal 4 3 2 2" xfId="5231" xr:uid="{00000000-0005-0000-0000-0000405B0000}"/>
    <cellStyle name="Normal 4 3 2 2 2" xfId="8822" xr:uid="{00000000-0005-0000-0000-0000415B0000}"/>
    <cellStyle name="Normal 4 3 2 2 2 2" xfId="16793" xr:uid="{00000000-0005-0000-0000-0000425B0000}"/>
    <cellStyle name="Normal 4 3 2 2 2 2 2" xfId="40636" xr:uid="{66D390C3-4969-4953-9E36-F6CF5D7ABA44}"/>
    <cellStyle name="Normal 4 3 2 2 2 3" xfId="24739" xr:uid="{00000000-0005-0000-0000-0000435B0000}"/>
    <cellStyle name="Normal 4 3 2 2 2 3 2" xfId="48572" xr:uid="{8D93ED8E-2EFB-483C-BA01-5004CB7E60AE}"/>
    <cellStyle name="Normal 4 3 2 2 2 4" xfId="32695" xr:uid="{5BA1CF63-8DC2-4956-BFDE-2CCB04D7D407}"/>
    <cellStyle name="Normal 4 3 2 2 3" xfId="13255" xr:uid="{00000000-0005-0000-0000-0000445B0000}"/>
    <cellStyle name="Normal 4 3 2 2 3 2" xfId="37105" xr:uid="{762DCD33-1319-4B61-B580-A1E9CA9300AC}"/>
    <cellStyle name="Normal 4 3 2 2 4" xfId="21210" xr:uid="{00000000-0005-0000-0000-0000455B0000}"/>
    <cellStyle name="Normal 4 3 2 2 4 2" xfId="45043" xr:uid="{E5D61FA6-5CEC-4EFF-A1AB-27A4ADECF760}"/>
    <cellStyle name="Normal 4 3 2 2 5" xfId="29164" xr:uid="{EFB0814A-A3B8-4231-ACF6-8393411BC55F}"/>
    <cellStyle name="Normal 4 3 2 3" xfId="7063" xr:uid="{00000000-0005-0000-0000-0000465B0000}"/>
    <cellStyle name="Normal 4 3 2 3 2" xfId="15035" xr:uid="{00000000-0005-0000-0000-0000475B0000}"/>
    <cellStyle name="Normal 4 3 2 3 2 2" xfId="38878" xr:uid="{4221E60A-CB09-4D73-8BC4-B3FB92A5D044}"/>
    <cellStyle name="Normal 4 3 2 3 3" xfId="22982" xr:uid="{00000000-0005-0000-0000-0000485B0000}"/>
    <cellStyle name="Normal 4 3 2 3 3 2" xfId="46815" xr:uid="{0004A40F-57A9-4C11-9F58-8CCFCFCD9173}"/>
    <cellStyle name="Normal 4 3 2 3 4" xfId="30937" xr:uid="{48B3A057-6757-4C0C-AF1F-A979914BDB97}"/>
    <cellStyle name="Normal 4 3 2 4" xfId="11499" xr:uid="{00000000-0005-0000-0000-0000495B0000}"/>
    <cellStyle name="Normal 4 3 2 4 2" xfId="35349" xr:uid="{0A53A42B-E07D-45B0-9A7A-2A198E893293}"/>
    <cellStyle name="Normal 4 3 2 5" xfId="19454" xr:uid="{00000000-0005-0000-0000-00004A5B0000}"/>
    <cellStyle name="Normal 4 3 2 5 2" xfId="43287" xr:uid="{4505F875-47BA-4F16-A572-9631150928DA}"/>
    <cellStyle name="Normal 4 3 2 6" xfId="27407" xr:uid="{A101CBDD-C2E6-46D5-8BC8-58483DB516C3}"/>
    <cellStyle name="Normal 4 3 2_Exh G" xfId="3531" xr:uid="{00000000-0005-0000-0000-00004B5B0000}"/>
    <cellStyle name="Normal 4 3 3" xfId="4352" xr:uid="{00000000-0005-0000-0000-00004C5B0000}"/>
    <cellStyle name="Normal 4 3 3 2" xfId="7944" xr:uid="{00000000-0005-0000-0000-00004D5B0000}"/>
    <cellStyle name="Normal 4 3 3 2 2" xfId="15915" xr:uid="{00000000-0005-0000-0000-00004E5B0000}"/>
    <cellStyle name="Normal 4 3 3 2 2 2" xfId="39758" xr:uid="{6C5989C6-3084-49BA-B66B-4813F2E37220}"/>
    <cellStyle name="Normal 4 3 3 2 3" xfId="23861" xr:uid="{00000000-0005-0000-0000-00004F5B0000}"/>
    <cellStyle name="Normal 4 3 3 2 3 2" xfId="47694" xr:uid="{24293E9B-E507-452F-9753-8271796D41F1}"/>
    <cellStyle name="Normal 4 3 3 2 4" xfId="31817" xr:uid="{EE1D5EFC-49ED-474A-93EF-8216A413B26E}"/>
    <cellStyle name="Normal 4 3 3 3" xfId="12377" xr:uid="{00000000-0005-0000-0000-0000505B0000}"/>
    <cellStyle name="Normal 4 3 3 3 2" xfId="36227" xr:uid="{BEB12262-1317-4F75-B314-73CE7EDB4C97}"/>
    <cellStyle name="Normal 4 3 3 4" xfId="20332" xr:uid="{00000000-0005-0000-0000-0000515B0000}"/>
    <cellStyle name="Normal 4 3 3 4 2" xfId="44165" xr:uid="{D3FDEDC8-5961-41E5-B1E7-40335BE4DD42}"/>
    <cellStyle name="Normal 4 3 3 5" xfId="28286" xr:uid="{53D1ACDF-B7E7-40E7-8F43-988A032B2A35}"/>
    <cellStyle name="Normal 4 3 4" xfId="6172" xr:uid="{00000000-0005-0000-0000-0000525B0000}"/>
    <cellStyle name="Normal 4 3 4 2" xfId="14156" xr:uid="{00000000-0005-0000-0000-0000535B0000}"/>
    <cellStyle name="Normal 4 3 4 2 2" xfId="38000" xr:uid="{63DC00F6-A8C4-4569-8066-2532D59CC017}"/>
    <cellStyle name="Normal 4 3 4 3" xfId="22104" xr:uid="{00000000-0005-0000-0000-0000545B0000}"/>
    <cellStyle name="Normal 4 3 4 3 2" xfId="45937" xr:uid="{7CBA2233-A23C-4F28-ACE6-5EBE6C065F28}"/>
    <cellStyle name="Normal 4 3 4 4" xfId="30059" xr:uid="{6FB79863-6B68-4610-8A5C-F556EAB15121}"/>
    <cellStyle name="Normal 4 3 5" xfId="9725" xr:uid="{00000000-0005-0000-0000-0000555B0000}"/>
    <cellStyle name="Normal 4 3 5 2" xfId="17683" xr:uid="{00000000-0005-0000-0000-0000565B0000}"/>
    <cellStyle name="Normal 4 3 5 2 2" xfId="41524" xr:uid="{939F35A7-43FF-4863-AE07-EA6B9DEFC711}"/>
    <cellStyle name="Normal 4 3 5 3" xfId="25627" xr:uid="{00000000-0005-0000-0000-0000575B0000}"/>
    <cellStyle name="Normal 4 3 5 3 2" xfId="49460" xr:uid="{D43BFEF4-B5DB-487E-89B8-1B1B885810A6}"/>
    <cellStyle name="Normal 4 3 5 4" xfId="33583" xr:uid="{EEC43314-BC42-4FA4-9DAB-F86D897F14C0}"/>
    <cellStyle name="Normal 4 3 6" xfId="10621" xr:uid="{00000000-0005-0000-0000-0000585B0000}"/>
    <cellStyle name="Normal 4 3 6 2" xfId="34471" xr:uid="{EFA05D23-6BFC-4B15-8929-D599AEA11D71}"/>
    <cellStyle name="Normal 4 3 7" xfId="18576" xr:uid="{00000000-0005-0000-0000-0000595B0000}"/>
    <cellStyle name="Normal 4 3 7 2" xfId="42409" xr:uid="{EFF53BE8-82A5-4A1C-8FA6-2770F4C152D3}"/>
    <cellStyle name="Normal 4 3 8" xfId="26529" xr:uid="{BAD7F576-DA1C-491A-8EE2-AB2287C461B1}"/>
    <cellStyle name="Normal 4 3_Exh G" xfId="3530" xr:uid="{00000000-0005-0000-0000-00005A5B0000}"/>
    <cellStyle name="Normal 4 4" xfId="1020" xr:uid="{00000000-0005-0000-0000-00005B5B0000}"/>
    <cellStyle name="Normal 4 4 2" xfId="1925" xr:uid="{00000000-0005-0000-0000-00005C5B0000}"/>
    <cellStyle name="Normal 4 4 2 2" xfId="5443" xr:uid="{00000000-0005-0000-0000-00005D5B0000}"/>
    <cellStyle name="Normal 4 4 2 2 2" xfId="9034" xr:uid="{00000000-0005-0000-0000-00005E5B0000}"/>
    <cellStyle name="Normal 4 4 2 2 2 2" xfId="17005" xr:uid="{00000000-0005-0000-0000-00005F5B0000}"/>
    <cellStyle name="Normal 4 4 2 2 2 2 2" xfId="40848" xr:uid="{74A092C0-0DE6-4B7D-AD63-5D945A49A528}"/>
    <cellStyle name="Normal 4 4 2 2 2 3" xfId="24951" xr:uid="{00000000-0005-0000-0000-0000605B0000}"/>
    <cellStyle name="Normal 4 4 2 2 2 3 2" xfId="48784" xr:uid="{74844784-60A9-47BB-8A1B-93C1354420B7}"/>
    <cellStyle name="Normal 4 4 2 2 2 4" xfId="32907" xr:uid="{84C7D302-3F66-41B1-82BD-74B71F5FF3DB}"/>
    <cellStyle name="Normal 4 4 2 2 3" xfId="13467" xr:uid="{00000000-0005-0000-0000-0000615B0000}"/>
    <cellStyle name="Normal 4 4 2 2 3 2" xfId="37317" xr:uid="{54198E69-EB02-4FFA-8429-67AE5FB644F1}"/>
    <cellStyle name="Normal 4 4 2 2 4" xfId="21422" xr:uid="{00000000-0005-0000-0000-0000625B0000}"/>
    <cellStyle name="Normal 4 4 2 2 4 2" xfId="45255" xr:uid="{8E3A7681-FACC-499F-BEFE-02966BB10A56}"/>
    <cellStyle name="Normal 4 4 2 2 5" xfId="29376" xr:uid="{1E8D4740-6123-4DEF-A0A5-AC61F2C2C78C}"/>
    <cellStyle name="Normal 4 4 2 3" xfId="7275" xr:uid="{00000000-0005-0000-0000-0000635B0000}"/>
    <cellStyle name="Normal 4 4 2 3 2" xfId="15247" xr:uid="{00000000-0005-0000-0000-0000645B0000}"/>
    <cellStyle name="Normal 4 4 2 3 2 2" xfId="39090" xr:uid="{878BA881-B7E1-45ED-BC99-E44865A74F8C}"/>
    <cellStyle name="Normal 4 4 2 3 3" xfId="23194" xr:uid="{00000000-0005-0000-0000-0000655B0000}"/>
    <cellStyle name="Normal 4 4 2 3 3 2" xfId="47027" xr:uid="{1035E536-331E-40E5-8361-0C7554CD3863}"/>
    <cellStyle name="Normal 4 4 2 3 4" xfId="31149" xr:uid="{720C91A9-6F55-4FB1-8C74-E5467C56A558}"/>
    <cellStyle name="Normal 4 4 2 4" xfId="11711" xr:uid="{00000000-0005-0000-0000-0000665B0000}"/>
    <cellStyle name="Normal 4 4 2 4 2" xfId="35561" xr:uid="{06978E9F-3746-48DF-920F-3F3CF89883A3}"/>
    <cellStyle name="Normal 4 4 2 5" xfId="19666" xr:uid="{00000000-0005-0000-0000-0000675B0000}"/>
    <cellStyle name="Normal 4 4 2 5 2" xfId="43499" xr:uid="{B7DFDE71-D03B-455B-8095-E7E7A465DC28}"/>
    <cellStyle name="Normal 4 4 2 6" xfId="27619" xr:uid="{5945A45A-E3FF-44FB-81AA-AA1708856EB1}"/>
    <cellStyle name="Normal 4 4 2_Exh G" xfId="3533" xr:uid="{00000000-0005-0000-0000-0000685B0000}"/>
    <cellStyle name="Normal 4 4 3" xfId="4564" xr:uid="{00000000-0005-0000-0000-0000695B0000}"/>
    <cellStyle name="Normal 4 4 3 2" xfId="8156" xr:uid="{00000000-0005-0000-0000-00006A5B0000}"/>
    <cellStyle name="Normal 4 4 3 2 2" xfId="16127" xr:uid="{00000000-0005-0000-0000-00006B5B0000}"/>
    <cellStyle name="Normal 4 4 3 2 2 2" xfId="39970" xr:uid="{C9CE5802-E5C5-4A44-B86A-8CEE15A19FD5}"/>
    <cellStyle name="Normal 4 4 3 2 3" xfId="24073" xr:uid="{00000000-0005-0000-0000-00006C5B0000}"/>
    <cellStyle name="Normal 4 4 3 2 3 2" xfId="47906" xr:uid="{93E122ED-DE40-4F03-8F61-8722396093CC}"/>
    <cellStyle name="Normal 4 4 3 2 4" xfId="32029" xr:uid="{9743689D-95EE-44C6-9F22-5DDC0B71A83B}"/>
    <cellStyle name="Normal 4 4 3 3" xfId="12589" xr:uid="{00000000-0005-0000-0000-00006D5B0000}"/>
    <cellStyle name="Normal 4 4 3 3 2" xfId="36439" xr:uid="{981F37E0-8795-4AB9-B950-D5A90F1061CD}"/>
    <cellStyle name="Normal 4 4 3 4" xfId="20544" xr:uid="{00000000-0005-0000-0000-00006E5B0000}"/>
    <cellStyle name="Normal 4 4 3 4 2" xfId="44377" xr:uid="{6699BF0E-8F46-4775-AF29-004595A293D9}"/>
    <cellStyle name="Normal 4 4 3 5" xfId="28498" xr:uid="{1C9D3FAC-D607-41E2-955B-44DA5FF454A9}"/>
    <cellStyle name="Normal 4 4 4" xfId="6394" xr:uid="{00000000-0005-0000-0000-00006F5B0000}"/>
    <cellStyle name="Normal 4 4 4 2" xfId="14369" xr:uid="{00000000-0005-0000-0000-0000705B0000}"/>
    <cellStyle name="Normal 4 4 4 2 2" xfId="38212" xr:uid="{4397CCB3-25ED-4705-B385-2C252A21F977}"/>
    <cellStyle name="Normal 4 4 4 3" xfId="22316" xr:uid="{00000000-0005-0000-0000-0000715B0000}"/>
    <cellStyle name="Normal 4 4 4 3 2" xfId="46149" xr:uid="{46F5ACFD-FBAE-4AC2-9BBA-F47973D01B9B}"/>
    <cellStyle name="Normal 4 4 4 4" xfId="30271" xr:uid="{C296F7FF-913D-45AE-AE15-8A97953B5C06}"/>
    <cellStyle name="Normal 4 4 5" xfId="9937" xr:uid="{00000000-0005-0000-0000-0000725B0000}"/>
    <cellStyle name="Normal 4 4 5 2" xfId="17895" xr:uid="{00000000-0005-0000-0000-0000735B0000}"/>
    <cellStyle name="Normal 4 4 5 2 2" xfId="41736" xr:uid="{1FFE099F-8863-4D36-ADA2-3900ECF8B3E9}"/>
    <cellStyle name="Normal 4 4 5 3" xfId="25839" xr:uid="{00000000-0005-0000-0000-0000745B0000}"/>
    <cellStyle name="Normal 4 4 5 3 2" xfId="49672" xr:uid="{20ACC2F1-55EB-458E-A910-68EC6D0F6394}"/>
    <cellStyle name="Normal 4 4 5 4" xfId="33795" xr:uid="{EE5F08CF-20C7-49AB-9BC0-2CE5EC72ECE8}"/>
    <cellStyle name="Normal 4 4 6" xfId="10833" xr:uid="{00000000-0005-0000-0000-0000755B0000}"/>
    <cellStyle name="Normal 4 4 6 2" xfId="34683" xr:uid="{458229C9-D527-4455-B53D-E1CE4C76C16D}"/>
    <cellStyle name="Normal 4 4 7" xfId="18788" xr:uid="{00000000-0005-0000-0000-0000765B0000}"/>
    <cellStyle name="Normal 4 4 7 2" xfId="42621" xr:uid="{6A0D028F-4F27-4B36-AC9C-0FFDEBF087C8}"/>
    <cellStyle name="Normal 4 4 8" xfId="26741" xr:uid="{C0219FA1-FB3A-4FEE-8E9D-4C93206E869F}"/>
    <cellStyle name="Normal 4 4_Exh G" xfId="3532" xr:uid="{00000000-0005-0000-0000-0000775B0000}"/>
    <cellStyle name="Normal 4 5" xfId="1045" xr:uid="{00000000-0005-0000-0000-0000785B0000}"/>
    <cellStyle name="Normal 4 6" xfId="3698" xr:uid="{00000000-0005-0000-0000-0000795B0000}"/>
    <cellStyle name="Normal 4 7" xfId="5468" xr:uid="{00000000-0005-0000-0000-00007A5B0000}"/>
    <cellStyle name="Normal 4 8" xfId="5476" xr:uid="{00000000-0005-0000-0000-00007B5B0000}"/>
    <cellStyle name="Normal 4 9" xfId="5491" xr:uid="{00000000-0005-0000-0000-00007C5B0000}"/>
    <cellStyle name="Normal 4_Exh G" xfId="3523" xr:uid="{00000000-0005-0000-0000-00007D5B0000}"/>
    <cellStyle name="Normal 40" xfId="5494" xr:uid="{00000000-0005-0000-0000-00007E5B0000}"/>
    <cellStyle name="Normal 40 2" xfId="13492" xr:uid="{00000000-0005-0000-0000-00007F5B0000}"/>
    <cellStyle name="Normal 41" xfId="5499" xr:uid="{00000000-0005-0000-0000-0000805B0000}"/>
    <cellStyle name="Normal 41 2" xfId="13496" xr:uid="{00000000-0005-0000-0000-0000815B0000}"/>
    <cellStyle name="Normal 42" xfId="5500" xr:uid="{00000000-0005-0000-0000-0000825B0000}"/>
    <cellStyle name="Normal 42 2" xfId="13497" xr:uid="{00000000-0005-0000-0000-0000835B0000}"/>
    <cellStyle name="Normal 43" xfId="5504" xr:uid="{00000000-0005-0000-0000-0000845B0000}"/>
    <cellStyle name="Normal 43 2" xfId="13501" xr:uid="{00000000-0005-0000-0000-0000855B0000}"/>
    <cellStyle name="Normal 44" xfId="6248" xr:uid="{00000000-0005-0000-0000-0000865B0000}"/>
    <cellStyle name="Normal 44 2" xfId="14223" xr:uid="{00000000-0005-0000-0000-0000875B0000}"/>
    <cellStyle name="Normal 45" xfId="9069" xr:uid="{00000000-0005-0000-0000-0000885B0000}"/>
    <cellStyle name="Normal 45 2" xfId="17028" xr:uid="{00000000-0005-0000-0000-0000895B0000}"/>
    <cellStyle name="Normal 46" xfId="9070" xr:uid="{00000000-0005-0000-0000-00008A5B0000}"/>
    <cellStyle name="Normal 46 2" xfId="17029" xr:uid="{00000000-0005-0000-0000-00008B5B0000}"/>
    <cellStyle name="Normal 47" xfId="9952" xr:uid="{00000000-0005-0000-0000-00008C5B0000}"/>
    <cellStyle name="Normal 47 2" xfId="17910" xr:uid="{00000000-0005-0000-0000-00008D5B0000}"/>
    <cellStyle name="Normal 47 2 2" xfId="41751" xr:uid="{C894D257-7AF7-48BB-95F7-86BB2C13A818}"/>
    <cellStyle name="Normal 47 3" xfId="25854" xr:uid="{00000000-0005-0000-0000-00008E5B0000}"/>
    <cellStyle name="Normal 47 3 2" xfId="49687" xr:uid="{D044D8AC-9682-4C44-AAFA-370B85BAE31F}"/>
    <cellStyle name="Normal 47 4" xfId="33810" xr:uid="{A43380EB-3EF9-4457-AF16-349251BBB010}"/>
    <cellStyle name="Normal 48" xfId="9954" xr:uid="{00000000-0005-0000-0000-00008F5B0000}"/>
    <cellStyle name="Normal 48 2" xfId="17912" xr:uid="{00000000-0005-0000-0000-0000905B0000}"/>
    <cellStyle name="Normal 48 2 2" xfId="41753" xr:uid="{540217B4-1E7C-461C-808A-3DE2E0BA5101}"/>
    <cellStyle name="Normal 48 3" xfId="25856" xr:uid="{00000000-0005-0000-0000-0000915B0000}"/>
    <cellStyle name="Normal 48 3 2" xfId="49689" xr:uid="{7C8AA8F7-0C81-4642-986D-F18E097DC54F}"/>
    <cellStyle name="Normal 48 4" xfId="33812" xr:uid="{598253AF-8E19-4B31-AB13-CCA715060B29}"/>
    <cellStyle name="Normal 49" xfId="9956" xr:uid="{00000000-0005-0000-0000-0000925B0000}"/>
    <cellStyle name="Normal 5" xfId="8" xr:uid="{00000000-0005-0000-0000-0000935B0000}"/>
    <cellStyle name="Normal 5 2" xfId="814" xr:uid="{00000000-0005-0000-0000-0000945B0000}"/>
    <cellStyle name="Normal 5 2 10" xfId="9791" xr:uid="{00000000-0005-0000-0000-0000955B0000}"/>
    <cellStyle name="Normal 5 2 10 2" xfId="17749" xr:uid="{00000000-0005-0000-0000-0000965B0000}"/>
    <cellStyle name="Normal 5 2 10 2 2" xfId="41590" xr:uid="{16C3E8A5-534B-4BC7-B5E1-B5974B6274A9}"/>
    <cellStyle name="Normal 5 2 10 3" xfId="25693" xr:uid="{00000000-0005-0000-0000-0000975B0000}"/>
    <cellStyle name="Normal 5 2 10 3 2" xfId="49526" xr:uid="{E35E1C0B-7B39-40FD-AE4E-8B49057AC38C}"/>
    <cellStyle name="Normal 5 2 10 4" xfId="33649" xr:uid="{EEDF0490-3B4D-425C-9E8B-757981CD3267}"/>
    <cellStyle name="Normal 5 2 11" xfId="10687" xr:uid="{00000000-0005-0000-0000-0000985B0000}"/>
    <cellStyle name="Normal 5 2 11 2" xfId="34537" xr:uid="{AA2E0682-8F9A-4079-8755-397E19E02D94}"/>
    <cellStyle name="Normal 5 2 12" xfId="18642" xr:uid="{00000000-0005-0000-0000-0000995B0000}"/>
    <cellStyle name="Normal 5 2 12 2" xfId="42475" xr:uid="{2D206685-6124-4225-8A11-0561D7981DEF}"/>
    <cellStyle name="Normal 5 2 13" xfId="26595" xr:uid="{E0B9890E-C7C9-476A-B49E-6FB390DB6E06}"/>
    <cellStyle name="Normal 5 2 2" xfId="1023" xr:uid="{00000000-0005-0000-0000-00009A5B0000}"/>
    <cellStyle name="Normal 5 2 2 2" xfId="1928" xr:uid="{00000000-0005-0000-0000-00009B5B0000}"/>
    <cellStyle name="Normal 5 2 2 2 2" xfId="5446" xr:uid="{00000000-0005-0000-0000-00009C5B0000}"/>
    <cellStyle name="Normal 5 2 2 2 2 2" xfId="9037" xr:uid="{00000000-0005-0000-0000-00009D5B0000}"/>
    <cellStyle name="Normal 5 2 2 2 2 2 2" xfId="17008" xr:uid="{00000000-0005-0000-0000-00009E5B0000}"/>
    <cellStyle name="Normal 5 2 2 2 2 2 2 2" xfId="40851" xr:uid="{7E366E3B-50A2-42A2-A8DE-253A59E5C8B0}"/>
    <cellStyle name="Normal 5 2 2 2 2 2 3" xfId="24954" xr:uid="{00000000-0005-0000-0000-00009F5B0000}"/>
    <cellStyle name="Normal 5 2 2 2 2 2 3 2" xfId="48787" xr:uid="{137B9155-9C87-4597-A801-9A366DCF087F}"/>
    <cellStyle name="Normal 5 2 2 2 2 2 4" xfId="32910" xr:uid="{0BE18F5A-2B64-4177-8B09-F669F3F07B59}"/>
    <cellStyle name="Normal 5 2 2 2 2 3" xfId="13470" xr:uid="{00000000-0005-0000-0000-0000A05B0000}"/>
    <cellStyle name="Normal 5 2 2 2 2 3 2" xfId="37320" xr:uid="{955A9DE0-383D-4C89-A9CD-D28AEAE06D1E}"/>
    <cellStyle name="Normal 5 2 2 2 2 4" xfId="21425" xr:uid="{00000000-0005-0000-0000-0000A15B0000}"/>
    <cellStyle name="Normal 5 2 2 2 2 4 2" xfId="45258" xr:uid="{C7E575B0-1985-4BAF-B938-BC624F53C1EA}"/>
    <cellStyle name="Normal 5 2 2 2 2 5" xfId="29379" xr:uid="{0FDF0E6F-6C89-426F-972E-6F3ADBBDE59C}"/>
    <cellStyle name="Normal 5 2 2 2 3" xfId="7278" xr:uid="{00000000-0005-0000-0000-0000A25B0000}"/>
    <cellStyle name="Normal 5 2 2 2 3 2" xfId="15250" xr:uid="{00000000-0005-0000-0000-0000A35B0000}"/>
    <cellStyle name="Normal 5 2 2 2 3 2 2" xfId="39093" xr:uid="{E7433DBA-B238-4988-8A70-B34026376B9A}"/>
    <cellStyle name="Normal 5 2 2 2 3 3" xfId="23197" xr:uid="{00000000-0005-0000-0000-0000A45B0000}"/>
    <cellStyle name="Normal 5 2 2 2 3 3 2" xfId="47030" xr:uid="{A7E8C9D5-EA83-4868-BBAF-D13A0122C74E}"/>
    <cellStyle name="Normal 5 2 2 2 3 4" xfId="31152" xr:uid="{5805930B-BCE0-4229-991E-B49681451F89}"/>
    <cellStyle name="Normal 5 2 2 2 4" xfId="11714" xr:uid="{00000000-0005-0000-0000-0000A55B0000}"/>
    <cellStyle name="Normal 5 2 2 2 4 2" xfId="35564" xr:uid="{09F094CB-5818-483B-9E81-E30DA4713D79}"/>
    <cellStyle name="Normal 5 2 2 2 5" xfId="19669" xr:uid="{00000000-0005-0000-0000-0000A65B0000}"/>
    <cellStyle name="Normal 5 2 2 2 5 2" xfId="43502" xr:uid="{49F3535D-3F95-4CBF-BBF8-B7B14282E0E3}"/>
    <cellStyle name="Normal 5 2 2 2 6" xfId="27622" xr:uid="{45EBBE49-AF53-43DD-92F9-5765DB43D6D0}"/>
    <cellStyle name="Normal 5 2 2 2_Exh G" xfId="3536" xr:uid="{00000000-0005-0000-0000-0000A75B0000}"/>
    <cellStyle name="Normal 5 2 2 3" xfId="4567" xr:uid="{00000000-0005-0000-0000-0000A85B0000}"/>
    <cellStyle name="Normal 5 2 2 3 2" xfId="8159" xr:uid="{00000000-0005-0000-0000-0000A95B0000}"/>
    <cellStyle name="Normal 5 2 2 3 2 2" xfId="16130" xr:uid="{00000000-0005-0000-0000-0000AA5B0000}"/>
    <cellStyle name="Normal 5 2 2 3 2 2 2" xfId="39973" xr:uid="{0C4463CC-3A6A-452E-9BA4-1A002031FAB9}"/>
    <cellStyle name="Normal 5 2 2 3 2 3" xfId="24076" xr:uid="{00000000-0005-0000-0000-0000AB5B0000}"/>
    <cellStyle name="Normal 5 2 2 3 2 3 2" xfId="47909" xr:uid="{454D7446-D955-4B52-9E81-CF0CD56E154E}"/>
    <cellStyle name="Normal 5 2 2 3 2 4" xfId="32032" xr:uid="{509749A0-3A2C-44BA-84E2-0B85A9904894}"/>
    <cellStyle name="Normal 5 2 2 3 3" xfId="12592" xr:uid="{00000000-0005-0000-0000-0000AC5B0000}"/>
    <cellStyle name="Normal 5 2 2 3 3 2" xfId="36442" xr:uid="{3E5A4959-2DD0-44B1-A11E-355A050A82EE}"/>
    <cellStyle name="Normal 5 2 2 3 4" xfId="20547" xr:uid="{00000000-0005-0000-0000-0000AD5B0000}"/>
    <cellStyle name="Normal 5 2 2 3 4 2" xfId="44380" xr:uid="{1AEBC6B7-44BA-4761-9B0E-7B671963589B}"/>
    <cellStyle name="Normal 5 2 2 3 5" xfId="28501" xr:uid="{92957B10-CB19-45CB-BF94-9E49543DD8C0}"/>
    <cellStyle name="Normal 5 2 2 4" xfId="6397" xr:uid="{00000000-0005-0000-0000-0000AE5B0000}"/>
    <cellStyle name="Normal 5 2 2 4 2" xfId="14372" xr:uid="{00000000-0005-0000-0000-0000AF5B0000}"/>
    <cellStyle name="Normal 5 2 2 4 2 2" xfId="38215" xr:uid="{8DDBF1F4-C6C3-4436-98A7-96D98890A772}"/>
    <cellStyle name="Normal 5 2 2 4 3" xfId="22319" xr:uid="{00000000-0005-0000-0000-0000B05B0000}"/>
    <cellStyle name="Normal 5 2 2 4 3 2" xfId="46152" xr:uid="{757BA193-D55A-4AEB-9070-D14BEC617B8B}"/>
    <cellStyle name="Normal 5 2 2 4 4" xfId="30274" xr:uid="{47A7850A-FCDB-49C4-93F6-6589A1DFEE25}"/>
    <cellStyle name="Normal 5 2 2 5" xfId="9940" xr:uid="{00000000-0005-0000-0000-0000B15B0000}"/>
    <cellStyle name="Normal 5 2 2 5 2" xfId="17898" xr:uid="{00000000-0005-0000-0000-0000B25B0000}"/>
    <cellStyle name="Normal 5 2 2 5 2 2" xfId="41739" xr:uid="{06BAEBE7-2CF1-453E-90C5-567A033BF960}"/>
    <cellStyle name="Normal 5 2 2 5 3" xfId="25842" xr:uid="{00000000-0005-0000-0000-0000B35B0000}"/>
    <cellStyle name="Normal 5 2 2 5 3 2" xfId="49675" xr:uid="{D91E9FBB-E713-44AF-B65D-ED7501B6391F}"/>
    <cellStyle name="Normal 5 2 2 5 4" xfId="33798" xr:uid="{D2ADB937-DA0F-4688-81E2-C75F7F7742F1}"/>
    <cellStyle name="Normal 5 2 2 6" xfId="10836" xr:uid="{00000000-0005-0000-0000-0000B45B0000}"/>
    <cellStyle name="Normal 5 2 2 6 2" xfId="34686" xr:uid="{E7C770D6-F97A-494C-903D-98D2DE6F6829}"/>
    <cellStyle name="Normal 5 2 2 7" xfId="18791" xr:uid="{00000000-0005-0000-0000-0000B55B0000}"/>
    <cellStyle name="Normal 5 2 2 7 2" xfId="42624" xr:uid="{52C745D1-6C81-423F-BF8D-DC0D83B2B7AF}"/>
    <cellStyle name="Normal 5 2 2 8" xfId="26744" xr:uid="{10370B5A-4D33-4A06-84EE-882359402FBD}"/>
    <cellStyle name="Normal 5 2 2_Exh G" xfId="3535" xr:uid="{00000000-0005-0000-0000-0000B65B0000}"/>
    <cellStyle name="Normal 5 2 3" xfId="1768" xr:uid="{00000000-0005-0000-0000-0000B75B0000}"/>
    <cellStyle name="Normal 5 2 3 2" xfId="5297" xr:uid="{00000000-0005-0000-0000-0000B85B0000}"/>
    <cellStyle name="Normal 5 2 3 2 2" xfId="8888" xr:uid="{00000000-0005-0000-0000-0000B95B0000}"/>
    <cellStyle name="Normal 5 2 3 2 2 2" xfId="16859" xr:uid="{00000000-0005-0000-0000-0000BA5B0000}"/>
    <cellStyle name="Normal 5 2 3 2 2 2 2" xfId="40702" xr:uid="{2F9F77F2-5589-401A-AA40-CCEAB7E858A5}"/>
    <cellStyle name="Normal 5 2 3 2 2 3" xfId="24805" xr:uid="{00000000-0005-0000-0000-0000BB5B0000}"/>
    <cellStyle name="Normal 5 2 3 2 2 3 2" xfId="48638" xr:uid="{350A08F0-AA2B-4BB0-90BA-4DAF6F285C53}"/>
    <cellStyle name="Normal 5 2 3 2 2 4" xfId="32761" xr:uid="{A7A01E46-F503-4C73-AAA4-2F0A29AE9643}"/>
    <cellStyle name="Normal 5 2 3 2 3" xfId="13321" xr:uid="{00000000-0005-0000-0000-0000BC5B0000}"/>
    <cellStyle name="Normal 5 2 3 2 3 2" xfId="37171" xr:uid="{7D69541D-FD7A-4AD0-8005-9564BDE9DD55}"/>
    <cellStyle name="Normal 5 2 3 2 4" xfId="21276" xr:uid="{00000000-0005-0000-0000-0000BD5B0000}"/>
    <cellStyle name="Normal 5 2 3 2 4 2" xfId="45109" xr:uid="{01513940-4492-4675-984F-03E284564AF8}"/>
    <cellStyle name="Normal 5 2 3 2 5" xfId="29230" xr:uid="{55B33F87-6BA5-459E-B1FB-259787306935}"/>
    <cellStyle name="Normal 5 2 3 3" xfId="7129" xr:uid="{00000000-0005-0000-0000-0000BE5B0000}"/>
    <cellStyle name="Normal 5 2 3 3 2" xfId="15101" xr:uid="{00000000-0005-0000-0000-0000BF5B0000}"/>
    <cellStyle name="Normal 5 2 3 3 2 2" xfId="38944" xr:uid="{9722E5C6-55EE-4C1A-8DDC-66E0EFC3543D}"/>
    <cellStyle name="Normal 5 2 3 3 3" xfId="23048" xr:uid="{00000000-0005-0000-0000-0000C05B0000}"/>
    <cellStyle name="Normal 5 2 3 3 3 2" xfId="46881" xr:uid="{5E0C0A87-5657-4A36-852C-C099F8244AB5}"/>
    <cellStyle name="Normal 5 2 3 3 4" xfId="31003" xr:uid="{C6D60E03-AAE4-4836-BCCF-8CB339807737}"/>
    <cellStyle name="Normal 5 2 3 4" xfId="11565" xr:uid="{00000000-0005-0000-0000-0000C15B0000}"/>
    <cellStyle name="Normal 5 2 3 4 2" xfId="35415" xr:uid="{536EF997-A927-444E-8762-0A50670C7F01}"/>
    <cellStyle name="Normal 5 2 3 5" xfId="19520" xr:uid="{00000000-0005-0000-0000-0000C25B0000}"/>
    <cellStyle name="Normal 5 2 3 5 2" xfId="43353" xr:uid="{4C0C4D69-5EB9-46B7-8291-CDF935847EF4}"/>
    <cellStyle name="Normal 5 2 3 6" xfId="27473" xr:uid="{2C183011-FB94-4704-A688-87BBFD988821}"/>
    <cellStyle name="Normal 5 2 3_Exh G" xfId="3537" xr:uid="{00000000-0005-0000-0000-0000C35B0000}"/>
    <cellStyle name="Normal 5 2 4" xfId="4418" xr:uid="{00000000-0005-0000-0000-0000C45B0000}"/>
    <cellStyle name="Normal 5 2 4 2" xfId="8010" xr:uid="{00000000-0005-0000-0000-0000C55B0000}"/>
    <cellStyle name="Normal 5 2 4 2 2" xfId="15981" xr:uid="{00000000-0005-0000-0000-0000C65B0000}"/>
    <cellStyle name="Normal 5 2 4 2 2 2" xfId="39824" xr:uid="{85B9F26E-AFAF-4443-A274-A824631C8271}"/>
    <cellStyle name="Normal 5 2 4 2 3" xfId="23927" xr:uid="{00000000-0005-0000-0000-0000C75B0000}"/>
    <cellStyle name="Normal 5 2 4 2 3 2" xfId="47760" xr:uid="{B010533D-EE43-42E2-974D-ADB31254C1C2}"/>
    <cellStyle name="Normal 5 2 4 2 4" xfId="31883" xr:uid="{E013174E-02CB-4987-A471-52CDCF7DCE6F}"/>
    <cellStyle name="Normal 5 2 4 3" xfId="12443" xr:uid="{00000000-0005-0000-0000-0000C85B0000}"/>
    <cellStyle name="Normal 5 2 4 3 2" xfId="36293" xr:uid="{EDE0EA03-F12F-4440-9100-BC1CC4E89116}"/>
    <cellStyle name="Normal 5 2 4 4" xfId="20398" xr:uid="{00000000-0005-0000-0000-0000C95B0000}"/>
    <cellStyle name="Normal 5 2 4 4 2" xfId="44231" xr:uid="{D1700D8E-63A6-4BE8-A46B-4AD9990AE7E9}"/>
    <cellStyle name="Normal 5 2 4 5" xfId="28352" xr:uid="{AC1028BA-2228-4E77-9303-F240246B99A2}"/>
    <cellStyle name="Normal 5 2 5" xfId="5474" xr:uid="{00000000-0005-0000-0000-0000CA5B0000}"/>
    <cellStyle name="Normal 5 2 5 2" xfId="9058" xr:uid="{00000000-0005-0000-0000-0000CB5B0000}"/>
    <cellStyle name="Normal 5 2 6" xfId="5480" xr:uid="{00000000-0005-0000-0000-0000CC5B0000}"/>
    <cellStyle name="Normal 5 2 6 2" xfId="9060" xr:uid="{00000000-0005-0000-0000-0000CD5B0000}"/>
    <cellStyle name="Normal 5 2 7" xfId="6242" xr:uid="{00000000-0005-0000-0000-0000CE5B0000}"/>
    <cellStyle name="Normal 5 2 7 2" xfId="14222" xr:uid="{00000000-0005-0000-0000-0000CF5B0000}"/>
    <cellStyle name="Normal 5 2 7 2 2" xfId="38066" xr:uid="{E4000B0F-0E27-45D1-A895-856B6E9D4D35}"/>
    <cellStyle name="Normal 5 2 7 3" xfId="22170" xr:uid="{00000000-0005-0000-0000-0000D05B0000}"/>
    <cellStyle name="Normal 5 2 7 3 2" xfId="46003" xr:uid="{FF6DA7BD-C3E1-4367-BE1C-6C6E4D8A263F}"/>
    <cellStyle name="Normal 5 2 7 4" xfId="30125" xr:uid="{1A40978C-304D-4E65-9664-35F956A53E81}"/>
    <cellStyle name="Normal 5 2 8" xfId="5512" xr:uid="{00000000-0005-0000-0000-0000D15B0000}"/>
    <cellStyle name="Normal 5 2 9" xfId="6243" xr:uid="{00000000-0005-0000-0000-0000D25B0000}"/>
    <cellStyle name="Normal 5 2_Exh G" xfId="3534" xr:uid="{00000000-0005-0000-0000-0000D35B0000}"/>
    <cellStyle name="Normal 5 3" xfId="1022" xr:uid="{00000000-0005-0000-0000-0000D45B0000}"/>
    <cellStyle name="Normal 5 3 2" xfId="1927" xr:uid="{00000000-0005-0000-0000-0000D55B0000}"/>
    <cellStyle name="Normal 5 3 2 2" xfId="5445" xr:uid="{00000000-0005-0000-0000-0000D65B0000}"/>
    <cellStyle name="Normal 5 3 2 2 2" xfId="9036" xr:uid="{00000000-0005-0000-0000-0000D75B0000}"/>
    <cellStyle name="Normal 5 3 2 2 2 2" xfId="17007" xr:uid="{00000000-0005-0000-0000-0000D85B0000}"/>
    <cellStyle name="Normal 5 3 2 2 2 2 2" xfId="40850" xr:uid="{83B2E9CD-4AD7-4F48-A32F-B578D5D9FD2F}"/>
    <cellStyle name="Normal 5 3 2 2 2 3" xfId="24953" xr:uid="{00000000-0005-0000-0000-0000D95B0000}"/>
    <cellStyle name="Normal 5 3 2 2 2 3 2" xfId="48786" xr:uid="{5B9D0430-0CB4-4E67-8620-3027085B62AB}"/>
    <cellStyle name="Normal 5 3 2 2 2 4" xfId="32909" xr:uid="{ECDC09E2-C56F-4009-AD03-6C64F547B1A8}"/>
    <cellStyle name="Normal 5 3 2 2 3" xfId="13469" xr:uid="{00000000-0005-0000-0000-0000DA5B0000}"/>
    <cellStyle name="Normal 5 3 2 2 3 2" xfId="37319" xr:uid="{B6B18022-CBF4-4B94-9E82-4A39B669AC75}"/>
    <cellStyle name="Normal 5 3 2 2 4" xfId="21424" xr:uid="{00000000-0005-0000-0000-0000DB5B0000}"/>
    <cellStyle name="Normal 5 3 2 2 4 2" xfId="45257" xr:uid="{53328BFC-5B10-491A-9AB5-3612ABE5F017}"/>
    <cellStyle name="Normal 5 3 2 2 5" xfId="29378" xr:uid="{CF4FAD9D-6B34-4577-9F96-0EF84819DFEA}"/>
    <cellStyle name="Normal 5 3 2 3" xfId="7277" xr:uid="{00000000-0005-0000-0000-0000DC5B0000}"/>
    <cellStyle name="Normal 5 3 2 3 2" xfId="15249" xr:uid="{00000000-0005-0000-0000-0000DD5B0000}"/>
    <cellStyle name="Normal 5 3 2 3 2 2" xfId="39092" xr:uid="{112008D6-DF4D-4472-8C9F-7D4FA7757DED}"/>
    <cellStyle name="Normal 5 3 2 3 3" xfId="23196" xr:uid="{00000000-0005-0000-0000-0000DE5B0000}"/>
    <cellStyle name="Normal 5 3 2 3 3 2" xfId="47029" xr:uid="{6AC69D58-B8E1-42FF-BB3E-3695BC5D800B}"/>
    <cellStyle name="Normal 5 3 2 3 4" xfId="31151" xr:uid="{9F735EBB-027E-4BD9-A3D2-CBC79AB51707}"/>
    <cellStyle name="Normal 5 3 2 4" xfId="11713" xr:uid="{00000000-0005-0000-0000-0000DF5B0000}"/>
    <cellStyle name="Normal 5 3 2 4 2" xfId="35563" xr:uid="{0368FE80-D7AE-4DDD-BDBF-F084F0347D2B}"/>
    <cellStyle name="Normal 5 3 2 5" xfId="19668" xr:uid="{00000000-0005-0000-0000-0000E05B0000}"/>
    <cellStyle name="Normal 5 3 2 5 2" xfId="43501" xr:uid="{FF47D24E-74F5-4CC9-ABD9-0E34B404E801}"/>
    <cellStyle name="Normal 5 3 2 6" xfId="27621" xr:uid="{D6E7B058-F54C-44A6-9E0B-C76784D19018}"/>
    <cellStyle name="Normal 5 3 2_Exh G" xfId="3539" xr:uid="{00000000-0005-0000-0000-0000E15B0000}"/>
    <cellStyle name="Normal 5 3 3" xfId="4566" xr:uid="{00000000-0005-0000-0000-0000E25B0000}"/>
    <cellStyle name="Normal 5 3 3 2" xfId="8158" xr:uid="{00000000-0005-0000-0000-0000E35B0000}"/>
    <cellStyle name="Normal 5 3 3 2 2" xfId="16129" xr:uid="{00000000-0005-0000-0000-0000E45B0000}"/>
    <cellStyle name="Normal 5 3 3 2 2 2" xfId="39972" xr:uid="{E834D649-0E49-4056-871E-96699D517125}"/>
    <cellStyle name="Normal 5 3 3 2 3" xfId="24075" xr:uid="{00000000-0005-0000-0000-0000E55B0000}"/>
    <cellStyle name="Normal 5 3 3 2 3 2" xfId="47908" xr:uid="{3217F206-93AA-4492-8126-2FF698E29D8B}"/>
    <cellStyle name="Normal 5 3 3 2 4" xfId="32031" xr:uid="{E9026164-E5F4-40CA-B138-BDA335978C7B}"/>
    <cellStyle name="Normal 5 3 3 3" xfId="12591" xr:uid="{00000000-0005-0000-0000-0000E65B0000}"/>
    <cellStyle name="Normal 5 3 3 3 2" xfId="36441" xr:uid="{C3B3825D-A1ED-4119-823B-6EDC70125366}"/>
    <cellStyle name="Normal 5 3 3 4" xfId="20546" xr:uid="{00000000-0005-0000-0000-0000E75B0000}"/>
    <cellStyle name="Normal 5 3 3 4 2" xfId="44379" xr:uid="{9B978B88-B0A5-4F3E-9262-48CBB6BA0E8B}"/>
    <cellStyle name="Normal 5 3 3 5" xfId="28500" xr:uid="{744699C6-ECB8-4DFF-935A-8BAE00C4A4F4}"/>
    <cellStyle name="Normal 5 3 4" xfId="6396" xr:uid="{00000000-0005-0000-0000-0000E85B0000}"/>
    <cellStyle name="Normal 5 3 4 2" xfId="14371" xr:uid="{00000000-0005-0000-0000-0000E95B0000}"/>
    <cellStyle name="Normal 5 3 4 2 2" xfId="38214" xr:uid="{8FE16914-CC25-4F54-B5A1-A4DE44F5057B}"/>
    <cellStyle name="Normal 5 3 4 3" xfId="22318" xr:uid="{00000000-0005-0000-0000-0000EA5B0000}"/>
    <cellStyle name="Normal 5 3 4 3 2" xfId="46151" xr:uid="{1AE713E9-5208-4009-BE94-2DA9C2012DEE}"/>
    <cellStyle name="Normal 5 3 4 4" xfId="30273" xr:uid="{D99B4A87-69FB-4BF7-ABEF-250B26F45BF5}"/>
    <cellStyle name="Normal 5 3 5" xfId="9939" xr:uid="{00000000-0005-0000-0000-0000EB5B0000}"/>
    <cellStyle name="Normal 5 3 5 2" xfId="17897" xr:uid="{00000000-0005-0000-0000-0000EC5B0000}"/>
    <cellStyle name="Normal 5 3 5 2 2" xfId="41738" xr:uid="{E2BE326D-54F4-4115-9489-958119280ADA}"/>
    <cellStyle name="Normal 5 3 5 3" xfId="25841" xr:uid="{00000000-0005-0000-0000-0000ED5B0000}"/>
    <cellStyle name="Normal 5 3 5 3 2" xfId="49674" xr:uid="{4873AD86-F653-4672-AB4B-474E77164655}"/>
    <cellStyle name="Normal 5 3 5 4" xfId="33797" xr:uid="{3D6B51E8-0D34-4985-B30F-66FE45BCCAFF}"/>
    <cellStyle name="Normal 5 3 6" xfId="10835" xr:uid="{00000000-0005-0000-0000-0000EE5B0000}"/>
    <cellStyle name="Normal 5 3 6 2" xfId="34685" xr:uid="{B9386769-14B6-4FA8-9BD2-8EF347976FD9}"/>
    <cellStyle name="Normal 5 3 7" xfId="18790" xr:uid="{00000000-0005-0000-0000-0000EF5B0000}"/>
    <cellStyle name="Normal 5 3 7 2" xfId="42623" xr:uid="{F1346E3C-9112-4D48-9E09-CFB96237CC3B}"/>
    <cellStyle name="Normal 5 3 8" xfId="26743" xr:uid="{D4E09084-3C80-4A4B-AA34-160446B2C41C}"/>
    <cellStyle name="Normal 5 3_Exh G" xfId="3538" xr:uid="{00000000-0005-0000-0000-0000F05B0000}"/>
    <cellStyle name="Normal 5 4" xfId="5470" xr:uid="{00000000-0005-0000-0000-0000F15B0000}"/>
    <cellStyle name="Normal 5 5" xfId="5477" xr:uid="{00000000-0005-0000-0000-0000F25B0000}"/>
    <cellStyle name="Normal 5 6" xfId="5492" xr:uid="{00000000-0005-0000-0000-0000F35B0000}"/>
    <cellStyle name="Normal 5 7" xfId="5519" xr:uid="{00000000-0005-0000-0000-0000F45B0000}"/>
    <cellStyle name="Normal 5 8" xfId="5509" xr:uid="{00000000-0005-0000-0000-0000F55B0000}"/>
    <cellStyle name="Normal 5 9" xfId="9051" xr:uid="{00000000-0005-0000-0000-0000F65B0000}"/>
    <cellStyle name="Normal 50" xfId="9957" xr:uid="{00000000-0005-0000-0000-0000F75B0000}"/>
    <cellStyle name="Normal 50 2" xfId="17914" xr:uid="{00000000-0005-0000-0000-0000F85B0000}"/>
    <cellStyle name="Normal 51" xfId="9958" xr:uid="{00000000-0005-0000-0000-0000F95B0000}"/>
    <cellStyle name="Normal 51 2" xfId="17915" xr:uid="{00000000-0005-0000-0000-0000FA5B0000}"/>
    <cellStyle name="Normal 52" xfId="9961" xr:uid="{00000000-0005-0000-0000-0000FB5B0000}"/>
    <cellStyle name="Normal 52 2" xfId="17918" xr:uid="{00000000-0005-0000-0000-0000FC5B0000}"/>
    <cellStyle name="Normal 53" xfId="9962" xr:uid="{00000000-0005-0000-0000-0000FD5B0000}"/>
    <cellStyle name="Normal 53 2" xfId="17919" xr:uid="{00000000-0005-0000-0000-0000FE5B0000}"/>
    <cellStyle name="Normal 54" xfId="9963" xr:uid="{00000000-0005-0000-0000-0000FF5B0000}"/>
    <cellStyle name="Normal 54 2" xfId="17920" xr:uid="{00000000-0005-0000-0000-0000005C0000}"/>
    <cellStyle name="Normal 55" xfId="9964" xr:uid="{00000000-0005-0000-0000-0000015C0000}"/>
    <cellStyle name="Normal 55 2" xfId="17921" xr:uid="{00000000-0005-0000-0000-0000025C0000}"/>
    <cellStyle name="Normal 56" xfId="9965" xr:uid="{00000000-0005-0000-0000-0000035C0000}"/>
    <cellStyle name="Normal 56 2" xfId="17922" xr:uid="{00000000-0005-0000-0000-0000045C0000}"/>
    <cellStyle name="Normal 57" xfId="9966" xr:uid="{00000000-0005-0000-0000-0000055C0000}"/>
    <cellStyle name="Normal 57 2" xfId="17923" xr:uid="{00000000-0005-0000-0000-0000065C0000}"/>
    <cellStyle name="Normal 57 2 2" xfId="41757" xr:uid="{4C5C7D43-961A-4D88-A8D5-F0BA5099414C}"/>
    <cellStyle name="Normal 57 3" xfId="25860" xr:uid="{00000000-0005-0000-0000-0000075C0000}"/>
    <cellStyle name="Normal 57 3 2" xfId="49693" xr:uid="{665CC5C5-9CEE-490B-B2C3-F778DEA4CFE7}"/>
    <cellStyle name="Normal 57 4" xfId="33816" xr:uid="{D884C984-9BD2-4347-B768-977185CA12C2}"/>
    <cellStyle name="Normal 58" xfId="9967" xr:uid="{00000000-0005-0000-0000-0000085C0000}"/>
    <cellStyle name="Normal 58 2" xfId="33817" xr:uid="{F9247D12-CEF2-43E0-B39C-40F9DB6B6DD2}"/>
    <cellStyle name="Normal 59" xfId="25863" xr:uid="{00000000-0005-0000-0000-0000095C0000}"/>
    <cellStyle name="Normal 59 2" xfId="49694" xr:uid="{E59435A3-FCE8-46C9-B64A-6DFE78A97A02}"/>
    <cellStyle name="Normal 6" xfId="10" xr:uid="{00000000-0005-0000-0000-00000A5C0000}"/>
    <cellStyle name="Normal 6 2" xfId="674" xr:uid="{00000000-0005-0000-0000-00000B5C0000}"/>
    <cellStyle name="Normal 6 2 2" xfId="675" xr:uid="{00000000-0005-0000-0000-00000C5C0000}"/>
    <cellStyle name="Normal 6 2 2 2" xfId="1703" xr:uid="{00000000-0005-0000-0000-00000D5C0000}"/>
    <cellStyle name="Normal 6 2 2 2 2" xfId="5233" xr:uid="{00000000-0005-0000-0000-00000E5C0000}"/>
    <cellStyle name="Normal 6 2 2 2 2 2" xfId="8824" xr:uid="{00000000-0005-0000-0000-00000F5C0000}"/>
    <cellStyle name="Normal 6 2 2 2 2 2 2" xfId="16795" xr:uid="{00000000-0005-0000-0000-0000105C0000}"/>
    <cellStyle name="Normal 6 2 2 2 2 2 2 2" xfId="40638" xr:uid="{81D0AD05-99DD-4E89-A868-EFA14370AD60}"/>
    <cellStyle name="Normal 6 2 2 2 2 2 3" xfId="24741" xr:uid="{00000000-0005-0000-0000-0000115C0000}"/>
    <cellStyle name="Normal 6 2 2 2 2 2 3 2" xfId="48574" xr:uid="{4A67A498-B854-4B66-98F8-752DE4CC9769}"/>
    <cellStyle name="Normal 6 2 2 2 2 2 4" xfId="32697" xr:uid="{A6039D21-85B7-46A4-AAF0-1FF7FEF512F8}"/>
    <cellStyle name="Normal 6 2 2 2 2 3" xfId="13257" xr:uid="{00000000-0005-0000-0000-0000125C0000}"/>
    <cellStyle name="Normal 6 2 2 2 2 3 2" xfId="37107" xr:uid="{9E24BB74-0F6B-4D4E-BB64-0C882B5CA493}"/>
    <cellStyle name="Normal 6 2 2 2 2 4" xfId="21212" xr:uid="{00000000-0005-0000-0000-0000135C0000}"/>
    <cellStyle name="Normal 6 2 2 2 2 4 2" xfId="45045" xr:uid="{2A91D031-072A-4CA0-B1E6-02C6F949B2BC}"/>
    <cellStyle name="Normal 6 2 2 2 2 5" xfId="29166" xr:uid="{772A7F78-F2FE-4017-9B80-B1642F0CCA6B}"/>
    <cellStyle name="Normal 6 2 2 2 3" xfId="7065" xr:uid="{00000000-0005-0000-0000-0000145C0000}"/>
    <cellStyle name="Normal 6 2 2 2 3 2" xfId="15037" xr:uid="{00000000-0005-0000-0000-0000155C0000}"/>
    <cellStyle name="Normal 6 2 2 2 3 2 2" xfId="38880" xr:uid="{C590DD3B-8013-41DD-B015-3FD751B7AA8A}"/>
    <cellStyle name="Normal 6 2 2 2 3 3" xfId="22984" xr:uid="{00000000-0005-0000-0000-0000165C0000}"/>
    <cellStyle name="Normal 6 2 2 2 3 3 2" xfId="46817" xr:uid="{89AD3532-C710-4A07-896C-FA4D9D467BE0}"/>
    <cellStyle name="Normal 6 2 2 2 3 4" xfId="30939" xr:uid="{04FDE233-A134-4BBD-9F08-1A3C83FFA1E0}"/>
    <cellStyle name="Normal 6 2 2 2 4" xfId="11501" xr:uid="{00000000-0005-0000-0000-0000175C0000}"/>
    <cellStyle name="Normal 6 2 2 2 4 2" xfId="35351" xr:uid="{AA7313D5-EBB4-4DA6-91FC-8E45D1626A67}"/>
    <cellStyle name="Normal 6 2 2 2 5" xfId="19456" xr:uid="{00000000-0005-0000-0000-0000185C0000}"/>
    <cellStyle name="Normal 6 2 2 2 5 2" xfId="43289" xr:uid="{00E4149D-E8D1-4614-9BF9-FE18E1BF9A89}"/>
    <cellStyle name="Normal 6 2 2 2 6" xfId="27409" xr:uid="{9B8406D9-E501-42B4-B1A6-BD7A0D3E2734}"/>
    <cellStyle name="Normal 6 2 2 2_Exh G" xfId="3542" xr:uid="{00000000-0005-0000-0000-0000195C0000}"/>
    <cellStyle name="Normal 6 2 2 3" xfId="4354" xr:uid="{00000000-0005-0000-0000-00001A5C0000}"/>
    <cellStyle name="Normal 6 2 2 3 2" xfId="7946" xr:uid="{00000000-0005-0000-0000-00001B5C0000}"/>
    <cellStyle name="Normal 6 2 2 3 2 2" xfId="15917" xr:uid="{00000000-0005-0000-0000-00001C5C0000}"/>
    <cellStyle name="Normal 6 2 2 3 2 2 2" xfId="39760" xr:uid="{3EF4DFA8-3B40-4216-928B-F8C981DBC784}"/>
    <cellStyle name="Normal 6 2 2 3 2 3" xfId="23863" xr:uid="{00000000-0005-0000-0000-00001D5C0000}"/>
    <cellStyle name="Normal 6 2 2 3 2 3 2" xfId="47696" xr:uid="{C0801D33-858C-4FF5-9FD9-4FDB4AF51B6A}"/>
    <cellStyle name="Normal 6 2 2 3 2 4" xfId="31819" xr:uid="{CECEF1CF-E438-4D3C-9BFC-3029F6EA97F3}"/>
    <cellStyle name="Normal 6 2 2 3 3" xfId="12379" xr:uid="{00000000-0005-0000-0000-00001E5C0000}"/>
    <cellStyle name="Normal 6 2 2 3 3 2" xfId="36229" xr:uid="{6CA1BE02-E27B-4EF3-9A62-EF89E2FD03D6}"/>
    <cellStyle name="Normal 6 2 2 3 4" xfId="20334" xr:uid="{00000000-0005-0000-0000-00001F5C0000}"/>
    <cellStyle name="Normal 6 2 2 3 4 2" xfId="44167" xr:uid="{BF728E80-1A57-40F7-A845-081796F1F7D6}"/>
    <cellStyle name="Normal 6 2 2 3 5" xfId="28288" xr:uid="{19922E8F-AA98-4E08-956D-21BA6B25CDE9}"/>
    <cellStyle name="Normal 6 2 2 4" xfId="6174" xr:uid="{00000000-0005-0000-0000-0000205C0000}"/>
    <cellStyle name="Normal 6 2 2 4 2" xfId="14158" xr:uid="{00000000-0005-0000-0000-0000215C0000}"/>
    <cellStyle name="Normal 6 2 2 4 2 2" xfId="38002" xr:uid="{F4768A7A-8E88-4278-AFBC-DF52AC368D16}"/>
    <cellStyle name="Normal 6 2 2 4 3" xfId="22106" xr:uid="{00000000-0005-0000-0000-0000225C0000}"/>
    <cellStyle name="Normal 6 2 2 4 3 2" xfId="45939" xr:uid="{1A06E939-5CA9-4819-80AB-C40F1A673BDB}"/>
    <cellStyle name="Normal 6 2 2 4 4" xfId="30061" xr:uid="{67E4CEB6-DC2D-4FE5-9B3E-47BBC2495275}"/>
    <cellStyle name="Normal 6 2 2 5" xfId="9727" xr:uid="{00000000-0005-0000-0000-0000235C0000}"/>
    <cellStyle name="Normal 6 2 2 5 2" xfId="17685" xr:uid="{00000000-0005-0000-0000-0000245C0000}"/>
    <cellStyle name="Normal 6 2 2 5 2 2" xfId="41526" xr:uid="{833F6E88-3D66-47EF-9C3E-E52A53EF59A1}"/>
    <cellStyle name="Normal 6 2 2 5 3" xfId="25629" xr:uid="{00000000-0005-0000-0000-0000255C0000}"/>
    <cellStyle name="Normal 6 2 2 5 3 2" xfId="49462" xr:uid="{20C3B42C-AE77-47EA-92B7-BC8C78A30EE1}"/>
    <cellStyle name="Normal 6 2 2 5 4" xfId="33585" xr:uid="{F3ACACAA-3006-48E7-A56B-5B3F5022B1E6}"/>
    <cellStyle name="Normal 6 2 2 6" xfId="10623" xr:uid="{00000000-0005-0000-0000-0000265C0000}"/>
    <cellStyle name="Normal 6 2 2 6 2" xfId="34473" xr:uid="{8169C5F2-333D-48EE-9519-9C17D921BBAA}"/>
    <cellStyle name="Normal 6 2 2 7" xfId="18578" xr:uid="{00000000-0005-0000-0000-0000275C0000}"/>
    <cellStyle name="Normal 6 2 2 7 2" xfId="42411" xr:uid="{286C9CEF-DC98-4F66-BAB4-9C28EC2B854D}"/>
    <cellStyle name="Normal 6 2 2 8" xfId="26531" xr:uid="{E1410258-C146-4C65-84E7-9CBE05E2F635}"/>
    <cellStyle name="Normal 6 2 2_Exh G" xfId="3541" xr:uid="{00000000-0005-0000-0000-0000285C0000}"/>
    <cellStyle name="Normal 6 2 3" xfId="1702" xr:uid="{00000000-0005-0000-0000-0000295C0000}"/>
    <cellStyle name="Normal 6 2 3 2" xfId="5232" xr:uid="{00000000-0005-0000-0000-00002A5C0000}"/>
    <cellStyle name="Normal 6 2 3 2 2" xfId="8823" xr:uid="{00000000-0005-0000-0000-00002B5C0000}"/>
    <cellStyle name="Normal 6 2 3 2 2 2" xfId="16794" xr:uid="{00000000-0005-0000-0000-00002C5C0000}"/>
    <cellStyle name="Normal 6 2 3 2 2 2 2" xfId="40637" xr:uid="{F80032EE-831E-4206-BCF3-AC26BA445220}"/>
    <cellStyle name="Normal 6 2 3 2 2 3" xfId="24740" xr:uid="{00000000-0005-0000-0000-00002D5C0000}"/>
    <cellStyle name="Normal 6 2 3 2 2 3 2" xfId="48573" xr:uid="{D0D8B8AF-44EF-4FB2-B8A8-578166DD7E79}"/>
    <cellStyle name="Normal 6 2 3 2 2 4" xfId="32696" xr:uid="{72582EEC-6D34-4FCE-B003-7B842715721F}"/>
    <cellStyle name="Normal 6 2 3 2 3" xfId="13256" xr:uid="{00000000-0005-0000-0000-00002E5C0000}"/>
    <cellStyle name="Normal 6 2 3 2 3 2" xfId="37106" xr:uid="{397B15E9-0B97-45DC-A3C7-13AD021DD2DD}"/>
    <cellStyle name="Normal 6 2 3 2 4" xfId="21211" xr:uid="{00000000-0005-0000-0000-00002F5C0000}"/>
    <cellStyle name="Normal 6 2 3 2 4 2" xfId="45044" xr:uid="{B504C9D6-029F-435A-92EA-C8DC820C50B8}"/>
    <cellStyle name="Normal 6 2 3 2 5" xfId="29165" xr:uid="{A20D9CB1-4B6E-45ED-8910-0093E9D9D6BF}"/>
    <cellStyle name="Normal 6 2 3 3" xfId="7064" xr:uid="{00000000-0005-0000-0000-0000305C0000}"/>
    <cellStyle name="Normal 6 2 3 3 2" xfId="15036" xr:uid="{00000000-0005-0000-0000-0000315C0000}"/>
    <cellStyle name="Normal 6 2 3 3 2 2" xfId="38879" xr:uid="{27193CE4-3DE8-43B8-9C3B-17378E5E0556}"/>
    <cellStyle name="Normal 6 2 3 3 3" xfId="22983" xr:uid="{00000000-0005-0000-0000-0000325C0000}"/>
    <cellStyle name="Normal 6 2 3 3 3 2" xfId="46816" xr:uid="{18AEA82B-EA64-4DF8-B099-7F0EDE3E2266}"/>
    <cellStyle name="Normal 6 2 3 3 4" xfId="30938" xr:uid="{F8C2AC97-BA18-43D0-ABF9-8B85BB3BB2DC}"/>
    <cellStyle name="Normal 6 2 3 4" xfId="11500" xr:uid="{00000000-0005-0000-0000-0000335C0000}"/>
    <cellStyle name="Normal 6 2 3 4 2" xfId="35350" xr:uid="{D8BCDF6F-1D7A-4ACD-804C-E4E4D71FFF65}"/>
    <cellStyle name="Normal 6 2 3 5" xfId="19455" xr:uid="{00000000-0005-0000-0000-0000345C0000}"/>
    <cellStyle name="Normal 6 2 3 5 2" xfId="43288" xr:uid="{BC917E7F-DDE0-4585-A4F7-F3744DC954A2}"/>
    <cellStyle name="Normal 6 2 3 6" xfId="27408" xr:uid="{4A754FA9-C4CB-466B-AF0F-3513B654D754}"/>
    <cellStyle name="Normal 6 2 3_Exh G" xfId="3543" xr:uid="{00000000-0005-0000-0000-0000355C0000}"/>
    <cellStyle name="Normal 6 2 4" xfId="4353" xr:uid="{00000000-0005-0000-0000-0000365C0000}"/>
    <cellStyle name="Normal 6 2 4 2" xfId="7945" xr:uid="{00000000-0005-0000-0000-0000375C0000}"/>
    <cellStyle name="Normal 6 2 4 2 2" xfId="15916" xr:uid="{00000000-0005-0000-0000-0000385C0000}"/>
    <cellStyle name="Normal 6 2 4 2 2 2" xfId="39759" xr:uid="{8C757703-6A4F-407A-8D7D-CC8AA63965D3}"/>
    <cellStyle name="Normal 6 2 4 2 3" xfId="23862" xr:uid="{00000000-0005-0000-0000-0000395C0000}"/>
    <cellStyle name="Normal 6 2 4 2 3 2" xfId="47695" xr:uid="{1C1CA53D-A682-4283-8F4F-30F197B1DB7C}"/>
    <cellStyle name="Normal 6 2 4 2 4" xfId="31818" xr:uid="{41F20BF4-79ED-4B30-BF52-CAE36C82B394}"/>
    <cellStyle name="Normal 6 2 4 3" xfId="12378" xr:uid="{00000000-0005-0000-0000-00003A5C0000}"/>
    <cellStyle name="Normal 6 2 4 3 2" xfId="36228" xr:uid="{931D03A3-8CD1-49D6-B1B5-3508DAA01487}"/>
    <cellStyle name="Normal 6 2 4 4" xfId="20333" xr:uid="{00000000-0005-0000-0000-00003B5C0000}"/>
    <cellStyle name="Normal 6 2 4 4 2" xfId="44166" xr:uid="{5ADB4EDA-F32F-4C32-9174-727E12513DDF}"/>
    <cellStyle name="Normal 6 2 4 5" xfId="28287" xr:uid="{CC2EE59E-3425-4228-81DD-59016DA9C7DD}"/>
    <cellStyle name="Normal 6 2 5" xfId="6173" xr:uid="{00000000-0005-0000-0000-00003C5C0000}"/>
    <cellStyle name="Normal 6 2 5 2" xfId="14157" xr:uid="{00000000-0005-0000-0000-00003D5C0000}"/>
    <cellStyle name="Normal 6 2 5 2 2" xfId="38001" xr:uid="{CA4AE2D1-A7BC-4705-A31F-09D2CBC6F3F4}"/>
    <cellStyle name="Normal 6 2 5 3" xfId="22105" xr:uid="{00000000-0005-0000-0000-00003E5C0000}"/>
    <cellStyle name="Normal 6 2 5 3 2" xfId="45938" xr:uid="{55FC8930-BDFE-4D0F-8D4C-B61B0247FADB}"/>
    <cellStyle name="Normal 6 2 5 4" xfId="30060" xr:uid="{E9D09E70-09E5-49D6-9B7C-DCD5E86FBD7A}"/>
    <cellStyle name="Normal 6 2 6" xfId="9726" xr:uid="{00000000-0005-0000-0000-00003F5C0000}"/>
    <cellStyle name="Normal 6 2 6 2" xfId="17684" xr:uid="{00000000-0005-0000-0000-0000405C0000}"/>
    <cellStyle name="Normal 6 2 6 2 2" xfId="41525" xr:uid="{3244AA27-7FCC-4AD3-A742-755E5FCD6F48}"/>
    <cellStyle name="Normal 6 2 6 3" xfId="25628" xr:uid="{00000000-0005-0000-0000-0000415C0000}"/>
    <cellStyle name="Normal 6 2 6 3 2" xfId="49461" xr:uid="{F36F319F-0512-4EDA-8BAE-222A4659E8E1}"/>
    <cellStyle name="Normal 6 2 6 4" xfId="33584" xr:uid="{7A2F59FC-D1A0-472C-BDCC-4B40ACCA1372}"/>
    <cellStyle name="Normal 6 2 7" xfId="10622" xr:uid="{00000000-0005-0000-0000-0000425C0000}"/>
    <cellStyle name="Normal 6 2 7 2" xfId="34472" xr:uid="{3EDAD2C4-6A3D-4D79-BA70-AFD5063BA864}"/>
    <cellStyle name="Normal 6 2 8" xfId="18577" xr:uid="{00000000-0005-0000-0000-0000435C0000}"/>
    <cellStyle name="Normal 6 2 8 2" xfId="42410" xr:uid="{3299C5C9-8A5C-49B6-8DA3-B423C24B5938}"/>
    <cellStyle name="Normal 6 2 9" xfId="26530" xr:uid="{54B9AA36-DBBF-4E76-88E7-F1310A2B5792}"/>
    <cellStyle name="Normal 6 2_Exh G" xfId="3540" xr:uid="{00000000-0005-0000-0000-0000445C0000}"/>
    <cellStyle name="Normal 6 3" xfId="676" xr:uid="{00000000-0005-0000-0000-0000455C0000}"/>
    <cellStyle name="Normal 6 3 2" xfId="1704" xr:uid="{00000000-0005-0000-0000-0000465C0000}"/>
    <cellStyle name="Normal 6 3 2 2" xfId="5234" xr:uid="{00000000-0005-0000-0000-0000475C0000}"/>
    <cellStyle name="Normal 6 3 2 2 2" xfId="8825" xr:uid="{00000000-0005-0000-0000-0000485C0000}"/>
    <cellStyle name="Normal 6 3 2 2 2 2" xfId="16796" xr:uid="{00000000-0005-0000-0000-0000495C0000}"/>
    <cellStyle name="Normal 6 3 2 2 2 2 2" xfId="40639" xr:uid="{B107A4C3-CD79-48A6-9AF8-996C81B66084}"/>
    <cellStyle name="Normal 6 3 2 2 2 3" xfId="24742" xr:uid="{00000000-0005-0000-0000-00004A5C0000}"/>
    <cellStyle name="Normal 6 3 2 2 2 3 2" xfId="48575" xr:uid="{7B1EA573-95EC-4348-84C3-371F79711434}"/>
    <cellStyle name="Normal 6 3 2 2 2 4" xfId="32698" xr:uid="{609D2C46-C8B3-4188-BF80-9118A28C6000}"/>
    <cellStyle name="Normal 6 3 2 2 3" xfId="13258" xr:uid="{00000000-0005-0000-0000-00004B5C0000}"/>
    <cellStyle name="Normal 6 3 2 2 3 2" xfId="37108" xr:uid="{7A77CBBB-CA4C-428C-B9E8-3A5817D93E8E}"/>
    <cellStyle name="Normal 6 3 2 2 4" xfId="21213" xr:uid="{00000000-0005-0000-0000-00004C5C0000}"/>
    <cellStyle name="Normal 6 3 2 2 4 2" xfId="45046" xr:uid="{C90BA967-88B6-489A-AAF4-ED3ECA6AF403}"/>
    <cellStyle name="Normal 6 3 2 2 5" xfId="29167" xr:uid="{109D5074-47A3-4916-AE0F-2EC3BF935922}"/>
    <cellStyle name="Normal 6 3 2 3" xfId="7066" xr:uid="{00000000-0005-0000-0000-00004D5C0000}"/>
    <cellStyle name="Normal 6 3 2 3 2" xfId="15038" xr:uid="{00000000-0005-0000-0000-00004E5C0000}"/>
    <cellStyle name="Normal 6 3 2 3 2 2" xfId="38881" xr:uid="{A28FEA7A-9440-4C97-BF00-E19FB468019A}"/>
    <cellStyle name="Normal 6 3 2 3 3" xfId="22985" xr:uid="{00000000-0005-0000-0000-00004F5C0000}"/>
    <cellStyle name="Normal 6 3 2 3 3 2" xfId="46818" xr:uid="{149F52C8-A687-4F72-B976-52529488CBAF}"/>
    <cellStyle name="Normal 6 3 2 3 4" xfId="30940" xr:uid="{88AC5ABC-7BF2-421D-A2D5-81A11768101D}"/>
    <cellStyle name="Normal 6 3 2 4" xfId="11502" xr:uid="{00000000-0005-0000-0000-0000505C0000}"/>
    <cellStyle name="Normal 6 3 2 4 2" xfId="35352" xr:uid="{58532F9B-4021-45B3-9889-D1FCC24F2001}"/>
    <cellStyle name="Normal 6 3 2 5" xfId="19457" xr:uid="{00000000-0005-0000-0000-0000515C0000}"/>
    <cellStyle name="Normal 6 3 2 5 2" xfId="43290" xr:uid="{5E184F73-4AA1-4B7B-85DE-E4C9620F2975}"/>
    <cellStyle name="Normal 6 3 2 6" xfId="27410" xr:uid="{F4DF8306-F677-4142-893E-1ABEB2FB314E}"/>
    <cellStyle name="Normal 6 3 2_Exh G" xfId="3545" xr:uid="{00000000-0005-0000-0000-0000525C0000}"/>
    <cellStyle name="Normal 6 3 3" xfId="4355" xr:uid="{00000000-0005-0000-0000-0000535C0000}"/>
    <cellStyle name="Normal 6 3 3 2" xfId="7947" xr:uid="{00000000-0005-0000-0000-0000545C0000}"/>
    <cellStyle name="Normal 6 3 3 2 2" xfId="15918" xr:uid="{00000000-0005-0000-0000-0000555C0000}"/>
    <cellStyle name="Normal 6 3 3 2 2 2" xfId="39761" xr:uid="{1CC7D53E-10EF-4486-8FEF-A5846B6172BD}"/>
    <cellStyle name="Normal 6 3 3 2 3" xfId="23864" xr:uid="{00000000-0005-0000-0000-0000565C0000}"/>
    <cellStyle name="Normal 6 3 3 2 3 2" xfId="47697" xr:uid="{1FEBB912-4048-463F-BE3B-56AE7EDDC3DC}"/>
    <cellStyle name="Normal 6 3 3 2 4" xfId="31820" xr:uid="{71FA5EE9-B89E-443B-8F79-8E1DF2DDF45D}"/>
    <cellStyle name="Normal 6 3 3 3" xfId="12380" xr:uid="{00000000-0005-0000-0000-0000575C0000}"/>
    <cellStyle name="Normal 6 3 3 3 2" xfId="36230" xr:uid="{3C26122F-E700-4589-8404-9FE1DEA26EA4}"/>
    <cellStyle name="Normal 6 3 3 4" xfId="20335" xr:uid="{00000000-0005-0000-0000-0000585C0000}"/>
    <cellStyle name="Normal 6 3 3 4 2" xfId="44168" xr:uid="{7CF6BC36-A932-4B9F-A911-326B4B76BADC}"/>
    <cellStyle name="Normal 6 3 3 5" xfId="28289" xr:uid="{F6D24A9B-8C5D-4D4B-8921-EF26C73A4CE1}"/>
    <cellStyle name="Normal 6 3 4" xfId="6175" xr:uid="{00000000-0005-0000-0000-0000595C0000}"/>
    <cellStyle name="Normal 6 3 4 2" xfId="14159" xr:uid="{00000000-0005-0000-0000-00005A5C0000}"/>
    <cellStyle name="Normal 6 3 4 2 2" xfId="38003" xr:uid="{7BF43140-5167-4829-AA09-C9BDE3C463B7}"/>
    <cellStyle name="Normal 6 3 4 3" xfId="22107" xr:uid="{00000000-0005-0000-0000-00005B5C0000}"/>
    <cellStyle name="Normal 6 3 4 3 2" xfId="45940" xr:uid="{2D7B8D60-C50F-4CF3-A5DD-23541A59BDCC}"/>
    <cellStyle name="Normal 6 3 4 4" xfId="30062" xr:uid="{A4B9F9BE-C245-481A-B303-36C00B7ABAF8}"/>
    <cellStyle name="Normal 6 3 5" xfId="9728" xr:uid="{00000000-0005-0000-0000-00005C5C0000}"/>
    <cellStyle name="Normal 6 3 5 2" xfId="17686" xr:uid="{00000000-0005-0000-0000-00005D5C0000}"/>
    <cellStyle name="Normal 6 3 5 2 2" xfId="41527" xr:uid="{3228814C-F6EC-4036-9145-1A10B1B3FA51}"/>
    <cellStyle name="Normal 6 3 5 3" xfId="25630" xr:uid="{00000000-0005-0000-0000-00005E5C0000}"/>
    <cellStyle name="Normal 6 3 5 3 2" xfId="49463" xr:uid="{F9529FC5-1530-4028-BC54-8089BB5CA674}"/>
    <cellStyle name="Normal 6 3 5 4" xfId="33586" xr:uid="{6AB2804D-D83A-44D5-BC3C-A474E0FA762B}"/>
    <cellStyle name="Normal 6 3 6" xfId="10624" xr:uid="{00000000-0005-0000-0000-00005F5C0000}"/>
    <cellStyle name="Normal 6 3 6 2" xfId="34474" xr:uid="{3D86AAC3-3F94-418D-BB2E-9A652AA50797}"/>
    <cellStyle name="Normal 6 3 7" xfId="18579" xr:uid="{00000000-0005-0000-0000-0000605C0000}"/>
    <cellStyle name="Normal 6 3 7 2" xfId="42412" xr:uid="{D11ED0BD-93EC-41DC-AE8F-4E069ACBCFE0}"/>
    <cellStyle name="Normal 6 3 8" xfId="26532" xr:uid="{473D5499-E958-4650-A063-804F9F2E76C2}"/>
    <cellStyle name="Normal 6 3_Exh G" xfId="3544" xr:uid="{00000000-0005-0000-0000-0000615C0000}"/>
    <cellStyle name="Normal 6 4" xfId="1024" xr:uid="{00000000-0005-0000-0000-0000625C0000}"/>
    <cellStyle name="Normal 60" xfId="49709" xr:uid="{21714B4E-006B-4FAF-8A57-C62674FCFD8C}"/>
    <cellStyle name="Normal 61" xfId="49794" xr:uid="{E268CA34-7E45-483D-ABEB-5CE3333CD824}"/>
    <cellStyle name="Normal 7" xfId="17" xr:uid="{00000000-0005-0000-0000-0000635C0000}"/>
    <cellStyle name="Normal 7 2" xfId="677" xr:uid="{00000000-0005-0000-0000-0000645C0000}"/>
    <cellStyle name="Normal 7 2 2" xfId="678" xr:uid="{00000000-0005-0000-0000-0000655C0000}"/>
    <cellStyle name="Normal 7 2 2 2" xfId="1706" xr:uid="{00000000-0005-0000-0000-0000665C0000}"/>
    <cellStyle name="Normal 7 2 2 2 2" xfId="5236" xr:uid="{00000000-0005-0000-0000-0000675C0000}"/>
    <cellStyle name="Normal 7 2 2 2 2 2" xfId="8827" xr:uid="{00000000-0005-0000-0000-0000685C0000}"/>
    <cellStyle name="Normal 7 2 2 2 2 2 2" xfId="16798" xr:uid="{00000000-0005-0000-0000-0000695C0000}"/>
    <cellStyle name="Normal 7 2 2 2 2 2 2 2" xfId="40641" xr:uid="{FF0F6E1B-1864-41BD-BD9B-345625AF7802}"/>
    <cellStyle name="Normal 7 2 2 2 2 2 3" xfId="24744" xr:uid="{00000000-0005-0000-0000-00006A5C0000}"/>
    <cellStyle name="Normal 7 2 2 2 2 2 3 2" xfId="48577" xr:uid="{B5F1DB96-2BC8-4C04-8BCB-2CF7D2AD02E5}"/>
    <cellStyle name="Normal 7 2 2 2 2 2 4" xfId="32700" xr:uid="{472590A4-F1D1-490A-BEB5-7B4806AF5B7C}"/>
    <cellStyle name="Normal 7 2 2 2 2 3" xfId="13260" xr:uid="{00000000-0005-0000-0000-00006B5C0000}"/>
    <cellStyle name="Normal 7 2 2 2 2 3 2" xfId="37110" xr:uid="{1942B260-F92F-45FA-B808-92F4D85D0F20}"/>
    <cellStyle name="Normal 7 2 2 2 2 4" xfId="21215" xr:uid="{00000000-0005-0000-0000-00006C5C0000}"/>
    <cellStyle name="Normal 7 2 2 2 2 4 2" xfId="45048" xr:uid="{066EA486-23DB-4909-B7EC-99DEA8DECB59}"/>
    <cellStyle name="Normal 7 2 2 2 2 5" xfId="29169" xr:uid="{2547F517-646B-4C3D-8F1F-748A312D8F77}"/>
    <cellStyle name="Normal 7 2 2 2 3" xfId="7068" xr:uid="{00000000-0005-0000-0000-00006D5C0000}"/>
    <cellStyle name="Normal 7 2 2 2 3 2" xfId="15040" xr:uid="{00000000-0005-0000-0000-00006E5C0000}"/>
    <cellStyle name="Normal 7 2 2 2 3 2 2" xfId="38883" xr:uid="{D9A74686-2EB8-42AA-A465-54D0B8C4069F}"/>
    <cellStyle name="Normal 7 2 2 2 3 3" xfId="22987" xr:uid="{00000000-0005-0000-0000-00006F5C0000}"/>
    <cellStyle name="Normal 7 2 2 2 3 3 2" xfId="46820" xr:uid="{9E3C9F62-3830-4996-90FA-15FA29CF1E86}"/>
    <cellStyle name="Normal 7 2 2 2 3 4" xfId="30942" xr:uid="{F0FD206A-314F-4BEF-9AFD-C46E67B41F38}"/>
    <cellStyle name="Normal 7 2 2 2 4" xfId="11504" xr:uid="{00000000-0005-0000-0000-0000705C0000}"/>
    <cellStyle name="Normal 7 2 2 2 4 2" xfId="35354" xr:uid="{382417E8-0E0B-4BD1-AF53-9217C775288A}"/>
    <cellStyle name="Normal 7 2 2 2 5" xfId="19459" xr:uid="{00000000-0005-0000-0000-0000715C0000}"/>
    <cellStyle name="Normal 7 2 2 2 5 2" xfId="43292" xr:uid="{4F3A0E46-8302-4215-A111-15B2F7892B19}"/>
    <cellStyle name="Normal 7 2 2 2 6" xfId="27412" xr:uid="{3EE80686-747F-4827-A84C-F57BDFAEB6A1}"/>
    <cellStyle name="Normal 7 2 2 2_Exh G" xfId="3548" xr:uid="{00000000-0005-0000-0000-0000725C0000}"/>
    <cellStyle name="Normal 7 2 2 3" xfId="4357" xr:uid="{00000000-0005-0000-0000-0000735C0000}"/>
    <cellStyle name="Normal 7 2 2 3 2" xfId="7949" xr:uid="{00000000-0005-0000-0000-0000745C0000}"/>
    <cellStyle name="Normal 7 2 2 3 2 2" xfId="15920" xr:uid="{00000000-0005-0000-0000-0000755C0000}"/>
    <cellStyle name="Normal 7 2 2 3 2 2 2" xfId="39763" xr:uid="{042C69B6-11F9-4A39-AA84-B4A919CBB6C4}"/>
    <cellStyle name="Normal 7 2 2 3 2 3" xfId="23866" xr:uid="{00000000-0005-0000-0000-0000765C0000}"/>
    <cellStyle name="Normal 7 2 2 3 2 3 2" xfId="47699" xr:uid="{45FBE99D-6B4E-4BC6-806A-ADAB6339A9B9}"/>
    <cellStyle name="Normal 7 2 2 3 2 4" xfId="31822" xr:uid="{9E51E2BE-0F98-46E5-A7AA-37F9CD988E0F}"/>
    <cellStyle name="Normal 7 2 2 3 3" xfId="12382" xr:uid="{00000000-0005-0000-0000-0000775C0000}"/>
    <cellStyle name="Normal 7 2 2 3 3 2" xfId="36232" xr:uid="{11AC048F-6697-408E-8E84-173DC98995BE}"/>
    <cellStyle name="Normal 7 2 2 3 4" xfId="20337" xr:uid="{00000000-0005-0000-0000-0000785C0000}"/>
    <cellStyle name="Normal 7 2 2 3 4 2" xfId="44170" xr:uid="{A2AD6F73-558C-41AA-87C2-D4EC52A79033}"/>
    <cellStyle name="Normal 7 2 2 3 5" xfId="28291" xr:uid="{001E2925-7D82-4165-BA0E-A52785D7013D}"/>
    <cellStyle name="Normal 7 2 2 4" xfId="6177" xr:uid="{00000000-0005-0000-0000-0000795C0000}"/>
    <cellStyle name="Normal 7 2 2 4 2" xfId="14161" xr:uid="{00000000-0005-0000-0000-00007A5C0000}"/>
    <cellStyle name="Normal 7 2 2 4 2 2" xfId="38005" xr:uid="{4961A324-CE04-41DD-8EAB-D62596A9DDCD}"/>
    <cellStyle name="Normal 7 2 2 4 3" xfId="22109" xr:uid="{00000000-0005-0000-0000-00007B5C0000}"/>
    <cellStyle name="Normal 7 2 2 4 3 2" xfId="45942" xr:uid="{56A698C0-B75B-48F2-85CC-5E58118A7BAD}"/>
    <cellStyle name="Normal 7 2 2 4 4" xfId="30064" xr:uid="{8DBE7797-DC92-4FC5-B0F8-B93C5ABE0BED}"/>
    <cellStyle name="Normal 7 2 2 5" xfId="9730" xr:uid="{00000000-0005-0000-0000-00007C5C0000}"/>
    <cellStyle name="Normal 7 2 2 5 2" xfId="17688" xr:uid="{00000000-0005-0000-0000-00007D5C0000}"/>
    <cellStyle name="Normal 7 2 2 5 2 2" xfId="41529" xr:uid="{326FD392-C0BF-4A0F-8ACF-BDF7C6466EA4}"/>
    <cellStyle name="Normal 7 2 2 5 3" xfId="25632" xr:uid="{00000000-0005-0000-0000-00007E5C0000}"/>
    <cellStyle name="Normal 7 2 2 5 3 2" xfId="49465" xr:uid="{BC634A06-D743-4ECC-A818-CD490B86A96C}"/>
    <cellStyle name="Normal 7 2 2 5 4" xfId="33588" xr:uid="{0D3FC9AA-C692-4FFA-9FA2-15B6DBF5E3C5}"/>
    <cellStyle name="Normal 7 2 2 6" xfId="10626" xr:uid="{00000000-0005-0000-0000-00007F5C0000}"/>
    <cellStyle name="Normal 7 2 2 6 2" xfId="34476" xr:uid="{5FC7DB22-02BF-405B-9CC8-099B2D3AB48A}"/>
    <cellStyle name="Normal 7 2 2 7" xfId="18581" xr:uid="{00000000-0005-0000-0000-0000805C0000}"/>
    <cellStyle name="Normal 7 2 2 7 2" xfId="42414" xr:uid="{8C8F492D-59A3-43BA-8103-C6CDEFEF5C56}"/>
    <cellStyle name="Normal 7 2 2 8" xfId="26534" xr:uid="{99C004A8-790C-4DCE-94DA-AF4D274CA8EA}"/>
    <cellStyle name="Normal 7 2 2_Exh G" xfId="3547" xr:uid="{00000000-0005-0000-0000-0000815C0000}"/>
    <cellStyle name="Normal 7 2 3" xfId="1705" xr:uid="{00000000-0005-0000-0000-0000825C0000}"/>
    <cellStyle name="Normal 7 2 3 2" xfId="5235" xr:uid="{00000000-0005-0000-0000-0000835C0000}"/>
    <cellStyle name="Normal 7 2 3 2 2" xfId="8826" xr:uid="{00000000-0005-0000-0000-0000845C0000}"/>
    <cellStyle name="Normal 7 2 3 2 2 2" xfId="16797" xr:uid="{00000000-0005-0000-0000-0000855C0000}"/>
    <cellStyle name="Normal 7 2 3 2 2 2 2" xfId="40640" xr:uid="{D22B0DF6-D8A9-4BDB-A234-901A09F65409}"/>
    <cellStyle name="Normal 7 2 3 2 2 3" xfId="24743" xr:uid="{00000000-0005-0000-0000-0000865C0000}"/>
    <cellStyle name="Normal 7 2 3 2 2 3 2" xfId="48576" xr:uid="{950842B3-74EC-4DB1-999D-E90B1B8D9458}"/>
    <cellStyle name="Normal 7 2 3 2 2 4" xfId="32699" xr:uid="{77C7EC99-9845-4994-9F84-D5276A776D34}"/>
    <cellStyle name="Normal 7 2 3 2 3" xfId="13259" xr:uid="{00000000-0005-0000-0000-0000875C0000}"/>
    <cellStyle name="Normal 7 2 3 2 3 2" xfId="37109" xr:uid="{BC847302-3854-45D1-A1B4-1C8ED96D57EC}"/>
    <cellStyle name="Normal 7 2 3 2 4" xfId="21214" xr:uid="{00000000-0005-0000-0000-0000885C0000}"/>
    <cellStyle name="Normal 7 2 3 2 4 2" xfId="45047" xr:uid="{F2EA5B77-520C-4268-82C0-183C6E58075F}"/>
    <cellStyle name="Normal 7 2 3 2 5" xfId="29168" xr:uid="{4CA66B30-9BA4-4E8C-922B-34AE3C9D76AC}"/>
    <cellStyle name="Normal 7 2 3 3" xfId="7067" xr:uid="{00000000-0005-0000-0000-0000895C0000}"/>
    <cellStyle name="Normal 7 2 3 3 2" xfId="15039" xr:uid="{00000000-0005-0000-0000-00008A5C0000}"/>
    <cellStyle name="Normal 7 2 3 3 2 2" xfId="38882" xr:uid="{50F6BEA6-D039-4069-A6BA-DBBDD22947F1}"/>
    <cellStyle name="Normal 7 2 3 3 3" xfId="22986" xr:uid="{00000000-0005-0000-0000-00008B5C0000}"/>
    <cellStyle name="Normal 7 2 3 3 3 2" xfId="46819" xr:uid="{86C72ABF-C094-454F-96DC-1C1B8A2317FA}"/>
    <cellStyle name="Normal 7 2 3 3 4" xfId="30941" xr:uid="{7738E423-FAC9-4AE3-9D6D-857B4847847D}"/>
    <cellStyle name="Normal 7 2 3 4" xfId="11503" xr:uid="{00000000-0005-0000-0000-00008C5C0000}"/>
    <cellStyle name="Normal 7 2 3 4 2" xfId="35353" xr:uid="{BB25CD30-6A37-4233-A5C8-B5130A8A0078}"/>
    <cellStyle name="Normal 7 2 3 5" xfId="19458" xr:uid="{00000000-0005-0000-0000-00008D5C0000}"/>
    <cellStyle name="Normal 7 2 3 5 2" xfId="43291" xr:uid="{4BBD77DD-016E-49E2-A740-C845358E6316}"/>
    <cellStyle name="Normal 7 2 3 6" xfId="27411" xr:uid="{D2200BAA-CCAE-4D8C-BB32-3E16D0FDB267}"/>
    <cellStyle name="Normal 7 2 3_Exh G" xfId="3549" xr:uid="{00000000-0005-0000-0000-00008E5C0000}"/>
    <cellStyle name="Normal 7 2 4" xfId="4356" xr:uid="{00000000-0005-0000-0000-00008F5C0000}"/>
    <cellStyle name="Normal 7 2 4 2" xfId="7948" xr:uid="{00000000-0005-0000-0000-0000905C0000}"/>
    <cellStyle name="Normal 7 2 4 2 2" xfId="15919" xr:uid="{00000000-0005-0000-0000-0000915C0000}"/>
    <cellStyle name="Normal 7 2 4 2 2 2" xfId="39762" xr:uid="{E89FD23A-E398-4923-BD68-0DCC5101F313}"/>
    <cellStyle name="Normal 7 2 4 2 3" xfId="23865" xr:uid="{00000000-0005-0000-0000-0000925C0000}"/>
    <cellStyle name="Normal 7 2 4 2 3 2" xfId="47698" xr:uid="{BFD8D6EB-B6B0-4135-90F9-9B5E629DD777}"/>
    <cellStyle name="Normal 7 2 4 2 4" xfId="31821" xr:uid="{F97636BD-CF90-49C3-B0C8-D13F8EAE0B3B}"/>
    <cellStyle name="Normal 7 2 4 3" xfId="12381" xr:uid="{00000000-0005-0000-0000-0000935C0000}"/>
    <cellStyle name="Normal 7 2 4 3 2" xfId="36231" xr:uid="{ED9E73DB-19FB-4722-A68D-204E26A1CD4F}"/>
    <cellStyle name="Normal 7 2 4 4" xfId="20336" xr:uid="{00000000-0005-0000-0000-0000945C0000}"/>
    <cellStyle name="Normal 7 2 4 4 2" xfId="44169" xr:uid="{A99E3B2E-7672-486B-BA92-EF4156D4D6BE}"/>
    <cellStyle name="Normal 7 2 4 5" xfId="28290" xr:uid="{54775B63-D7A6-4F04-99AE-BB5C36A761C5}"/>
    <cellStyle name="Normal 7 2 5" xfId="6176" xr:uid="{00000000-0005-0000-0000-0000955C0000}"/>
    <cellStyle name="Normal 7 2 5 2" xfId="14160" xr:uid="{00000000-0005-0000-0000-0000965C0000}"/>
    <cellStyle name="Normal 7 2 5 2 2" xfId="38004" xr:uid="{7B94E44A-A6EE-42D5-9A6E-0FDAF17BD9E8}"/>
    <cellStyle name="Normal 7 2 5 3" xfId="22108" xr:uid="{00000000-0005-0000-0000-0000975C0000}"/>
    <cellStyle name="Normal 7 2 5 3 2" xfId="45941" xr:uid="{DDFA4B30-72A1-4AC8-A88C-574F156BC890}"/>
    <cellStyle name="Normal 7 2 5 4" xfId="30063" xr:uid="{41B6EE24-8F98-4206-9BFF-0DAAFB269087}"/>
    <cellStyle name="Normal 7 2 6" xfId="9729" xr:uid="{00000000-0005-0000-0000-0000985C0000}"/>
    <cellStyle name="Normal 7 2 6 2" xfId="17687" xr:uid="{00000000-0005-0000-0000-0000995C0000}"/>
    <cellStyle name="Normal 7 2 6 2 2" xfId="41528" xr:uid="{44CDF1C1-2280-45C0-A6B4-B9C770AE86E2}"/>
    <cellStyle name="Normal 7 2 6 3" xfId="25631" xr:uid="{00000000-0005-0000-0000-00009A5C0000}"/>
    <cellStyle name="Normal 7 2 6 3 2" xfId="49464" xr:uid="{C26E3672-E43A-497D-809C-5A3F7B421F6C}"/>
    <cellStyle name="Normal 7 2 6 4" xfId="33587" xr:uid="{BFC50412-7798-4C01-8C8C-12F4E9A972D5}"/>
    <cellStyle name="Normal 7 2 7" xfId="10625" xr:uid="{00000000-0005-0000-0000-00009B5C0000}"/>
    <cellStyle name="Normal 7 2 7 2" xfId="34475" xr:uid="{BD510F7D-5342-4BF3-B83E-367E2E86947C}"/>
    <cellStyle name="Normal 7 2 8" xfId="18580" xr:uid="{00000000-0005-0000-0000-00009C5C0000}"/>
    <cellStyle name="Normal 7 2 8 2" xfId="42413" xr:uid="{3AE38050-4B9B-4B3C-9BAB-E029CC6604B0}"/>
    <cellStyle name="Normal 7 2 9" xfId="26533" xr:uid="{1449B79A-09A1-4BB1-A19B-0556E1204FEB}"/>
    <cellStyle name="Normal 7 2_Exh G" xfId="3546" xr:uid="{00000000-0005-0000-0000-00009D5C0000}"/>
    <cellStyle name="Normal 7 3" xfId="679" xr:uid="{00000000-0005-0000-0000-00009E5C0000}"/>
    <cellStyle name="Normal 7 3 2" xfId="1707" xr:uid="{00000000-0005-0000-0000-00009F5C0000}"/>
    <cellStyle name="Normal 7 3 2 2" xfId="5237" xr:uid="{00000000-0005-0000-0000-0000A05C0000}"/>
    <cellStyle name="Normal 7 3 2 2 2" xfId="8828" xr:uid="{00000000-0005-0000-0000-0000A15C0000}"/>
    <cellStyle name="Normal 7 3 2 2 2 2" xfId="16799" xr:uid="{00000000-0005-0000-0000-0000A25C0000}"/>
    <cellStyle name="Normal 7 3 2 2 2 2 2" xfId="40642" xr:uid="{C4DB7C2C-1F5D-44EE-97C3-984E0D95970C}"/>
    <cellStyle name="Normal 7 3 2 2 2 3" xfId="24745" xr:uid="{00000000-0005-0000-0000-0000A35C0000}"/>
    <cellStyle name="Normal 7 3 2 2 2 3 2" xfId="48578" xr:uid="{0DC3283A-069C-437C-BF89-38134A07BFA1}"/>
    <cellStyle name="Normal 7 3 2 2 2 4" xfId="32701" xr:uid="{235A41E1-E647-402B-8B86-AA4801DDFC2C}"/>
    <cellStyle name="Normal 7 3 2 2 3" xfId="13261" xr:uid="{00000000-0005-0000-0000-0000A45C0000}"/>
    <cellStyle name="Normal 7 3 2 2 3 2" xfId="37111" xr:uid="{33D37FA1-79C0-45F1-B297-3A61C3B92291}"/>
    <cellStyle name="Normal 7 3 2 2 4" xfId="21216" xr:uid="{00000000-0005-0000-0000-0000A55C0000}"/>
    <cellStyle name="Normal 7 3 2 2 4 2" xfId="45049" xr:uid="{9EEA8B19-49AF-4539-9543-F18BEDE9F67E}"/>
    <cellStyle name="Normal 7 3 2 2 5" xfId="29170" xr:uid="{79041CBC-8AB8-4EBA-8AAF-60A7A4D7158C}"/>
    <cellStyle name="Normal 7 3 2 3" xfId="7069" xr:uid="{00000000-0005-0000-0000-0000A65C0000}"/>
    <cellStyle name="Normal 7 3 2 3 2" xfId="15041" xr:uid="{00000000-0005-0000-0000-0000A75C0000}"/>
    <cellStyle name="Normal 7 3 2 3 2 2" xfId="38884" xr:uid="{6FB720FD-149F-45B5-9520-E4CA5E6C4A0D}"/>
    <cellStyle name="Normal 7 3 2 3 3" xfId="22988" xr:uid="{00000000-0005-0000-0000-0000A85C0000}"/>
    <cellStyle name="Normal 7 3 2 3 3 2" xfId="46821" xr:uid="{C735AC3F-3AD3-43E6-B338-9B125635D3DF}"/>
    <cellStyle name="Normal 7 3 2 3 4" xfId="30943" xr:uid="{EC1B7583-CCDF-4280-80D5-F0C40E991F35}"/>
    <cellStyle name="Normal 7 3 2 4" xfId="11505" xr:uid="{00000000-0005-0000-0000-0000A95C0000}"/>
    <cellStyle name="Normal 7 3 2 4 2" xfId="35355" xr:uid="{17A47C8B-343C-457E-9480-7B8FEBFCCCF0}"/>
    <cellStyle name="Normal 7 3 2 5" xfId="19460" xr:uid="{00000000-0005-0000-0000-0000AA5C0000}"/>
    <cellStyle name="Normal 7 3 2 5 2" xfId="43293" xr:uid="{AA260415-9F59-4E8B-8339-2A70472C1379}"/>
    <cellStyle name="Normal 7 3 2 6" xfId="27413" xr:uid="{6128C80A-DD68-425C-B80A-29542A4410CC}"/>
    <cellStyle name="Normal 7 3 2_Exh G" xfId="3551" xr:uid="{00000000-0005-0000-0000-0000AB5C0000}"/>
    <cellStyle name="Normal 7 3 3" xfId="4358" xr:uid="{00000000-0005-0000-0000-0000AC5C0000}"/>
    <cellStyle name="Normal 7 3 3 2" xfId="7950" xr:uid="{00000000-0005-0000-0000-0000AD5C0000}"/>
    <cellStyle name="Normal 7 3 3 2 2" xfId="15921" xr:uid="{00000000-0005-0000-0000-0000AE5C0000}"/>
    <cellStyle name="Normal 7 3 3 2 2 2" xfId="39764" xr:uid="{E59B7E23-8F0E-4022-8BE1-D360589E8BA1}"/>
    <cellStyle name="Normal 7 3 3 2 3" xfId="23867" xr:uid="{00000000-0005-0000-0000-0000AF5C0000}"/>
    <cellStyle name="Normal 7 3 3 2 3 2" xfId="47700" xr:uid="{F48473AF-C3BB-41EF-B64E-B3C1AEACAEE8}"/>
    <cellStyle name="Normal 7 3 3 2 4" xfId="31823" xr:uid="{BB147F57-6EB7-470D-800E-E7BCAD0982B9}"/>
    <cellStyle name="Normal 7 3 3 3" xfId="12383" xr:uid="{00000000-0005-0000-0000-0000B05C0000}"/>
    <cellStyle name="Normal 7 3 3 3 2" xfId="36233" xr:uid="{A600801F-A728-4A46-A1BF-221123FF7998}"/>
    <cellStyle name="Normal 7 3 3 4" xfId="20338" xr:uid="{00000000-0005-0000-0000-0000B15C0000}"/>
    <cellStyle name="Normal 7 3 3 4 2" xfId="44171" xr:uid="{F2C9C6F1-90F6-44CB-84F2-A8F35DEC9EAF}"/>
    <cellStyle name="Normal 7 3 3 5" xfId="28292" xr:uid="{1824D0AA-1968-42F4-BA18-52894F0197A8}"/>
    <cellStyle name="Normal 7 3 4" xfId="6178" xr:uid="{00000000-0005-0000-0000-0000B25C0000}"/>
    <cellStyle name="Normal 7 3 4 2" xfId="14162" xr:uid="{00000000-0005-0000-0000-0000B35C0000}"/>
    <cellStyle name="Normal 7 3 4 2 2" xfId="38006" xr:uid="{F73EB7B2-636A-432B-A98D-E1917F26B012}"/>
    <cellStyle name="Normal 7 3 4 3" xfId="22110" xr:uid="{00000000-0005-0000-0000-0000B45C0000}"/>
    <cellStyle name="Normal 7 3 4 3 2" xfId="45943" xr:uid="{A7844438-6A0D-4FAA-8D8C-E1E416622C5C}"/>
    <cellStyle name="Normal 7 3 4 4" xfId="30065" xr:uid="{98316EDA-2B5B-483C-BB3A-C5A9C2EC7957}"/>
    <cellStyle name="Normal 7 3 5" xfId="9731" xr:uid="{00000000-0005-0000-0000-0000B55C0000}"/>
    <cellStyle name="Normal 7 3 5 2" xfId="17689" xr:uid="{00000000-0005-0000-0000-0000B65C0000}"/>
    <cellStyle name="Normal 7 3 5 2 2" xfId="41530" xr:uid="{F8DBD918-4432-40C5-A492-EA59590E75FF}"/>
    <cellStyle name="Normal 7 3 5 3" xfId="25633" xr:uid="{00000000-0005-0000-0000-0000B75C0000}"/>
    <cellStyle name="Normal 7 3 5 3 2" xfId="49466" xr:uid="{D6AF2357-9B0A-4430-8E5E-4FF4D3B24FC6}"/>
    <cellStyle name="Normal 7 3 5 4" xfId="33589" xr:uid="{078F311B-1584-4283-8420-77BBC32DA5FF}"/>
    <cellStyle name="Normal 7 3 6" xfId="10627" xr:uid="{00000000-0005-0000-0000-0000B85C0000}"/>
    <cellStyle name="Normal 7 3 6 2" xfId="34477" xr:uid="{26CD6393-79A2-4D46-B4E2-3CF575747D19}"/>
    <cellStyle name="Normal 7 3 7" xfId="18582" xr:uid="{00000000-0005-0000-0000-0000B95C0000}"/>
    <cellStyle name="Normal 7 3 7 2" xfId="42415" xr:uid="{2321ED3A-B9F3-4F3F-A0B7-203AE421A322}"/>
    <cellStyle name="Normal 7 3 8" xfId="26535" xr:uid="{D540DBFE-0764-4F74-A923-D26EF57ABE6B}"/>
    <cellStyle name="Normal 7 3_Exh G" xfId="3550" xr:uid="{00000000-0005-0000-0000-0000BA5C0000}"/>
    <cellStyle name="Normal 7 4" xfId="1025" xr:uid="{00000000-0005-0000-0000-0000BB5C0000}"/>
    <cellStyle name="Normal 8" xfId="20" xr:uid="{00000000-0005-0000-0000-0000BC5C0000}"/>
    <cellStyle name="Normal 8 10" xfId="17925" xr:uid="{00000000-0005-0000-0000-0000BD5C0000}"/>
    <cellStyle name="Normal 8 10 2" xfId="41758" xr:uid="{88F606E3-5CAF-4EB3-ADB7-058FF64FA3BA}"/>
    <cellStyle name="Normal 8 11" xfId="25878" xr:uid="{ADA657A7-0DAF-47EB-B242-D4C5E6B965F9}"/>
    <cellStyle name="Normal 8 2" xfId="680" xr:uid="{00000000-0005-0000-0000-0000BE5C0000}"/>
    <cellStyle name="Normal 8 2 2" xfId="681" xr:uid="{00000000-0005-0000-0000-0000BF5C0000}"/>
    <cellStyle name="Normal 8 2 2 2" xfId="1709" xr:uid="{00000000-0005-0000-0000-0000C05C0000}"/>
    <cellStyle name="Normal 8 2 2 2 2" xfId="5239" xr:uid="{00000000-0005-0000-0000-0000C15C0000}"/>
    <cellStyle name="Normal 8 2 2 2 2 2" xfId="8830" xr:uid="{00000000-0005-0000-0000-0000C25C0000}"/>
    <cellStyle name="Normal 8 2 2 2 2 2 2" xfId="16801" xr:uid="{00000000-0005-0000-0000-0000C35C0000}"/>
    <cellStyle name="Normal 8 2 2 2 2 2 2 2" xfId="40644" xr:uid="{84E813C7-6477-42C9-B41B-93CD45F38D43}"/>
    <cellStyle name="Normal 8 2 2 2 2 2 3" xfId="24747" xr:uid="{00000000-0005-0000-0000-0000C45C0000}"/>
    <cellStyle name="Normal 8 2 2 2 2 2 3 2" xfId="48580" xr:uid="{43930959-B052-430A-9D88-7CB0A726C748}"/>
    <cellStyle name="Normal 8 2 2 2 2 2 4" xfId="32703" xr:uid="{51D21878-C63E-4B6C-93D5-46A088B6DBC5}"/>
    <cellStyle name="Normal 8 2 2 2 2 3" xfId="13263" xr:uid="{00000000-0005-0000-0000-0000C55C0000}"/>
    <cellStyle name="Normal 8 2 2 2 2 3 2" xfId="37113" xr:uid="{D2FA213B-097D-4BC0-8D61-A35D641AC228}"/>
    <cellStyle name="Normal 8 2 2 2 2 4" xfId="21218" xr:uid="{00000000-0005-0000-0000-0000C65C0000}"/>
    <cellStyle name="Normal 8 2 2 2 2 4 2" xfId="45051" xr:uid="{ABA351C5-4AC0-44F4-AA5A-4045A4F94AE9}"/>
    <cellStyle name="Normal 8 2 2 2 2 5" xfId="29172" xr:uid="{37B9D941-80B6-4114-AE6B-07415A59FCC0}"/>
    <cellStyle name="Normal 8 2 2 2 3" xfId="7071" xr:uid="{00000000-0005-0000-0000-0000C75C0000}"/>
    <cellStyle name="Normal 8 2 2 2 3 2" xfId="15043" xr:uid="{00000000-0005-0000-0000-0000C85C0000}"/>
    <cellStyle name="Normal 8 2 2 2 3 2 2" xfId="38886" xr:uid="{6062B615-38A0-4A36-866B-7DF3594624C9}"/>
    <cellStyle name="Normal 8 2 2 2 3 3" xfId="22990" xr:uid="{00000000-0005-0000-0000-0000C95C0000}"/>
    <cellStyle name="Normal 8 2 2 2 3 3 2" xfId="46823" xr:uid="{DB44900C-CA71-41EC-A6B5-8E9BA8D1F69B}"/>
    <cellStyle name="Normal 8 2 2 2 3 4" xfId="30945" xr:uid="{A3227AC0-86AB-499F-BF77-441060E1F2E1}"/>
    <cellStyle name="Normal 8 2 2 2 4" xfId="11507" xr:uid="{00000000-0005-0000-0000-0000CA5C0000}"/>
    <cellStyle name="Normal 8 2 2 2 4 2" xfId="35357" xr:uid="{124A4825-9B99-4EAA-8EDB-DA6A6A3B3590}"/>
    <cellStyle name="Normal 8 2 2 2 5" xfId="19462" xr:uid="{00000000-0005-0000-0000-0000CB5C0000}"/>
    <cellStyle name="Normal 8 2 2 2 5 2" xfId="43295" xr:uid="{F4810A0E-4B71-4205-8EE2-25AE8785597D}"/>
    <cellStyle name="Normal 8 2 2 2 6" xfId="27415" xr:uid="{CE93A1AA-AC0F-4C84-954C-9221E8F0F91B}"/>
    <cellStyle name="Normal 8 2 2 2_Exh G" xfId="3555" xr:uid="{00000000-0005-0000-0000-0000CC5C0000}"/>
    <cellStyle name="Normal 8 2 2 3" xfId="4360" xr:uid="{00000000-0005-0000-0000-0000CD5C0000}"/>
    <cellStyle name="Normal 8 2 2 3 2" xfId="7952" xr:uid="{00000000-0005-0000-0000-0000CE5C0000}"/>
    <cellStyle name="Normal 8 2 2 3 2 2" xfId="15923" xr:uid="{00000000-0005-0000-0000-0000CF5C0000}"/>
    <cellStyle name="Normal 8 2 2 3 2 2 2" xfId="39766" xr:uid="{64E4367C-CE98-4C24-B30F-B863979ABB9D}"/>
    <cellStyle name="Normal 8 2 2 3 2 3" xfId="23869" xr:uid="{00000000-0005-0000-0000-0000D05C0000}"/>
    <cellStyle name="Normal 8 2 2 3 2 3 2" xfId="47702" xr:uid="{6520D215-1EA2-4CE2-AC5C-CD10CE6B633B}"/>
    <cellStyle name="Normal 8 2 2 3 2 4" xfId="31825" xr:uid="{A3EB5D09-4B32-4186-AF0C-617C723E0224}"/>
    <cellStyle name="Normal 8 2 2 3 3" xfId="12385" xr:uid="{00000000-0005-0000-0000-0000D15C0000}"/>
    <cellStyle name="Normal 8 2 2 3 3 2" xfId="36235" xr:uid="{1A8D16D3-8152-4BF6-83B7-0563EDC9A2E1}"/>
    <cellStyle name="Normal 8 2 2 3 4" xfId="20340" xr:uid="{00000000-0005-0000-0000-0000D25C0000}"/>
    <cellStyle name="Normal 8 2 2 3 4 2" xfId="44173" xr:uid="{12E18EC9-1FBF-446A-8F49-24426B3D6E4D}"/>
    <cellStyle name="Normal 8 2 2 3 5" xfId="28294" xr:uid="{D116EE40-AB47-435D-9888-D86CF05F7881}"/>
    <cellStyle name="Normal 8 2 2 4" xfId="6180" xr:uid="{00000000-0005-0000-0000-0000D35C0000}"/>
    <cellStyle name="Normal 8 2 2 4 2" xfId="14164" xr:uid="{00000000-0005-0000-0000-0000D45C0000}"/>
    <cellStyle name="Normal 8 2 2 4 2 2" xfId="38008" xr:uid="{2B54D896-BC3B-453D-B8E8-4DB40D6554D9}"/>
    <cellStyle name="Normal 8 2 2 4 3" xfId="22112" xr:uid="{00000000-0005-0000-0000-0000D55C0000}"/>
    <cellStyle name="Normal 8 2 2 4 3 2" xfId="45945" xr:uid="{5981F9BB-9B68-4561-A99E-630260EBDEB3}"/>
    <cellStyle name="Normal 8 2 2 4 4" xfId="30067" xr:uid="{F77E9B05-90F1-4F0B-B8DD-F1D49C200E26}"/>
    <cellStyle name="Normal 8 2 2 5" xfId="9733" xr:uid="{00000000-0005-0000-0000-0000D65C0000}"/>
    <cellStyle name="Normal 8 2 2 5 2" xfId="17691" xr:uid="{00000000-0005-0000-0000-0000D75C0000}"/>
    <cellStyle name="Normal 8 2 2 5 2 2" xfId="41532" xr:uid="{D2BFC31F-ABC6-40B1-BB6E-11100BE35119}"/>
    <cellStyle name="Normal 8 2 2 5 3" xfId="25635" xr:uid="{00000000-0005-0000-0000-0000D85C0000}"/>
    <cellStyle name="Normal 8 2 2 5 3 2" xfId="49468" xr:uid="{6F7649E6-2C8C-4B43-9BC8-532428D30C17}"/>
    <cellStyle name="Normal 8 2 2 5 4" xfId="33591" xr:uid="{68654532-EFB5-425E-8F08-FB01B987E2CC}"/>
    <cellStyle name="Normal 8 2 2 6" xfId="10629" xr:uid="{00000000-0005-0000-0000-0000D95C0000}"/>
    <cellStyle name="Normal 8 2 2 6 2" xfId="34479" xr:uid="{46CC65C0-CC6F-4C22-A448-88E2DFEFDE2C}"/>
    <cellStyle name="Normal 8 2 2 7" xfId="18584" xr:uid="{00000000-0005-0000-0000-0000DA5C0000}"/>
    <cellStyle name="Normal 8 2 2 7 2" xfId="42417" xr:uid="{BDF0D757-344B-43E3-B82B-186CBED907AB}"/>
    <cellStyle name="Normal 8 2 2 8" xfId="26537" xr:uid="{4BE2A993-3C94-41C6-93B5-4A896DD7B01D}"/>
    <cellStyle name="Normal 8 2 2_Exh G" xfId="3554" xr:uid="{00000000-0005-0000-0000-0000DB5C0000}"/>
    <cellStyle name="Normal 8 2 3" xfId="1708" xr:uid="{00000000-0005-0000-0000-0000DC5C0000}"/>
    <cellStyle name="Normal 8 2 3 2" xfId="5238" xr:uid="{00000000-0005-0000-0000-0000DD5C0000}"/>
    <cellStyle name="Normal 8 2 3 2 2" xfId="8829" xr:uid="{00000000-0005-0000-0000-0000DE5C0000}"/>
    <cellStyle name="Normal 8 2 3 2 2 2" xfId="16800" xr:uid="{00000000-0005-0000-0000-0000DF5C0000}"/>
    <cellStyle name="Normal 8 2 3 2 2 2 2" xfId="40643" xr:uid="{8AB98D2F-046F-42BA-8255-EC40FFC73EB5}"/>
    <cellStyle name="Normal 8 2 3 2 2 3" xfId="24746" xr:uid="{00000000-0005-0000-0000-0000E05C0000}"/>
    <cellStyle name="Normal 8 2 3 2 2 3 2" xfId="48579" xr:uid="{8AC3BD3E-4D59-4549-8115-CE5447FB8707}"/>
    <cellStyle name="Normal 8 2 3 2 2 4" xfId="32702" xr:uid="{766451CC-407F-465E-B636-CF413C6F0665}"/>
    <cellStyle name="Normal 8 2 3 2 3" xfId="13262" xr:uid="{00000000-0005-0000-0000-0000E15C0000}"/>
    <cellStyle name="Normal 8 2 3 2 3 2" xfId="37112" xr:uid="{AF5A5DD0-6E7E-40E8-A79D-E128B5354FC0}"/>
    <cellStyle name="Normal 8 2 3 2 4" xfId="21217" xr:uid="{00000000-0005-0000-0000-0000E25C0000}"/>
    <cellStyle name="Normal 8 2 3 2 4 2" xfId="45050" xr:uid="{D111ECF6-1543-4D35-AF1B-A8D0B49DE44F}"/>
    <cellStyle name="Normal 8 2 3 2 5" xfId="29171" xr:uid="{611B82CD-2749-4BB6-A9A0-B0016E591850}"/>
    <cellStyle name="Normal 8 2 3 3" xfId="7070" xr:uid="{00000000-0005-0000-0000-0000E35C0000}"/>
    <cellStyle name="Normal 8 2 3 3 2" xfId="15042" xr:uid="{00000000-0005-0000-0000-0000E45C0000}"/>
    <cellStyle name="Normal 8 2 3 3 2 2" xfId="38885" xr:uid="{B4B7C5F5-1B9D-4C3B-9443-304333B13DFD}"/>
    <cellStyle name="Normal 8 2 3 3 3" xfId="22989" xr:uid="{00000000-0005-0000-0000-0000E55C0000}"/>
    <cellStyle name="Normal 8 2 3 3 3 2" xfId="46822" xr:uid="{8A6E7059-B234-45A6-A8AA-D4099E645C0A}"/>
    <cellStyle name="Normal 8 2 3 3 4" xfId="30944" xr:uid="{7EF4FDCC-9264-4035-972B-32FAC6762FD6}"/>
    <cellStyle name="Normal 8 2 3 4" xfId="11506" xr:uid="{00000000-0005-0000-0000-0000E65C0000}"/>
    <cellStyle name="Normal 8 2 3 4 2" xfId="35356" xr:uid="{09973C76-344B-4445-A9E2-126A79A04859}"/>
    <cellStyle name="Normal 8 2 3 5" xfId="19461" xr:uid="{00000000-0005-0000-0000-0000E75C0000}"/>
    <cellStyle name="Normal 8 2 3 5 2" xfId="43294" xr:uid="{87A544B6-62F7-4CF3-BEBA-24718A07CAC4}"/>
    <cellStyle name="Normal 8 2 3 6" xfId="27414" xr:uid="{E5BD2166-02D9-45C4-9DFF-6B3F15D4A2D4}"/>
    <cellStyle name="Normal 8 2 3_Exh G" xfId="3556" xr:uid="{00000000-0005-0000-0000-0000E85C0000}"/>
    <cellStyle name="Normal 8 2 4" xfId="4359" xr:uid="{00000000-0005-0000-0000-0000E95C0000}"/>
    <cellStyle name="Normal 8 2 4 2" xfId="7951" xr:uid="{00000000-0005-0000-0000-0000EA5C0000}"/>
    <cellStyle name="Normal 8 2 4 2 2" xfId="15922" xr:uid="{00000000-0005-0000-0000-0000EB5C0000}"/>
    <cellStyle name="Normal 8 2 4 2 2 2" xfId="39765" xr:uid="{C1F0BB29-E58A-4300-BF1F-BC88A57A5331}"/>
    <cellStyle name="Normal 8 2 4 2 3" xfId="23868" xr:uid="{00000000-0005-0000-0000-0000EC5C0000}"/>
    <cellStyle name="Normal 8 2 4 2 3 2" xfId="47701" xr:uid="{AE6C6530-5496-4006-9867-8C524E545631}"/>
    <cellStyle name="Normal 8 2 4 2 4" xfId="31824" xr:uid="{B07BBB8D-6E1C-48B1-B65A-2105F70F879A}"/>
    <cellStyle name="Normal 8 2 4 3" xfId="12384" xr:uid="{00000000-0005-0000-0000-0000ED5C0000}"/>
    <cellStyle name="Normal 8 2 4 3 2" xfId="36234" xr:uid="{CDC5C577-B783-46AB-8BEC-10CE5009639B}"/>
    <cellStyle name="Normal 8 2 4 4" xfId="20339" xr:uid="{00000000-0005-0000-0000-0000EE5C0000}"/>
    <cellStyle name="Normal 8 2 4 4 2" xfId="44172" xr:uid="{F09B61D8-6037-47EB-AD2F-84E27F5A58FB}"/>
    <cellStyle name="Normal 8 2 4 5" xfId="28293" xr:uid="{DF747BDF-3BD8-42C6-A1A4-54486DB0DFCE}"/>
    <cellStyle name="Normal 8 2 5" xfId="6179" xr:uid="{00000000-0005-0000-0000-0000EF5C0000}"/>
    <cellStyle name="Normal 8 2 5 2" xfId="14163" xr:uid="{00000000-0005-0000-0000-0000F05C0000}"/>
    <cellStyle name="Normal 8 2 5 2 2" xfId="38007" xr:uid="{30B7E8FB-E653-4FA0-AEB2-FE552F913E31}"/>
    <cellStyle name="Normal 8 2 5 3" xfId="22111" xr:uid="{00000000-0005-0000-0000-0000F15C0000}"/>
    <cellStyle name="Normal 8 2 5 3 2" xfId="45944" xr:uid="{1EF6B9F2-9C55-4450-9907-FF0B8B65EB64}"/>
    <cellStyle name="Normal 8 2 5 4" xfId="30066" xr:uid="{43D2CA10-9BA2-4887-9AE5-06740C6A725C}"/>
    <cellStyle name="Normal 8 2 6" xfId="9732" xr:uid="{00000000-0005-0000-0000-0000F25C0000}"/>
    <cellStyle name="Normal 8 2 6 2" xfId="17690" xr:uid="{00000000-0005-0000-0000-0000F35C0000}"/>
    <cellStyle name="Normal 8 2 6 2 2" xfId="41531" xr:uid="{15215A3E-3DEA-4365-BEF3-4904BD90F0F1}"/>
    <cellStyle name="Normal 8 2 6 3" xfId="25634" xr:uid="{00000000-0005-0000-0000-0000F45C0000}"/>
    <cellStyle name="Normal 8 2 6 3 2" xfId="49467" xr:uid="{393E9442-401A-4BF4-B029-225202562EC6}"/>
    <cellStyle name="Normal 8 2 6 4" xfId="33590" xr:uid="{1BF38E6E-249F-4EBA-BD5E-ABB43650D5B6}"/>
    <cellStyle name="Normal 8 2 7" xfId="10628" xr:uid="{00000000-0005-0000-0000-0000F55C0000}"/>
    <cellStyle name="Normal 8 2 7 2" xfId="34478" xr:uid="{8AFDCEEA-5DBA-4B64-99C0-C1D41F966378}"/>
    <cellStyle name="Normal 8 2 8" xfId="18583" xr:uid="{00000000-0005-0000-0000-0000F65C0000}"/>
    <cellStyle name="Normal 8 2 8 2" xfId="42416" xr:uid="{33401550-F263-4AEC-9F09-F456642262F3}"/>
    <cellStyle name="Normal 8 2 9" xfId="26536" xr:uid="{468A5E4D-1D58-4D93-BF66-23EF05406E99}"/>
    <cellStyle name="Normal 8 2_Exh G" xfId="3553" xr:uid="{00000000-0005-0000-0000-0000F75C0000}"/>
    <cellStyle name="Normal 8 3" xfId="682" xr:uid="{00000000-0005-0000-0000-0000F85C0000}"/>
    <cellStyle name="Normal 8 3 2" xfId="1710" xr:uid="{00000000-0005-0000-0000-0000F95C0000}"/>
    <cellStyle name="Normal 8 3 2 2" xfId="5240" xr:uid="{00000000-0005-0000-0000-0000FA5C0000}"/>
    <cellStyle name="Normal 8 3 2 2 2" xfId="8831" xr:uid="{00000000-0005-0000-0000-0000FB5C0000}"/>
    <cellStyle name="Normal 8 3 2 2 2 2" xfId="16802" xr:uid="{00000000-0005-0000-0000-0000FC5C0000}"/>
    <cellStyle name="Normal 8 3 2 2 2 2 2" xfId="40645" xr:uid="{08FEAABA-E6FE-4F28-9E80-4E0308C094E1}"/>
    <cellStyle name="Normal 8 3 2 2 2 3" xfId="24748" xr:uid="{00000000-0005-0000-0000-0000FD5C0000}"/>
    <cellStyle name="Normal 8 3 2 2 2 3 2" xfId="48581" xr:uid="{9F79789C-0805-4A15-AD92-9C6CC3851E76}"/>
    <cellStyle name="Normal 8 3 2 2 2 4" xfId="32704" xr:uid="{27E9B574-0312-4985-804F-45528A8735BD}"/>
    <cellStyle name="Normal 8 3 2 2 3" xfId="13264" xr:uid="{00000000-0005-0000-0000-0000FE5C0000}"/>
    <cellStyle name="Normal 8 3 2 2 3 2" xfId="37114" xr:uid="{050D9EA3-4EB5-41CA-AF58-09E62787F9A7}"/>
    <cellStyle name="Normal 8 3 2 2 4" xfId="21219" xr:uid="{00000000-0005-0000-0000-0000FF5C0000}"/>
    <cellStyle name="Normal 8 3 2 2 4 2" xfId="45052" xr:uid="{7715C16B-CD66-4112-9213-6024622E0D93}"/>
    <cellStyle name="Normal 8 3 2 2 5" xfId="29173" xr:uid="{C8618F27-DF38-4A09-A136-6F08F9D366FC}"/>
    <cellStyle name="Normal 8 3 2 3" xfId="7072" xr:uid="{00000000-0005-0000-0000-0000005D0000}"/>
    <cellStyle name="Normal 8 3 2 3 2" xfId="15044" xr:uid="{00000000-0005-0000-0000-0000015D0000}"/>
    <cellStyle name="Normal 8 3 2 3 2 2" xfId="38887" xr:uid="{D5490B9F-2B46-4021-AF95-50784F1A1326}"/>
    <cellStyle name="Normal 8 3 2 3 3" xfId="22991" xr:uid="{00000000-0005-0000-0000-0000025D0000}"/>
    <cellStyle name="Normal 8 3 2 3 3 2" xfId="46824" xr:uid="{255D4317-8635-42B8-9197-D24E26949DCE}"/>
    <cellStyle name="Normal 8 3 2 3 4" xfId="30946" xr:uid="{4E860C36-46CB-4D48-A8C2-3F33D24932CF}"/>
    <cellStyle name="Normal 8 3 2 4" xfId="11508" xr:uid="{00000000-0005-0000-0000-0000035D0000}"/>
    <cellStyle name="Normal 8 3 2 4 2" xfId="35358" xr:uid="{DF663694-0075-4FAD-B3BC-E5B1D6B3CCD8}"/>
    <cellStyle name="Normal 8 3 2 5" xfId="19463" xr:uid="{00000000-0005-0000-0000-0000045D0000}"/>
    <cellStyle name="Normal 8 3 2 5 2" xfId="43296" xr:uid="{00D5C056-AD3C-4C17-B662-C1193C65541B}"/>
    <cellStyle name="Normal 8 3 2 6" xfId="27416" xr:uid="{C881EFEF-3851-47E9-AD51-EFF75D19FBE2}"/>
    <cellStyle name="Normal 8 3 2_Exh G" xfId="3558" xr:uid="{00000000-0005-0000-0000-0000055D0000}"/>
    <cellStyle name="Normal 8 3 3" xfId="4361" xr:uid="{00000000-0005-0000-0000-0000065D0000}"/>
    <cellStyle name="Normal 8 3 3 2" xfId="7953" xr:uid="{00000000-0005-0000-0000-0000075D0000}"/>
    <cellStyle name="Normal 8 3 3 2 2" xfId="15924" xr:uid="{00000000-0005-0000-0000-0000085D0000}"/>
    <cellStyle name="Normal 8 3 3 2 2 2" xfId="39767" xr:uid="{078AB45F-79B1-4C87-B2CB-A56BBB1962BE}"/>
    <cellStyle name="Normal 8 3 3 2 3" xfId="23870" xr:uid="{00000000-0005-0000-0000-0000095D0000}"/>
    <cellStyle name="Normal 8 3 3 2 3 2" xfId="47703" xr:uid="{EBC1CA77-2813-4CBA-8CDC-39CE6631E747}"/>
    <cellStyle name="Normal 8 3 3 2 4" xfId="31826" xr:uid="{9BB2BDE4-9DA0-4D23-9E88-AD0D7D75F5FD}"/>
    <cellStyle name="Normal 8 3 3 3" xfId="12386" xr:uid="{00000000-0005-0000-0000-00000A5D0000}"/>
    <cellStyle name="Normal 8 3 3 3 2" xfId="36236" xr:uid="{12237F24-4CE8-4D80-8C53-3A0BDE7117E7}"/>
    <cellStyle name="Normal 8 3 3 4" xfId="20341" xr:uid="{00000000-0005-0000-0000-00000B5D0000}"/>
    <cellStyle name="Normal 8 3 3 4 2" xfId="44174" xr:uid="{48F58250-F17E-47B7-A1A1-08F177BEFB58}"/>
    <cellStyle name="Normal 8 3 3 5" xfId="28295" xr:uid="{12157AFA-44DA-4636-86AE-34E356001069}"/>
    <cellStyle name="Normal 8 3 4" xfId="6181" xr:uid="{00000000-0005-0000-0000-00000C5D0000}"/>
    <cellStyle name="Normal 8 3 4 2" xfId="14165" xr:uid="{00000000-0005-0000-0000-00000D5D0000}"/>
    <cellStyle name="Normal 8 3 4 2 2" xfId="38009" xr:uid="{7B64CDB6-1E15-4CBF-9148-4F018DB9DF64}"/>
    <cellStyle name="Normal 8 3 4 3" xfId="22113" xr:uid="{00000000-0005-0000-0000-00000E5D0000}"/>
    <cellStyle name="Normal 8 3 4 3 2" xfId="45946" xr:uid="{25311F7B-4779-4B9D-9AA6-0F6D5D3B8D80}"/>
    <cellStyle name="Normal 8 3 4 4" xfId="30068" xr:uid="{36608529-1573-4C07-901F-29655DD16633}"/>
    <cellStyle name="Normal 8 3 5" xfId="9734" xr:uid="{00000000-0005-0000-0000-00000F5D0000}"/>
    <cellStyle name="Normal 8 3 5 2" xfId="17692" xr:uid="{00000000-0005-0000-0000-0000105D0000}"/>
    <cellStyle name="Normal 8 3 5 2 2" xfId="41533" xr:uid="{E8B00019-8FD2-40D9-9274-FEB714D1A756}"/>
    <cellStyle name="Normal 8 3 5 3" xfId="25636" xr:uid="{00000000-0005-0000-0000-0000115D0000}"/>
    <cellStyle name="Normal 8 3 5 3 2" xfId="49469" xr:uid="{19BDE02D-D171-409E-8BB9-F91B4AAFC894}"/>
    <cellStyle name="Normal 8 3 5 4" xfId="33592" xr:uid="{5E789B54-EA85-44D2-A163-389C75F45D01}"/>
    <cellStyle name="Normal 8 3 6" xfId="10630" xr:uid="{00000000-0005-0000-0000-0000125D0000}"/>
    <cellStyle name="Normal 8 3 6 2" xfId="34480" xr:uid="{8AF66E74-0E79-46FE-84F2-8BFBB17AD817}"/>
    <cellStyle name="Normal 8 3 7" xfId="18585" xr:uid="{00000000-0005-0000-0000-0000135D0000}"/>
    <cellStyle name="Normal 8 3 7 2" xfId="42418" xr:uid="{8A5CA100-B4E5-4250-93C0-652803E868F2}"/>
    <cellStyle name="Normal 8 3 8" xfId="26538" xr:uid="{AC23CE1F-AD9C-446A-A5A9-E80F79423996}"/>
    <cellStyle name="Normal 8 3_Exh G" xfId="3557" xr:uid="{00000000-0005-0000-0000-0000145D0000}"/>
    <cellStyle name="Normal 8 4" xfId="1026" xr:uid="{00000000-0005-0000-0000-0000155D0000}"/>
    <cellStyle name="Normal 8 5" xfId="1050" xr:uid="{00000000-0005-0000-0000-0000165D0000}"/>
    <cellStyle name="Normal 8 5 2" xfId="4580" xr:uid="{00000000-0005-0000-0000-0000175D0000}"/>
    <cellStyle name="Normal 8 5 2 2" xfId="8171" xr:uid="{00000000-0005-0000-0000-0000185D0000}"/>
    <cellStyle name="Normal 8 5 2 2 2" xfId="16142" xr:uid="{00000000-0005-0000-0000-0000195D0000}"/>
    <cellStyle name="Normal 8 5 2 2 2 2" xfId="39985" xr:uid="{0AF7272A-67E0-4715-BAEC-A8BCBB49DC22}"/>
    <cellStyle name="Normal 8 5 2 2 3" xfId="24088" xr:uid="{00000000-0005-0000-0000-00001A5D0000}"/>
    <cellStyle name="Normal 8 5 2 2 3 2" xfId="47921" xr:uid="{560F34DB-6A17-4A5A-B81C-258606F87EF1}"/>
    <cellStyle name="Normal 8 5 2 2 4" xfId="32044" xr:uid="{65A29923-EF79-48B6-84F4-17A66F21C92E}"/>
    <cellStyle name="Normal 8 5 2 3" xfId="12604" xr:uid="{00000000-0005-0000-0000-00001B5D0000}"/>
    <cellStyle name="Normal 8 5 2 3 2" xfId="36454" xr:uid="{7FD45F56-704D-4947-B67D-5A883644D8A5}"/>
    <cellStyle name="Normal 8 5 2 4" xfId="20559" xr:uid="{00000000-0005-0000-0000-00001C5D0000}"/>
    <cellStyle name="Normal 8 5 2 4 2" xfId="44392" xr:uid="{B6AF6627-E573-4065-B9BC-BAE7D0A46C9A}"/>
    <cellStyle name="Normal 8 5 2 5" xfId="28513" xr:uid="{38C13BC7-C3C9-4058-8E59-761F473CD3B7}"/>
    <cellStyle name="Normal 8 5 3" xfId="6412" xr:uid="{00000000-0005-0000-0000-00001D5D0000}"/>
    <cellStyle name="Normal 8 5 3 2" xfId="14384" xr:uid="{00000000-0005-0000-0000-00001E5D0000}"/>
    <cellStyle name="Normal 8 5 3 2 2" xfId="38227" xr:uid="{2CE82C03-DA1B-4F24-A030-F387A7E1CF14}"/>
    <cellStyle name="Normal 8 5 3 3" xfId="22331" xr:uid="{00000000-0005-0000-0000-00001F5D0000}"/>
    <cellStyle name="Normal 8 5 3 3 2" xfId="46164" xr:uid="{864A56D2-0FBB-4A90-A15F-41670610BCD0}"/>
    <cellStyle name="Normal 8 5 3 4" xfId="30286" xr:uid="{FCB18097-FA50-48CF-9719-D0BC3F8C6D33}"/>
    <cellStyle name="Normal 8 5 4" xfId="10848" xr:uid="{00000000-0005-0000-0000-0000205D0000}"/>
    <cellStyle name="Normal 8 5 4 2" xfId="34698" xr:uid="{CEFC448C-E2E9-4F7A-A395-FEA5A1CA980B}"/>
    <cellStyle name="Normal 8 5 5" xfId="18803" xr:uid="{00000000-0005-0000-0000-0000215D0000}"/>
    <cellStyle name="Normal 8 5 5 2" xfId="42636" xr:uid="{54F35F78-D94E-43D3-AC18-09EF131B0C0C}"/>
    <cellStyle name="Normal 8 5 6" xfId="26756" xr:uid="{580A508E-2384-428B-B209-FD251F5230AF}"/>
    <cellStyle name="Normal 8 5_Exh G" xfId="3559" xr:uid="{00000000-0005-0000-0000-0000225D0000}"/>
    <cellStyle name="Normal 8 6" xfId="3701" xr:uid="{00000000-0005-0000-0000-0000235D0000}"/>
    <cellStyle name="Normal 8 6 2" xfId="7293" xr:uid="{00000000-0005-0000-0000-0000245D0000}"/>
    <cellStyle name="Normal 8 6 2 2" xfId="15264" xr:uid="{00000000-0005-0000-0000-0000255D0000}"/>
    <cellStyle name="Normal 8 6 2 2 2" xfId="39107" xr:uid="{476C6F23-F9F1-4420-8BC8-357B34BA8B8D}"/>
    <cellStyle name="Normal 8 6 2 3" xfId="23210" xr:uid="{00000000-0005-0000-0000-0000265D0000}"/>
    <cellStyle name="Normal 8 6 2 3 2" xfId="47043" xr:uid="{2D1123FD-1E69-43CB-BEEC-32F69FCE834E}"/>
    <cellStyle name="Normal 8 6 2 4" xfId="31166" xr:uid="{2DB7F8AB-7851-4F4E-A720-2545E6B8FAC7}"/>
    <cellStyle name="Normal 8 6 3" xfId="11726" xr:uid="{00000000-0005-0000-0000-0000275D0000}"/>
    <cellStyle name="Normal 8 6 3 2" xfId="35576" xr:uid="{472C2F70-05BD-4389-906A-D8C12F70ABA4}"/>
    <cellStyle name="Normal 8 6 4" xfId="19681" xr:uid="{00000000-0005-0000-0000-0000285D0000}"/>
    <cellStyle name="Normal 8 6 4 2" xfId="43514" xr:uid="{3FBDB115-C666-4A1A-AFCB-D3772255CCC0}"/>
    <cellStyle name="Normal 8 6 5" xfId="27635" xr:uid="{AE52E15E-1B90-466E-8E93-5F38B84F627C}"/>
    <cellStyle name="Normal 8 7" xfId="5521" xr:uid="{00000000-0005-0000-0000-0000295D0000}"/>
    <cellStyle name="Normal 8 7 2" xfId="13505" xr:uid="{00000000-0005-0000-0000-00002A5D0000}"/>
    <cellStyle name="Normal 8 7 2 2" xfId="37349" xr:uid="{906A635D-89ED-4CE4-84E4-25AEC23DE52F}"/>
    <cellStyle name="Normal 8 7 3" xfId="21453" xr:uid="{00000000-0005-0000-0000-00002B5D0000}"/>
    <cellStyle name="Normal 8 7 3 2" xfId="45286" xr:uid="{4A30A027-F9F8-4B48-B528-FC8FB2F744EF}"/>
    <cellStyle name="Normal 8 7 4" xfId="29408" xr:uid="{E17E3AE9-915E-415D-820D-896CA3814EF4}"/>
    <cellStyle name="Normal 8 8" xfId="9074" xr:uid="{00000000-0005-0000-0000-00002C5D0000}"/>
    <cellStyle name="Normal 8 8 2" xfId="17032" xr:uid="{00000000-0005-0000-0000-00002D5D0000}"/>
    <cellStyle name="Normal 8 8 2 2" xfId="40873" xr:uid="{3E43EE21-B54C-4086-92F0-2F48E18FDF05}"/>
    <cellStyle name="Normal 8 8 3" xfId="24976" xr:uid="{00000000-0005-0000-0000-00002E5D0000}"/>
    <cellStyle name="Normal 8 8 3 2" xfId="48809" xr:uid="{6C0E0FAF-72A0-46EC-9A51-A194A8248300}"/>
    <cellStyle name="Normal 8 8 4" xfId="32932" xr:uid="{BE063995-FD90-4793-8783-7CC567A0F45B}"/>
    <cellStyle name="Normal 8 9" xfId="9970" xr:uid="{00000000-0005-0000-0000-00002F5D0000}"/>
    <cellStyle name="Normal 8 9 2" xfId="33820" xr:uid="{6C1C3F92-D535-442C-B708-904A2323AFC9}"/>
    <cellStyle name="Normal 8_Exh G" xfId="3552" xr:uid="{00000000-0005-0000-0000-0000305D0000}"/>
    <cellStyle name="Normal 9" xfId="23" xr:uid="{00000000-0005-0000-0000-0000315D0000}"/>
    <cellStyle name="Normal 9 2" xfId="683" xr:uid="{00000000-0005-0000-0000-0000325D0000}"/>
    <cellStyle name="Normal 9 2 2" xfId="684" xr:uid="{00000000-0005-0000-0000-0000335D0000}"/>
    <cellStyle name="Normal 9 2 2 2" xfId="1712" xr:uid="{00000000-0005-0000-0000-0000345D0000}"/>
    <cellStyle name="Normal 9 2 2 2 2" xfId="5242" xr:uid="{00000000-0005-0000-0000-0000355D0000}"/>
    <cellStyle name="Normal 9 2 2 2 2 2" xfId="8833" xr:uid="{00000000-0005-0000-0000-0000365D0000}"/>
    <cellStyle name="Normal 9 2 2 2 2 2 2" xfId="16804" xr:uid="{00000000-0005-0000-0000-0000375D0000}"/>
    <cellStyle name="Normal 9 2 2 2 2 2 2 2" xfId="40647" xr:uid="{31AFDA83-11B8-46CB-8DFA-77EB6AFD0403}"/>
    <cellStyle name="Normal 9 2 2 2 2 2 3" xfId="24750" xr:uid="{00000000-0005-0000-0000-0000385D0000}"/>
    <cellStyle name="Normal 9 2 2 2 2 2 3 2" xfId="48583" xr:uid="{FB408584-AABE-4301-B75C-F5DF448C7662}"/>
    <cellStyle name="Normal 9 2 2 2 2 2 4" xfId="32706" xr:uid="{E3921746-B206-4C79-A08C-EFDD2E8B94E0}"/>
    <cellStyle name="Normal 9 2 2 2 2 3" xfId="13266" xr:uid="{00000000-0005-0000-0000-0000395D0000}"/>
    <cellStyle name="Normal 9 2 2 2 2 3 2" xfId="37116" xr:uid="{473652E6-9A41-4152-8902-EA0041BB87CD}"/>
    <cellStyle name="Normal 9 2 2 2 2 4" xfId="21221" xr:uid="{00000000-0005-0000-0000-00003A5D0000}"/>
    <cellStyle name="Normal 9 2 2 2 2 4 2" xfId="45054" xr:uid="{639490C5-63D3-469B-89D6-1B509072AD9D}"/>
    <cellStyle name="Normal 9 2 2 2 2 5" xfId="29175" xr:uid="{2335678E-24A7-4AE7-A435-4743FC62E1AE}"/>
    <cellStyle name="Normal 9 2 2 2 3" xfId="7074" xr:uid="{00000000-0005-0000-0000-00003B5D0000}"/>
    <cellStyle name="Normal 9 2 2 2 3 2" xfId="15046" xr:uid="{00000000-0005-0000-0000-00003C5D0000}"/>
    <cellStyle name="Normal 9 2 2 2 3 2 2" xfId="38889" xr:uid="{7E8676B3-DA46-4060-8477-ED33E82A51B1}"/>
    <cellStyle name="Normal 9 2 2 2 3 3" xfId="22993" xr:uid="{00000000-0005-0000-0000-00003D5D0000}"/>
    <cellStyle name="Normal 9 2 2 2 3 3 2" xfId="46826" xr:uid="{71BD6777-C9AD-4710-810B-12F2D0839C9B}"/>
    <cellStyle name="Normal 9 2 2 2 3 4" xfId="30948" xr:uid="{F19B86A9-7E69-4B48-B1BF-6219D3AB7718}"/>
    <cellStyle name="Normal 9 2 2 2 4" xfId="11510" xr:uid="{00000000-0005-0000-0000-00003E5D0000}"/>
    <cellStyle name="Normal 9 2 2 2 4 2" xfId="35360" xr:uid="{81E1F28C-0F2B-4FA9-B13E-125AE126B24A}"/>
    <cellStyle name="Normal 9 2 2 2 5" xfId="19465" xr:uid="{00000000-0005-0000-0000-00003F5D0000}"/>
    <cellStyle name="Normal 9 2 2 2 5 2" xfId="43298" xr:uid="{7320AE84-94B6-4ADC-A755-586C7973BA5D}"/>
    <cellStyle name="Normal 9 2 2 2 6" xfId="27418" xr:uid="{9862B43C-0906-4137-9AA9-1D1A28FF8190}"/>
    <cellStyle name="Normal 9 2 2 2_Exh G" xfId="3563" xr:uid="{00000000-0005-0000-0000-0000405D0000}"/>
    <cellStyle name="Normal 9 2 2 3" xfId="4363" xr:uid="{00000000-0005-0000-0000-0000415D0000}"/>
    <cellStyle name="Normal 9 2 2 3 2" xfId="7955" xr:uid="{00000000-0005-0000-0000-0000425D0000}"/>
    <cellStyle name="Normal 9 2 2 3 2 2" xfId="15926" xr:uid="{00000000-0005-0000-0000-0000435D0000}"/>
    <cellStyle name="Normal 9 2 2 3 2 2 2" xfId="39769" xr:uid="{429CE6B3-B0E4-413E-99AA-FDD49DCD8A96}"/>
    <cellStyle name="Normal 9 2 2 3 2 3" xfId="23872" xr:uid="{00000000-0005-0000-0000-0000445D0000}"/>
    <cellStyle name="Normal 9 2 2 3 2 3 2" xfId="47705" xr:uid="{FDFD3E2A-50B3-4262-B7D8-A99ACFB34891}"/>
    <cellStyle name="Normal 9 2 2 3 2 4" xfId="31828" xr:uid="{506DE2A3-21C0-4075-9EB9-4BC4FFB03430}"/>
    <cellStyle name="Normal 9 2 2 3 3" xfId="12388" xr:uid="{00000000-0005-0000-0000-0000455D0000}"/>
    <cellStyle name="Normal 9 2 2 3 3 2" xfId="36238" xr:uid="{04411B99-11DE-4C8C-B72E-11A50802169F}"/>
    <cellStyle name="Normal 9 2 2 3 4" xfId="20343" xr:uid="{00000000-0005-0000-0000-0000465D0000}"/>
    <cellStyle name="Normal 9 2 2 3 4 2" xfId="44176" xr:uid="{A3A34FFF-25D9-43FD-B9AA-AB9423424D4E}"/>
    <cellStyle name="Normal 9 2 2 3 5" xfId="28297" xr:uid="{CBA5D05A-B0DA-4DAE-978B-CC743A6D7A42}"/>
    <cellStyle name="Normal 9 2 2 4" xfId="6183" xr:uid="{00000000-0005-0000-0000-0000475D0000}"/>
    <cellStyle name="Normal 9 2 2 4 2" xfId="14167" xr:uid="{00000000-0005-0000-0000-0000485D0000}"/>
    <cellStyle name="Normal 9 2 2 4 2 2" xfId="38011" xr:uid="{4F7EC98C-D6F8-474B-BB2D-163C62CEBA60}"/>
    <cellStyle name="Normal 9 2 2 4 3" xfId="22115" xr:uid="{00000000-0005-0000-0000-0000495D0000}"/>
    <cellStyle name="Normal 9 2 2 4 3 2" xfId="45948" xr:uid="{7D3D4DFA-115D-4C70-A528-AAEB19E353A2}"/>
    <cellStyle name="Normal 9 2 2 4 4" xfId="30070" xr:uid="{63702ABB-0365-4636-AB72-DC32731A7344}"/>
    <cellStyle name="Normal 9 2 2 5" xfId="9736" xr:uid="{00000000-0005-0000-0000-00004A5D0000}"/>
    <cellStyle name="Normal 9 2 2 5 2" xfId="17694" xr:uid="{00000000-0005-0000-0000-00004B5D0000}"/>
    <cellStyle name="Normal 9 2 2 5 2 2" xfId="41535" xr:uid="{47478E62-43C3-421B-978F-8C998F17D52D}"/>
    <cellStyle name="Normal 9 2 2 5 3" xfId="25638" xr:uid="{00000000-0005-0000-0000-00004C5D0000}"/>
    <cellStyle name="Normal 9 2 2 5 3 2" xfId="49471" xr:uid="{2AC72F9B-7799-4CC1-9481-3231C3495C3D}"/>
    <cellStyle name="Normal 9 2 2 5 4" xfId="33594" xr:uid="{5C4F607C-062C-4039-BD8E-097237ED0EF0}"/>
    <cellStyle name="Normal 9 2 2 6" xfId="10632" xr:uid="{00000000-0005-0000-0000-00004D5D0000}"/>
    <cellStyle name="Normal 9 2 2 6 2" xfId="34482" xr:uid="{A22B842F-7E12-4789-8242-9B64819AC21F}"/>
    <cellStyle name="Normal 9 2 2 7" xfId="18587" xr:uid="{00000000-0005-0000-0000-00004E5D0000}"/>
    <cellStyle name="Normal 9 2 2 7 2" xfId="42420" xr:uid="{55FC89C1-D6AA-4469-B225-5B89B6A636BA}"/>
    <cellStyle name="Normal 9 2 2 8" xfId="26540" xr:uid="{AA93E874-F588-4BF7-8FDB-381854DE9E62}"/>
    <cellStyle name="Normal 9 2 2_Exh G" xfId="3562" xr:uid="{00000000-0005-0000-0000-00004F5D0000}"/>
    <cellStyle name="Normal 9 2 3" xfId="1711" xr:uid="{00000000-0005-0000-0000-0000505D0000}"/>
    <cellStyle name="Normal 9 2 3 2" xfId="5241" xr:uid="{00000000-0005-0000-0000-0000515D0000}"/>
    <cellStyle name="Normal 9 2 3 2 2" xfId="8832" xr:uid="{00000000-0005-0000-0000-0000525D0000}"/>
    <cellStyle name="Normal 9 2 3 2 2 2" xfId="16803" xr:uid="{00000000-0005-0000-0000-0000535D0000}"/>
    <cellStyle name="Normal 9 2 3 2 2 2 2" xfId="40646" xr:uid="{1096F5F0-AA8F-4206-BA8A-8C6A2059AE87}"/>
    <cellStyle name="Normal 9 2 3 2 2 3" xfId="24749" xr:uid="{00000000-0005-0000-0000-0000545D0000}"/>
    <cellStyle name="Normal 9 2 3 2 2 3 2" xfId="48582" xr:uid="{22CED8B8-D846-49F5-BE96-413B5BB2ED12}"/>
    <cellStyle name="Normal 9 2 3 2 2 4" xfId="32705" xr:uid="{EA942A5C-120A-4626-882D-65E144A22159}"/>
    <cellStyle name="Normal 9 2 3 2 3" xfId="13265" xr:uid="{00000000-0005-0000-0000-0000555D0000}"/>
    <cellStyle name="Normal 9 2 3 2 3 2" xfId="37115" xr:uid="{FAF029FE-202E-4C62-B3C3-64A1AF6FFC2B}"/>
    <cellStyle name="Normal 9 2 3 2 4" xfId="21220" xr:uid="{00000000-0005-0000-0000-0000565D0000}"/>
    <cellStyle name="Normal 9 2 3 2 4 2" xfId="45053" xr:uid="{A5748F4B-90AE-4874-B404-E5DB0D6A3BB1}"/>
    <cellStyle name="Normal 9 2 3 2 5" xfId="29174" xr:uid="{6A201999-C3F2-40B8-9BED-0E3B4E113135}"/>
    <cellStyle name="Normal 9 2 3 3" xfId="7073" xr:uid="{00000000-0005-0000-0000-0000575D0000}"/>
    <cellStyle name="Normal 9 2 3 3 2" xfId="15045" xr:uid="{00000000-0005-0000-0000-0000585D0000}"/>
    <cellStyle name="Normal 9 2 3 3 2 2" xfId="38888" xr:uid="{5F93C304-C07D-40D7-8CF7-470584F782A5}"/>
    <cellStyle name="Normal 9 2 3 3 3" xfId="22992" xr:uid="{00000000-0005-0000-0000-0000595D0000}"/>
    <cellStyle name="Normal 9 2 3 3 3 2" xfId="46825" xr:uid="{F662998E-B5EA-4C05-A956-51CCD4508C8A}"/>
    <cellStyle name="Normal 9 2 3 3 4" xfId="30947" xr:uid="{2C86DEB6-8AFA-4F32-997B-46FC79376A6E}"/>
    <cellStyle name="Normal 9 2 3 4" xfId="11509" xr:uid="{00000000-0005-0000-0000-00005A5D0000}"/>
    <cellStyle name="Normal 9 2 3 4 2" xfId="35359" xr:uid="{26DFA86C-990D-44F5-A177-8F06AF7E6C5B}"/>
    <cellStyle name="Normal 9 2 3 5" xfId="19464" xr:uid="{00000000-0005-0000-0000-00005B5D0000}"/>
    <cellStyle name="Normal 9 2 3 5 2" xfId="43297" xr:uid="{CF5998EE-0D8E-4C2A-822F-F11524B5F00D}"/>
    <cellStyle name="Normal 9 2 3 6" xfId="27417" xr:uid="{E8D77E77-BB05-475E-A339-ECBD5D46AEFD}"/>
    <cellStyle name="Normal 9 2 3_Exh G" xfId="3564" xr:uid="{00000000-0005-0000-0000-00005C5D0000}"/>
    <cellStyle name="Normal 9 2 4" xfId="4362" xr:uid="{00000000-0005-0000-0000-00005D5D0000}"/>
    <cellStyle name="Normal 9 2 4 2" xfId="7954" xr:uid="{00000000-0005-0000-0000-00005E5D0000}"/>
    <cellStyle name="Normal 9 2 4 2 2" xfId="15925" xr:uid="{00000000-0005-0000-0000-00005F5D0000}"/>
    <cellStyle name="Normal 9 2 4 2 2 2" xfId="39768" xr:uid="{59058DB0-25C0-4EB7-9C53-8024FAC6D9BB}"/>
    <cellStyle name="Normal 9 2 4 2 3" xfId="23871" xr:uid="{00000000-0005-0000-0000-0000605D0000}"/>
    <cellStyle name="Normal 9 2 4 2 3 2" xfId="47704" xr:uid="{84466C33-B826-4071-8420-4B2934E6BFC7}"/>
    <cellStyle name="Normal 9 2 4 2 4" xfId="31827" xr:uid="{BA1BEB49-2DB4-4D10-B534-3462F9379F1F}"/>
    <cellStyle name="Normal 9 2 4 3" xfId="12387" xr:uid="{00000000-0005-0000-0000-0000615D0000}"/>
    <cellStyle name="Normal 9 2 4 3 2" xfId="36237" xr:uid="{2A8B0A7B-7E33-4960-8DA2-4C4A25F1B718}"/>
    <cellStyle name="Normal 9 2 4 4" xfId="20342" xr:uid="{00000000-0005-0000-0000-0000625D0000}"/>
    <cellStyle name="Normal 9 2 4 4 2" xfId="44175" xr:uid="{6FF052BB-1AD1-4FB0-B9A5-2138445CB619}"/>
    <cellStyle name="Normal 9 2 4 5" xfId="28296" xr:uid="{C65B4E50-1406-4582-A4EB-05FC9CF2A231}"/>
    <cellStyle name="Normal 9 2 5" xfId="6182" xr:uid="{00000000-0005-0000-0000-0000635D0000}"/>
    <cellStyle name="Normal 9 2 5 2" xfId="14166" xr:uid="{00000000-0005-0000-0000-0000645D0000}"/>
    <cellStyle name="Normal 9 2 5 2 2" xfId="38010" xr:uid="{7B4FC3DF-D78A-4C93-AC99-E6EEDEB16D02}"/>
    <cellStyle name="Normal 9 2 5 3" xfId="22114" xr:uid="{00000000-0005-0000-0000-0000655D0000}"/>
    <cellStyle name="Normal 9 2 5 3 2" xfId="45947" xr:uid="{1593D5FC-4BE5-4ECB-854F-2E8142236A1E}"/>
    <cellStyle name="Normal 9 2 5 4" xfId="30069" xr:uid="{B696C983-9358-45F5-BBBE-DC737111DD0C}"/>
    <cellStyle name="Normal 9 2 6" xfId="9735" xr:uid="{00000000-0005-0000-0000-0000665D0000}"/>
    <cellStyle name="Normal 9 2 6 2" xfId="17693" xr:uid="{00000000-0005-0000-0000-0000675D0000}"/>
    <cellStyle name="Normal 9 2 6 2 2" xfId="41534" xr:uid="{C473A185-6253-4C62-9920-F853FD380769}"/>
    <cellStyle name="Normal 9 2 6 3" xfId="25637" xr:uid="{00000000-0005-0000-0000-0000685D0000}"/>
    <cellStyle name="Normal 9 2 6 3 2" xfId="49470" xr:uid="{B7726DE7-6C3A-4A8A-8F0A-A0520A6CF060}"/>
    <cellStyle name="Normal 9 2 6 4" xfId="33593" xr:uid="{0104B41E-C8C1-4B4A-B693-9144D712266D}"/>
    <cellStyle name="Normal 9 2 7" xfId="10631" xr:uid="{00000000-0005-0000-0000-0000695D0000}"/>
    <cellStyle name="Normal 9 2 7 2" xfId="34481" xr:uid="{597A2970-3F9A-4BD9-BB75-BD455E2A828A}"/>
    <cellStyle name="Normal 9 2 8" xfId="18586" xr:uid="{00000000-0005-0000-0000-00006A5D0000}"/>
    <cellStyle name="Normal 9 2 8 2" xfId="42419" xr:uid="{75922DDD-5F1E-4213-BA45-4EB6814EB336}"/>
    <cellStyle name="Normal 9 2 9" xfId="26539" xr:uid="{3D60A566-004E-42DD-A465-F6E95D6E35E1}"/>
    <cellStyle name="Normal 9 2_Exh G" xfId="3561" xr:uid="{00000000-0005-0000-0000-00006B5D0000}"/>
    <cellStyle name="Normal 9 3" xfId="685" xr:uid="{00000000-0005-0000-0000-00006C5D0000}"/>
    <cellStyle name="Normal 9 3 2" xfId="1713" xr:uid="{00000000-0005-0000-0000-00006D5D0000}"/>
    <cellStyle name="Normal 9 3 2 2" xfId="5243" xr:uid="{00000000-0005-0000-0000-00006E5D0000}"/>
    <cellStyle name="Normal 9 3 2 2 2" xfId="8834" xr:uid="{00000000-0005-0000-0000-00006F5D0000}"/>
    <cellStyle name="Normal 9 3 2 2 2 2" xfId="16805" xr:uid="{00000000-0005-0000-0000-0000705D0000}"/>
    <cellStyle name="Normal 9 3 2 2 2 2 2" xfId="40648" xr:uid="{0867E83C-F29D-4CD9-9D69-88F8D1F6445E}"/>
    <cellStyle name="Normal 9 3 2 2 2 3" xfId="24751" xr:uid="{00000000-0005-0000-0000-0000715D0000}"/>
    <cellStyle name="Normal 9 3 2 2 2 3 2" xfId="48584" xr:uid="{05C44EB5-A0C8-4364-829C-F6900491C056}"/>
    <cellStyle name="Normal 9 3 2 2 2 4" xfId="32707" xr:uid="{03446BB6-4601-444F-B30C-BDADD1D6D577}"/>
    <cellStyle name="Normal 9 3 2 2 3" xfId="13267" xr:uid="{00000000-0005-0000-0000-0000725D0000}"/>
    <cellStyle name="Normal 9 3 2 2 3 2" xfId="37117" xr:uid="{72D37D46-20EF-4688-887A-9A7E82150BE1}"/>
    <cellStyle name="Normal 9 3 2 2 4" xfId="21222" xr:uid="{00000000-0005-0000-0000-0000735D0000}"/>
    <cellStyle name="Normal 9 3 2 2 4 2" xfId="45055" xr:uid="{C48DE4CE-9272-495C-A4DA-7467B782A574}"/>
    <cellStyle name="Normal 9 3 2 2 5" xfId="29176" xr:uid="{016DB06F-7CD5-4005-A592-5650CC95826C}"/>
    <cellStyle name="Normal 9 3 2 3" xfId="7075" xr:uid="{00000000-0005-0000-0000-0000745D0000}"/>
    <cellStyle name="Normal 9 3 2 3 2" xfId="15047" xr:uid="{00000000-0005-0000-0000-0000755D0000}"/>
    <cellStyle name="Normal 9 3 2 3 2 2" xfId="38890" xr:uid="{46D2AE92-3D19-497E-80A0-2131CBA69D75}"/>
    <cellStyle name="Normal 9 3 2 3 3" xfId="22994" xr:uid="{00000000-0005-0000-0000-0000765D0000}"/>
    <cellStyle name="Normal 9 3 2 3 3 2" xfId="46827" xr:uid="{7CE86B90-8778-445D-8757-834F263EF150}"/>
    <cellStyle name="Normal 9 3 2 3 4" xfId="30949" xr:uid="{FB0803FE-5A24-435D-A56F-99B2D9D2340B}"/>
    <cellStyle name="Normal 9 3 2 4" xfId="11511" xr:uid="{00000000-0005-0000-0000-0000775D0000}"/>
    <cellStyle name="Normal 9 3 2 4 2" xfId="35361" xr:uid="{CC9C321D-3D21-4FAA-9E1C-20D88D1794FC}"/>
    <cellStyle name="Normal 9 3 2 5" xfId="19466" xr:uid="{00000000-0005-0000-0000-0000785D0000}"/>
    <cellStyle name="Normal 9 3 2 5 2" xfId="43299" xr:uid="{14032111-0E36-4357-A69F-245D96F773ED}"/>
    <cellStyle name="Normal 9 3 2 6" xfId="27419" xr:uid="{077BA26D-FE76-4405-B5A8-576E6330D979}"/>
    <cellStyle name="Normal 9 3 2_Exh G" xfId="3566" xr:uid="{00000000-0005-0000-0000-0000795D0000}"/>
    <cellStyle name="Normal 9 3 3" xfId="4364" xr:uid="{00000000-0005-0000-0000-00007A5D0000}"/>
    <cellStyle name="Normal 9 3 3 2" xfId="7956" xr:uid="{00000000-0005-0000-0000-00007B5D0000}"/>
    <cellStyle name="Normal 9 3 3 2 2" xfId="15927" xr:uid="{00000000-0005-0000-0000-00007C5D0000}"/>
    <cellStyle name="Normal 9 3 3 2 2 2" xfId="39770" xr:uid="{F5E7D05D-6F71-4953-9DEE-27D842B1FDA5}"/>
    <cellStyle name="Normal 9 3 3 2 3" xfId="23873" xr:uid="{00000000-0005-0000-0000-00007D5D0000}"/>
    <cellStyle name="Normal 9 3 3 2 3 2" xfId="47706" xr:uid="{1E8FB1AC-B868-4FAF-9B60-1CCCC2BBAE96}"/>
    <cellStyle name="Normal 9 3 3 2 4" xfId="31829" xr:uid="{0BE5418B-3453-4B1D-99BE-1AE976FAD343}"/>
    <cellStyle name="Normal 9 3 3 3" xfId="12389" xr:uid="{00000000-0005-0000-0000-00007E5D0000}"/>
    <cellStyle name="Normal 9 3 3 3 2" xfId="36239" xr:uid="{ED0D1C75-A123-4CF1-874A-3E92074038AF}"/>
    <cellStyle name="Normal 9 3 3 4" xfId="20344" xr:uid="{00000000-0005-0000-0000-00007F5D0000}"/>
    <cellStyle name="Normal 9 3 3 4 2" xfId="44177" xr:uid="{8C6AFEF4-EEA7-404A-BF00-B2951D2E01AC}"/>
    <cellStyle name="Normal 9 3 3 5" xfId="28298" xr:uid="{33C09A77-3018-477A-8BC9-BE50CBE6357C}"/>
    <cellStyle name="Normal 9 3 4" xfId="6184" xr:uid="{00000000-0005-0000-0000-0000805D0000}"/>
    <cellStyle name="Normal 9 3 4 2" xfId="14168" xr:uid="{00000000-0005-0000-0000-0000815D0000}"/>
    <cellStyle name="Normal 9 3 4 2 2" xfId="38012" xr:uid="{D1BD21BB-07A1-44A1-88B1-680A5A0B7C47}"/>
    <cellStyle name="Normal 9 3 4 3" xfId="22116" xr:uid="{00000000-0005-0000-0000-0000825D0000}"/>
    <cellStyle name="Normal 9 3 4 3 2" xfId="45949" xr:uid="{0F58DFFC-81A0-4A81-A1BC-3C3CB7855227}"/>
    <cellStyle name="Normal 9 3 4 4" xfId="30071" xr:uid="{9F6255FA-9F34-48AA-ACB9-F5335ED268B6}"/>
    <cellStyle name="Normal 9 3 5" xfId="9737" xr:uid="{00000000-0005-0000-0000-0000835D0000}"/>
    <cellStyle name="Normal 9 3 5 2" xfId="17695" xr:uid="{00000000-0005-0000-0000-0000845D0000}"/>
    <cellStyle name="Normal 9 3 5 2 2" xfId="41536" xr:uid="{284BB6F5-B584-4566-B884-B0B7511B3E9A}"/>
    <cellStyle name="Normal 9 3 5 3" xfId="25639" xr:uid="{00000000-0005-0000-0000-0000855D0000}"/>
    <cellStyle name="Normal 9 3 5 3 2" xfId="49472" xr:uid="{41527972-EA86-4AB6-B1C9-F5697360EF6C}"/>
    <cellStyle name="Normal 9 3 5 4" xfId="33595" xr:uid="{14DB8310-F2B5-496C-908E-C92749DA848C}"/>
    <cellStyle name="Normal 9 3 6" xfId="10633" xr:uid="{00000000-0005-0000-0000-0000865D0000}"/>
    <cellStyle name="Normal 9 3 6 2" xfId="34483" xr:uid="{B1073145-306E-4B96-8B34-5BD166BBC40D}"/>
    <cellStyle name="Normal 9 3 7" xfId="18588" xr:uid="{00000000-0005-0000-0000-0000875D0000}"/>
    <cellStyle name="Normal 9 3 7 2" xfId="42421" xr:uid="{9B09E826-10E6-4BC1-A9FE-43196FC76519}"/>
    <cellStyle name="Normal 9 3 8" xfId="26541" xr:uid="{DBADD298-0709-4CA0-8A4F-5D2F6BD1B197}"/>
    <cellStyle name="Normal 9 3_Exh G" xfId="3565" xr:uid="{00000000-0005-0000-0000-0000885D0000}"/>
    <cellStyle name="Normal 9 4" xfId="1027" xr:uid="{00000000-0005-0000-0000-0000895D0000}"/>
    <cellStyle name="Normal 9 4 2" xfId="1929" xr:uid="{00000000-0005-0000-0000-00008A5D0000}"/>
    <cellStyle name="Normal 9 4 2 2" xfId="5447" xr:uid="{00000000-0005-0000-0000-00008B5D0000}"/>
    <cellStyle name="Normal 9 4 2 2 2" xfId="9038" xr:uid="{00000000-0005-0000-0000-00008C5D0000}"/>
    <cellStyle name="Normal 9 4 2 2 2 2" xfId="17009" xr:uid="{00000000-0005-0000-0000-00008D5D0000}"/>
    <cellStyle name="Normal 9 4 2 2 2 2 2" xfId="40852" xr:uid="{32C6739D-76DE-4A77-A070-50BC2672D35A}"/>
    <cellStyle name="Normal 9 4 2 2 2 3" xfId="24955" xr:uid="{00000000-0005-0000-0000-00008E5D0000}"/>
    <cellStyle name="Normal 9 4 2 2 2 3 2" xfId="48788" xr:uid="{526A2850-CFF0-4373-BAC6-0C070DEAA876}"/>
    <cellStyle name="Normal 9 4 2 2 2 4" xfId="32911" xr:uid="{1362283F-EB08-4B4E-B604-9484CDD0BDD5}"/>
    <cellStyle name="Normal 9 4 2 2 3" xfId="13471" xr:uid="{00000000-0005-0000-0000-00008F5D0000}"/>
    <cellStyle name="Normal 9 4 2 2 3 2" xfId="37321" xr:uid="{68D2A07F-7F13-48D8-8899-D7FBE5DB9B15}"/>
    <cellStyle name="Normal 9 4 2 2 4" xfId="21426" xr:uid="{00000000-0005-0000-0000-0000905D0000}"/>
    <cellStyle name="Normal 9 4 2 2 4 2" xfId="45259" xr:uid="{CC4E2B56-4CB5-4A99-BF97-BF87B2DADED4}"/>
    <cellStyle name="Normal 9 4 2 2 5" xfId="29380" xr:uid="{5F8D9472-2E5B-45E9-8B36-3F141498A176}"/>
    <cellStyle name="Normal 9 4 2 3" xfId="7279" xr:uid="{00000000-0005-0000-0000-0000915D0000}"/>
    <cellStyle name="Normal 9 4 2 3 2" xfId="15251" xr:uid="{00000000-0005-0000-0000-0000925D0000}"/>
    <cellStyle name="Normal 9 4 2 3 2 2" xfId="39094" xr:uid="{0D5CD203-CA2E-4AA1-BCE6-0015C3C2E613}"/>
    <cellStyle name="Normal 9 4 2 3 3" xfId="23198" xr:uid="{00000000-0005-0000-0000-0000935D0000}"/>
    <cellStyle name="Normal 9 4 2 3 3 2" xfId="47031" xr:uid="{6AD667E6-FB7B-41F6-A361-7E45BFB4E1E8}"/>
    <cellStyle name="Normal 9 4 2 3 4" xfId="31153" xr:uid="{7B49A630-468D-46D2-9AAD-E5E7D8F94FE3}"/>
    <cellStyle name="Normal 9 4 2 4" xfId="11715" xr:uid="{00000000-0005-0000-0000-0000945D0000}"/>
    <cellStyle name="Normal 9 4 2 4 2" xfId="35565" xr:uid="{07957492-7174-42C0-A2E8-702C5CEBFDE6}"/>
    <cellStyle name="Normal 9 4 2 5" xfId="19670" xr:uid="{00000000-0005-0000-0000-0000955D0000}"/>
    <cellStyle name="Normal 9 4 2 5 2" xfId="43503" xr:uid="{1199BF8F-05B6-4F45-8BDE-69552E6DA562}"/>
    <cellStyle name="Normal 9 4 2 6" xfId="27623" xr:uid="{9316E394-EF73-4C67-8297-7157C7C9BB0E}"/>
    <cellStyle name="Normal 9 4 2_Exh G" xfId="3568" xr:uid="{00000000-0005-0000-0000-0000965D0000}"/>
    <cellStyle name="Normal 9 4 3" xfId="4568" xr:uid="{00000000-0005-0000-0000-0000975D0000}"/>
    <cellStyle name="Normal 9 4 3 2" xfId="8160" xr:uid="{00000000-0005-0000-0000-0000985D0000}"/>
    <cellStyle name="Normal 9 4 3 2 2" xfId="16131" xr:uid="{00000000-0005-0000-0000-0000995D0000}"/>
    <cellStyle name="Normal 9 4 3 2 2 2" xfId="39974" xr:uid="{174CAC2D-99D2-41EC-905F-0B49567B769F}"/>
    <cellStyle name="Normal 9 4 3 2 3" xfId="24077" xr:uid="{00000000-0005-0000-0000-00009A5D0000}"/>
    <cellStyle name="Normal 9 4 3 2 3 2" xfId="47910" xr:uid="{50E4E083-6AB5-46C2-83A0-35F582E02930}"/>
    <cellStyle name="Normal 9 4 3 2 4" xfId="32033" xr:uid="{3DA8519D-4A7E-4962-9BD6-F5EB21203B54}"/>
    <cellStyle name="Normal 9 4 3 3" xfId="12593" xr:uid="{00000000-0005-0000-0000-00009B5D0000}"/>
    <cellStyle name="Normal 9 4 3 3 2" xfId="36443" xr:uid="{A42BF1C1-F998-4C8C-87EF-46EE30609F25}"/>
    <cellStyle name="Normal 9 4 3 4" xfId="20548" xr:uid="{00000000-0005-0000-0000-00009C5D0000}"/>
    <cellStyle name="Normal 9 4 3 4 2" xfId="44381" xr:uid="{8A6BFBE0-387B-433B-AFE5-7457CD3353D0}"/>
    <cellStyle name="Normal 9 4 3 5" xfId="28502" xr:uid="{4F3C5504-3C48-4FA7-9289-DCBC459B103A}"/>
    <cellStyle name="Normal 9 4 4" xfId="6398" xr:uid="{00000000-0005-0000-0000-00009D5D0000}"/>
    <cellStyle name="Normal 9 4 4 2" xfId="14373" xr:uid="{00000000-0005-0000-0000-00009E5D0000}"/>
    <cellStyle name="Normal 9 4 4 2 2" xfId="38216" xr:uid="{BBB12647-4BEB-4A94-8506-B2DEF3D98F52}"/>
    <cellStyle name="Normal 9 4 4 3" xfId="22320" xr:uid="{00000000-0005-0000-0000-00009F5D0000}"/>
    <cellStyle name="Normal 9 4 4 3 2" xfId="46153" xr:uid="{F99A4906-9905-4A25-B226-6D9844F59146}"/>
    <cellStyle name="Normal 9 4 4 4" xfId="30275" xr:uid="{2C47DBE0-8E0A-42DC-9B10-8F051882924F}"/>
    <cellStyle name="Normal 9 4 5" xfId="9941" xr:uid="{00000000-0005-0000-0000-0000A05D0000}"/>
    <cellStyle name="Normal 9 4 5 2" xfId="17899" xr:uid="{00000000-0005-0000-0000-0000A15D0000}"/>
    <cellStyle name="Normal 9 4 5 2 2" xfId="41740" xr:uid="{34F32108-BE57-4611-A37B-830D7440E4C0}"/>
    <cellStyle name="Normal 9 4 5 3" xfId="25843" xr:uid="{00000000-0005-0000-0000-0000A25D0000}"/>
    <cellStyle name="Normal 9 4 5 3 2" xfId="49676" xr:uid="{399F9C2B-29F9-4BE5-BF45-25B4A1B1A4BE}"/>
    <cellStyle name="Normal 9 4 5 4" xfId="33799" xr:uid="{424BE975-17FE-42DE-92F7-047D68146C34}"/>
    <cellStyle name="Normal 9 4 6" xfId="10837" xr:uid="{00000000-0005-0000-0000-0000A35D0000}"/>
    <cellStyle name="Normal 9 4 6 2" xfId="34687" xr:uid="{3118F787-5801-479B-B93B-CA209D8042C8}"/>
    <cellStyle name="Normal 9 4 7" xfId="18792" xr:uid="{00000000-0005-0000-0000-0000A45D0000}"/>
    <cellStyle name="Normal 9 4 7 2" xfId="42625" xr:uid="{870DB111-5E36-4222-A0E3-42DFD905E807}"/>
    <cellStyle name="Normal 9 4 8" xfId="26745" xr:uid="{958602D8-7E24-4B0C-953D-EB0336DE7CA7}"/>
    <cellStyle name="Normal 9 4_Exh G" xfId="3567" xr:uid="{00000000-0005-0000-0000-0000A55D0000}"/>
    <cellStyle name="Normal 9_Exh G" xfId="3560" xr:uid="{00000000-0005-0000-0000-0000A65D0000}"/>
    <cellStyle name="Normal_Appendix G 11 FEBRUARY 10 temploan no 303 ver2 2" xfId="1028" xr:uid="{00000000-0005-0000-0000-0000A75D0000}"/>
    <cellStyle name="Normal_ExhibitF_05-06" xfId="19" xr:uid="{00000000-0005-0000-0000-0000A85D0000}"/>
    <cellStyle name="Normal_ExhibitF_05-06 2" xfId="25861" xr:uid="{00000000-0005-0000-0000-0000A95D0000}"/>
    <cellStyle name="Normal_Summary Analysis" xfId="25876" xr:uid="{00000000-0005-0000-0000-0000AA5D0000}"/>
    <cellStyle name="Note 10" xfId="686" xr:uid="{00000000-0005-0000-0000-0000AB5D0000}"/>
    <cellStyle name="Note 10 10" xfId="18589" xr:uid="{00000000-0005-0000-0000-0000AC5D0000}"/>
    <cellStyle name="Note 10 10 2" xfId="42422" xr:uid="{B4A4751D-A348-4128-B140-2F7DA7977575}"/>
    <cellStyle name="Note 10 11" xfId="26542" xr:uid="{170622BA-A862-4ECF-9A41-9BB1FFE1C0BC}"/>
    <cellStyle name="Note 10 2" xfId="687" xr:uid="{00000000-0005-0000-0000-0000AD5D0000}"/>
    <cellStyle name="Note 10 2 2" xfId="688" xr:uid="{00000000-0005-0000-0000-0000AE5D0000}"/>
    <cellStyle name="Note 10 2 2 2" xfId="1716" xr:uid="{00000000-0005-0000-0000-0000AF5D0000}"/>
    <cellStyle name="Note 10 2 2 2 2" xfId="5246" xr:uid="{00000000-0005-0000-0000-0000B05D0000}"/>
    <cellStyle name="Note 10 2 2 2 2 2" xfId="8837" xr:uid="{00000000-0005-0000-0000-0000B15D0000}"/>
    <cellStyle name="Note 10 2 2 2 2 2 2" xfId="16808" xr:uid="{00000000-0005-0000-0000-0000B25D0000}"/>
    <cellStyle name="Note 10 2 2 2 2 2 2 2" xfId="40651" xr:uid="{1490DD00-CDFE-4D04-A0AE-573BDF6A7C2B}"/>
    <cellStyle name="Note 10 2 2 2 2 2 3" xfId="24754" xr:uid="{00000000-0005-0000-0000-0000B35D0000}"/>
    <cellStyle name="Note 10 2 2 2 2 2 3 2" xfId="48587" xr:uid="{11FD39CC-EB21-49EF-BD95-0316F2B07347}"/>
    <cellStyle name="Note 10 2 2 2 2 2 4" xfId="32710" xr:uid="{018C9CF5-10E4-45B1-9DF5-62FF8BED762E}"/>
    <cellStyle name="Note 10 2 2 2 2 3" xfId="13270" xr:uid="{00000000-0005-0000-0000-0000B45D0000}"/>
    <cellStyle name="Note 10 2 2 2 2 3 2" xfId="37120" xr:uid="{4404C457-7672-41A6-996E-79840EBE06C2}"/>
    <cellStyle name="Note 10 2 2 2 2 4" xfId="21225" xr:uid="{00000000-0005-0000-0000-0000B55D0000}"/>
    <cellStyle name="Note 10 2 2 2 2 4 2" xfId="45058" xr:uid="{1E9211A2-D342-42B2-A275-EE55461160E3}"/>
    <cellStyle name="Note 10 2 2 2 2 5" xfId="29179" xr:uid="{C15539FA-5404-406A-8A0D-9ADFF44A2F3E}"/>
    <cellStyle name="Note 10 2 2 2 3" xfId="7078" xr:uid="{00000000-0005-0000-0000-0000B65D0000}"/>
    <cellStyle name="Note 10 2 2 2 3 2" xfId="15050" xr:uid="{00000000-0005-0000-0000-0000B75D0000}"/>
    <cellStyle name="Note 10 2 2 2 3 2 2" xfId="38893" xr:uid="{89B19CB6-EA01-49EA-BD82-93A67921F102}"/>
    <cellStyle name="Note 10 2 2 2 3 3" xfId="22997" xr:uid="{00000000-0005-0000-0000-0000B85D0000}"/>
    <cellStyle name="Note 10 2 2 2 3 3 2" xfId="46830" xr:uid="{F55F58B3-5D80-4529-9270-AC0BA554DF17}"/>
    <cellStyle name="Note 10 2 2 2 3 4" xfId="30952" xr:uid="{2E3BD48D-D467-4C75-BEAE-3CE5A04A1C93}"/>
    <cellStyle name="Note 10 2 2 2 4" xfId="11514" xr:uid="{00000000-0005-0000-0000-0000B95D0000}"/>
    <cellStyle name="Note 10 2 2 2 4 2" xfId="35364" xr:uid="{F7BC85E4-7902-4F07-BBC7-E98EE1E38D51}"/>
    <cellStyle name="Note 10 2 2 2 5" xfId="19469" xr:uid="{00000000-0005-0000-0000-0000BA5D0000}"/>
    <cellStyle name="Note 10 2 2 2 5 2" xfId="43302" xr:uid="{66FB5783-DE2E-413E-B679-7F62EE865006}"/>
    <cellStyle name="Note 10 2 2 2 6" xfId="27422" xr:uid="{D95A1833-EB7F-4336-BAF9-8F0334946E3C}"/>
    <cellStyle name="Note 10 2 2 2_Exh G" xfId="3572" xr:uid="{00000000-0005-0000-0000-0000BB5D0000}"/>
    <cellStyle name="Note 10 2 2 3" xfId="4367" xr:uid="{00000000-0005-0000-0000-0000BC5D0000}"/>
    <cellStyle name="Note 10 2 2 3 2" xfId="7959" xr:uid="{00000000-0005-0000-0000-0000BD5D0000}"/>
    <cellStyle name="Note 10 2 2 3 2 2" xfId="15930" xr:uid="{00000000-0005-0000-0000-0000BE5D0000}"/>
    <cellStyle name="Note 10 2 2 3 2 2 2" xfId="39773" xr:uid="{F628BFA7-0138-404D-8293-DDC32F2D61F6}"/>
    <cellStyle name="Note 10 2 2 3 2 3" xfId="23876" xr:uid="{00000000-0005-0000-0000-0000BF5D0000}"/>
    <cellStyle name="Note 10 2 2 3 2 3 2" xfId="47709" xr:uid="{E26F4AA7-8583-43D3-8AF0-BA2D674506FC}"/>
    <cellStyle name="Note 10 2 2 3 2 4" xfId="31832" xr:uid="{B3DADC3F-89A4-4688-88E9-353CB37835DE}"/>
    <cellStyle name="Note 10 2 2 3 3" xfId="12392" xr:uid="{00000000-0005-0000-0000-0000C05D0000}"/>
    <cellStyle name="Note 10 2 2 3 3 2" xfId="36242" xr:uid="{D5CA6250-ECA6-4E16-84A9-0C4B94D372EE}"/>
    <cellStyle name="Note 10 2 2 3 4" xfId="20347" xr:uid="{00000000-0005-0000-0000-0000C15D0000}"/>
    <cellStyle name="Note 10 2 2 3 4 2" xfId="44180" xr:uid="{F669E793-7FB9-464E-97F8-4CF0196F17A6}"/>
    <cellStyle name="Note 10 2 2 3 5" xfId="28301" xr:uid="{FCDD3FD7-324C-4868-98B9-41B2B385C1DA}"/>
    <cellStyle name="Note 10 2 2 4" xfId="6187" xr:uid="{00000000-0005-0000-0000-0000C25D0000}"/>
    <cellStyle name="Note 10 2 2 4 2" xfId="14171" xr:uid="{00000000-0005-0000-0000-0000C35D0000}"/>
    <cellStyle name="Note 10 2 2 4 2 2" xfId="38015" xr:uid="{6E444B27-9BED-4A5D-9951-3A0EACB6EAFC}"/>
    <cellStyle name="Note 10 2 2 4 3" xfId="22119" xr:uid="{00000000-0005-0000-0000-0000C45D0000}"/>
    <cellStyle name="Note 10 2 2 4 3 2" xfId="45952" xr:uid="{BA36D904-A27A-4283-A25F-B081C76B1574}"/>
    <cellStyle name="Note 10 2 2 4 4" xfId="30074" xr:uid="{B80CC1CC-3D53-4156-87D7-330D975264F4}"/>
    <cellStyle name="Note 10 2 2 5" xfId="9740" xr:uid="{00000000-0005-0000-0000-0000C55D0000}"/>
    <cellStyle name="Note 10 2 2 5 2" xfId="17698" xr:uid="{00000000-0005-0000-0000-0000C65D0000}"/>
    <cellStyle name="Note 10 2 2 5 2 2" xfId="41539" xr:uid="{790BC151-BD71-4D5E-9C0B-F8FFAC064CDA}"/>
    <cellStyle name="Note 10 2 2 5 3" xfId="25642" xr:uid="{00000000-0005-0000-0000-0000C75D0000}"/>
    <cellStyle name="Note 10 2 2 5 3 2" xfId="49475" xr:uid="{EE003F27-D5CA-461A-A135-1D28C89BAAC3}"/>
    <cellStyle name="Note 10 2 2 5 4" xfId="33598" xr:uid="{E1830BCB-4DCE-436E-80A0-510C53C3B0EB}"/>
    <cellStyle name="Note 10 2 2 6" xfId="10636" xr:uid="{00000000-0005-0000-0000-0000C85D0000}"/>
    <cellStyle name="Note 10 2 2 6 2" xfId="34486" xr:uid="{3B65DE2A-1FFD-402F-BB87-AC17A31ED759}"/>
    <cellStyle name="Note 10 2 2 7" xfId="18591" xr:uid="{00000000-0005-0000-0000-0000C95D0000}"/>
    <cellStyle name="Note 10 2 2 7 2" xfId="42424" xr:uid="{D4819311-77D5-444A-BB1F-C305257218BA}"/>
    <cellStyle name="Note 10 2 2 8" xfId="26544" xr:uid="{604B63B3-530A-4DBF-B4FD-DA25C4C5A0DB}"/>
    <cellStyle name="Note 10 2 2_Exh G" xfId="3571" xr:uid="{00000000-0005-0000-0000-0000CA5D0000}"/>
    <cellStyle name="Note 10 2 3" xfId="1715" xr:uid="{00000000-0005-0000-0000-0000CB5D0000}"/>
    <cellStyle name="Note 10 2 3 2" xfId="5245" xr:uid="{00000000-0005-0000-0000-0000CC5D0000}"/>
    <cellStyle name="Note 10 2 3 2 2" xfId="8836" xr:uid="{00000000-0005-0000-0000-0000CD5D0000}"/>
    <cellStyle name="Note 10 2 3 2 2 2" xfId="16807" xr:uid="{00000000-0005-0000-0000-0000CE5D0000}"/>
    <cellStyle name="Note 10 2 3 2 2 2 2" xfId="40650" xr:uid="{AECF2571-4702-4DF6-A2EF-0ACBA272634E}"/>
    <cellStyle name="Note 10 2 3 2 2 3" xfId="24753" xr:uid="{00000000-0005-0000-0000-0000CF5D0000}"/>
    <cellStyle name="Note 10 2 3 2 2 3 2" xfId="48586" xr:uid="{7170AEAA-D595-4CC4-84FE-39B613A4EA58}"/>
    <cellStyle name="Note 10 2 3 2 2 4" xfId="32709" xr:uid="{B66DD962-6549-4671-BC36-AB5B41009528}"/>
    <cellStyle name="Note 10 2 3 2 3" xfId="13269" xr:uid="{00000000-0005-0000-0000-0000D05D0000}"/>
    <cellStyle name="Note 10 2 3 2 3 2" xfId="37119" xr:uid="{D1E043B4-7A14-4DA3-BB2D-23BF792020BC}"/>
    <cellStyle name="Note 10 2 3 2 4" xfId="21224" xr:uid="{00000000-0005-0000-0000-0000D15D0000}"/>
    <cellStyle name="Note 10 2 3 2 4 2" xfId="45057" xr:uid="{64B9102B-C9D9-4959-B1F9-4FB09BFD5982}"/>
    <cellStyle name="Note 10 2 3 2 5" xfId="29178" xr:uid="{6B15E573-6DBA-4273-AC6D-513A3CEB7316}"/>
    <cellStyle name="Note 10 2 3 3" xfId="7077" xr:uid="{00000000-0005-0000-0000-0000D25D0000}"/>
    <cellStyle name="Note 10 2 3 3 2" xfId="15049" xr:uid="{00000000-0005-0000-0000-0000D35D0000}"/>
    <cellStyle name="Note 10 2 3 3 2 2" xfId="38892" xr:uid="{30400AC1-BA81-41B2-8E4A-04FEBF2C94CE}"/>
    <cellStyle name="Note 10 2 3 3 3" xfId="22996" xr:uid="{00000000-0005-0000-0000-0000D45D0000}"/>
    <cellStyle name="Note 10 2 3 3 3 2" xfId="46829" xr:uid="{16D542E3-18E8-4FF4-BAC0-9F8BDFD36C9F}"/>
    <cellStyle name="Note 10 2 3 3 4" xfId="30951" xr:uid="{EBAD7FB9-EC9D-48A2-862E-423895629125}"/>
    <cellStyle name="Note 10 2 3 4" xfId="11513" xr:uid="{00000000-0005-0000-0000-0000D55D0000}"/>
    <cellStyle name="Note 10 2 3 4 2" xfId="35363" xr:uid="{9DACD60E-4DFC-4A08-B6C5-752CA815F355}"/>
    <cellStyle name="Note 10 2 3 5" xfId="19468" xr:uid="{00000000-0005-0000-0000-0000D65D0000}"/>
    <cellStyle name="Note 10 2 3 5 2" xfId="43301" xr:uid="{F5BE6D8A-6469-4011-8B94-812BA3ACDFA3}"/>
    <cellStyle name="Note 10 2 3 6" xfId="27421" xr:uid="{D94C5ED7-F1C3-45ED-9B71-56BF11845C8E}"/>
    <cellStyle name="Note 10 2 3_Exh G" xfId="3573" xr:uid="{00000000-0005-0000-0000-0000D75D0000}"/>
    <cellStyle name="Note 10 2 4" xfId="4366" xr:uid="{00000000-0005-0000-0000-0000D85D0000}"/>
    <cellStyle name="Note 10 2 4 2" xfId="7958" xr:uid="{00000000-0005-0000-0000-0000D95D0000}"/>
    <cellStyle name="Note 10 2 4 2 2" xfId="15929" xr:uid="{00000000-0005-0000-0000-0000DA5D0000}"/>
    <cellStyle name="Note 10 2 4 2 2 2" xfId="39772" xr:uid="{4F110200-1344-4CC1-B6B0-90D8D32FDD5E}"/>
    <cellStyle name="Note 10 2 4 2 3" xfId="23875" xr:uid="{00000000-0005-0000-0000-0000DB5D0000}"/>
    <cellStyle name="Note 10 2 4 2 3 2" xfId="47708" xr:uid="{A79C15A5-EDAA-4E52-BE1C-FEFF6A876CE9}"/>
    <cellStyle name="Note 10 2 4 2 4" xfId="31831" xr:uid="{0C0D29BF-A5B0-4F8C-8A06-CE6B2A9E31C9}"/>
    <cellStyle name="Note 10 2 4 3" xfId="12391" xr:uid="{00000000-0005-0000-0000-0000DC5D0000}"/>
    <cellStyle name="Note 10 2 4 3 2" xfId="36241" xr:uid="{85EE77F7-BDF3-4481-9900-03FEB4B4F16E}"/>
    <cellStyle name="Note 10 2 4 4" xfId="20346" xr:uid="{00000000-0005-0000-0000-0000DD5D0000}"/>
    <cellStyle name="Note 10 2 4 4 2" xfId="44179" xr:uid="{9A033D24-F1FF-4C75-B651-8948DEDBF6B2}"/>
    <cellStyle name="Note 10 2 4 5" xfId="28300" xr:uid="{6F07A4A5-0756-4599-B3B2-86C5F8537AD6}"/>
    <cellStyle name="Note 10 2 5" xfId="6186" xr:uid="{00000000-0005-0000-0000-0000DE5D0000}"/>
    <cellStyle name="Note 10 2 5 2" xfId="14170" xr:uid="{00000000-0005-0000-0000-0000DF5D0000}"/>
    <cellStyle name="Note 10 2 5 2 2" xfId="38014" xr:uid="{F1253C75-5245-4503-BDB1-BC6CEEEB4307}"/>
    <cellStyle name="Note 10 2 5 3" xfId="22118" xr:uid="{00000000-0005-0000-0000-0000E05D0000}"/>
    <cellStyle name="Note 10 2 5 3 2" xfId="45951" xr:uid="{ADE5950D-8FA5-42E6-8813-38A75EC1B9C0}"/>
    <cellStyle name="Note 10 2 5 4" xfId="30073" xr:uid="{AC49522A-A2B8-4915-AD11-06D9764F0BF7}"/>
    <cellStyle name="Note 10 2 6" xfId="9739" xr:uid="{00000000-0005-0000-0000-0000E15D0000}"/>
    <cellStyle name="Note 10 2 6 2" xfId="17697" xr:uid="{00000000-0005-0000-0000-0000E25D0000}"/>
    <cellStyle name="Note 10 2 6 2 2" xfId="41538" xr:uid="{DF21C95F-A3BC-40EA-8769-3C040ECB4C5A}"/>
    <cellStyle name="Note 10 2 6 3" xfId="25641" xr:uid="{00000000-0005-0000-0000-0000E35D0000}"/>
    <cellStyle name="Note 10 2 6 3 2" xfId="49474" xr:uid="{CB976899-6B2A-4B45-8832-F966E2B41DF0}"/>
    <cellStyle name="Note 10 2 6 4" xfId="33597" xr:uid="{BAD3A0B4-B02D-4031-96CE-0914B2AB62E6}"/>
    <cellStyle name="Note 10 2 7" xfId="10635" xr:uid="{00000000-0005-0000-0000-0000E45D0000}"/>
    <cellStyle name="Note 10 2 7 2" xfId="34485" xr:uid="{5534D42E-DFD7-4F51-92BB-EA9412653D36}"/>
    <cellStyle name="Note 10 2 8" xfId="18590" xr:uid="{00000000-0005-0000-0000-0000E55D0000}"/>
    <cellStyle name="Note 10 2 8 2" xfId="42423" xr:uid="{5935D558-1E13-4AA4-B0FD-F556A6B059C8}"/>
    <cellStyle name="Note 10 2 9" xfId="26543" xr:uid="{D8150226-1888-49F5-8072-3DD6685E0D8D}"/>
    <cellStyle name="Note 10 2_Exh G" xfId="3570" xr:uid="{00000000-0005-0000-0000-0000E65D0000}"/>
    <cellStyle name="Note 10 3" xfId="689" xr:uid="{00000000-0005-0000-0000-0000E75D0000}"/>
    <cellStyle name="Note 10 3 2" xfId="1717" xr:uid="{00000000-0005-0000-0000-0000E85D0000}"/>
    <cellStyle name="Note 10 3 2 2" xfId="5247" xr:uid="{00000000-0005-0000-0000-0000E95D0000}"/>
    <cellStyle name="Note 10 3 2 2 2" xfId="8838" xr:uid="{00000000-0005-0000-0000-0000EA5D0000}"/>
    <cellStyle name="Note 10 3 2 2 2 2" xfId="16809" xr:uid="{00000000-0005-0000-0000-0000EB5D0000}"/>
    <cellStyle name="Note 10 3 2 2 2 2 2" xfId="40652" xr:uid="{93DBB7C2-736C-4E9E-9C81-D3E19311595E}"/>
    <cellStyle name="Note 10 3 2 2 2 3" xfId="24755" xr:uid="{00000000-0005-0000-0000-0000EC5D0000}"/>
    <cellStyle name="Note 10 3 2 2 2 3 2" xfId="48588" xr:uid="{392EEE8B-61C8-4C2D-BCC4-FF7888D3BEDA}"/>
    <cellStyle name="Note 10 3 2 2 2 4" xfId="32711" xr:uid="{011A74FD-7FDE-477A-874A-CF23FB51AC22}"/>
    <cellStyle name="Note 10 3 2 2 3" xfId="13271" xr:uid="{00000000-0005-0000-0000-0000ED5D0000}"/>
    <cellStyle name="Note 10 3 2 2 3 2" xfId="37121" xr:uid="{69034329-2489-4359-9142-9DF556993DBE}"/>
    <cellStyle name="Note 10 3 2 2 4" xfId="21226" xr:uid="{00000000-0005-0000-0000-0000EE5D0000}"/>
    <cellStyle name="Note 10 3 2 2 4 2" xfId="45059" xr:uid="{3A81930D-535F-4EB4-8190-ECA107C3B620}"/>
    <cellStyle name="Note 10 3 2 2 5" xfId="29180" xr:uid="{F1E5A12B-F6C7-4249-B4BD-848F3E138502}"/>
    <cellStyle name="Note 10 3 2 3" xfId="7079" xr:uid="{00000000-0005-0000-0000-0000EF5D0000}"/>
    <cellStyle name="Note 10 3 2 3 2" xfId="15051" xr:uid="{00000000-0005-0000-0000-0000F05D0000}"/>
    <cellStyle name="Note 10 3 2 3 2 2" xfId="38894" xr:uid="{224A0B50-B012-4415-9E28-1A16982116CF}"/>
    <cellStyle name="Note 10 3 2 3 3" xfId="22998" xr:uid="{00000000-0005-0000-0000-0000F15D0000}"/>
    <cellStyle name="Note 10 3 2 3 3 2" xfId="46831" xr:uid="{E3EFBBAD-563D-4AD9-B352-2C4F6EDF9A5F}"/>
    <cellStyle name="Note 10 3 2 3 4" xfId="30953" xr:uid="{D66E009C-DC13-46F4-92C0-29386610090A}"/>
    <cellStyle name="Note 10 3 2 4" xfId="11515" xr:uid="{00000000-0005-0000-0000-0000F25D0000}"/>
    <cellStyle name="Note 10 3 2 4 2" xfId="35365" xr:uid="{E55282D2-5B29-4744-B33D-AA03AC064A11}"/>
    <cellStyle name="Note 10 3 2 5" xfId="19470" xr:uid="{00000000-0005-0000-0000-0000F35D0000}"/>
    <cellStyle name="Note 10 3 2 5 2" xfId="43303" xr:uid="{D733343C-7757-4119-809F-8DBF5EC4DDFA}"/>
    <cellStyle name="Note 10 3 2 6" xfId="27423" xr:uid="{0C2559BA-7214-432C-AF27-1B0FAFDD84B2}"/>
    <cellStyle name="Note 10 3 2_Exh G" xfId="3575" xr:uid="{00000000-0005-0000-0000-0000F45D0000}"/>
    <cellStyle name="Note 10 3 3" xfId="4368" xr:uid="{00000000-0005-0000-0000-0000F55D0000}"/>
    <cellStyle name="Note 10 3 3 2" xfId="7960" xr:uid="{00000000-0005-0000-0000-0000F65D0000}"/>
    <cellStyle name="Note 10 3 3 2 2" xfId="15931" xr:uid="{00000000-0005-0000-0000-0000F75D0000}"/>
    <cellStyle name="Note 10 3 3 2 2 2" xfId="39774" xr:uid="{CC89AA70-42D8-4070-8618-1B8B222BD180}"/>
    <cellStyle name="Note 10 3 3 2 3" xfId="23877" xr:uid="{00000000-0005-0000-0000-0000F85D0000}"/>
    <cellStyle name="Note 10 3 3 2 3 2" xfId="47710" xr:uid="{0232DCDE-5857-4B1B-9870-01C54E9C0F51}"/>
    <cellStyle name="Note 10 3 3 2 4" xfId="31833" xr:uid="{37EFB53C-A027-44CA-8523-9CA9C0ED661C}"/>
    <cellStyle name="Note 10 3 3 3" xfId="12393" xr:uid="{00000000-0005-0000-0000-0000F95D0000}"/>
    <cellStyle name="Note 10 3 3 3 2" xfId="36243" xr:uid="{9AED8CC0-E5AE-4AE6-B4A7-7D526778334B}"/>
    <cellStyle name="Note 10 3 3 4" xfId="20348" xr:uid="{00000000-0005-0000-0000-0000FA5D0000}"/>
    <cellStyle name="Note 10 3 3 4 2" xfId="44181" xr:uid="{025894E3-3D38-410A-83A4-D6FDCEE1242B}"/>
    <cellStyle name="Note 10 3 3 5" xfId="28302" xr:uid="{DA7D1939-FFF5-4389-93DF-C3C8610B82B8}"/>
    <cellStyle name="Note 10 3 4" xfId="6188" xr:uid="{00000000-0005-0000-0000-0000FB5D0000}"/>
    <cellStyle name="Note 10 3 4 2" xfId="14172" xr:uid="{00000000-0005-0000-0000-0000FC5D0000}"/>
    <cellStyle name="Note 10 3 4 2 2" xfId="38016" xr:uid="{A643D03E-5FC4-441A-A85A-EF1F6CDAD45F}"/>
    <cellStyle name="Note 10 3 4 3" xfId="22120" xr:uid="{00000000-0005-0000-0000-0000FD5D0000}"/>
    <cellStyle name="Note 10 3 4 3 2" xfId="45953" xr:uid="{A7F91B9A-0E70-4741-B4FF-1CCC6A375AFF}"/>
    <cellStyle name="Note 10 3 4 4" xfId="30075" xr:uid="{95D62A08-2014-4611-90B7-8B39B111F960}"/>
    <cellStyle name="Note 10 3 5" xfId="9741" xr:uid="{00000000-0005-0000-0000-0000FE5D0000}"/>
    <cellStyle name="Note 10 3 5 2" xfId="17699" xr:uid="{00000000-0005-0000-0000-0000FF5D0000}"/>
    <cellStyle name="Note 10 3 5 2 2" xfId="41540" xr:uid="{8750041F-793E-48C9-B3FE-A9764967ABFA}"/>
    <cellStyle name="Note 10 3 5 3" xfId="25643" xr:uid="{00000000-0005-0000-0000-0000005E0000}"/>
    <cellStyle name="Note 10 3 5 3 2" xfId="49476" xr:uid="{B310BA77-288C-43B5-9DD5-F2AD1D778661}"/>
    <cellStyle name="Note 10 3 5 4" xfId="33599" xr:uid="{27C9862E-260D-4A62-A183-DA1525210B1F}"/>
    <cellStyle name="Note 10 3 6" xfId="10637" xr:uid="{00000000-0005-0000-0000-0000015E0000}"/>
    <cellStyle name="Note 10 3 6 2" xfId="34487" xr:uid="{7D4C2C73-2426-4D6D-B815-59EA9CB64D7D}"/>
    <cellStyle name="Note 10 3 7" xfId="18592" xr:uid="{00000000-0005-0000-0000-0000025E0000}"/>
    <cellStyle name="Note 10 3 7 2" xfId="42425" xr:uid="{D4EA7FB1-10C0-45AA-8DE1-2D0E85DCECDD}"/>
    <cellStyle name="Note 10 3 8" xfId="26545" xr:uid="{9D371C36-E494-410E-8836-E3F845FB80A0}"/>
    <cellStyle name="Note 10 3_Exh G" xfId="3574" xr:uid="{00000000-0005-0000-0000-0000035E0000}"/>
    <cellStyle name="Note 10 4" xfId="1029" xr:uid="{00000000-0005-0000-0000-0000045E0000}"/>
    <cellStyle name="Note 10 4 2" xfId="6399" xr:uid="{00000000-0005-0000-0000-0000055E0000}"/>
    <cellStyle name="Note 10 5" xfId="1714" xr:uid="{00000000-0005-0000-0000-0000065E0000}"/>
    <cellStyle name="Note 10 5 2" xfId="5244" xr:uid="{00000000-0005-0000-0000-0000075E0000}"/>
    <cellStyle name="Note 10 5 2 2" xfId="8835" xr:uid="{00000000-0005-0000-0000-0000085E0000}"/>
    <cellStyle name="Note 10 5 2 2 2" xfId="16806" xr:uid="{00000000-0005-0000-0000-0000095E0000}"/>
    <cellStyle name="Note 10 5 2 2 2 2" xfId="40649" xr:uid="{0EB4C82E-4FA2-45CE-9425-30E9AD21FF89}"/>
    <cellStyle name="Note 10 5 2 2 3" xfId="24752" xr:uid="{00000000-0005-0000-0000-00000A5E0000}"/>
    <cellStyle name="Note 10 5 2 2 3 2" xfId="48585" xr:uid="{8CB982B9-8466-4353-BF84-42EACF615DA6}"/>
    <cellStyle name="Note 10 5 2 2 4" xfId="32708" xr:uid="{098B5D08-4649-4433-9464-A83FCBD13E58}"/>
    <cellStyle name="Note 10 5 2 3" xfId="13268" xr:uid="{00000000-0005-0000-0000-00000B5E0000}"/>
    <cellStyle name="Note 10 5 2 3 2" xfId="37118" xr:uid="{5D778B4B-B038-4918-AA8C-4AF0A2E5C182}"/>
    <cellStyle name="Note 10 5 2 4" xfId="21223" xr:uid="{00000000-0005-0000-0000-00000C5E0000}"/>
    <cellStyle name="Note 10 5 2 4 2" xfId="45056" xr:uid="{B341AB2C-A733-434C-95B0-7E8B2A015E1A}"/>
    <cellStyle name="Note 10 5 2 5" xfId="29177" xr:uid="{3D3A213F-01A1-4813-9CED-FF5F2D0BCAFB}"/>
    <cellStyle name="Note 10 5 3" xfId="7076" xr:uid="{00000000-0005-0000-0000-00000D5E0000}"/>
    <cellStyle name="Note 10 5 3 2" xfId="15048" xr:uid="{00000000-0005-0000-0000-00000E5E0000}"/>
    <cellStyle name="Note 10 5 3 2 2" xfId="38891" xr:uid="{217EB7AF-77A3-4FE4-BEE7-607FAAB05378}"/>
    <cellStyle name="Note 10 5 3 3" xfId="22995" xr:uid="{00000000-0005-0000-0000-00000F5E0000}"/>
    <cellStyle name="Note 10 5 3 3 2" xfId="46828" xr:uid="{EFDFFC0E-ADDB-4431-B90F-7E3E05D9DCAC}"/>
    <cellStyle name="Note 10 5 3 4" xfId="30950" xr:uid="{B06A96AF-C34C-4DB5-BA7F-04B7AEAB27E9}"/>
    <cellStyle name="Note 10 5 4" xfId="11512" xr:uid="{00000000-0005-0000-0000-0000105E0000}"/>
    <cellStyle name="Note 10 5 4 2" xfId="35362" xr:uid="{4C74F94D-949F-4830-8C7C-E58F7C477BA9}"/>
    <cellStyle name="Note 10 5 5" xfId="19467" xr:uid="{00000000-0005-0000-0000-0000115E0000}"/>
    <cellStyle name="Note 10 5 5 2" xfId="43300" xr:uid="{8DFB658E-6F39-4179-828D-321DAAC6C7A5}"/>
    <cellStyle name="Note 10 5 6" xfId="27420" xr:uid="{D29929F4-5463-4C43-8809-4CA1A6E5B562}"/>
    <cellStyle name="Note 10 5_Exh G" xfId="3576" xr:uid="{00000000-0005-0000-0000-0000125E0000}"/>
    <cellStyle name="Note 10 6" xfId="4365" xr:uid="{00000000-0005-0000-0000-0000135E0000}"/>
    <cellStyle name="Note 10 6 2" xfId="7957" xr:uid="{00000000-0005-0000-0000-0000145E0000}"/>
    <cellStyle name="Note 10 6 2 2" xfId="15928" xr:uid="{00000000-0005-0000-0000-0000155E0000}"/>
    <cellStyle name="Note 10 6 2 2 2" xfId="39771" xr:uid="{44626A73-64C5-4579-989B-A441E27B5420}"/>
    <cellStyle name="Note 10 6 2 3" xfId="23874" xr:uid="{00000000-0005-0000-0000-0000165E0000}"/>
    <cellStyle name="Note 10 6 2 3 2" xfId="47707" xr:uid="{58DD46FB-6A5F-4438-B8EB-B57574F87660}"/>
    <cellStyle name="Note 10 6 2 4" xfId="31830" xr:uid="{4B658873-0A6D-49C8-ADBB-2EBB9603BF9B}"/>
    <cellStyle name="Note 10 6 3" xfId="12390" xr:uid="{00000000-0005-0000-0000-0000175E0000}"/>
    <cellStyle name="Note 10 6 3 2" xfId="36240" xr:uid="{9A543664-3487-4C00-83E0-828FF7E9E830}"/>
    <cellStyle name="Note 10 6 4" xfId="20345" xr:uid="{00000000-0005-0000-0000-0000185E0000}"/>
    <cellStyle name="Note 10 6 4 2" xfId="44178" xr:uid="{D253D1C5-D8DD-4986-83BF-9F1BE1558FA2}"/>
    <cellStyle name="Note 10 6 5" xfId="28299" xr:uid="{BC437D1C-2E5D-4585-BBB5-12A00C93DCA4}"/>
    <cellStyle name="Note 10 7" xfId="6185" xr:uid="{00000000-0005-0000-0000-0000195E0000}"/>
    <cellStyle name="Note 10 7 2" xfId="14169" xr:uid="{00000000-0005-0000-0000-00001A5E0000}"/>
    <cellStyle name="Note 10 7 2 2" xfId="38013" xr:uid="{EE21B758-7E4E-48BB-9F9F-C8A5CB187B74}"/>
    <cellStyle name="Note 10 7 3" xfId="22117" xr:uid="{00000000-0005-0000-0000-00001B5E0000}"/>
    <cellStyle name="Note 10 7 3 2" xfId="45950" xr:uid="{23C9551B-D962-49FE-A99E-4CE1C494B958}"/>
    <cellStyle name="Note 10 7 4" xfId="30072" xr:uid="{33469D56-9521-4434-BBEC-9FB2814EA7B8}"/>
    <cellStyle name="Note 10 8" xfId="9738" xr:uid="{00000000-0005-0000-0000-00001C5E0000}"/>
    <cellStyle name="Note 10 8 2" xfId="17696" xr:uid="{00000000-0005-0000-0000-00001D5E0000}"/>
    <cellStyle name="Note 10 8 2 2" xfId="41537" xr:uid="{E0334137-843F-482A-9811-782366288129}"/>
    <cellStyle name="Note 10 8 3" xfId="25640" xr:uid="{00000000-0005-0000-0000-00001E5E0000}"/>
    <cellStyle name="Note 10 8 3 2" xfId="49473" xr:uid="{84208654-A65D-4FDA-8547-623EBA2A61DF}"/>
    <cellStyle name="Note 10 8 4" xfId="33596" xr:uid="{213201B0-173F-4736-BB7C-8118C497C286}"/>
    <cellStyle name="Note 10 9" xfId="10634" xr:uid="{00000000-0005-0000-0000-00001F5E0000}"/>
    <cellStyle name="Note 10 9 2" xfId="34484" xr:uid="{6E262670-C577-4CBA-8951-7C95F86A37D3}"/>
    <cellStyle name="Note 10_Exh G" xfId="3569" xr:uid="{00000000-0005-0000-0000-0000205E0000}"/>
    <cellStyle name="Note 11" xfId="690" xr:uid="{00000000-0005-0000-0000-0000215E0000}"/>
    <cellStyle name="Note 11 10" xfId="26546" xr:uid="{2772E2A4-028E-42C3-BE92-E4453FA13237}"/>
    <cellStyle name="Note 11 2" xfId="691" xr:uid="{00000000-0005-0000-0000-0000225E0000}"/>
    <cellStyle name="Note 11 2 2" xfId="692" xr:uid="{00000000-0005-0000-0000-0000235E0000}"/>
    <cellStyle name="Note 11 2 2 2" xfId="1720" xr:uid="{00000000-0005-0000-0000-0000245E0000}"/>
    <cellStyle name="Note 11 2 2 2 2" xfId="5250" xr:uid="{00000000-0005-0000-0000-0000255E0000}"/>
    <cellStyle name="Note 11 2 2 2 2 2" xfId="8841" xr:uid="{00000000-0005-0000-0000-0000265E0000}"/>
    <cellStyle name="Note 11 2 2 2 2 2 2" xfId="16812" xr:uid="{00000000-0005-0000-0000-0000275E0000}"/>
    <cellStyle name="Note 11 2 2 2 2 2 2 2" xfId="40655" xr:uid="{E64B8A8F-9100-4BF8-89BE-6F65E22E80F7}"/>
    <cellStyle name="Note 11 2 2 2 2 2 3" xfId="24758" xr:uid="{00000000-0005-0000-0000-0000285E0000}"/>
    <cellStyle name="Note 11 2 2 2 2 2 3 2" xfId="48591" xr:uid="{BAE8DCB4-B8B1-4E4B-9895-8BF9DD0BE734}"/>
    <cellStyle name="Note 11 2 2 2 2 2 4" xfId="32714" xr:uid="{D7E1F3BC-8878-4D05-A59E-53AF9C150036}"/>
    <cellStyle name="Note 11 2 2 2 2 3" xfId="13274" xr:uid="{00000000-0005-0000-0000-0000295E0000}"/>
    <cellStyle name="Note 11 2 2 2 2 3 2" xfId="37124" xr:uid="{4DA85904-3966-4010-B196-33C2C4DFFD85}"/>
    <cellStyle name="Note 11 2 2 2 2 4" xfId="21229" xr:uid="{00000000-0005-0000-0000-00002A5E0000}"/>
    <cellStyle name="Note 11 2 2 2 2 4 2" xfId="45062" xr:uid="{488C2674-FAFC-4AC5-B24F-F3A41C800CCD}"/>
    <cellStyle name="Note 11 2 2 2 2 5" xfId="29183" xr:uid="{780E5C32-16B6-42B1-8D4A-28A9150DB98B}"/>
    <cellStyle name="Note 11 2 2 2 3" xfId="7082" xr:uid="{00000000-0005-0000-0000-00002B5E0000}"/>
    <cellStyle name="Note 11 2 2 2 3 2" xfId="15054" xr:uid="{00000000-0005-0000-0000-00002C5E0000}"/>
    <cellStyle name="Note 11 2 2 2 3 2 2" xfId="38897" xr:uid="{4BF09063-B5E6-4CBB-AA7B-9E9E1A0FEA83}"/>
    <cellStyle name="Note 11 2 2 2 3 3" xfId="23001" xr:uid="{00000000-0005-0000-0000-00002D5E0000}"/>
    <cellStyle name="Note 11 2 2 2 3 3 2" xfId="46834" xr:uid="{B84ACC48-780B-4B2D-9F29-4044C536D8D4}"/>
    <cellStyle name="Note 11 2 2 2 3 4" xfId="30956" xr:uid="{4414CAF7-A1A9-4E0D-B120-D038FE1A4FB1}"/>
    <cellStyle name="Note 11 2 2 2 4" xfId="11518" xr:uid="{00000000-0005-0000-0000-00002E5E0000}"/>
    <cellStyle name="Note 11 2 2 2 4 2" xfId="35368" xr:uid="{53C8782C-43FC-4971-A039-7A4A8BC70ABC}"/>
    <cellStyle name="Note 11 2 2 2 5" xfId="19473" xr:uid="{00000000-0005-0000-0000-00002F5E0000}"/>
    <cellStyle name="Note 11 2 2 2 5 2" xfId="43306" xr:uid="{CAACA4DB-F97A-406E-BAE0-2B1C68075655}"/>
    <cellStyle name="Note 11 2 2 2 6" xfId="27426" xr:uid="{36374237-41AC-455A-899C-8A9F201031A9}"/>
    <cellStyle name="Note 11 2 2 2_Exh G" xfId="3580" xr:uid="{00000000-0005-0000-0000-0000305E0000}"/>
    <cellStyle name="Note 11 2 2 3" xfId="4371" xr:uid="{00000000-0005-0000-0000-0000315E0000}"/>
    <cellStyle name="Note 11 2 2 3 2" xfId="7963" xr:uid="{00000000-0005-0000-0000-0000325E0000}"/>
    <cellStyle name="Note 11 2 2 3 2 2" xfId="15934" xr:uid="{00000000-0005-0000-0000-0000335E0000}"/>
    <cellStyle name="Note 11 2 2 3 2 2 2" xfId="39777" xr:uid="{742B7DF5-F47B-42CC-B488-1FB540560633}"/>
    <cellStyle name="Note 11 2 2 3 2 3" xfId="23880" xr:uid="{00000000-0005-0000-0000-0000345E0000}"/>
    <cellStyle name="Note 11 2 2 3 2 3 2" xfId="47713" xr:uid="{076DEEEA-608A-47E5-903C-5F81C048F432}"/>
    <cellStyle name="Note 11 2 2 3 2 4" xfId="31836" xr:uid="{77205B89-68C3-4FF8-B538-8E6114AE4714}"/>
    <cellStyle name="Note 11 2 2 3 3" xfId="12396" xr:uid="{00000000-0005-0000-0000-0000355E0000}"/>
    <cellStyle name="Note 11 2 2 3 3 2" xfId="36246" xr:uid="{E6DC345C-4258-4D78-9ED8-EFC3419692AD}"/>
    <cellStyle name="Note 11 2 2 3 4" xfId="20351" xr:uid="{00000000-0005-0000-0000-0000365E0000}"/>
    <cellStyle name="Note 11 2 2 3 4 2" xfId="44184" xr:uid="{DF973D62-870A-4327-A22E-616C1D125621}"/>
    <cellStyle name="Note 11 2 2 3 5" xfId="28305" xr:uid="{BB86783B-1379-430A-9AF0-5F5F080CCAD8}"/>
    <cellStyle name="Note 11 2 2 4" xfId="6191" xr:uid="{00000000-0005-0000-0000-0000375E0000}"/>
    <cellStyle name="Note 11 2 2 4 2" xfId="14175" xr:uid="{00000000-0005-0000-0000-0000385E0000}"/>
    <cellStyle name="Note 11 2 2 4 2 2" xfId="38019" xr:uid="{71E37706-4A01-4F16-95AC-97E6FC09F5CB}"/>
    <cellStyle name="Note 11 2 2 4 3" xfId="22123" xr:uid="{00000000-0005-0000-0000-0000395E0000}"/>
    <cellStyle name="Note 11 2 2 4 3 2" xfId="45956" xr:uid="{FE5A30F3-EA59-432B-9892-87CB77DA17E5}"/>
    <cellStyle name="Note 11 2 2 4 4" xfId="30078" xr:uid="{9A7F59CC-414A-4587-BCBF-CD5E99698B5A}"/>
    <cellStyle name="Note 11 2 2 5" xfId="9744" xr:uid="{00000000-0005-0000-0000-00003A5E0000}"/>
    <cellStyle name="Note 11 2 2 5 2" xfId="17702" xr:uid="{00000000-0005-0000-0000-00003B5E0000}"/>
    <cellStyle name="Note 11 2 2 5 2 2" xfId="41543" xr:uid="{5C7955AF-D70C-4A20-A1E7-EB65364D8DDA}"/>
    <cellStyle name="Note 11 2 2 5 3" xfId="25646" xr:uid="{00000000-0005-0000-0000-00003C5E0000}"/>
    <cellStyle name="Note 11 2 2 5 3 2" xfId="49479" xr:uid="{25F666A9-3EB1-4A44-BCFC-436A938BBAE9}"/>
    <cellStyle name="Note 11 2 2 5 4" xfId="33602" xr:uid="{AD5B7E39-7556-4729-8431-EC4B79977E90}"/>
    <cellStyle name="Note 11 2 2 6" xfId="10640" xr:uid="{00000000-0005-0000-0000-00003D5E0000}"/>
    <cellStyle name="Note 11 2 2 6 2" xfId="34490" xr:uid="{B55FE4FA-AA92-4DFA-B588-62CE2051DE98}"/>
    <cellStyle name="Note 11 2 2 7" xfId="18595" xr:uid="{00000000-0005-0000-0000-00003E5E0000}"/>
    <cellStyle name="Note 11 2 2 7 2" xfId="42428" xr:uid="{D3823AC8-F45B-46EC-AEA9-C434A2D9C54B}"/>
    <cellStyle name="Note 11 2 2 8" xfId="26548" xr:uid="{7C11E179-0326-41BA-8E59-B0EE4BE74E71}"/>
    <cellStyle name="Note 11 2 2_Exh G" xfId="3579" xr:uid="{00000000-0005-0000-0000-00003F5E0000}"/>
    <cellStyle name="Note 11 2 3" xfId="1719" xr:uid="{00000000-0005-0000-0000-0000405E0000}"/>
    <cellStyle name="Note 11 2 3 2" xfId="5249" xr:uid="{00000000-0005-0000-0000-0000415E0000}"/>
    <cellStyle name="Note 11 2 3 2 2" xfId="8840" xr:uid="{00000000-0005-0000-0000-0000425E0000}"/>
    <cellStyle name="Note 11 2 3 2 2 2" xfId="16811" xr:uid="{00000000-0005-0000-0000-0000435E0000}"/>
    <cellStyle name="Note 11 2 3 2 2 2 2" xfId="40654" xr:uid="{025F76BF-F999-44B6-A801-0A7E99E6251E}"/>
    <cellStyle name="Note 11 2 3 2 2 3" xfId="24757" xr:uid="{00000000-0005-0000-0000-0000445E0000}"/>
    <cellStyle name="Note 11 2 3 2 2 3 2" xfId="48590" xr:uid="{0718A8FA-8C4A-484C-99E7-8B9B5811DE8C}"/>
    <cellStyle name="Note 11 2 3 2 2 4" xfId="32713" xr:uid="{1FE62F41-FC29-47E4-8AA8-8AE1C66DF1B3}"/>
    <cellStyle name="Note 11 2 3 2 3" xfId="13273" xr:uid="{00000000-0005-0000-0000-0000455E0000}"/>
    <cellStyle name="Note 11 2 3 2 3 2" xfId="37123" xr:uid="{1AAC3B41-0100-4DE7-9542-B0E41C2EC5D5}"/>
    <cellStyle name="Note 11 2 3 2 4" xfId="21228" xr:uid="{00000000-0005-0000-0000-0000465E0000}"/>
    <cellStyle name="Note 11 2 3 2 4 2" xfId="45061" xr:uid="{7789D6BD-B51B-42B6-B4E2-24F05EDA8F15}"/>
    <cellStyle name="Note 11 2 3 2 5" xfId="29182" xr:uid="{CF8D4F40-533F-4304-BE83-223F55AA09DD}"/>
    <cellStyle name="Note 11 2 3 3" xfId="7081" xr:uid="{00000000-0005-0000-0000-0000475E0000}"/>
    <cellStyle name="Note 11 2 3 3 2" xfId="15053" xr:uid="{00000000-0005-0000-0000-0000485E0000}"/>
    <cellStyle name="Note 11 2 3 3 2 2" xfId="38896" xr:uid="{D5D3B0CD-55B2-4215-8294-92058955D043}"/>
    <cellStyle name="Note 11 2 3 3 3" xfId="23000" xr:uid="{00000000-0005-0000-0000-0000495E0000}"/>
    <cellStyle name="Note 11 2 3 3 3 2" xfId="46833" xr:uid="{4E9670F2-33D0-4F2D-86E6-A759D21B6C78}"/>
    <cellStyle name="Note 11 2 3 3 4" xfId="30955" xr:uid="{BAD69133-D2B4-46F9-8F1B-FF3998F8D944}"/>
    <cellStyle name="Note 11 2 3 4" xfId="11517" xr:uid="{00000000-0005-0000-0000-00004A5E0000}"/>
    <cellStyle name="Note 11 2 3 4 2" xfId="35367" xr:uid="{D5F7C4A3-21D3-4D97-BFAE-B610718578C8}"/>
    <cellStyle name="Note 11 2 3 5" xfId="19472" xr:uid="{00000000-0005-0000-0000-00004B5E0000}"/>
    <cellStyle name="Note 11 2 3 5 2" xfId="43305" xr:uid="{D7D6DC8D-6753-4F34-8AF8-F10DC08DE617}"/>
    <cellStyle name="Note 11 2 3 6" xfId="27425" xr:uid="{ECA9DFD3-4499-4248-A921-C4565295AC3A}"/>
    <cellStyle name="Note 11 2 3_Exh G" xfId="3581" xr:uid="{00000000-0005-0000-0000-00004C5E0000}"/>
    <cellStyle name="Note 11 2 4" xfId="4370" xr:uid="{00000000-0005-0000-0000-00004D5E0000}"/>
    <cellStyle name="Note 11 2 4 2" xfId="7962" xr:uid="{00000000-0005-0000-0000-00004E5E0000}"/>
    <cellStyle name="Note 11 2 4 2 2" xfId="15933" xr:uid="{00000000-0005-0000-0000-00004F5E0000}"/>
    <cellStyle name="Note 11 2 4 2 2 2" xfId="39776" xr:uid="{8B579F00-7B9C-4880-B7BA-5D1F0BC7DA0D}"/>
    <cellStyle name="Note 11 2 4 2 3" xfId="23879" xr:uid="{00000000-0005-0000-0000-0000505E0000}"/>
    <cellStyle name="Note 11 2 4 2 3 2" xfId="47712" xr:uid="{C3BC14DB-594A-4D89-8DBA-C3724E35B314}"/>
    <cellStyle name="Note 11 2 4 2 4" xfId="31835" xr:uid="{59216E86-0CBE-4D91-8916-FD93F81F8623}"/>
    <cellStyle name="Note 11 2 4 3" xfId="12395" xr:uid="{00000000-0005-0000-0000-0000515E0000}"/>
    <cellStyle name="Note 11 2 4 3 2" xfId="36245" xr:uid="{CA8FB3C2-7340-40CF-B803-A348EB4FA531}"/>
    <cellStyle name="Note 11 2 4 4" xfId="20350" xr:uid="{00000000-0005-0000-0000-0000525E0000}"/>
    <cellStyle name="Note 11 2 4 4 2" xfId="44183" xr:uid="{F5870B9C-D036-4A50-8BD1-3D1E95EAF3A4}"/>
    <cellStyle name="Note 11 2 4 5" xfId="28304" xr:uid="{D2E4DC05-7F96-47DB-AD4D-1D45C4DEB6D5}"/>
    <cellStyle name="Note 11 2 5" xfId="6190" xr:uid="{00000000-0005-0000-0000-0000535E0000}"/>
    <cellStyle name="Note 11 2 5 2" xfId="14174" xr:uid="{00000000-0005-0000-0000-0000545E0000}"/>
    <cellStyle name="Note 11 2 5 2 2" xfId="38018" xr:uid="{6F7EE94E-9DE9-402B-90CC-4F742436D4AC}"/>
    <cellStyle name="Note 11 2 5 3" xfId="22122" xr:uid="{00000000-0005-0000-0000-0000555E0000}"/>
    <cellStyle name="Note 11 2 5 3 2" xfId="45955" xr:uid="{C10D8241-01C1-478B-9D8A-1E653986D7DC}"/>
    <cellStyle name="Note 11 2 5 4" xfId="30077" xr:uid="{1C9D47D1-5B22-4C14-A803-3AD206602164}"/>
    <cellStyle name="Note 11 2 6" xfId="9743" xr:uid="{00000000-0005-0000-0000-0000565E0000}"/>
    <cellStyle name="Note 11 2 6 2" xfId="17701" xr:uid="{00000000-0005-0000-0000-0000575E0000}"/>
    <cellStyle name="Note 11 2 6 2 2" xfId="41542" xr:uid="{C3C82148-8518-437B-B7C4-338BAB1696C8}"/>
    <cellStyle name="Note 11 2 6 3" xfId="25645" xr:uid="{00000000-0005-0000-0000-0000585E0000}"/>
    <cellStyle name="Note 11 2 6 3 2" xfId="49478" xr:uid="{DA17696B-34FC-42DB-95FA-402818CB7A1E}"/>
    <cellStyle name="Note 11 2 6 4" xfId="33601" xr:uid="{46CA2D41-52D7-4FA5-AF5C-6B3738D758E0}"/>
    <cellStyle name="Note 11 2 7" xfId="10639" xr:uid="{00000000-0005-0000-0000-0000595E0000}"/>
    <cellStyle name="Note 11 2 7 2" xfId="34489" xr:uid="{B5433961-EDF8-4CD2-8967-22F4A86DE262}"/>
    <cellStyle name="Note 11 2 8" xfId="18594" xr:uid="{00000000-0005-0000-0000-00005A5E0000}"/>
    <cellStyle name="Note 11 2 8 2" xfId="42427" xr:uid="{A76BD0D9-8A1E-4AF2-A5F5-C5EBBC4630D4}"/>
    <cellStyle name="Note 11 2 9" xfId="26547" xr:uid="{A9215C11-F55C-4E7D-A21A-62B7B405FF84}"/>
    <cellStyle name="Note 11 2_Exh G" xfId="3578" xr:uid="{00000000-0005-0000-0000-00005B5E0000}"/>
    <cellStyle name="Note 11 3" xfId="693" xr:uid="{00000000-0005-0000-0000-00005C5E0000}"/>
    <cellStyle name="Note 11 3 2" xfId="1721" xr:uid="{00000000-0005-0000-0000-00005D5E0000}"/>
    <cellStyle name="Note 11 3 2 2" xfId="5251" xr:uid="{00000000-0005-0000-0000-00005E5E0000}"/>
    <cellStyle name="Note 11 3 2 2 2" xfId="8842" xr:uid="{00000000-0005-0000-0000-00005F5E0000}"/>
    <cellStyle name="Note 11 3 2 2 2 2" xfId="16813" xr:uid="{00000000-0005-0000-0000-0000605E0000}"/>
    <cellStyle name="Note 11 3 2 2 2 2 2" xfId="40656" xr:uid="{4EA1183B-10B6-41BD-959A-0E74600E8D29}"/>
    <cellStyle name="Note 11 3 2 2 2 3" xfId="24759" xr:uid="{00000000-0005-0000-0000-0000615E0000}"/>
    <cellStyle name="Note 11 3 2 2 2 3 2" xfId="48592" xr:uid="{22FD8824-A5E8-482A-A2E6-2B8832AAE110}"/>
    <cellStyle name="Note 11 3 2 2 2 4" xfId="32715" xr:uid="{5B2A147A-1263-43F9-8CE9-EA1E8C0C9E23}"/>
    <cellStyle name="Note 11 3 2 2 3" xfId="13275" xr:uid="{00000000-0005-0000-0000-0000625E0000}"/>
    <cellStyle name="Note 11 3 2 2 3 2" xfId="37125" xr:uid="{3BABF7DD-2AA5-40A5-9876-D938367C1496}"/>
    <cellStyle name="Note 11 3 2 2 4" xfId="21230" xr:uid="{00000000-0005-0000-0000-0000635E0000}"/>
    <cellStyle name="Note 11 3 2 2 4 2" xfId="45063" xr:uid="{3F9D67E8-5CA1-459E-BD4B-AE607C1003D8}"/>
    <cellStyle name="Note 11 3 2 2 5" xfId="29184" xr:uid="{3F9C4F71-D652-462E-9AD6-C75B838F26C3}"/>
    <cellStyle name="Note 11 3 2 3" xfId="7083" xr:uid="{00000000-0005-0000-0000-0000645E0000}"/>
    <cellStyle name="Note 11 3 2 3 2" xfId="15055" xr:uid="{00000000-0005-0000-0000-0000655E0000}"/>
    <cellStyle name="Note 11 3 2 3 2 2" xfId="38898" xr:uid="{2A0EEEB0-043D-4436-8F2F-DCDDF675B593}"/>
    <cellStyle name="Note 11 3 2 3 3" xfId="23002" xr:uid="{00000000-0005-0000-0000-0000665E0000}"/>
    <cellStyle name="Note 11 3 2 3 3 2" xfId="46835" xr:uid="{19775B6E-C260-480D-938B-38B2BF3F4AA8}"/>
    <cellStyle name="Note 11 3 2 3 4" xfId="30957" xr:uid="{679CCF4C-146F-4101-A3E2-451EB12B2E7C}"/>
    <cellStyle name="Note 11 3 2 4" xfId="11519" xr:uid="{00000000-0005-0000-0000-0000675E0000}"/>
    <cellStyle name="Note 11 3 2 4 2" xfId="35369" xr:uid="{6ECB0833-9AAA-4C8C-B33A-11BD4A76A984}"/>
    <cellStyle name="Note 11 3 2 5" xfId="19474" xr:uid="{00000000-0005-0000-0000-0000685E0000}"/>
    <cellStyle name="Note 11 3 2 5 2" xfId="43307" xr:uid="{1B2C8E86-7CFD-4B27-8157-B2438AC96A6D}"/>
    <cellStyle name="Note 11 3 2 6" xfId="27427" xr:uid="{ACFFED94-E339-47EB-88AD-9ADEA17FD10F}"/>
    <cellStyle name="Note 11 3 2_Exh G" xfId="3583" xr:uid="{00000000-0005-0000-0000-0000695E0000}"/>
    <cellStyle name="Note 11 3 3" xfId="4372" xr:uid="{00000000-0005-0000-0000-00006A5E0000}"/>
    <cellStyle name="Note 11 3 3 2" xfId="7964" xr:uid="{00000000-0005-0000-0000-00006B5E0000}"/>
    <cellStyle name="Note 11 3 3 2 2" xfId="15935" xr:uid="{00000000-0005-0000-0000-00006C5E0000}"/>
    <cellStyle name="Note 11 3 3 2 2 2" xfId="39778" xr:uid="{AA396D04-A5C5-4567-8C62-8290CCC34FF2}"/>
    <cellStyle name="Note 11 3 3 2 3" xfId="23881" xr:uid="{00000000-0005-0000-0000-00006D5E0000}"/>
    <cellStyle name="Note 11 3 3 2 3 2" xfId="47714" xr:uid="{05B917DB-BB85-44EE-B48A-C8C05B36570E}"/>
    <cellStyle name="Note 11 3 3 2 4" xfId="31837" xr:uid="{A4FED450-E1F8-4553-984E-49FC5ED786B1}"/>
    <cellStyle name="Note 11 3 3 3" xfId="12397" xr:uid="{00000000-0005-0000-0000-00006E5E0000}"/>
    <cellStyle name="Note 11 3 3 3 2" xfId="36247" xr:uid="{EC93E455-9E3C-4FD1-98EE-11F395298D11}"/>
    <cellStyle name="Note 11 3 3 4" xfId="20352" xr:uid="{00000000-0005-0000-0000-00006F5E0000}"/>
    <cellStyle name="Note 11 3 3 4 2" xfId="44185" xr:uid="{3835409E-0418-427B-B0F8-8ED2901E7A11}"/>
    <cellStyle name="Note 11 3 3 5" xfId="28306" xr:uid="{631B392D-C2FE-47EB-A273-F09277CFAC1C}"/>
    <cellStyle name="Note 11 3 4" xfId="6192" xr:uid="{00000000-0005-0000-0000-0000705E0000}"/>
    <cellStyle name="Note 11 3 4 2" xfId="14176" xr:uid="{00000000-0005-0000-0000-0000715E0000}"/>
    <cellStyle name="Note 11 3 4 2 2" xfId="38020" xr:uid="{0A95C67E-DE79-492D-B787-A6A57C319EC6}"/>
    <cellStyle name="Note 11 3 4 3" xfId="22124" xr:uid="{00000000-0005-0000-0000-0000725E0000}"/>
    <cellStyle name="Note 11 3 4 3 2" xfId="45957" xr:uid="{420C8557-BEDD-45BE-BB4F-E3BA597A425E}"/>
    <cellStyle name="Note 11 3 4 4" xfId="30079" xr:uid="{35ACBA66-36CA-49EC-8F1C-855E872FA7ED}"/>
    <cellStyle name="Note 11 3 5" xfId="9745" xr:uid="{00000000-0005-0000-0000-0000735E0000}"/>
    <cellStyle name="Note 11 3 5 2" xfId="17703" xr:uid="{00000000-0005-0000-0000-0000745E0000}"/>
    <cellStyle name="Note 11 3 5 2 2" xfId="41544" xr:uid="{595D139E-09FD-4C04-BD87-91CD91A4746F}"/>
    <cellStyle name="Note 11 3 5 3" xfId="25647" xr:uid="{00000000-0005-0000-0000-0000755E0000}"/>
    <cellStyle name="Note 11 3 5 3 2" xfId="49480" xr:uid="{2BD4B6C4-1068-4AB1-A600-F3C2ADAF83EA}"/>
    <cellStyle name="Note 11 3 5 4" xfId="33603" xr:uid="{A78B44A9-763B-4CCF-B304-0A0030456C1A}"/>
    <cellStyle name="Note 11 3 6" xfId="10641" xr:uid="{00000000-0005-0000-0000-0000765E0000}"/>
    <cellStyle name="Note 11 3 6 2" xfId="34491" xr:uid="{3E7BCA0D-D23C-4A17-890C-5CB359054698}"/>
    <cellStyle name="Note 11 3 7" xfId="18596" xr:uid="{00000000-0005-0000-0000-0000775E0000}"/>
    <cellStyle name="Note 11 3 7 2" xfId="42429" xr:uid="{A079EC33-27AB-46F8-A21B-DEB4FF128E91}"/>
    <cellStyle name="Note 11 3 8" xfId="26549" xr:uid="{34778D38-7B72-4C3D-B6BA-64B536212EF0}"/>
    <cellStyle name="Note 11 3_Exh G" xfId="3582" xr:uid="{00000000-0005-0000-0000-0000785E0000}"/>
    <cellStyle name="Note 11 4" xfId="1718" xr:uid="{00000000-0005-0000-0000-0000795E0000}"/>
    <cellStyle name="Note 11 4 2" xfId="5248" xr:uid="{00000000-0005-0000-0000-00007A5E0000}"/>
    <cellStyle name="Note 11 4 2 2" xfId="8839" xr:uid="{00000000-0005-0000-0000-00007B5E0000}"/>
    <cellStyle name="Note 11 4 2 2 2" xfId="16810" xr:uid="{00000000-0005-0000-0000-00007C5E0000}"/>
    <cellStyle name="Note 11 4 2 2 2 2" xfId="40653" xr:uid="{442B280D-7EB7-4270-A416-C94344FB5AE1}"/>
    <cellStyle name="Note 11 4 2 2 3" xfId="24756" xr:uid="{00000000-0005-0000-0000-00007D5E0000}"/>
    <cellStyle name="Note 11 4 2 2 3 2" xfId="48589" xr:uid="{FEBAAEDB-48F2-437B-A485-E63AC425957B}"/>
    <cellStyle name="Note 11 4 2 2 4" xfId="32712" xr:uid="{2290B46A-E357-4BFD-B5F3-E714D54480BB}"/>
    <cellStyle name="Note 11 4 2 3" xfId="13272" xr:uid="{00000000-0005-0000-0000-00007E5E0000}"/>
    <cellStyle name="Note 11 4 2 3 2" xfId="37122" xr:uid="{539B6834-C92B-4BD8-8D47-D5104F15C76E}"/>
    <cellStyle name="Note 11 4 2 4" xfId="21227" xr:uid="{00000000-0005-0000-0000-00007F5E0000}"/>
    <cellStyle name="Note 11 4 2 4 2" xfId="45060" xr:uid="{EDDB026B-D471-4141-B799-3D0BAF639ED8}"/>
    <cellStyle name="Note 11 4 2 5" xfId="29181" xr:uid="{0E7D69CB-FD6F-4708-B75F-5D2DBDB83425}"/>
    <cellStyle name="Note 11 4 3" xfId="7080" xr:uid="{00000000-0005-0000-0000-0000805E0000}"/>
    <cellStyle name="Note 11 4 3 2" xfId="15052" xr:uid="{00000000-0005-0000-0000-0000815E0000}"/>
    <cellStyle name="Note 11 4 3 2 2" xfId="38895" xr:uid="{904032FA-325F-48E8-88F9-65320D18592D}"/>
    <cellStyle name="Note 11 4 3 3" xfId="22999" xr:uid="{00000000-0005-0000-0000-0000825E0000}"/>
    <cellStyle name="Note 11 4 3 3 2" xfId="46832" xr:uid="{1F5D98B4-EB98-4031-9A64-A5DAECAA000A}"/>
    <cellStyle name="Note 11 4 3 4" xfId="30954" xr:uid="{46D64DAB-F148-4414-BC7B-5237576661AD}"/>
    <cellStyle name="Note 11 4 4" xfId="11516" xr:uid="{00000000-0005-0000-0000-0000835E0000}"/>
    <cellStyle name="Note 11 4 4 2" xfId="35366" xr:uid="{0568B62E-40DE-4372-A67D-7B2736A72C65}"/>
    <cellStyle name="Note 11 4 5" xfId="19471" xr:uid="{00000000-0005-0000-0000-0000845E0000}"/>
    <cellStyle name="Note 11 4 5 2" xfId="43304" xr:uid="{D9885F11-54AE-49D1-A1F5-18587111F152}"/>
    <cellStyle name="Note 11 4 6" xfId="27424" xr:uid="{3C9EE7F5-89D4-4CAF-9E87-3E0C2B6B17CF}"/>
    <cellStyle name="Note 11 4_Exh G" xfId="3584" xr:uid="{00000000-0005-0000-0000-0000855E0000}"/>
    <cellStyle name="Note 11 5" xfId="4369" xr:uid="{00000000-0005-0000-0000-0000865E0000}"/>
    <cellStyle name="Note 11 5 2" xfId="7961" xr:uid="{00000000-0005-0000-0000-0000875E0000}"/>
    <cellStyle name="Note 11 5 2 2" xfId="15932" xr:uid="{00000000-0005-0000-0000-0000885E0000}"/>
    <cellStyle name="Note 11 5 2 2 2" xfId="39775" xr:uid="{5FAADA2F-4DCF-42F3-8718-5EFC122E1A9C}"/>
    <cellStyle name="Note 11 5 2 3" xfId="23878" xr:uid="{00000000-0005-0000-0000-0000895E0000}"/>
    <cellStyle name="Note 11 5 2 3 2" xfId="47711" xr:uid="{45997B01-EDEB-4D6F-B41E-ED5F3A102A62}"/>
    <cellStyle name="Note 11 5 2 4" xfId="31834" xr:uid="{DAC9184C-FEF6-47D9-8B99-D87D14341EF4}"/>
    <cellStyle name="Note 11 5 3" xfId="12394" xr:uid="{00000000-0005-0000-0000-00008A5E0000}"/>
    <cellStyle name="Note 11 5 3 2" xfId="36244" xr:uid="{26044A94-9B1B-4569-AC47-C5884CD9622F}"/>
    <cellStyle name="Note 11 5 4" xfId="20349" xr:uid="{00000000-0005-0000-0000-00008B5E0000}"/>
    <cellStyle name="Note 11 5 4 2" xfId="44182" xr:uid="{9FBDDF47-0EBE-4764-A3BA-EEFBC91FE384}"/>
    <cellStyle name="Note 11 5 5" xfId="28303" xr:uid="{D1AA0AF7-06AB-4A2A-B6A7-C87C7F2D5556}"/>
    <cellStyle name="Note 11 6" xfId="6189" xr:uid="{00000000-0005-0000-0000-00008C5E0000}"/>
    <cellStyle name="Note 11 6 2" xfId="14173" xr:uid="{00000000-0005-0000-0000-00008D5E0000}"/>
    <cellStyle name="Note 11 6 2 2" xfId="38017" xr:uid="{96D2CDD5-D350-46F5-A141-FF98F557E84E}"/>
    <cellStyle name="Note 11 6 3" xfId="22121" xr:uid="{00000000-0005-0000-0000-00008E5E0000}"/>
    <cellStyle name="Note 11 6 3 2" xfId="45954" xr:uid="{D0B75DCE-F8FC-4A3D-B6C9-29C3E1BE6293}"/>
    <cellStyle name="Note 11 6 4" xfId="30076" xr:uid="{1883113B-B48F-4666-91E8-AF49C5DB9C4C}"/>
    <cellStyle name="Note 11 7" xfId="9742" xr:uid="{00000000-0005-0000-0000-00008F5E0000}"/>
    <cellStyle name="Note 11 7 2" xfId="17700" xr:uid="{00000000-0005-0000-0000-0000905E0000}"/>
    <cellStyle name="Note 11 7 2 2" xfId="41541" xr:uid="{4260AE21-91EE-45A0-BD70-57C23A1F7FC0}"/>
    <cellStyle name="Note 11 7 3" xfId="25644" xr:uid="{00000000-0005-0000-0000-0000915E0000}"/>
    <cellStyle name="Note 11 7 3 2" xfId="49477" xr:uid="{42895597-D6A2-4498-80AE-ACE2DCFA4B1B}"/>
    <cellStyle name="Note 11 7 4" xfId="33600" xr:uid="{18708582-6774-4499-A751-E66543C7EF49}"/>
    <cellStyle name="Note 11 8" xfId="10638" xr:uid="{00000000-0005-0000-0000-0000925E0000}"/>
    <cellStyle name="Note 11 8 2" xfId="34488" xr:uid="{DEFEC8AC-7E06-4656-9588-9B143C589CF1}"/>
    <cellStyle name="Note 11 9" xfId="18593" xr:uid="{00000000-0005-0000-0000-0000935E0000}"/>
    <cellStyle name="Note 11 9 2" xfId="42426" xr:uid="{8F0F3FF6-CF2F-4986-A9C5-3ECD87FE8DC9}"/>
    <cellStyle name="Note 11_Exh G" xfId="3577" xr:uid="{00000000-0005-0000-0000-0000945E0000}"/>
    <cellStyle name="Note 12" xfId="694" xr:uid="{00000000-0005-0000-0000-0000955E0000}"/>
    <cellStyle name="Note 12 10" xfId="26550" xr:uid="{BA2C6DAA-B55F-42F2-8569-858D90D80BBD}"/>
    <cellStyle name="Note 12 2" xfId="695" xr:uid="{00000000-0005-0000-0000-0000965E0000}"/>
    <cellStyle name="Note 12 2 2" xfId="696" xr:uid="{00000000-0005-0000-0000-0000975E0000}"/>
    <cellStyle name="Note 12 2 2 2" xfId="1724" xr:uid="{00000000-0005-0000-0000-0000985E0000}"/>
    <cellStyle name="Note 12 2 2 2 2" xfId="5254" xr:uid="{00000000-0005-0000-0000-0000995E0000}"/>
    <cellStyle name="Note 12 2 2 2 2 2" xfId="8845" xr:uid="{00000000-0005-0000-0000-00009A5E0000}"/>
    <cellStyle name="Note 12 2 2 2 2 2 2" xfId="16816" xr:uid="{00000000-0005-0000-0000-00009B5E0000}"/>
    <cellStyle name="Note 12 2 2 2 2 2 2 2" xfId="40659" xr:uid="{678840FF-CC71-4F50-BFFF-1B3B90FF516D}"/>
    <cellStyle name="Note 12 2 2 2 2 2 3" xfId="24762" xr:uid="{00000000-0005-0000-0000-00009C5E0000}"/>
    <cellStyle name="Note 12 2 2 2 2 2 3 2" xfId="48595" xr:uid="{7322BA47-C8F8-4E56-A292-6AF29CE540B0}"/>
    <cellStyle name="Note 12 2 2 2 2 2 4" xfId="32718" xr:uid="{DDF307BC-B990-4908-B7EB-89CECB1483CA}"/>
    <cellStyle name="Note 12 2 2 2 2 3" xfId="13278" xr:uid="{00000000-0005-0000-0000-00009D5E0000}"/>
    <cellStyle name="Note 12 2 2 2 2 3 2" xfId="37128" xr:uid="{1ABBEA83-4DF3-4687-9339-709AFEF51082}"/>
    <cellStyle name="Note 12 2 2 2 2 4" xfId="21233" xr:uid="{00000000-0005-0000-0000-00009E5E0000}"/>
    <cellStyle name="Note 12 2 2 2 2 4 2" xfId="45066" xr:uid="{F7BF0C80-B5BA-4228-BEFF-FC10C7E9388F}"/>
    <cellStyle name="Note 12 2 2 2 2 5" xfId="29187" xr:uid="{2921B559-D54F-4E8A-AEFD-CC3B93C771A0}"/>
    <cellStyle name="Note 12 2 2 2 3" xfId="7086" xr:uid="{00000000-0005-0000-0000-00009F5E0000}"/>
    <cellStyle name="Note 12 2 2 2 3 2" xfId="15058" xr:uid="{00000000-0005-0000-0000-0000A05E0000}"/>
    <cellStyle name="Note 12 2 2 2 3 2 2" xfId="38901" xr:uid="{3C0F05FF-7D3B-4394-86B6-A4FCC5F97BAE}"/>
    <cellStyle name="Note 12 2 2 2 3 3" xfId="23005" xr:uid="{00000000-0005-0000-0000-0000A15E0000}"/>
    <cellStyle name="Note 12 2 2 2 3 3 2" xfId="46838" xr:uid="{824243CB-3D70-4381-BAFB-E01687D094DF}"/>
    <cellStyle name="Note 12 2 2 2 3 4" xfId="30960" xr:uid="{D0434809-260A-468C-A740-FE55E5A5D47F}"/>
    <cellStyle name="Note 12 2 2 2 4" xfId="11522" xr:uid="{00000000-0005-0000-0000-0000A25E0000}"/>
    <cellStyle name="Note 12 2 2 2 4 2" xfId="35372" xr:uid="{E68FA592-2937-44ED-BE5A-C2EDF8499A91}"/>
    <cellStyle name="Note 12 2 2 2 5" xfId="19477" xr:uid="{00000000-0005-0000-0000-0000A35E0000}"/>
    <cellStyle name="Note 12 2 2 2 5 2" xfId="43310" xr:uid="{DEC1A623-9D49-454D-B24B-3568EFD7041A}"/>
    <cellStyle name="Note 12 2 2 2 6" xfId="27430" xr:uid="{5D94C44A-BBBA-477C-A55D-506FFD79541F}"/>
    <cellStyle name="Note 12 2 2 2_Exh G" xfId="3588" xr:uid="{00000000-0005-0000-0000-0000A45E0000}"/>
    <cellStyle name="Note 12 2 2 3" xfId="4375" xr:uid="{00000000-0005-0000-0000-0000A55E0000}"/>
    <cellStyle name="Note 12 2 2 3 2" xfId="7967" xr:uid="{00000000-0005-0000-0000-0000A65E0000}"/>
    <cellStyle name="Note 12 2 2 3 2 2" xfId="15938" xr:uid="{00000000-0005-0000-0000-0000A75E0000}"/>
    <cellStyle name="Note 12 2 2 3 2 2 2" xfId="39781" xr:uid="{6AC8F567-08E6-4839-B3D0-67F1B4E2CEA7}"/>
    <cellStyle name="Note 12 2 2 3 2 3" xfId="23884" xr:uid="{00000000-0005-0000-0000-0000A85E0000}"/>
    <cellStyle name="Note 12 2 2 3 2 3 2" xfId="47717" xr:uid="{9F94E431-E00D-4321-A667-5A4023180AD4}"/>
    <cellStyle name="Note 12 2 2 3 2 4" xfId="31840" xr:uid="{79EE0801-18C2-4C08-8182-B9E02A620BED}"/>
    <cellStyle name="Note 12 2 2 3 3" xfId="12400" xr:uid="{00000000-0005-0000-0000-0000A95E0000}"/>
    <cellStyle name="Note 12 2 2 3 3 2" xfId="36250" xr:uid="{5BC8EC7A-E3DA-47B8-ACDD-BB44BDD4BD5E}"/>
    <cellStyle name="Note 12 2 2 3 4" xfId="20355" xr:uid="{00000000-0005-0000-0000-0000AA5E0000}"/>
    <cellStyle name="Note 12 2 2 3 4 2" xfId="44188" xr:uid="{E145C323-31A1-43BC-B812-F42B1CDEFDF0}"/>
    <cellStyle name="Note 12 2 2 3 5" xfId="28309" xr:uid="{DF4F1886-EEBE-4735-B873-9A2328485A26}"/>
    <cellStyle name="Note 12 2 2 4" xfId="6195" xr:uid="{00000000-0005-0000-0000-0000AB5E0000}"/>
    <cellStyle name="Note 12 2 2 4 2" xfId="14179" xr:uid="{00000000-0005-0000-0000-0000AC5E0000}"/>
    <cellStyle name="Note 12 2 2 4 2 2" xfId="38023" xr:uid="{79ABAB10-C8EB-4225-858C-0D61F7FA78F9}"/>
    <cellStyle name="Note 12 2 2 4 3" xfId="22127" xr:uid="{00000000-0005-0000-0000-0000AD5E0000}"/>
    <cellStyle name="Note 12 2 2 4 3 2" xfId="45960" xr:uid="{B3193197-585C-4A25-98B7-6DBD3993ADC7}"/>
    <cellStyle name="Note 12 2 2 4 4" xfId="30082" xr:uid="{A01093E0-B3DD-4203-8B52-27D184D13678}"/>
    <cellStyle name="Note 12 2 2 5" xfId="9748" xr:uid="{00000000-0005-0000-0000-0000AE5E0000}"/>
    <cellStyle name="Note 12 2 2 5 2" xfId="17706" xr:uid="{00000000-0005-0000-0000-0000AF5E0000}"/>
    <cellStyle name="Note 12 2 2 5 2 2" xfId="41547" xr:uid="{16BA824B-9C1C-43F2-9A40-C5B76A952634}"/>
    <cellStyle name="Note 12 2 2 5 3" xfId="25650" xr:uid="{00000000-0005-0000-0000-0000B05E0000}"/>
    <cellStyle name="Note 12 2 2 5 3 2" xfId="49483" xr:uid="{687D22E1-27A1-4C2B-9A62-E4EC126C86B3}"/>
    <cellStyle name="Note 12 2 2 5 4" xfId="33606" xr:uid="{3C137A43-0DA6-48FE-BE77-3B2A678C1BE5}"/>
    <cellStyle name="Note 12 2 2 6" xfId="10644" xr:uid="{00000000-0005-0000-0000-0000B15E0000}"/>
    <cellStyle name="Note 12 2 2 6 2" xfId="34494" xr:uid="{697573F7-2E7E-4F6C-A19B-C3840F51A6BF}"/>
    <cellStyle name="Note 12 2 2 7" xfId="18599" xr:uid="{00000000-0005-0000-0000-0000B25E0000}"/>
    <cellStyle name="Note 12 2 2 7 2" xfId="42432" xr:uid="{27A77840-5BE6-4B34-92BC-E959DE391534}"/>
    <cellStyle name="Note 12 2 2 8" xfId="26552" xr:uid="{7E401A51-8AD1-4631-990E-7773A82F7398}"/>
    <cellStyle name="Note 12 2 2_Exh G" xfId="3587" xr:uid="{00000000-0005-0000-0000-0000B35E0000}"/>
    <cellStyle name="Note 12 2 3" xfId="1723" xr:uid="{00000000-0005-0000-0000-0000B45E0000}"/>
    <cellStyle name="Note 12 2 3 2" xfId="5253" xr:uid="{00000000-0005-0000-0000-0000B55E0000}"/>
    <cellStyle name="Note 12 2 3 2 2" xfId="8844" xr:uid="{00000000-0005-0000-0000-0000B65E0000}"/>
    <cellStyle name="Note 12 2 3 2 2 2" xfId="16815" xr:uid="{00000000-0005-0000-0000-0000B75E0000}"/>
    <cellStyle name="Note 12 2 3 2 2 2 2" xfId="40658" xr:uid="{D7045618-860A-4DD5-B128-E8E4255E87FB}"/>
    <cellStyle name="Note 12 2 3 2 2 3" xfId="24761" xr:uid="{00000000-0005-0000-0000-0000B85E0000}"/>
    <cellStyle name="Note 12 2 3 2 2 3 2" xfId="48594" xr:uid="{78C5836D-0A49-4665-A772-F29BAE9E4E15}"/>
    <cellStyle name="Note 12 2 3 2 2 4" xfId="32717" xr:uid="{4EBCB3E9-48D6-4365-ACC2-CFA5C65392B3}"/>
    <cellStyle name="Note 12 2 3 2 3" xfId="13277" xr:uid="{00000000-0005-0000-0000-0000B95E0000}"/>
    <cellStyle name="Note 12 2 3 2 3 2" xfId="37127" xr:uid="{D8AF160C-02E8-4FA3-9307-0B8C46947353}"/>
    <cellStyle name="Note 12 2 3 2 4" xfId="21232" xr:uid="{00000000-0005-0000-0000-0000BA5E0000}"/>
    <cellStyle name="Note 12 2 3 2 4 2" xfId="45065" xr:uid="{1B1816EB-E3A2-42F1-9C69-EE62ED487A4C}"/>
    <cellStyle name="Note 12 2 3 2 5" xfId="29186" xr:uid="{0857566A-9EE4-4A17-8003-36508464E5CE}"/>
    <cellStyle name="Note 12 2 3 3" xfId="7085" xr:uid="{00000000-0005-0000-0000-0000BB5E0000}"/>
    <cellStyle name="Note 12 2 3 3 2" xfId="15057" xr:uid="{00000000-0005-0000-0000-0000BC5E0000}"/>
    <cellStyle name="Note 12 2 3 3 2 2" xfId="38900" xr:uid="{B4891B40-8C8D-44CB-A6FC-0D5AA3DF7102}"/>
    <cellStyle name="Note 12 2 3 3 3" xfId="23004" xr:uid="{00000000-0005-0000-0000-0000BD5E0000}"/>
    <cellStyle name="Note 12 2 3 3 3 2" xfId="46837" xr:uid="{5D6A457E-9619-40C6-80FB-1105DBD64D68}"/>
    <cellStyle name="Note 12 2 3 3 4" xfId="30959" xr:uid="{B0E2D52D-16E3-4C19-A711-7D9DF4973838}"/>
    <cellStyle name="Note 12 2 3 4" xfId="11521" xr:uid="{00000000-0005-0000-0000-0000BE5E0000}"/>
    <cellStyle name="Note 12 2 3 4 2" xfId="35371" xr:uid="{7FE51C37-132F-492A-8932-4EF1DF5EC07F}"/>
    <cellStyle name="Note 12 2 3 5" xfId="19476" xr:uid="{00000000-0005-0000-0000-0000BF5E0000}"/>
    <cellStyle name="Note 12 2 3 5 2" xfId="43309" xr:uid="{5D602EAC-F21B-489D-B773-5F41D91B9903}"/>
    <cellStyle name="Note 12 2 3 6" xfId="27429" xr:uid="{925E18C4-281A-4730-BFBD-C2C59BF32D47}"/>
    <cellStyle name="Note 12 2 3_Exh G" xfId="3589" xr:uid="{00000000-0005-0000-0000-0000C05E0000}"/>
    <cellStyle name="Note 12 2 4" xfId="4374" xr:uid="{00000000-0005-0000-0000-0000C15E0000}"/>
    <cellStyle name="Note 12 2 4 2" xfId="7966" xr:uid="{00000000-0005-0000-0000-0000C25E0000}"/>
    <cellStyle name="Note 12 2 4 2 2" xfId="15937" xr:uid="{00000000-0005-0000-0000-0000C35E0000}"/>
    <cellStyle name="Note 12 2 4 2 2 2" xfId="39780" xr:uid="{81DDE60C-E6C2-4EF6-B4F6-B0AA6EFFFB19}"/>
    <cellStyle name="Note 12 2 4 2 3" xfId="23883" xr:uid="{00000000-0005-0000-0000-0000C45E0000}"/>
    <cellStyle name="Note 12 2 4 2 3 2" xfId="47716" xr:uid="{BC4D6F5B-E838-44CB-90C0-E8D2C346142C}"/>
    <cellStyle name="Note 12 2 4 2 4" xfId="31839" xr:uid="{61CDB169-928A-4A40-834A-BB846BD926B5}"/>
    <cellStyle name="Note 12 2 4 3" xfId="12399" xr:uid="{00000000-0005-0000-0000-0000C55E0000}"/>
    <cellStyle name="Note 12 2 4 3 2" xfId="36249" xr:uid="{BB227793-10A3-44BB-AD28-150151EFB0CC}"/>
    <cellStyle name="Note 12 2 4 4" xfId="20354" xr:uid="{00000000-0005-0000-0000-0000C65E0000}"/>
    <cellStyle name="Note 12 2 4 4 2" xfId="44187" xr:uid="{DC250D31-522B-4E50-948B-214379D58959}"/>
    <cellStyle name="Note 12 2 4 5" xfId="28308" xr:uid="{A0F487BC-7379-4895-9586-6A9DBBE5EA69}"/>
    <cellStyle name="Note 12 2 5" xfId="6194" xr:uid="{00000000-0005-0000-0000-0000C75E0000}"/>
    <cellStyle name="Note 12 2 5 2" xfId="14178" xr:uid="{00000000-0005-0000-0000-0000C85E0000}"/>
    <cellStyle name="Note 12 2 5 2 2" xfId="38022" xr:uid="{2796C590-C067-4AFB-96F9-F329E989460B}"/>
    <cellStyle name="Note 12 2 5 3" xfId="22126" xr:uid="{00000000-0005-0000-0000-0000C95E0000}"/>
    <cellStyle name="Note 12 2 5 3 2" xfId="45959" xr:uid="{5A4C1C8D-DE9C-4E24-9D7B-3CF1BE8D14E3}"/>
    <cellStyle name="Note 12 2 5 4" xfId="30081" xr:uid="{B14E999D-0B40-46D1-AEBA-19921B79DFC0}"/>
    <cellStyle name="Note 12 2 6" xfId="9747" xr:uid="{00000000-0005-0000-0000-0000CA5E0000}"/>
    <cellStyle name="Note 12 2 6 2" xfId="17705" xr:uid="{00000000-0005-0000-0000-0000CB5E0000}"/>
    <cellStyle name="Note 12 2 6 2 2" xfId="41546" xr:uid="{8C8CC0A7-56C5-4240-BCAE-458A73A3140E}"/>
    <cellStyle name="Note 12 2 6 3" xfId="25649" xr:uid="{00000000-0005-0000-0000-0000CC5E0000}"/>
    <cellStyle name="Note 12 2 6 3 2" xfId="49482" xr:uid="{060417AF-3C7D-41AD-A6C3-6A9BCB0655A8}"/>
    <cellStyle name="Note 12 2 6 4" xfId="33605" xr:uid="{3FD34420-686A-4CF7-9602-77906F65C883}"/>
    <cellStyle name="Note 12 2 7" xfId="10643" xr:uid="{00000000-0005-0000-0000-0000CD5E0000}"/>
    <cellStyle name="Note 12 2 7 2" xfId="34493" xr:uid="{3BE78548-A38E-4F93-A7F0-368A6B8E34AD}"/>
    <cellStyle name="Note 12 2 8" xfId="18598" xr:uid="{00000000-0005-0000-0000-0000CE5E0000}"/>
    <cellStyle name="Note 12 2 8 2" xfId="42431" xr:uid="{CC4592DD-503A-4D75-B33A-04156A3027B3}"/>
    <cellStyle name="Note 12 2 9" xfId="26551" xr:uid="{6A5E1A6B-FF39-4345-89AF-95CE559071C5}"/>
    <cellStyle name="Note 12 2_Exh G" xfId="3586" xr:uid="{00000000-0005-0000-0000-0000CF5E0000}"/>
    <cellStyle name="Note 12 3" xfId="697" xr:uid="{00000000-0005-0000-0000-0000D05E0000}"/>
    <cellStyle name="Note 12 3 2" xfId="1725" xr:uid="{00000000-0005-0000-0000-0000D15E0000}"/>
    <cellStyle name="Note 12 3 2 2" xfId="5255" xr:uid="{00000000-0005-0000-0000-0000D25E0000}"/>
    <cellStyle name="Note 12 3 2 2 2" xfId="8846" xr:uid="{00000000-0005-0000-0000-0000D35E0000}"/>
    <cellStyle name="Note 12 3 2 2 2 2" xfId="16817" xr:uid="{00000000-0005-0000-0000-0000D45E0000}"/>
    <cellStyle name="Note 12 3 2 2 2 2 2" xfId="40660" xr:uid="{C677C747-13BC-4865-8E7B-287CDE8CF9F7}"/>
    <cellStyle name="Note 12 3 2 2 2 3" xfId="24763" xr:uid="{00000000-0005-0000-0000-0000D55E0000}"/>
    <cellStyle name="Note 12 3 2 2 2 3 2" xfId="48596" xr:uid="{17F59018-9AB0-4DE8-B1A4-34A2E5EB915D}"/>
    <cellStyle name="Note 12 3 2 2 2 4" xfId="32719" xr:uid="{B2FE36D6-B997-4F25-AC99-0078824C2AFF}"/>
    <cellStyle name="Note 12 3 2 2 3" xfId="13279" xr:uid="{00000000-0005-0000-0000-0000D65E0000}"/>
    <cellStyle name="Note 12 3 2 2 3 2" xfId="37129" xr:uid="{64AADF3F-05B6-43CB-AE84-F49034B240BA}"/>
    <cellStyle name="Note 12 3 2 2 4" xfId="21234" xr:uid="{00000000-0005-0000-0000-0000D75E0000}"/>
    <cellStyle name="Note 12 3 2 2 4 2" xfId="45067" xr:uid="{D803C0E7-E7AB-49B3-A092-A7F1D832D551}"/>
    <cellStyle name="Note 12 3 2 2 5" xfId="29188" xr:uid="{8BD20342-E252-4207-B11E-DDA5089615A0}"/>
    <cellStyle name="Note 12 3 2 3" xfId="7087" xr:uid="{00000000-0005-0000-0000-0000D85E0000}"/>
    <cellStyle name="Note 12 3 2 3 2" xfId="15059" xr:uid="{00000000-0005-0000-0000-0000D95E0000}"/>
    <cellStyle name="Note 12 3 2 3 2 2" xfId="38902" xr:uid="{78F6926D-DDD6-4137-8E25-56D099BA3F7D}"/>
    <cellStyle name="Note 12 3 2 3 3" xfId="23006" xr:uid="{00000000-0005-0000-0000-0000DA5E0000}"/>
    <cellStyle name="Note 12 3 2 3 3 2" xfId="46839" xr:uid="{0794B60D-1BE5-4763-869D-085AC8004911}"/>
    <cellStyle name="Note 12 3 2 3 4" xfId="30961" xr:uid="{7125CA74-138F-4955-AB6E-06CC7606623B}"/>
    <cellStyle name="Note 12 3 2 4" xfId="11523" xr:uid="{00000000-0005-0000-0000-0000DB5E0000}"/>
    <cellStyle name="Note 12 3 2 4 2" xfId="35373" xr:uid="{B4D2B30E-6BE6-440E-AEA0-65CDA27F5BC7}"/>
    <cellStyle name="Note 12 3 2 5" xfId="19478" xr:uid="{00000000-0005-0000-0000-0000DC5E0000}"/>
    <cellStyle name="Note 12 3 2 5 2" xfId="43311" xr:uid="{264DBF1A-44B7-4D3C-B030-B153DDADEB11}"/>
    <cellStyle name="Note 12 3 2 6" xfId="27431" xr:uid="{A663A690-B3D1-4436-85FD-AE3033BD41FB}"/>
    <cellStyle name="Note 12 3 2_Exh G" xfId="3591" xr:uid="{00000000-0005-0000-0000-0000DD5E0000}"/>
    <cellStyle name="Note 12 3 3" xfId="4376" xr:uid="{00000000-0005-0000-0000-0000DE5E0000}"/>
    <cellStyle name="Note 12 3 3 2" xfId="7968" xr:uid="{00000000-0005-0000-0000-0000DF5E0000}"/>
    <cellStyle name="Note 12 3 3 2 2" xfId="15939" xr:uid="{00000000-0005-0000-0000-0000E05E0000}"/>
    <cellStyle name="Note 12 3 3 2 2 2" xfId="39782" xr:uid="{7B5A4BA9-8533-45AE-886C-27DF9F26292F}"/>
    <cellStyle name="Note 12 3 3 2 3" xfId="23885" xr:uid="{00000000-0005-0000-0000-0000E15E0000}"/>
    <cellStyle name="Note 12 3 3 2 3 2" xfId="47718" xr:uid="{B795084A-A153-426B-8666-0AFE86039706}"/>
    <cellStyle name="Note 12 3 3 2 4" xfId="31841" xr:uid="{ACE80E73-30AD-4495-A96E-B3C22243D67D}"/>
    <cellStyle name="Note 12 3 3 3" xfId="12401" xr:uid="{00000000-0005-0000-0000-0000E25E0000}"/>
    <cellStyle name="Note 12 3 3 3 2" xfId="36251" xr:uid="{50D833DD-E74A-436B-A456-93C80FEF65B6}"/>
    <cellStyle name="Note 12 3 3 4" xfId="20356" xr:uid="{00000000-0005-0000-0000-0000E35E0000}"/>
    <cellStyle name="Note 12 3 3 4 2" xfId="44189" xr:uid="{C989D7ED-B0B7-4D5F-AA4A-8D4B6898CBC9}"/>
    <cellStyle name="Note 12 3 3 5" xfId="28310" xr:uid="{C6EC0920-D0C2-488A-9048-1EA38DA6BD02}"/>
    <cellStyle name="Note 12 3 4" xfId="6196" xr:uid="{00000000-0005-0000-0000-0000E45E0000}"/>
    <cellStyle name="Note 12 3 4 2" xfId="14180" xr:uid="{00000000-0005-0000-0000-0000E55E0000}"/>
    <cellStyle name="Note 12 3 4 2 2" xfId="38024" xr:uid="{FF81D524-E364-4E60-8BA2-D63425F65FEF}"/>
    <cellStyle name="Note 12 3 4 3" xfId="22128" xr:uid="{00000000-0005-0000-0000-0000E65E0000}"/>
    <cellStyle name="Note 12 3 4 3 2" xfId="45961" xr:uid="{45036A85-0FF8-4FEE-9BD0-FB9EE41A26A2}"/>
    <cellStyle name="Note 12 3 4 4" xfId="30083" xr:uid="{B7D75C49-0E84-4A1D-ACA8-88F2A3D59057}"/>
    <cellStyle name="Note 12 3 5" xfId="9749" xr:uid="{00000000-0005-0000-0000-0000E75E0000}"/>
    <cellStyle name="Note 12 3 5 2" xfId="17707" xr:uid="{00000000-0005-0000-0000-0000E85E0000}"/>
    <cellStyle name="Note 12 3 5 2 2" xfId="41548" xr:uid="{C801CC78-BD07-4FB0-958F-B2458B8D833D}"/>
    <cellStyle name="Note 12 3 5 3" xfId="25651" xr:uid="{00000000-0005-0000-0000-0000E95E0000}"/>
    <cellStyle name="Note 12 3 5 3 2" xfId="49484" xr:uid="{28204D1A-FA4A-4AA4-8F61-9254B03232BA}"/>
    <cellStyle name="Note 12 3 5 4" xfId="33607" xr:uid="{DE9D8990-94F2-43CA-A625-72AF467205C8}"/>
    <cellStyle name="Note 12 3 6" xfId="10645" xr:uid="{00000000-0005-0000-0000-0000EA5E0000}"/>
    <cellStyle name="Note 12 3 6 2" xfId="34495" xr:uid="{C33E00F1-E8E6-441D-A06A-FDDF6C7AFB88}"/>
    <cellStyle name="Note 12 3 7" xfId="18600" xr:uid="{00000000-0005-0000-0000-0000EB5E0000}"/>
    <cellStyle name="Note 12 3 7 2" xfId="42433" xr:uid="{E90C367B-C907-4B94-AB22-2E4C99E90703}"/>
    <cellStyle name="Note 12 3 8" xfId="26553" xr:uid="{06EBD11A-3F04-403F-B0E1-78B5DEB1B61F}"/>
    <cellStyle name="Note 12 3_Exh G" xfId="3590" xr:uid="{00000000-0005-0000-0000-0000EC5E0000}"/>
    <cellStyle name="Note 12 4" xfId="1722" xr:uid="{00000000-0005-0000-0000-0000ED5E0000}"/>
    <cellStyle name="Note 12 4 2" xfId="5252" xr:uid="{00000000-0005-0000-0000-0000EE5E0000}"/>
    <cellStyle name="Note 12 4 2 2" xfId="8843" xr:uid="{00000000-0005-0000-0000-0000EF5E0000}"/>
    <cellStyle name="Note 12 4 2 2 2" xfId="16814" xr:uid="{00000000-0005-0000-0000-0000F05E0000}"/>
    <cellStyle name="Note 12 4 2 2 2 2" xfId="40657" xr:uid="{8EC1C01A-CF52-490B-92EB-33C0CF473043}"/>
    <cellStyle name="Note 12 4 2 2 3" xfId="24760" xr:uid="{00000000-0005-0000-0000-0000F15E0000}"/>
    <cellStyle name="Note 12 4 2 2 3 2" xfId="48593" xr:uid="{122E0169-04DC-4BE0-8FB8-1DA26DE91D47}"/>
    <cellStyle name="Note 12 4 2 2 4" xfId="32716" xr:uid="{1CDCE5BB-774B-4A4D-BD0E-D3541596F8F2}"/>
    <cellStyle name="Note 12 4 2 3" xfId="13276" xr:uid="{00000000-0005-0000-0000-0000F25E0000}"/>
    <cellStyle name="Note 12 4 2 3 2" xfId="37126" xr:uid="{56DA742B-FB4D-4A38-8364-D14353D16982}"/>
    <cellStyle name="Note 12 4 2 4" xfId="21231" xr:uid="{00000000-0005-0000-0000-0000F35E0000}"/>
    <cellStyle name="Note 12 4 2 4 2" xfId="45064" xr:uid="{270ACBDE-DBDD-47EF-8E47-A2087FB63F51}"/>
    <cellStyle name="Note 12 4 2 5" xfId="29185" xr:uid="{4B1D5856-093F-4F32-9698-45C5CE4CEF7B}"/>
    <cellStyle name="Note 12 4 3" xfId="7084" xr:uid="{00000000-0005-0000-0000-0000F45E0000}"/>
    <cellStyle name="Note 12 4 3 2" xfId="15056" xr:uid="{00000000-0005-0000-0000-0000F55E0000}"/>
    <cellStyle name="Note 12 4 3 2 2" xfId="38899" xr:uid="{B302ACA3-327E-44B4-B543-B65242694A5F}"/>
    <cellStyle name="Note 12 4 3 3" xfId="23003" xr:uid="{00000000-0005-0000-0000-0000F65E0000}"/>
    <cellStyle name="Note 12 4 3 3 2" xfId="46836" xr:uid="{84C143C8-27F5-4F70-9C56-B1565552B86A}"/>
    <cellStyle name="Note 12 4 3 4" xfId="30958" xr:uid="{2CCCA911-18EB-4A9A-885A-0FA0C08904AD}"/>
    <cellStyle name="Note 12 4 4" xfId="11520" xr:uid="{00000000-0005-0000-0000-0000F75E0000}"/>
    <cellStyle name="Note 12 4 4 2" xfId="35370" xr:uid="{456B0001-2A30-47C5-8045-1410D30B3117}"/>
    <cellStyle name="Note 12 4 5" xfId="19475" xr:uid="{00000000-0005-0000-0000-0000F85E0000}"/>
    <cellStyle name="Note 12 4 5 2" xfId="43308" xr:uid="{E56247C1-22B2-4AAA-A419-BBD1844DAA7A}"/>
    <cellStyle name="Note 12 4 6" xfId="27428" xr:uid="{0FC1C5EF-382D-45EA-B116-B1EC502D184B}"/>
    <cellStyle name="Note 12 4_Exh G" xfId="3592" xr:uid="{00000000-0005-0000-0000-0000F95E0000}"/>
    <cellStyle name="Note 12 5" xfId="4373" xr:uid="{00000000-0005-0000-0000-0000FA5E0000}"/>
    <cellStyle name="Note 12 5 2" xfId="7965" xr:uid="{00000000-0005-0000-0000-0000FB5E0000}"/>
    <cellStyle name="Note 12 5 2 2" xfId="15936" xr:uid="{00000000-0005-0000-0000-0000FC5E0000}"/>
    <cellStyle name="Note 12 5 2 2 2" xfId="39779" xr:uid="{D0746E4D-A962-4C39-9C3E-78EC671E08AF}"/>
    <cellStyle name="Note 12 5 2 3" xfId="23882" xr:uid="{00000000-0005-0000-0000-0000FD5E0000}"/>
    <cellStyle name="Note 12 5 2 3 2" xfId="47715" xr:uid="{E98E1133-605B-459A-86E5-86EA7E772101}"/>
    <cellStyle name="Note 12 5 2 4" xfId="31838" xr:uid="{14B5F8E4-5506-4DBC-BBDB-A98D0B556D4D}"/>
    <cellStyle name="Note 12 5 3" xfId="12398" xr:uid="{00000000-0005-0000-0000-0000FE5E0000}"/>
    <cellStyle name="Note 12 5 3 2" xfId="36248" xr:uid="{43BD6A63-4C96-419A-BBB8-4339F94F1844}"/>
    <cellStyle name="Note 12 5 4" xfId="20353" xr:uid="{00000000-0005-0000-0000-0000FF5E0000}"/>
    <cellStyle name="Note 12 5 4 2" xfId="44186" xr:uid="{4AE0AF07-3921-446F-B4DA-CA4097722AE8}"/>
    <cellStyle name="Note 12 5 5" xfId="28307" xr:uid="{1E51CEF1-4A75-4488-9B8E-06EF378584CB}"/>
    <cellStyle name="Note 12 6" xfId="6193" xr:uid="{00000000-0005-0000-0000-0000005F0000}"/>
    <cellStyle name="Note 12 6 2" xfId="14177" xr:uid="{00000000-0005-0000-0000-0000015F0000}"/>
    <cellStyle name="Note 12 6 2 2" xfId="38021" xr:uid="{DB51D4E9-2CC5-472F-9E4B-802B4618301C}"/>
    <cellStyle name="Note 12 6 3" xfId="22125" xr:uid="{00000000-0005-0000-0000-0000025F0000}"/>
    <cellStyle name="Note 12 6 3 2" xfId="45958" xr:uid="{88FCA3C5-D5DA-4A0F-A5B5-6B4C7FB3B425}"/>
    <cellStyle name="Note 12 6 4" xfId="30080" xr:uid="{66F3454E-9CF4-4E76-A1C4-845A5C44FA51}"/>
    <cellStyle name="Note 12 7" xfId="9746" xr:uid="{00000000-0005-0000-0000-0000035F0000}"/>
    <cellStyle name="Note 12 7 2" xfId="17704" xr:uid="{00000000-0005-0000-0000-0000045F0000}"/>
    <cellStyle name="Note 12 7 2 2" xfId="41545" xr:uid="{D1106AC5-3BAB-412C-9B5D-0F9946073817}"/>
    <cellStyle name="Note 12 7 3" xfId="25648" xr:uid="{00000000-0005-0000-0000-0000055F0000}"/>
    <cellStyle name="Note 12 7 3 2" xfId="49481" xr:uid="{C3ECCB9C-ADA2-4A83-BF03-A7330D08C12B}"/>
    <cellStyle name="Note 12 7 4" xfId="33604" xr:uid="{00DD684C-02A2-4BDF-81E3-D3A74054E81E}"/>
    <cellStyle name="Note 12 8" xfId="10642" xr:uid="{00000000-0005-0000-0000-0000065F0000}"/>
    <cellStyle name="Note 12 8 2" xfId="34492" xr:uid="{C6AB8FB3-4873-4B4F-8F56-532133CF28DF}"/>
    <cellStyle name="Note 12 9" xfId="18597" xr:uid="{00000000-0005-0000-0000-0000075F0000}"/>
    <cellStyle name="Note 12 9 2" xfId="42430" xr:uid="{1EFF910A-E803-45E1-8BF0-AB11C1078A1F}"/>
    <cellStyle name="Note 12_Exh G" xfId="3585" xr:uid="{00000000-0005-0000-0000-0000085F0000}"/>
    <cellStyle name="Note 13" xfId="698" xr:uid="{00000000-0005-0000-0000-0000095F0000}"/>
    <cellStyle name="Note 13 10" xfId="26554" xr:uid="{79FD5979-0253-49E1-A7D9-E7F7DE2CECBD}"/>
    <cellStyle name="Note 13 2" xfId="699" xr:uid="{00000000-0005-0000-0000-00000A5F0000}"/>
    <cellStyle name="Note 13 2 2" xfId="700" xr:uid="{00000000-0005-0000-0000-00000B5F0000}"/>
    <cellStyle name="Note 13 2 2 2" xfId="1728" xr:uid="{00000000-0005-0000-0000-00000C5F0000}"/>
    <cellStyle name="Note 13 2 2 2 2" xfId="5258" xr:uid="{00000000-0005-0000-0000-00000D5F0000}"/>
    <cellStyle name="Note 13 2 2 2 2 2" xfId="8849" xr:uid="{00000000-0005-0000-0000-00000E5F0000}"/>
    <cellStyle name="Note 13 2 2 2 2 2 2" xfId="16820" xr:uid="{00000000-0005-0000-0000-00000F5F0000}"/>
    <cellStyle name="Note 13 2 2 2 2 2 2 2" xfId="40663" xr:uid="{66713EA3-60EA-44C5-BA1D-59A7CFB8F11E}"/>
    <cellStyle name="Note 13 2 2 2 2 2 3" xfId="24766" xr:uid="{00000000-0005-0000-0000-0000105F0000}"/>
    <cellStyle name="Note 13 2 2 2 2 2 3 2" xfId="48599" xr:uid="{4078F387-9BCD-4242-9D16-0C336C4DC225}"/>
    <cellStyle name="Note 13 2 2 2 2 2 4" xfId="32722" xr:uid="{E1D23F08-A383-47BD-A280-81E74A491848}"/>
    <cellStyle name="Note 13 2 2 2 2 3" xfId="13282" xr:uid="{00000000-0005-0000-0000-0000115F0000}"/>
    <cellStyle name="Note 13 2 2 2 2 3 2" xfId="37132" xr:uid="{228E5BCE-E6F6-46E2-93E8-F2432D789648}"/>
    <cellStyle name="Note 13 2 2 2 2 4" xfId="21237" xr:uid="{00000000-0005-0000-0000-0000125F0000}"/>
    <cellStyle name="Note 13 2 2 2 2 4 2" xfId="45070" xr:uid="{654DF001-BF72-4605-A8DC-105C91CC4E22}"/>
    <cellStyle name="Note 13 2 2 2 2 5" xfId="29191" xr:uid="{CCDC569C-5736-49A8-A6B9-60CB5BFC201F}"/>
    <cellStyle name="Note 13 2 2 2 3" xfId="7090" xr:uid="{00000000-0005-0000-0000-0000135F0000}"/>
    <cellStyle name="Note 13 2 2 2 3 2" xfId="15062" xr:uid="{00000000-0005-0000-0000-0000145F0000}"/>
    <cellStyle name="Note 13 2 2 2 3 2 2" xfId="38905" xr:uid="{D2341A07-E8CA-4163-BCC9-0F97F7AFFB01}"/>
    <cellStyle name="Note 13 2 2 2 3 3" xfId="23009" xr:uid="{00000000-0005-0000-0000-0000155F0000}"/>
    <cellStyle name="Note 13 2 2 2 3 3 2" xfId="46842" xr:uid="{E585CF3E-28D7-4503-A7B5-A8196D64D390}"/>
    <cellStyle name="Note 13 2 2 2 3 4" xfId="30964" xr:uid="{D0936168-30A7-45F9-BC70-D46C30613FBA}"/>
    <cellStyle name="Note 13 2 2 2 4" xfId="11526" xr:uid="{00000000-0005-0000-0000-0000165F0000}"/>
    <cellStyle name="Note 13 2 2 2 4 2" xfId="35376" xr:uid="{44171DA5-EB22-430E-8FEF-A0B5DD9D8AE6}"/>
    <cellStyle name="Note 13 2 2 2 5" xfId="19481" xr:uid="{00000000-0005-0000-0000-0000175F0000}"/>
    <cellStyle name="Note 13 2 2 2 5 2" xfId="43314" xr:uid="{D97F4248-F350-4131-82B6-37D606189F74}"/>
    <cellStyle name="Note 13 2 2 2 6" xfId="27434" xr:uid="{1952B678-7DF0-442E-87B3-8C78E5272EDD}"/>
    <cellStyle name="Note 13 2 2 2_Exh G" xfId="3596" xr:uid="{00000000-0005-0000-0000-0000185F0000}"/>
    <cellStyle name="Note 13 2 2 3" xfId="4379" xr:uid="{00000000-0005-0000-0000-0000195F0000}"/>
    <cellStyle name="Note 13 2 2 3 2" xfId="7971" xr:uid="{00000000-0005-0000-0000-00001A5F0000}"/>
    <cellStyle name="Note 13 2 2 3 2 2" xfId="15942" xr:uid="{00000000-0005-0000-0000-00001B5F0000}"/>
    <cellStyle name="Note 13 2 2 3 2 2 2" xfId="39785" xr:uid="{4F172474-F5AE-4D99-B021-CA0BB039D3FF}"/>
    <cellStyle name="Note 13 2 2 3 2 3" xfId="23888" xr:uid="{00000000-0005-0000-0000-00001C5F0000}"/>
    <cellStyle name="Note 13 2 2 3 2 3 2" xfId="47721" xr:uid="{47A84708-C7A1-498F-B6C8-7671EA58C035}"/>
    <cellStyle name="Note 13 2 2 3 2 4" xfId="31844" xr:uid="{C30B433E-8E42-4191-9232-D1DB69764624}"/>
    <cellStyle name="Note 13 2 2 3 3" xfId="12404" xr:uid="{00000000-0005-0000-0000-00001D5F0000}"/>
    <cellStyle name="Note 13 2 2 3 3 2" xfId="36254" xr:uid="{20325F27-9BA4-4918-9C81-F1DB7353B197}"/>
    <cellStyle name="Note 13 2 2 3 4" xfId="20359" xr:uid="{00000000-0005-0000-0000-00001E5F0000}"/>
    <cellStyle name="Note 13 2 2 3 4 2" xfId="44192" xr:uid="{6CB431F2-D9EB-4599-904B-7CE74881A1B3}"/>
    <cellStyle name="Note 13 2 2 3 5" xfId="28313" xr:uid="{9EBEE8C0-FBE6-45CE-956B-6618E784F992}"/>
    <cellStyle name="Note 13 2 2 4" xfId="6199" xr:uid="{00000000-0005-0000-0000-00001F5F0000}"/>
    <cellStyle name="Note 13 2 2 4 2" xfId="14183" xr:uid="{00000000-0005-0000-0000-0000205F0000}"/>
    <cellStyle name="Note 13 2 2 4 2 2" xfId="38027" xr:uid="{160F5807-D0D2-43D1-83C6-D05D3E3791EC}"/>
    <cellStyle name="Note 13 2 2 4 3" xfId="22131" xr:uid="{00000000-0005-0000-0000-0000215F0000}"/>
    <cellStyle name="Note 13 2 2 4 3 2" xfId="45964" xr:uid="{611CAF25-5CA6-437E-A98C-41AE1A30877E}"/>
    <cellStyle name="Note 13 2 2 4 4" xfId="30086" xr:uid="{6FD460EC-405B-4FC4-9F3E-D9131B8F6DC4}"/>
    <cellStyle name="Note 13 2 2 5" xfId="9752" xr:uid="{00000000-0005-0000-0000-0000225F0000}"/>
    <cellStyle name="Note 13 2 2 5 2" xfId="17710" xr:uid="{00000000-0005-0000-0000-0000235F0000}"/>
    <cellStyle name="Note 13 2 2 5 2 2" xfId="41551" xr:uid="{ED866060-FCD5-444E-8D77-337FE6FAED3A}"/>
    <cellStyle name="Note 13 2 2 5 3" xfId="25654" xr:uid="{00000000-0005-0000-0000-0000245F0000}"/>
    <cellStyle name="Note 13 2 2 5 3 2" xfId="49487" xr:uid="{D6930FEA-A49E-4C50-AB54-5CB450FF23B1}"/>
    <cellStyle name="Note 13 2 2 5 4" xfId="33610" xr:uid="{E099F997-DAB5-453C-8C3F-BD8056231C8B}"/>
    <cellStyle name="Note 13 2 2 6" xfId="10648" xr:uid="{00000000-0005-0000-0000-0000255F0000}"/>
    <cellStyle name="Note 13 2 2 6 2" xfId="34498" xr:uid="{0A51224B-699F-4B91-9031-D4AFB98B4701}"/>
    <cellStyle name="Note 13 2 2 7" xfId="18603" xr:uid="{00000000-0005-0000-0000-0000265F0000}"/>
    <cellStyle name="Note 13 2 2 7 2" xfId="42436" xr:uid="{9C824B5E-9C91-4C6C-8E8B-8A556D5BB8F5}"/>
    <cellStyle name="Note 13 2 2 8" xfId="26556" xr:uid="{7176ECA1-52D0-44C2-BDE0-953E27C73ACA}"/>
    <cellStyle name="Note 13 2 2_Exh G" xfId="3595" xr:uid="{00000000-0005-0000-0000-0000275F0000}"/>
    <cellStyle name="Note 13 2 3" xfId="1727" xr:uid="{00000000-0005-0000-0000-0000285F0000}"/>
    <cellStyle name="Note 13 2 3 2" xfId="5257" xr:uid="{00000000-0005-0000-0000-0000295F0000}"/>
    <cellStyle name="Note 13 2 3 2 2" xfId="8848" xr:uid="{00000000-0005-0000-0000-00002A5F0000}"/>
    <cellStyle name="Note 13 2 3 2 2 2" xfId="16819" xr:uid="{00000000-0005-0000-0000-00002B5F0000}"/>
    <cellStyle name="Note 13 2 3 2 2 2 2" xfId="40662" xr:uid="{E2E43E3E-2643-408C-8C7F-AB3CA7746169}"/>
    <cellStyle name="Note 13 2 3 2 2 3" xfId="24765" xr:uid="{00000000-0005-0000-0000-00002C5F0000}"/>
    <cellStyle name="Note 13 2 3 2 2 3 2" xfId="48598" xr:uid="{C47AD8E7-017C-431B-AE23-9275C439891C}"/>
    <cellStyle name="Note 13 2 3 2 2 4" xfId="32721" xr:uid="{CB05B724-8679-4A98-A009-E1C671399E39}"/>
    <cellStyle name="Note 13 2 3 2 3" xfId="13281" xr:uid="{00000000-0005-0000-0000-00002D5F0000}"/>
    <cellStyle name="Note 13 2 3 2 3 2" xfId="37131" xr:uid="{AAFD52F1-F0FC-488E-9323-8A8F0A2C8D0F}"/>
    <cellStyle name="Note 13 2 3 2 4" xfId="21236" xr:uid="{00000000-0005-0000-0000-00002E5F0000}"/>
    <cellStyle name="Note 13 2 3 2 4 2" xfId="45069" xr:uid="{49130B28-4D3A-4267-8E2F-647CC9D3FCC1}"/>
    <cellStyle name="Note 13 2 3 2 5" xfId="29190" xr:uid="{9D2CED16-E43A-466A-AABB-1F675BA21964}"/>
    <cellStyle name="Note 13 2 3 3" xfId="7089" xr:uid="{00000000-0005-0000-0000-00002F5F0000}"/>
    <cellStyle name="Note 13 2 3 3 2" xfId="15061" xr:uid="{00000000-0005-0000-0000-0000305F0000}"/>
    <cellStyle name="Note 13 2 3 3 2 2" xfId="38904" xr:uid="{C31E4CB5-8658-4E78-B018-C5A33271DBE8}"/>
    <cellStyle name="Note 13 2 3 3 3" xfId="23008" xr:uid="{00000000-0005-0000-0000-0000315F0000}"/>
    <cellStyle name="Note 13 2 3 3 3 2" xfId="46841" xr:uid="{355DBCDC-2A45-41ED-8BF2-799A7294B162}"/>
    <cellStyle name="Note 13 2 3 3 4" xfId="30963" xr:uid="{AE7A82A1-CCCE-4434-966E-CAF0A3FB980B}"/>
    <cellStyle name="Note 13 2 3 4" xfId="11525" xr:uid="{00000000-0005-0000-0000-0000325F0000}"/>
    <cellStyle name="Note 13 2 3 4 2" xfId="35375" xr:uid="{509708AE-CC0F-4BD2-BF8A-767F088C04BB}"/>
    <cellStyle name="Note 13 2 3 5" xfId="19480" xr:uid="{00000000-0005-0000-0000-0000335F0000}"/>
    <cellStyle name="Note 13 2 3 5 2" xfId="43313" xr:uid="{FB3C0F41-88E8-4B7A-AFB4-293E6AB1EA6D}"/>
    <cellStyle name="Note 13 2 3 6" xfId="27433" xr:uid="{B62C39B3-D846-4FBA-AF2B-C9DDF8B19871}"/>
    <cellStyle name="Note 13 2 3_Exh G" xfId="3597" xr:uid="{00000000-0005-0000-0000-0000345F0000}"/>
    <cellStyle name="Note 13 2 4" xfId="4378" xr:uid="{00000000-0005-0000-0000-0000355F0000}"/>
    <cellStyle name="Note 13 2 4 2" xfId="7970" xr:uid="{00000000-0005-0000-0000-0000365F0000}"/>
    <cellStyle name="Note 13 2 4 2 2" xfId="15941" xr:uid="{00000000-0005-0000-0000-0000375F0000}"/>
    <cellStyle name="Note 13 2 4 2 2 2" xfId="39784" xr:uid="{039A3BE8-8F5B-48D9-B55B-A66884FF0ADF}"/>
    <cellStyle name="Note 13 2 4 2 3" xfId="23887" xr:uid="{00000000-0005-0000-0000-0000385F0000}"/>
    <cellStyle name="Note 13 2 4 2 3 2" xfId="47720" xr:uid="{C4F790B7-BBFB-4F8A-B539-03BCEB2983F9}"/>
    <cellStyle name="Note 13 2 4 2 4" xfId="31843" xr:uid="{A6BCD3CB-B3CC-44B9-AD38-7E269788E012}"/>
    <cellStyle name="Note 13 2 4 3" xfId="12403" xr:uid="{00000000-0005-0000-0000-0000395F0000}"/>
    <cellStyle name="Note 13 2 4 3 2" xfId="36253" xr:uid="{E3860DAA-7ECA-4567-908A-61B9F145CBF9}"/>
    <cellStyle name="Note 13 2 4 4" xfId="20358" xr:uid="{00000000-0005-0000-0000-00003A5F0000}"/>
    <cellStyle name="Note 13 2 4 4 2" xfId="44191" xr:uid="{06E9F0F5-70F2-424A-B1A1-3DF9E55323C3}"/>
    <cellStyle name="Note 13 2 4 5" xfId="28312" xr:uid="{9F802D7D-3BC4-4177-847E-3C9542EA0010}"/>
    <cellStyle name="Note 13 2 5" xfId="6198" xr:uid="{00000000-0005-0000-0000-00003B5F0000}"/>
    <cellStyle name="Note 13 2 5 2" xfId="14182" xr:uid="{00000000-0005-0000-0000-00003C5F0000}"/>
    <cellStyle name="Note 13 2 5 2 2" xfId="38026" xr:uid="{B6A28517-72B3-4548-A260-6D3C69A053E4}"/>
    <cellStyle name="Note 13 2 5 3" xfId="22130" xr:uid="{00000000-0005-0000-0000-00003D5F0000}"/>
    <cellStyle name="Note 13 2 5 3 2" xfId="45963" xr:uid="{4D4DA0D1-3930-4E18-8092-44D0FEFC1143}"/>
    <cellStyle name="Note 13 2 5 4" xfId="30085" xr:uid="{D9BD1F10-07A9-4C71-9F7C-AC59F5E33AB9}"/>
    <cellStyle name="Note 13 2 6" xfId="9751" xr:uid="{00000000-0005-0000-0000-00003E5F0000}"/>
    <cellStyle name="Note 13 2 6 2" xfId="17709" xr:uid="{00000000-0005-0000-0000-00003F5F0000}"/>
    <cellStyle name="Note 13 2 6 2 2" xfId="41550" xr:uid="{B2EE4DD1-89E4-40C9-99BB-5926B73A7C9E}"/>
    <cellStyle name="Note 13 2 6 3" xfId="25653" xr:uid="{00000000-0005-0000-0000-0000405F0000}"/>
    <cellStyle name="Note 13 2 6 3 2" xfId="49486" xr:uid="{A2519A22-D171-407C-807C-4DAE02BD1FDE}"/>
    <cellStyle name="Note 13 2 6 4" xfId="33609" xr:uid="{24D07F42-0104-47A9-AA14-1CD4B35B14DC}"/>
    <cellStyle name="Note 13 2 7" xfId="10647" xr:uid="{00000000-0005-0000-0000-0000415F0000}"/>
    <cellStyle name="Note 13 2 7 2" xfId="34497" xr:uid="{CCDACD96-989B-46BC-8868-D72DBD5ED398}"/>
    <cellStyle name="Note 13 2 8" xfId="18602" xr:uid="{00000000-0005-0000-0000-0000425F0000}"/>
    <cellStyle name="Note 13 2 8 2" xfId="42435" xr:uid="{11D80C82-2019-4585-AEC4-3FA693F17F90}"/>
    <cellStyle name="Note 13 2 9" xfId="26555" xr:uid="{07198167-BECF-4F7C-9C68-E79D214DA7BD}"/>
    <cellStyle name="Note 13 2_Exh G" xfId="3594" xr:uid="{00000000-0005-0000-0000-0000435F0000}"/>
    <cellStyle name="Note 13 3" xfId="701" xr:uid="{00000000-0005-0000-0000-0000445F0000}"/>
    <cellStyle name="Note 13 3 2" xfId="1729" xr:uid="{00000000-0005-0000-0000-0000455F0000}"/>
    <cellStyle name="Note 13 3 2 2" xfId="5259" xr:uid="{00000000-0005-0000-0000-0000465F0000}"/>
    <cellStyle name="Note 13 3 2 2 2" xfId="8850" xr:uid="{00000000-0005-0000-0000-0000475F0000}"/>
    <cellStyle name="Note 13 3 2 2 2 2" xfId="16821" xr:uid="{00000000-0005-0000-0000-0000485F0000}"/>
    <cellStyle name="Note 13 3 2 2 2 2 2" xfId="40664" xr:uid="{3A4959A1-08C6-429B-8ECC-393A745DC5CC}"/>
    <cellStyle name="Note 13 3 2 2 2 3" xfId="24767" xr:uid="{00000000-0005-0000-0000-0000495F0000}"/>
    <cellStyle name="Note 13 3 2 2 2 3 2" xfId="48600" xr:uid="{3931DC01-F6A2-44F2-8F34-1EED0FEBE121}"/>
    <cellStyle name="Note 13 3 2 2 2 4" xfId="32723" xr:uid="{B7328DB3-1800-4537-BD09-14613016697B}"/>
    <cellStyle name="Note 13 3 2 2 3" xfId="13283" xr:uid="{00000000-0005-0000-0000-00004A5F0000}"/>
    <cellStyle name="Note 13 3 2 2 3 2" xfId="37133" xr:uid="{F067FF56-5387-47F0-9310-808D7540BED4}"/>
    <cellStyle name="Note 13 3 2 2 4" xfId="21238" xr:uid="{00000000-0005-0000-0000-00004B5F0000}"/>
    <cellStyle name="Note 13 3 2 2 4 2" xfId="45071" xr:uid="{28660AD3-397E-4BBE-803D-12958B45AA2C}"/>
    <cellStyle name="Note 13 3 2 2 5" xfId="29192" xr:uid="{905D6918-BA91-4348-9CF1-C3373B9F25EF}"/>
    <cellStyle name="Note 13 3 2 3" xfId="7091" xr:uid="{00000000-0005-0000-0000-00004C5F0000}"/>
    <cellStyle name="Note 13 3 2 3 2" xfId="15063" xr:uid="{00000000-0005-0000-0000-00004D5F0000}"/>
    <cellStyle name="Note 13 3 2 3 2 2" xfId="38906" xr:uid="{C54920C4-39C4-4320-A048-B8F3E8924436}"/>
    <cellStyle name="Note 13 3 2 3 3" xfId="23010" xr:uid="{00000000-0005-0000-0000-00004E5F0000}"/>
    <cellStyle name="Note 13 3 2 3 3 2" xfId="46843" xr:uid="{21D81DCE-3877-4A32-B4A6-4A777E79D5AD}"/>
    <cellStyle name="Note 13 3 2 3 4" xfId="30965" xr:uid="{9267A9D6-D882-47A4-908F-4DD2475B7356}"/>
    <cellStyle name="Note 13 3 2 4" xfId="11527" xr:uid="{00000000-0005-0000-0000-00004F5F0000}"/>
    <cellStyle name="Note 13 3 2 4 2" xfId="35377" xr:uid="{857BF57F-D252-4D2E-ABD9-FCA59D497798}"/>
    <cellStyle name="Note 13 3 2 5" xfId="19482" xr:uid="{00000000-0005-0000-0000-0000505F0000}"/>
    <cellStyle name="Note 13 3 2 5 2" xfId="43315" xr:uid="{60ED4AD4-34F9-475B-A606-EDA15F53A049}"/>
    <cellStyle name="Note 13 3 2 6" xfId="27435" xr:uid="{05844245-2432-46C2-9BB9-F195F2B58664}"/>
    <cellStyle name="Note 13 3 2_Exh G" xfId="3599" xr:uid="{00000000-0005-0000-0000-0000515F0000}"/>
    <cellStyle name="Note 13 3 3" xfId="4380" xr:uid="{00000000-0005-0000-0000-0000525F0000}"/>
    <cellStyle name="Note 13 3 3 2" xfId="7972" xr:uid="{00000000-0005-0000-0000-0000535F0000}"/>
    <cellStyle name="Note 13 3 3 2 2" xfId="15943" xr:uid="{00000000-0005-0000-0000-0000545F0000}"/>
    <cellStyle name="Note 13 3 3 2 2 2" xfId="39786" xr:uid="{B56D0C39-DF9F-482C-9777-A14AB3EF4F78}"/>
    <cellStyle name="Note 13 3 3 2 3" xfId="23889" xr:uid="{00000000-0005-0000-0000-0000555F0000}"/>
    <cellStyle name="Note 13 3 3 2 3 2" xfId="47722" xr:uid="{7C8DD5C3-C823-4BE8-A625-1A2D4C3F487D}"/>
    <cellStyle name="Note 13 3 3 2 4" xfId="31845" xr:uid="{0FE1B94D-9423-4388-83FC-716B86CA14A3}"/>
    <cellStyle name="Note 13 3 3 3" xfId="12405" xr:uid="{00000000-0005-0000-0000-0000565F0000}"/>
    <cellStyle name="Note 13 3 3 3 2" xfId="36255" xr:uid="{FD4D8E1E-CE02-4CC3-9927-4F4EA973F16A}"/>
    <cellStyle name="Note 13 3 3 4" xfId="20360" xr:uid="{00000000-0005-0000-0000-0000575F0000}"/>
    <cellStyle name="Note 13 3 3 4 2" xfId="44193" xr:uid="{69F3DBEC-5E52-49C2-A871-668B260B3172}"/>
    <cellStyle name="Note 13 3 3 5" xfId="28314" xr:uid="{3E7FF69C-7070-43EF-8EA3-6731F34C3851}"/>
    <cellStyle name="Note 13 3 4" xfId="6200" xr:uid="{00000000-0005-0000-0000-0000585F0000}"/>
    <cellStyle name="Note 13 3 4 2" xfId="14184" xr:uid="{00000000-0005-0000-0000-0000595F0000}"/>
    <cellStyle name="Note 13 3 4 2 2" xfId="38028" xr:uid="{C839A9B6-A9FA-4025-9864-86DDED7E738F}"/>
    <cellStyle name="Note 13 3 4 3" xfId="22132" xr:uid="{00000000-0005-0000-0000-00005A5F0000}"/>
    <cellStyle name="Note 13 3 4 3 2" xfId="45965" xr:uid="{F9408599-7B60-4EA4-8813-C6DC393D5E2B}"/>
    <cellStyle name="Note 13 3 4 4" xfId="30087" xr:uid="{7F30711A-58E1-4AD1-BEE1-3778DC6640C5}"/>
    <cellStyle name="Note 13 3 5" xfId="9753" xr:uid="{00000000-0005-0000-0000-00005B5F0000}"/>
    <cellStyle name="Note 13 3 5 2" xfId="17711" xr:uid="{00000000-0005-0000-0000-00005C5F0000}"/>
    <cellStyle name="Note 13 3 5 2 2" xfId="41552" xr:uid="{0FCDB1DE-BAD5-49BF-9CFB-2EEEE9DA2647}"/>
    <cellStyle name="Note 13 3 5 3" xfId="25655" xr:uid="{00000000-0005-0000-0000-00005D5F0000}"/>
    <cellStyle name="Note 13 3 5 3 2" xfId="49488" xr:uid="{B9CD72C9-01D2-4894-BBA5-10196D1BB3B5}"/>
    <cellStyle name="Note 13 3 5 4" xfId="33611" xr:uid="{649DA29C-134A-4694-B42E-1C2DDFCDA548}"/>
    <cellStyle name="Note 13 3 6" xfId="10649" xr:uid="{00000000-0005-0000-0000-00005E5F0000}"/>
    <cellStyle name="Note 13 3 6 2" xfId="34499" xr:uid="{E04110B8-88F8-4790-BAEA-CAB2DAE50B0C}"/>
    <cellStyle name="Note 13 3 7" xfId="18604" xr:uid="{00000000-0005-0000-0000-00005F5F0000}"/>
    <cellStyle name="Note 13 3 7 2" xfId="42437" xr:uid="{480592E9-6DD2-4543-87C4-37C72E4184F9}"/>
    <cellStyle name="Note 13 3 8" xfId="26557" xr:uid="{71881DA7-CF08-40B9-A384-3F574B312444}"/>
    <cellStyle name="Note 13 3_Exh G" xfId="3598" xr:uid="{00000000-0005-0000-0000-0000605F0000}"/>
    <cellStyle name="Note 13 4" xfId="1726" xr:uid="{00000000-0005-0000-0000-0000615F0000}"/>
    <cellStyle name="Note 13 4 2" xfId="5256" xr:uid="{00000000-0005-0000-0000-0000625F0000}"/>
    <cellStyle name="Note 13 4 2 2" xfId="8847" xr:uid="{00000000-0005-0000-0000-0000635F0000}"/>
    <cellStyle name="Note 13 4 2 2 2" xfId="16818" xr:uid="{00000000-0005-0000-0000-0000645F0000}"/>
    <cellStyle name="Note 13 4 2 2 2 2" xfId="40661" xr:uid="{8A713D06-685D-487F-83AA-9EEC251787E7}"/>
    <cellStyle name="Note 13 4 2 2 3" xfId="24764" xr:uid="{00000000-0005-0000-0000-0000655F0000}"/>
    <cellStyle name="Note 13 4 2 2 3 2" xfId="48597" xr:uid="{7E0321DF-622C-4030-9288-CA439FA98E2C}"/>
    <cellStyle name="Note 13 4 2 2 4" xfId="32720" xr:uid="{56B8CF41-8C92-4509-9882-2D4D27EEBF3F}"/>
    <cellStyle name="Note 13 4 2 3" xfId="13280" xr:uid="{00000000-0005-0000-0000-0000665F0000}"/>
    <cellStyle name="Note 13 4 2 3 2" xfId="37130" xr:uid="{FCB30E4C-675A-4FF6-9DBD-889B2DDF6D69}"/>
    <cellStyle name="Note 13 4 2 4" xfId="21235" xr:uid="{00000000-0005-0000-0000-0000675F0000}"/>
    <cellStyle name="Note 13 4 2 4 2" xfId="45068" xr:uid="{CB3DB2D1-6C36-43B7-AFB0-F00EBDBAC8B0}"/>
    <cellStyle name="Note 13 4 2 5" xfId="29189" xr:uid="{9F65802A-A86F-4D75-AD91-605931810512}"/>
    <cellStyle name="Note 13 4 3" xfId="7088" xr:uid="{00000000-0005-0000-0000-0000685F0000}"/>
    <cellStyle name="Note 13 4 3 2" xfId="15060" xr:uid="{00000000-0005-0000-0000-0000695F0000}"/>
    <cellStyle name="Note 13 4 3 2 2" xfId="38903" xr:uid="{B9C60AF9-A555-400C-A574-60E5EC1D51C7}"/>
    <cellStyle name="Note 13 4 3 3" xfId="23007" xr:uid="{00000000-0005-0000-0000-00006A5F0000}"/>
    <cellStyle name="Note 13 4 3 3 2" xfId="46840" xr:uid="{BA830785-A7BC-4701-9AAF-4D47C0D212EC}"/>
    <cellStyle name="Note 13 4 3 4" xfId="30962" xr:uid="{4EF463DE-1B32-41F8-866B-6E0259BB2D03}"/>
    <cellStyle name="Note 13 4 4" xfId="11524" xr:uid="{00000000-0005-0000-0000-00006B5F0000}"/>
    <cellStyle name="Note 13 4 4 2" xfId="35374" xr:uid="{390F38BD-BF98-4082-961F-77FC87CB48B0}"/>
    <cellStyle name="Note 13 4 5" xfId="19479" xr:uid="{00000000-0005-0000-0000-00006C5F0000}"/>
    <cellStyle name="Note 13 4 5 2" xfId="43312" xr:uid="{88528CF3-F11D-4162-A056-BCD3FC16A0C9}"/>
    <cellStyle name="Note 13 4 6" xfId="27432" xr:uid="{CA82F43C-9308-4954-9EC5-BB053651A520}"/>
    <cellStyle name="Note 13 4_Exh G" xfId="3600" xr:uid="{00000000-0005-0000-0000-00006D5F0000}"/>
    <cellStyle name="Note 13 5" xfId="4377" xr:uid="{00000000-0005-0000-0000-00006E5F0000}"/>
    <cellStyle name="Note 13 5 2" xfId="7969" xr:uid="{00000000-0005-0000-0000-00006F5F0000}"/>
    <cellStyle name="Note 13 5 2 2" xfId="15940" xr:uid="{00000000-0005-0000-0000-0000705F0000}"/>
    <cellStyle name="Note 13 5 2 2 2" xfId="39783" xr:uid="{AD8E9FF8-3712-4F21-A667-1841169491D7}"/>
    <cellStyle name="Note 13 5 2 3" xfId="23886" xr:uid="{00000000-0005-0000-0000-0000715F0000}"/>
    <cellStyle name="Note 13 5 2 3 2" xfId="47719" xr:uid="{EE1EF38F-E55F-4D70-8FC4-B77EBDA0E7B8}"/>
    <cellStyle name="Note 13 5 2 4" xfId="31842" xr:uid="{FE5492B3-2C40-4E68-A18F-BABB67607079}"/>
    <cellStyle name="Note 13 5 3" xfId="12402" xr:uid="{00000000-0005-0000-0000-0000725F0000}"/>
    <cellStyle name="Note 13 5 3 2" xfId="36252" xr:uid="{6061E35B-1344-4707-83E7-18876AA06350}"/>
    <cellStyle name="Note 13 5 4" xfId="20357" xr:uid="{00000000-0005-0000-0000-0000735F0000}"/>
    <cellStyle name="Note 13 5 4 2" xfId="44190" xr:uid="{7812A965-1CE4-4763-BACB-7F80C223928F}"/>
    <cellStyle name="Note 13 5 5" xfId="28311" xr:uid="{BEC16F2A-C676-45D3-BB2A-8B6E715BBE80}"/>
    <cellStyle name="Note 13 6" xfId="6197" xr:uid="{00000000-0005-0000-0000-0000745F0000}"/>
    <cellStyle name="Note 13 6 2" xfId="14181" xr:uid="{00000000-0005-0000-0000-0000755F0000}"/>
    <cellStyle name="Note 13 6 2 2" xfId="38025" xr:uid="{E7E0B022-FE12-4D46-BA10-076018119599}"/>
    <cellStyle name="Note 13 6 3" xfId="22129" xr:uid="{00000000-0005-0000-0000-0000765F0000}"/>
    <cellStyle name="Note 13 6 3 2" xfId="45962" xr:uid="{6498AC32-41A3-432F-8484-5302D2DEAA08}"/>
    <cellStyle name="Note 13 6 4" xfId="30084" xr:uid="{7C8D194B-4AE9-49FE-8852-A6C35A610A86}"/>
    <cellStyle name="Note 13 7" xfId="9750" xr:uid="{00000000-0005-0000-0000-0000775F0000}"/>
    <cellStyle name="Note 13 7 2" xfId="17708" xr:uid="{00000000-0005-0000-0000-0000785F0000}"/>
    <cellStyle name="Note 13 7 2 2" xfId="41549" xr:uid="{D536261B-AB34-4176-9DD8-318257AB0556}"/>
    <cellStyle name="Note 13 7 3" xfId="25652" xr:uid="{00000000-0005-0000-0000-0000795F0000}"/>
    <cellStyle name="Note 13 7 3 2" xfId="49485" xr:uid="{0FE51794-BCC7-4320-B632-93BAD92DCFC2}"/>
    <cellStyle name="Note 13 7 4" xfId="33608" xr:uid="{DD0FE282-9C60-4D4F-BBD9-A59A2BF7F19D}"/>
    <cellStyle name="Note 13 8" xfId="10646" xr:uid="{00000000-0005-0000-0000-00007A5F0000}"/>
    <cellStyle name="Note 13 8 2" xfId="34496" xr:uid="{88128B7A-B8DE-41AF-ABCF-1757E659677B}"/>
    <cellStyle name="Note 13 9" xfId="18601" xr:uid="{00000000-0005-0000-0000-00007B5F0000}"/>
    <cellStyle name="Note 13 9 2" xfId="42434" xr:uid="{4631451E-75F5-4DE0-895B-043527B3B16A}"/>
    <cellStyle name="Note 13_Exh G" xfId="3593" xr:uid="{00000000-0005-0000-0000-00007C5F0000}"/>
    <cellStyle name="Note 14" xfId="702" xr:uid="{00000000-0005-0000-0000-00007D5F0000}"/>
    <cellStyle name="Note 14 10" xfId="26558" xr:uid="{B052CE58-BB1E-428C-95D0-79C6228D6AF5}"/>
    <cellStyle name="Note 14 2" xfId="703" xr:uid="{00000000-0005-0000-0000-00007E5F0000}"/>
    <cellStyle name="Note 14 2 2" xfId="704" xr:uid="{00000000-0005-0000-0000-00007F5F0000}"/>
    <cellStyle name="Note 14 2 2 2" xfId="1732" xr:uid="{00000000-0005-0000-0000-0000805F0000}"/>
    <cellStyle name="Note 14 2 2 2 2" xfId="5262" xr:uid="{00000000-0005-0000-0000-0000815F0000}"/>
    <cellStyle name="Note 14 2 2 2 2 2" xfId="8853" xr:uid="{00000000-0005-0000-0000-0000825F0000}"/>
    <cellStyle name="Note 14 2 2 2 2 2 2" xfId="16824" xr:uid="{00000000-0005-0000-0000-0000835F0000}"/>
    <cellStyle name="Note 14 2 2 2 2 2 2 2" xfId="40667" xr:uid="{E226E0BA-5E89-4BD7-BA0F-FBC51B860351}"/>
    <cellStyle name="Note 14 2 2 2 2 2 3" xfId="24770" xr:uid="{00000000-0005-0000-0000-0000845F0000}"/>
    <cellStyle name="Note 14 2 2 2 2 2 3 2" xfId="48603" xr:uid="{609BDD47-E52F-4E30-B19A-D09B61E2A5A6}"/>
    <cellStyle name="Note 14 2 2 2 2 2 4" xfId="32726" xr:uid="{FB2B6A2E-203A-4C74-B981-B3CB2AEDE4A6}"/>
    <cellStyle name="Note 14 2 2 2 2 3" xfId="13286" xr:uid="{00000000-0005-0000-0000-0000855F0000}"/>
    <cellStyle name="Note 14 2 2 2 2 3 2" xfId="37136" xr:uid="{3F2365AC-16F7-4033-8EEE-BCC62208B818}"/>
    <cellStyle name="Note 14 2 2 2 2 4" xfId="21241" xr:uid="{00000000-0005-0000-0000-0000865F0000}"/>
    <cellStyle name="Note 14 2 2 2 2 4 2" xfId="45074" xr:uid="{95826533-2678-4B83-8C30-63CDA236C56D}"/>
    <cellStyle name="Note 14 2 2 2 2 5" xfId="29195" xr:uid="{DA9CEDEB-B56C-494E-87DC-C498AF9D5BD8}"/>
    <cellStyle name="Note 14 2 2 2 3" xfId="7094" xr:uid="{00000000-0005-0000-0000-0000875F0000}"/>
    <cellStyle name="Note 14 2 2 2 3 2" xfId="15066" xr:uid="{00000000-0005-0000-0000-0000885F0000}"/>
    <cellStyle name="Note 14 2 2 2 3 2 2" xfId="38909" xr:uid="{B6490FB2-37F6-438F-8115-9619145EBD79}"/>
    <cellStyle name="Note 14 2 2 2 3 3" xfId="23013" xr:uid="{00000000-0005-0000-0000-0000895F0000}"/>
    <cellStyle name="Note 14 2 2 2 3 3 2" xfId="46846" xr:uid="{9C023685-1073-48E8-899D-8FE4AC609623}"/>
    <cellStyle name="Note 14 2 2 2 3 4" xfId="30968" xr:uid="{7C24AFA5-A130-460B-A41E-580013F18F92}"/>
    <cellStyle name="Note 14 2 2 2 4" xfId="11530" xr:uid="{00000000-0005-0000-0000-00008A5F0000}"/>
    <cellStyle name="Note 14 2 2 2 4 2" xfId="35380" xr:uid="{12EDDA51-C977-4271-A37B-A5ED8A0E81BA}"/>
    <cellStyle name="Note 14 2 2 2 5" xfId="19485" xr:uid="{00000000-0005-0000-0000-00008B5F0000}"/>
    <cellStyle name="Note 14 2 2 2 5 2" xfId="43318" xr:uid="{C6006446-72CD-4157-8812-1F403516688C}"/>
    <cellStyle name="Note 14 2 2 2 6" xfId="27438" xr:uid="{9495B279-067F-4943-B671-92266E24E4F7}"/>
    <cellStyle name="Note 14 2 2 2_Exh G" xfId="3604" xr:uid="{00000000-0005-0000-0000-00008C5F0000}"/>
    <cellStyle name="Note 14 2 2 3" xfId="4383" xr:uid="{00000000-0005-0000-0000-00008D5F0000}"/>
    <cellStyle name="Note 14 2 2 3 2" xfId="7975" xr:uid="{00000000-0005-0000-0000-00008E5F0000}"/>
    <cellStyle name="Note 14 2 2 3 2 2" xfId="15946" xr:uid="{00000000-0005-0000-0000-00008F5F0000}"/>
    <cellStyle name="Note 14 2 2 3 2 2 2" xfId="39789" xr:uid="{853C9227-EC8A-4748-9F01-698FB7B004B2}"/>
    <cellStyle name="Note 14 2 2 3 2 3" xfId="23892" xr:uid="{00000000-0005-0000-0000-0000905F0000}"/>
    <cellStyle name="Note 14 2 2 3 2 3 2" xfId="47725" xr:uid="{D04D0B6B-3AFC-4240-9FEB-D25232867766}"/>
    <cellStyle name="Note 14 2 2 3 2 4" xfId="31848" xr:uid="{A801A2DB-CBC6-40E5-8F14-EB80C7532D13}"/>
    <cellStyle name="Note 14 2 2 3 3" xfId="12408" xr:uid="{00000000-0005-0000-0000-0000915F0000}"/>
    <cellStyle name="Note 14 2 2 3 3 2" xfId="36258" xr:uid="{16821EBB-3792-4D51-9D39-8478B58D6703}"/>
    <cellStyle name="Note 14 2 2 3 4" xfId="20363" xr:uid="{00000000-0005-0000-0000-0000925F0000}"/>
    <cellStyle name="Note 14 2 2 3 4 2" xfId="44196" xr:uid="{AFA32456-9106-4E6C-BA50-5D0E0AA0C988}"/>
    <cellStyle name="Note 14 2 2 3 5" xfId="28317" xr:uid="{B3E3AD6E-5B75-4365-A6BA-2D479A569345}"/>
    <cellStyle name="Note 14 2 2 4" xfId="6203" xr:uid="{00000000-0005-0000-0000-0000935F0000}"/>
    <cellStyle name="Note 14 2 2 4 2" xfId="14187" xr:uid="{00000000-0005-0000-0000-0000945F0000}"/>
    <cellStyle name="Note 14 2 2 4 2 2" xfId="38031" xr:uid="{EBBA5A96-1A7C-42E7-8C36-097530833B71}"/>
    <cellStyle name="Note 14 2 2 4 3" xfId="22135" xr:uid="{00000000-0005-0000-0000-0000955F0000}"/>
    <cellStyle name="Note 14 2 2 4 3 2" xfId="45968" xr:uid="{603B5D8A-E65A-4B2F-9061-4D7B46174565}"/>
    <cellStyle name="Note 14 2 2 4 4" xfId="30090" xr:uid="{7905E6F4-7E20-46BF-BF2A-018E38A29E34}"/>
    <cellStyle name="Note 14 2 2 5" xfId="9756" xr:uid="{00000000-0005-0000-0000-0000965F0000}"/>
    <cellStyle name="Note 14 2 2 5 2" xfId="17714" xr:uid="{00000000-0005-0000-0000-0000975F0000}"/>
    <cellStyle name="Note 14 2 2 5 2 2" xfId="41555" xr:uid="{89FBADCC-9AAE-4E67-A1EF-A67512F3B037}"/>
    <cellStyle name="Note 14 2 2 5 3" xfId="25658" xr:uid="{00000000-0005-0000-0000-0000985F0000}"/>
    <cellStyle name="Note 14 2 2 5 3 2" xfId="49491" xr:uid="{DDF4E77E-0212-4F76-9D98-BD99AE44B66F}"/>
    <cellStyle name="Note 14 2 2 5 4" xfId="33614" xr:uid="{B4ECFB37-06FE-423C-864F-7BD27B5BF562}"/>
    <cellStyle name="Note 14 2 2 6" xfId="10652" xr:uid="{00000000-0005-0000-0000-0000995F0000}"/>
    <cellStyle name="Note 14 2 2 6 2" xfId="34502" xr:uid="{050B710D-8CD8-4A0E-AECC-6B3FBC901724}"/>
    <cellStyle name="Note 14 2 2 7" xfId="18607" xr:uid="{00000000-0005-0000-0000-00009A5F0000}"/>
    <cellStyle name="Note 14 2 2 7 2" xfId="42440" xr:uid="{215CF3B5-157B-4085-954D-9646E280FA28}"/>
    <cellStyle name="Note 14 2 2 8" xfId="26560" xr:uid="{6A1F04DF-7858-44D1-902B-C92E047A2BE6}"/>
    <cellStyle name="Note 14 2 2_Exh G" xfId="3603" xr:uid="{00000000-0005-0000-0000-00009B5F0000}"/>
    <cellStyle name="Note 14 2 3" xfId="1731" xr:uid="{00000000-0005-0000-0000-00009C5F0000}"/>
    <cellStyle name="Note 14 2 3 2" xfId="5261" xr:uid="{00000000-0005-0000-0000-00009D5F0000}"/>
    <cellStyle name="Note 14 2 3 2 2" xfId="8852" xr:uid="{00000000-0005-0000-0000-00009E5F0000}"/>
    <cellStyle name="Note 14 2 3 2 2 2" xfId="16823" xr:uid="{00000000-0005-0000-0000-00009F5F0000}"/>
    <cellStyle name="Note 14 2 3 2 2 2 2" xfId="40666" xr:uid="{0ED1170E-C306-4E4D-8547-49F60555E788}"/>
    <cellStyle name="Note 14 2 3 2 2 3" xfId="24769" xr:uid="{00000000-0005-0000-0000-0000A05F0000}"/>
    <cellStyle name="Note 14 2 3 2 2 3 2" xfId="48602" xr:uid="{C62CC582-5472-40AA-ACDB-081DC69F3F84}"/>
    <cellStyle name="Note 14 2 3 2 2 4" xfId="32725" xr:uid="{391890B1-DFD5-47C2-8158-7F44289CC25E}"/>
    <cellStyle name="Note 14 2 3 2 3" xfId="13285" xr:uid="{00000000-0005-0000-0000-0000A15F0000}"/>
    <cellStyle name="Note 14 2 3 2 3 2" xfId="37135" xr:uid="{03A99C87-53A5-4316-AEA3-C475E2D90ABB}"/>
    <cellStyle name="Note 14 2 3 2 4" xfId="21240" xr:uid="{00000000-0005-0000-0000-0000A25F0000}"/>
    <cellStyle name="Note 14 2 3 2 4 2" xfId="45073" xr:uid="{D1F2AAB3-400A-418A-ADF6-760BBEE1E6AE}"/>
    <cellStyle name="Note 14 2 3 2 5" xfId="29194" xr:uid="{5B5B4BC7-B7E9-4685-9164-C3A02FB1EC05}"/>
    <cellStyle name="Note 14 2 3 3" xfId="7093" xr:uid="{00000000-0005-0000-0000-0000A35F0000}"/>
    <cellStyle name="Note 14 2 3 3 2" xfId="15065" xr:uid="{00000000-0005-0000-0000-0000A45F0000}"/>
    <cellStyle name="Note 14 2 3 3 2 2" xfId="38908" xr:uid="{D98D83F8-1F06-48FC-8490-5B9A9DB6DD75}"/>
    <cellStyle name="Note 14 2 3 3 3" xfId="23012" xr:uid="{00000000-0005-0000-0000-0000A55F0000}"/>
    <cellStyle name="Note 14 2 3 3 3 2" xfId="46845" xr:uid="{9DC733D8-2465-4D4F-98F8-FB1612DD702D}"/>
    <cellStyle name="Note 14 2 3 3 4" xfId="30967" xr:uid="{88FA2654-19CC-4FAA-8BF0-879E180B6B45}"/>
    <cellStyle name="Note 14 2 3 4" xfId="11529" xr:uid="{00000000-0005-0000-0000-0000A65F0000}"/>
    <cellStyle name="Note 14 2 3 4 2" xfId="35379" xr:uid="{BDC8E395-7CB5-4336-A25D-5A1F45FDE4D7}"/>
    <cellStyle name="Note 14 2 3 5" xfId="19484" xr:uid="{00000000-0005-0000-0000-0000A75F0000}"/>
    <cellStyle name="Note 14 2 3 5 2" xfId="43317" xr:uid="{43DE9F9C-A864-46D9-B9D0-94DEA6F82EB4}"/>
    <cellStyle name="Note 14 2 3 6" xfId="27437" xr:uid="{BDB67320-02DC-4420-A7B7-E95CB2ACED12}"/>
    <cellStyle name="Note 14 2 3_Exh G" xfId="3605" xr:uid="{00000000-0005-0000-0000-0000A85F0000}"/>
    <cellStyle name="Note 14 2 4" xfId="4382" xr:uid="{00000000-0005-0000-0000-0000A95F0000}"/>
    <cellStyle name="Note 14 2 4 2" xfId="7974" xr:uid="{00000000-0005-0000-0000-0000AA5F0000}"/>
    <cellStyle name="Note 14 2 4 2 2" xfId="15945" xr:uid="{00000000-0005-0000-0000-0000AB5F0000}"/>
    <cellStyle name="Note 14 2 4 2 2 2" xfId="39788" xr:uid="{6CA21C0C-0CE6-4B58-A642-8B3347BE2616}"/>
    <cellStyle name="Note 14 2 4 2 3" xfId="23891" xr:uid="{00000000-0005-0000-0000-0000AC5F0000}"/>
    <cellStyle name="Note 14 2 4 2 3 2" xfId="47724" xr:uid="{8D903F09-30AE-447C-98C4-2E41C8D8EB73}"/>
    <cellStyle name="Note 14 2 4 2 4" xfId="31847" xr:uid="{DC96B6A0-8B7C-46C3-BDE3-77190DD5F163}"/>
    <cellStyle name="Note 14 2 4 3" xfId="12407" xr:uid="{00000000-0005-0000-0000-0000AD5F0000}"/>
    <cellStyle name="Note 14 2 4 3 2" xfId="36257" xr:uid="{BB0B4BEE-0B0E-4EC4-A679-61A3950A3AAB}"/>
    <cellStyle name="Note 14 2 4 4" xfId="20362" xr:uid="{00000000-0005-0000-0000-0000AE5F0000}"/>
    <cellStyle name="Note 14 2 4 4 2" xfId="44195" xr:uid="{36AA5D44-F9F0-48D3-A711-354B4A9C6133}"/>
    <cellStyle name="Note 14 2 4 5" xfId="28316" xr:uid="{3E13B3E7-2EEA-44FA-A932-161B7EE40DE0}"/>
    <cellStyle name="Note 14 2 5" xfId="6202" xr:uid="{00000000-0005-0000-0000-0000AF5F0000}"/>
    <cellStyle name="Note 14 2 5 2" xfId="14186" xr:uid="{00000000-0005-0000-0000-0000B05F0000}"/>
    <cellStyle name="Note 14 2 5 2 2" xfId="38030" xr:uid="{A1DF9B73-351F-4C64-BF60-340111B9695C}"/>
    <cellStyle name="Note 14 2 5 3" xfId="22134" xr:uid="{00000000-0005-0000-0000-0000B15F0000}"/>
    <cellStyle name="Note 14 2 5 3 2" xfId="45967" xr:uid="{A8193B0E-9AE3-4C75-97F1-050CECAA3245}"/>
    <cellStyle name="Note 14 2 5 4" xfId="30089" xr:uid="{25B6C249-4470-4EEB-9956-F6A6D031DA5C}"/>
    <cellStyle name="Note 14 2 6" xfId="9755" xr:uid="{00000000-0005-0000-0000-0000B25F0000}"/>
    <cellStyle name="Note 14 2 6 2" xfId="17713" xr:uid="{00000000-0005-0000-0000-0000B35F0000}"/>
    <cellStyle name="Note 14 2 6 2 2" xfId="41554" xr:uid="{FE9B8F43-4259-48F7-8B4A-18A643479F02}"/>
    <cellStyle name="Note 14 2 6 3" xfId="25657" xr:uid="{00000000-0005-0000-0000-0000B45F0000}"/>
    <cellStyle name="Note 14 2 6 3 2" xfId="49490" xr:uid="{27A4A91F-EE89-48AF-A946-367191D24F50}"/>
    <cellStyle name="Note 14 2 6 4" xfId="33613" xr:uid="{5AC8391B-8C92-4EEA-9002-C174C080CC1F}"/>
    <cellStyle name="Note 14 2 7" xfId="10651" xr:uid="{00000000-0005-0000-0000-0000B55F0000}"/>
    <cellStyle name="Note 14 2 7 2" xfId="34501" xr:uid="{95157F19-45C0-40A7-81A2-D610999DD09B}"/>
    <cellStyle name="Note 14 2 8" xfId="18606" xr:uid="{00000000-0005-0000-0000-0000B65F0000}"/>
    <cellStyle name="Note 14 2 8 2" xfId="42439" xr:uid="{1399D312-1E4D-430E-9DF1-4D02AD68A884}"/>
    <cellStyle name="Note 14 2 9" xfId="26559" xr:uid="{668328B2-B532-409E-8D4F-EBAE5AAC622A}"/>
    <cellStyle name="Note 14 2_Exh G" xfId="3602" xr:uid="{00000000-0005-0000-0000-0000B75F0000}"/>
    <cellStyle name="Note 14 3" xfId="705" xr:uid="{00000000-0005-0000-0000-0000B85F0000}"/>
    <cellStyle name="Note 14 3 2" xfId="1733" xr:uid="{00000000-0005-0000-0000-0000B95F0000}"/>
    <cellStyle name="Note 14 3 2 2" xfId="5263" xr:uid="{00000000-0005-0000-0000-0000BA5F0000}"/>
    <cellStyle name="Note 14 3 2 2 2" xfId="8854" xr:uid="{00000000-0005-0000-0000-0000BB5F0000}"/>
    <cellStyle name="Note 14 3 2 2 2 2" xfId="16825" xr:uid="{00000000-0005-0000-0000-0000BC5F0000}"/>
    <cellStyle name="Note 14 3 2 2 2 2 2" xfId="40668" xr:uid="{9B487F16-610C-47A0-A868-496E5C1F14CD}"/>
    <cellStyle name="Note 14 3 2 2 2 3" xfId="24771" xr:uid="{00000000-0005-0000-0000-0000BD5F0000}"/>
    <cellStyle name="Note 14 3 2 2 2 3 2" xfId="48604" xr:uid="{8CC52806-BA46-40F5-99A7-F8EA0FFF1ED1}"/>
    <cellStyle name="Note 14 3 2 2 2 4" xfId="32727" xr:uid="{B0474BD9-BD15-4D0A-AE58-92C1D9C66677}"/>
    <cellStyle name="Note 14 3 2 2 3" xfId="13287" xr:uid="{00000000-0005-0000-0000-0000BE5F0000}"/>
    <cellStyle name="Note 14 3 2 2 3 2" xfId="37137" xr:uid="{200C0902-DBB1-4266-80BC-9DC90023A70A}"/>
    <cellStyle name="Note 14 3 2 2 4" xfId="21242" xr:uid="{00000000-0005-0000-0000-0000BF5F0000}"/>
    <cellStyle name="Note 14 3 2 2 4 2" xfId="45075" xr:uid="{844C948C-6262-45A2-9CA3-3B7E599A7290}"/>
    <cellStyle name="Note 14 3 2 2 5" xfId="29196" xr:uid="{5B1331E3-9BD5-4B0B-BCC8-48880B0D0776}"/>
    <cellStyle name="Note 14 3 2 3" xfId="7095" xr:uid="{00000000-0005-0000-0000-0000C05F0000}"/>
    <cellStyle name="Note 14 3 2 3 2" xfId="15067" xr:uid="{00000000-0005-0000-0000-0000C15F0000}"/>
    <cellStyle name="Note 14 3 2 3 2 2" xfId="38910" xr:uid="{9AE97D53-5744-47A3-9DEA-3C64F2409385}"/>
    <cellStyle name="Note 14 3 2 3 3" xfId="23014" xr:uid="{00000000-0005-0000-0000-0000C25F0000}"/>
    <cellStyle name="Note 14 3 2 3 3 2" xfId="46847" xr:uid="{4B4D07C7-4A15-4F31-869A-3D660A756D56}"/>
    <cellStyle name="Note 14 3 2 3 4" xfId="30969" xr:uid="{8B882F66-C518-489D-8F1B-E7A0427BA90A}"/>
    <cellStyle name="Note 14 3 2 4" xfId="11531" xr:uid="{00000000-0005-0000-0000-0000C35F0000}"/>
    <cellStyle name="Note 14 3 2 4 2" xfId="35381" xr:uid="{CF129660-76AC-4267-8602-1998876175C9}"/>
    <cellStyle name="Note 14 3 2 5" xfId="19486" xr:uid="{00000000-0005-0000-0000-0000C45F0000}"/>
    <cellStyle name="Note 14 3 2 5 2" xfId="43319" xr:uid="{401AFB1A-C948-49B0-9AEF-9FA33D674AB9}"/>
    <cellStyle name="Note 14 3 2 6" xfId="27439" xr:uid="{BD1F9E65-64F9-4F3A-9EA9-FF06A7582776}"/>
    <cellStyle name="Note 14 3 2_Exh G" xfId="3607" xr:uid="{00000000-0005-0000-0000-0000C55F0000}"/>
    <cellStyle name="Note 14 3 3" xfId="4384" xr:uid="{00000000-0005-0000-0000-0000C65F0000}"/>
    <cellStyle name="Note 14 3 3 2" xfId="7976" xr:uid="{00000000-0005-0000-0000-0000C75F0000}"/>
    <cellStyle name="Note 14 3 3 2 2" xfId="15947" xr:uid="{00000000-0005-0000-0000-0000C85F0000}"/>
    <cellStyle name="Note 14 3 3 2 2 2" xfId="39790" xr:uid="{D8A3EE35-3E9B-497F-9A0D-9C88B23D933A}"/>
    <cellStyle name="Note 14 3 3 2 3" xfId="23893" xr:uid="{00000000-0005-0000-0000-0000C95F0000}"/>
    <cellStyle name="Note 14 3 3 2 3 2" xfId="47726" xr:uid="{F546A8A3-1506-491A-AB2D-959B341B8EF2}"/>
    <cellStyle name="Note 14 3 3 2 4" xfId="31849" xr:uid="{5BE3F484-2BBF-4DA8-ADC3-4B1960D6539D}"/>
    <cellStyle name="Note 14 3 3 3" xfId="12409" xr:uid="{00000000-0005-0000-0000-0000CA5F0000}"/>
    <cellStyle name="Note 14 3 3 3 2" xfId="36259" xr:uid="{7EF7E442-CDA3-4D19-8EDA-107CA8066DAB}"/>
    <cellStyle name="Note 14 3 3 4" xfId="20364" xr:uid="{00000000-0005-0000-0000-0000CB5F0000}"/>
    <cellStyle name="Note 14 3 3 4 2" xfId="44197" xr:uid="{9B0FFC1A-5A69-4751-AA87-36AAEECE9107}"/>
    <cellStyle name="Note 14 3 3 5" xfId="28318" xr:uid="{D0AE562C-0E2E-470D-9CCF-34BE1FAB8996}"/>
    <cellStyle name="Note 14 3 4" xfId="6204" xr:uid="{00000000-0005-0000-0000-0000CC5F0000}"/>
    <cellStyle name="Note 14 3 4 2" xfId="14188" xr:uid="{00000000-0005-0000-0000-0000CD5F0000}"/>
    <cellStyle name="Note 14 3 4 2 2" xfId="38032" xr:uid="{6DC469DB-9E32-494D-9002-901524ED809C}"/>
    <cellStyle name="Note 14 3 4 3" xfId="22136" xr:uid="{00000000-0005-0000-0000-0000CE5F0000}"/>
    <cellStyle name="Note 14 3 4 3 2" xfId="45969" xr:uid="{F874740F-2EEF-44A8-BE0B-5B5EE67D1281}"/>
    <cellStyle name="Note 14 3 4 4" xfId="30091" xr:uid="{EC657AEF-DB5A-414F-8EC0-78F2A8023109}"/>
    <cellStyle name="Note 14 3 5" xfId="9757" xr:uid="{00000000-0005-0000-0000-0000CF5F0000}"/>
    <cellStyle name="Note 14 3 5 2" xfId="17715" xr:uid="{00000000-0005-0000-0000-0000D05F0000}"/>
    <cellStyle name="Note 14 3 5 2 2" xfId="41556" xr:uid="{06DC52B3-C117-4815-A3A1-BB50891AE8EE}"/>
    <cellStyle name="Note 14 3 5 3" xfId="25659" xr:uid="{00000000-0005-0000-0000-0000D15F0000}"/>
    <cellStyle name="Note 14 3 5 3 2" xfId="49492" xr:uid="{9BBC2B1C-EB6B-4919-955C-A2A1FDCB48D1}"/>
    <cellStyle name="Note 14 3 5 4" xfId="33615" xr:uid="{2D94251C-B1A4-47F0-8FB6-9265B10D2F6D}"/>
    <cellStyle name="Note 14 3 6" xfId="10653" xr:uid="{00000000-0005-0000-0000-0000D25F0000}"/>
    <cellStyle name="Note 14 3 6 2" xfId="34503" xr:uid="{BECAC05A-0868-48E4-96B8-C37D3B2F3C18}"/>
    <cellStyle name="Note 14 3 7" xfId="18608" xr:uid="{00000000-0005-0000-0000-0000D35F0000}"/>
    <cellStyle name="Note 14 3 7 2" xfId="42441" xr:uid="{AC15E6A6-A6B9-4F10-A51B-596DDBEDAE05}"/>
    <cellStyle name="Note 14 3 8" xfId="26561" xr:uid="{D4C51CA2-1468-4A90-983E-F2EFA7B29A19}"/>
    <cellStyle name="Note 14 3_Exh G" xfId="3606" xr:uid="{00000000-0005-0000-0000-0000D45F0000}"/>
    <cellStyle name="Note 14 4" xfId="1730" xr:uid="{00000000-0005-0000-0000-0000D55F0000}"/>
    <cellStyle name="Note 14 4 2" xfId="5260" xr:uid="{00000000-0005-0000-0000-0000D65F0000}"/>
    <cellStyle name="Note 14 4 2 2" xfId="8851" xr:uid="{00000000-0005-0000-0000-0000D75F0000}"/>
    <cellStyle name="Note 14 4 2 2 2" xfId="16822" xr:uid="{00000000-0005-0000-0000-0000D85F0000}"/>
    <cellStyle name="Note 14 4 2 2 2 2" xfId="40665" xr:uid="{C9810A07-70AF-4875-A79B-7D868580618C}"/>
    <cellStyle name="Note 14 4 2 2 3" xfId="24768" xr:uid="{00000000-0005-0000-0000-0000D95F0000}"/>
    <cellStyle name="Note 14 4 2 2 3 2" xfId="48601" xr:uid="{CBEE9821-84AF-451A-8A82-B129ED918441}"/>
    <cellStyle name="Note 14 4 2 2 4" xfId="32724" xr:uid="{D3CD08F7-674A-4372-8D3D-847E33AB1BCB}"/>
    <cellStyle name="Note 14 4 2 3" xfId="13284" xr:uid="{00000000-0005-0000-0000-0000DA5F0000}"/>
    <cellStyle name="Note 14 4 2 3 2" xfId="37134" xr:uid="{D86A2044-E867-4939-8172-41B0323CD184}"/>
    <cellStyle name="Note 14 4 2 4" xfId="21239" xr:uid="{00000000-0005-0000-0000-0000DB5F0000}"/>
    <cellStyle name="Note 14 4 2 4 2" xfId="45072" xr:uid="{0DD330A9-5CE0-412D-A871-8291CE25FF4A}"/>
    <cellStyle name="Note 14 4 2 5" xfId="29193" xr:uid="{0DA8493D-42BA-4E81-9567-6C83CA7F4B43}"/>
    <cellStyle name="Note 14 4 3" xfId="7092" xr:uid="{00000000-0005-0000-0000-0000DC5F0000}"/>
    <cellStyle name="Note 14 4 3 2" xfId="15064" xr:uid="{00000000-0005-0000-0000-0000DD5F0000}"/>
    <cellStyle name="Note 14 4 3 2 2" xfId="38907" xr:uid="{C4F9B825-D5F9-4DF3-9902-5D9659F3B217}"/>
    <cellStyle name="Note 14 4 3 3" xfId="23011" xr:uid="{00000000-0005-0000-0000-0000DE5F0000}"/>
    <cellStyle name="Note 14 4 3 3 2" xfId="46844" xr:uid="{E1953024-5166-48E9-A4A9-3E4843B71FE4}"/>
    <cellStyle name="Note 14 4 3 4" xfId="30966" xr:uid="{57EFDB97-EA41-41E4-AF94-D7E780607258}"/>
    <cellStyle name="Note 14 4 4" xfId="11528" xr:uid="{00000000-0005-0000-0000-0000DF5F0000}"/>
    <cellStyle name="Note 14 4 4 2" xfId="35378" xr:uid="{DCF24089-C2A0-4C71-9217-A4D22CB408EC}"/>
    <cellStyle name="Note 14 4 5" xfId="19483" xr:uid="{00000000-0005-0000-0000-0000E05F0000}"/>
    <cellStyle name="Note 14 4 5 2" xfId="43316" xr:uid="{951BDD31-3E41-49EE-97CB-33ABE805C433}"/>
    <cellStyle name="Note 14 4 6" xfId="27436" xr:uid="{C5A06B93-83DA-4CCC-881C-EFB57759FF37}"/>
    <cellStyle name="Note 14 4_Exh G" xfId="3608" xr:uid="{00000000-0005-0000-0000-0000E15F0000}"/>
    <cellStyle name="Note 14 5" xfId="4381" xr:uid="{00000000-0005-0000-0000-0000E25F0000}"/>
    <cellStyle name="Note 14 5 2" xfId="7973" xr:uid="{00000000-0005-0000-0000-0000E35F0000}"/>
    <cellStyle name="Note 14 5 2 2" xfId="15944" xr:uid="{00000000-0005-0000-0000-0000E45F0000}"/>
    <cellStyle name="Note 14 5 2 2 2" xfId="39787" xr:uid="{9304BE15-F3C5-4596-A0E6-8BC883C50B7B}"/>
    <cellStyle name="Note 14 5 2 3" xfId="23890" xr:uid="{00000000-0005-0000-0000-0000E55F0000}"/>
    <cellStyle name="Note 14 5 2 3 2" xfId="47723" xr:uid="{1276EF0B-0D69-4AD9-BB6D-D2358B3FA31A}"/>
    <cellStyle name="Note 14 5 2 4" xfId="31846" xr:uid="{38679DD8-E9C9-4B54-A635-2A8B4CC79E97}"/>
    <cellStyle name="Note 14 5 3" xfId="12406" xr:uid="{00000000-0005-0000-0000-0000E65F0000}"/>
    <cellStyle name="Note 14 5 3 2" xfId="36256" xr:uid="{7D30798E-FF82-42DF-A90E-9E52D937C405}"/>
    <cellStyle name="Note 14 5 4" xfId="20361" xr:uid="{00000000-0005-0000-0000-0000E75F0000}"/>
    <cellStyle name="Note 14 5 4 2" xfId="44194" xr:uid="{42157748-B1E6-4BEC-8E22-679B60AECB4D}"/>
    <cellStyle name="Note 14 5 5" xfId="28315" xr:uid="{F1BF285B-0906-4A4F-B25C-1B32C4C9E83B}"/>
    <cellStyle name="Note 14 6" xfId="6201" xr:uid="{00000000-0005-0000-0000-0000E85F0000}"/>
    <cellStyle name="Note 14 6 2" xfId="14185" xr:uid="{00000000-0005-0000-0000-0000E95F0000}"/>
    <cellStyle name="Note 14 6 2 2" xfId="38029" xr:uid="{A6A4935F-ABFD-403E-98DC-264F9AD76882}"/>
    <cellStyle name="Note 14 6 3" xfId="22133" xr:uid="{00000000-0005-0000-0000-0000EA5F0000}"/>
    <cellStyle name="Note 14 6 3 2" xfId="45966" xr:uid="{F90ACD95-80DF-44E2-8803-AFE56544A8AA}"/>
    <cellStyle name="Note 14 6 4" xfId="30088" xr:uid="{F2913DCD-64EE-459F-A7CC-A3B7639D7C4E}"/>
    <cellStyle name="Note 14 7" xfId="9754" xr:uid="{00000000-0005-0000-0000-0000EB5F0000}"/>
    <cellStyle name="Note 14 7 2" xfId="17712" xr:uid="{00000000-0005-0000-0000-0000EC5F0000}"/>
    <cellStyle name="Note 14 7 2 2" xfId="41553" xr:uid="{7D313C73-D220-431B-A151-461A250B758E}"/>
    <cellStyle name="Note 14 7 3" xfId="25656" xr:uid="{00000000-0005-0000-0000-0000ED5F0000}"/>
    <cellStyle name="Note 14 7 3 2" xfId="49489" xr:uid="{E2DFA83B-B3F5-4009-B955-3456B5BA09C0}"/>
    <cellStyle name="Note 14 7 4" xfId="33612" xr:uid="{45F9B627-B4EF-455B-A4F8-6B8125AE87AD}"/>
    <cellStyle name="Note 14 8" xfId="10650" xr:uid="{00000000-0005-0000-0000-0000EE5F0000}"/>
    <cellStyle name="Note 14 8 2" xfId="34500" xr:uid="{10F5C7BA-F546-4A32-A498-54765286B52A}"/>
    <cellStyle name="Note 14 9" xfId="18605" xr:uid="{00000000-0005-0000-0000-0000EF5F0000}"/>
    <cellStyle name="Note 14 9 2" xfId="42438" xr:uid="{D14E6F1D-21A6-46F1-A4D1-6F02728F6F49}"/>
    <cellStyle name="Note 14_Exh G" xfId="3601" xr:uid="{00000000-0005-0000-0000-0000F05F0000}"/>
    <cellStyle name="Note 15" xfId="706" xr:uid="{00000000-0005-0000-0000-0000F15F0000}"/>
    <cellStyle name="Note 15 2" xfId="1734" xr:uid="{00000000-0005-0000-0000-0000F25F0000}"/>
    <cellStyle name="Note 15 2 2" xfId="5264" xr:uid="{00000000-0005-0000-0000-0000F35F0000}"/>
    <cellStyle name="Note 15 2 2 2" xfId="8855" xr:uid="{00000000-0005-0000-0000-0000F45F0000}"/>
    <cellStyle name="Note 15 2 2 2 2" xfId="16826" xr:uid="{00000000-0005-0000-0000-0000F55F0000}"/>
    <cellStyle name="Note 15 2 2 2 2 2" xfId="40669" xr:uid="{EF840560-DA6C-43BB-9B58-80BBC462B3BB}"/>
    <cellStyle name="Note 15 2 2 2 3" xfId="24772" xr:uid="{00000000-0005-0000-0000-0000F65F0000}"/>
    <cellStyle name="Note 15 2 2 2 3 2" xfId="48605" xr:uid="{8EBA5FD7-6E8C-47F5-BE9A-01B87208EF29}"/>
    <cellStyle name="Note 15 2 2 2 4" xfId="32728" xr:uid="{84E922D5-64FB-4A96-BC86-E55904913234}"/>
    <cellStyle name="Note 15 2 2 3" xfId="13288" xr:uid="{00000000-0005-0000-0000-0000F75F0000}"/>
    <cellStyle name="Note 15 2 2 3 2" xfId="37138" xr:uid="{7E60CCB0-4DB6-4760-959F-800E5DCC4C93}"/>
    <cellStyle name="Note 15 2 2 4" xfId="21243" xr:uid="{00000000-0005-0000-0000-0000F85F0000}"/>
    <cellStyle name="Note 15 2 2 4 2" xfId="45076" xr:uid="{62BEB7C6-2517-4357-A18F-374C4118BD8E}"/>
    <cellStyle name="Note 15 2 2 5" xfId="29197" xr:uid="{143FC3B7-F543-4A37-ACB2-40592B2A4385}"/>
    <cellStyle name="Note 15 2 3" xfId="7096" xr:uid="{00000000-0005-0000-0000-0000F95F0000}"/>
    <cellStyle name="Note 15 2 3 2" xfId="15068" xr:uid="{00000000-0005-0000-0000-0000FA5F0000}"/>
    <cellStyle name="Note 15 2 3 2 2" xfId="38911" xr:uid="{F0A7EEFA-CB8A-47DE-A562-8E6CD4E7FC29}"/>
    <cellStyle name="Note 15 2 3 3" xfId="23015" xr:uid="{00000000-0005-0000-0000-0000FB5F0000}"/>
    <cellStyle name="Note 15 2 3 3 2" xfId="46848" xr:uid="{CFCE58F0-0F04-45C3-9CE3-6210F20C70DD}"/>
    <cellStyle name="Note 15 2 3 4" xfId="30970" xr:uid="{EDDB7979-3A03-4899-923E-296595EF727C}"/>
    <cellStyle name="Note 15 2 4" xfId="11532" xr:uid="{00000000-0005-0000-0000-0000FC5F0000}"/>
    <cellStyle name="Note 15 2 4 2" xfId="35382" xr:uid="{D01A09B2-FA4C-4B07-94EA-458CBE0F361E}"/>
    <cellStyle name="Note 15 2 5" xfId="19487" xr:uid="{00000000-0005-0000-0000-0000FD5F0000}"/>
    <cellStyle name="Note 15 2 5 2" xfId="43320" xr:uid="{ED8D3E07-76A0-4D2D-9FAC-FD2E8B0C93FE}"/>
    <cellStyle name="Note 15 2 6" xfId="27440" xr:uid="{D34453EB-2EE7-4572-BF21-D123E8A4A005}"/>
    <cellStyle name="Note 15 2_Exh G" xfId="3610" xr:uid="{00000000-0005-0000-0000-0000FE5F0000}"/>
    <cellStyle name="Note 15 3" xfId="4385" xr:uid="{00000000-0005-0000-0000-0000FF5F0000}"/>
    <cellStyle name="Note 15 3 2" xfId="7977" xr:uid="{00000000-0005-0000-0000-000000600000}"/>
    <cellStyle name="Note 15 3 2 2" xfId="15948" xr:uid="{00000000-0005-0000-0000-000001600000}"/>
    <cellStyle name="Note 15 3 2 2 2" xfId="39791" xr:uid="{4226F273-503D-43B3-8478-83A0F5A8C210}"/>
    <cellStyle name="Note 15 3 2 3" xfId="23894" xr:uid="{00000000-0005-0000-0000-000002600000}"/>
    <cellStyle name="Note 15 3 2 3 2" xfId="47727" xr:uid="{F25B5E5A-D1A5-444D-B829-9070280ACC15}"/>
    <cellStyle name="Note 15 3 2 4" xfId="31850" xr:uid="{0D649996-A1C6-44F8-81EB-A7913D8B13A5}"/>
    <cellStyle name="Note 15 3 3" xfId="12410" xr:uid="{00000000-0005-0000-0000-000003600000}"/>
    <cellStyle name="Note 15 3 3 2" xfId="36260" xr:uid="{5B0611B0-CBE7-44F8-83FC-8C638BAFE0C1}"/>
    <cellStyle name="Note 15 3 4" xfId="20365" xr:uid="{00000000-0005-0000-0000-000004600000}"/>
    <cellStyle name="Note 15 3 4 2" xfId="44198" xr:uid="{A2CC86C9-FD52-4E1B-900C-E9C6669C90F6}"/>
    <cellStyle name="Note 15 3 5" xfId="28319" xr:uid="{3CF5E4B7-9521-4F3E-84B4-106510607029}"/>
    <cellStyle name="Note 15 4" xfId="6205" xr:uid="{00000000-0005-0000-0000-000005600000}"/>
    <cellStyle name="Note 15 4 2" xfId="14189" xr:uid="{00000000-0005-0000-0000-000006600000}"/>
    <cellStyle name="Note 15 4 2 2" xfId="38033" xr:uid="{811E3735-A53C-4FD8-BB4F-C051413F0147}"/>
    <cellStyle name="Note 15 4 3" xfId="22137" xr:uid="{00000000-0005-0000-0000-000007600000}"/>
    <cellStyle name="Note 15 4 3 2" xfId="45970" xr:uid="{ABDC52E2-09FD-4394-AFE2-774478FB80AD}"/>
    <cellStyle name="Note 15 4 4" xfId="30092" xr:uid="{2FDC9E74-E24E-4E46-B28D-91674470BBF2}"/>
    <cellStyle name="Note 15 5" xfId="9758" xr:uid="{00000000-0005-0000-0000-000008600000}"/>
    <cellStyle name="Note 15 5 2" xfId="17716" xr:uid="{00000000-0005-0000-0000-000009600000}"/>
    <cellStyle name="Note 15 5 2 2" xfId="41557" xr:uid="{F4E9ECF4-A7A7-446E-AE68-8A66D1A88836}"/>
    <cellStyle name="Note 15 5 3" xfId="25660" xr:uid="{00000000-0005-0000-0000-00000A600000}"/>
    <cellStyle name="Note 15 5 3 2" xfId="49493" xr:uid="{038B1CC3-4E8B-4621-83A7-0DEF8EC4F03A}"/>
    <cellStyle name="Note 15 5 4" xfId="33616" xr:uid="{94617908-F956-42B7-83CD-20B713DA1756}"/>
    <cellStyle name="Note 15 6" xfId="10654" xr:uid="{00000000-0005-0000-0000-00000B600000}"/>
    <cellStyle name="Note 15 6 2" xfId="34504" xr:uid="{F46ABDAA-9322-4EB9-9108-8E47A44193B0}"/>
    <cellStyle name="Note 15 7" xfId="18609" xr:uid="{00000000-0005-0000-0000-00000C600000}"/>
    <cellStyle name="Note 15 7 2" xfId="42442" xr:uid="{6A748463-4000-4D06-B9FA-FF4AD344DC07}"/>
    <cellStyle name="Note 15 8" xfId="26562" xr:uid="{57D0B7A7-0AAB-43F4-9875-A7C0E4470615}"/>
    <cellStyle name="Note 15_Exh G" xfId="3609" xr:uid="{00000000-0005-0000-0000-00000D600000}"/>
    <cellStyle name="Note 16" xfId="855" xr:uid="{00000000-0005-0000-0000-00000E600000}"/>
    <cellStyle name="Note 16 2" xfId="1794" xr:uid="{00000000-0005-0000-0000-00000F600000}"/>
    <cellStyle name="Note 16 2 2" xfId="5315" xr:uid="{00000000-0005-0000-0000-000010600000}"/>
    <cellStyle name="Note 16 2 2 2" xfId="8906" xr:uid="{00000000-0005-0000-0000-000011600000}"/>
    <cellStyle name="Note 16 2 2 2 2" xfId="16877" xr:uid="{00000000-0005-0000-0000-000012600000}"/>
    <cellStyle name="Note 16 2 2 2 2 2" xfId="40720" xr:uid="{2A029451-D936-4B4A-AE16-4A6D2FB2E2D2}"/>
    <cellStyle name="Note 16 2 2 2 3" xfId="24823" xr:uid="{00000000-0005-0000-0000-000013600000}"/>
    <cellStyle name="Note 16 2 2 2 3 2" xfId="48656" xr:uid="{F1083788-258E-4017-812B-DC54086AD62D}"/>
    <cellStyle name="Note 16 2 2 2 4" xfId="32779" xr:uid="{ACA34F70-08BB-4812-B35F-98047064CA51}"/>
    <cellStyle name="Note 16 2 2 3" xfId="13339" xr:uid="{00000000-0005-0000-0000-000014600000}"/>
    <cellStyle name="Note 16 2 2 3 2" xfId="37189" xr:uid="{A4037474-C935-4F63-884D-1F8B26691D16}"/>
    <cellStyle name="Note 16 2 2 4" xfId="21294" xr:uid="{00000000-0005-0000-0000-000015600000}"/>
    <cellStyle name="Note 16 2 2 4 2" xfId="45127" xr:uid="{C7C531AB-4EF2-4D0F-B23E-93650A3DCD7B}"/>
    <cellStyle name="Note 16 2 2 5" xfId="29248" xr:uid="{77C2494A-D717-4673-93AF-952DA61CA5D1}"/>
    <cellStyle name="Note 16 2 3" xfId="7147" xr:uid="{00000000-0005-0000-0000-000016600000}"/>
    <cellStyle name="Note 16 2 3 2" xfId="15119" xr:uid="{00000000-0005-0000-0000-000017600000}"/>
    <cellStyle name="Note 16 2 3 2 2" xfId="38962" xr:uid="{B442D2D7-2C82-426D-B3A5-3B72A93AF4A9}"/>
    <cellStyle name="Note 16 2 3 3" xfId="23066" xr:uid="{00000000-0005-0000-0000-000018600000}"/>
    <cellStyle name="Note 16 2 3 3 2" xfId="46899" xr:uid="{91FF1D40-16C2-4D89-AA26-867F7F69D1FE}"/>
    <cellStyle name="Note 16 2 3 4" xfId="31021" xr:uid="{2C0724D1-8811-4670-8CBC-8CF999C59A0B}"/>
    <cellStyle name="Note 16 2 4" xfId="11583" xr:uid="{00000000-0005-0000-0000-000019600000}"/>
    <cellStyle name="Note 16 2 4 2" xfId="35433" xr:uid="{D501C32D-439A-4190-8F01-94B94BF40736}"/>
    <cellStyle name="Note 16 2 5" xfId="19538" xr:uid="{00000000-0005-0000-0000-00001A600000}"/>
    <cellStyle name="Note 16 2 5 2" xfId="43371" xr:uid="{087808BD-2C3C-4DFA-9F74-6802B805E9E1}"/>
    <cellStyle name="Note 16 2 6" xfId="27491" xr:uid="{EEF7A12E-8FB0-49B8-B380-23EA5A3015CE}"/>
    <cellStyle name="Note 16 2_Exh G" xfId="3612" xr:uid="{00000000-0005-0000-0000-00001B600000}"/>
    <cellStyle name="Note 16 3" xfId="4436" xr:uid="{00000000-0005-0000-0000-00001C600000}"/>
    <cellStyle name="Note 16 3 2" xfId="8028" xr:uid="{00000000-0005-0000-0000-00001D600000}"/>
    <cellStyle name="Note 16 3 2 2" xfId="15999" xr:uid="{00000000-0005-0000-0000-00001E600000}"/>
    <cellStyle name="Note 16 3 2 2 2" xfId="39842" xr:uid="{3018449C-75E4-4B5E-B5DC-FA7BAEEE7396}"/>
    <cellStyle name="Note 16 3 2 3" xfId="23945" xr:uid="{00000000-0005-0000-0000-00001F600000}"/>
    <cellStyle name="Note 16 3 2 3 2" xfId="47778" xr:uid="{A2309941-5634-4DF1-9D11-E34F960676CC}"/>
    <cellStyle name="Note 16 3 2 4" xfId="31901" xr:uid="{DE3AEF9A-8A8D-4BDC-8AE7-6989A649663C}"/>
    <cellStyle name="Note 16 3 3" xfId="12461" xr:uid="{00000000-0005-0000-0000-000020600000}"/>
    <cellStyle name="Note 16 3 3 2" xfId="36311" xr:uid="{405D9453-F87E-484D-9522-9EF5F2DD1A46}"/>
    <cellStyle name="Note 16 3 4" xfId="20416" xr:uid="{00000000-0005-0000-0000-000021600000}"/>
    <cellStyle name="Note 16 3 4 2" xfId="44249" xr:uid="{F0C54FC6-518E-4397-B589-BCE5C35A8A9F}"/>
    <cellStyle name="Note 16 3 5" xfId="28370" xr:uid="{03169B73-2ED7-43E6-BB8A-D9A6F5152A5C}"/>
    <cellStyle name="Note 16 4" xfId="6266" xr:uid="{00000000-0005-0000-0000-000022600000}"/>
    <cellStyle name="Note 16 4 2" xfId="14241" xr:uid="{00000000-0005-0000-0000-000023600000}"/>
    <cellStyle name="Note 16 4 2 2" xfId="38084" xr:uid="{FD7E1635-B688-4A38-877C-E8C290E68CD0}"/>
    <cellStyle name="Note 16 4 3" xfId="22188" xr:uid="{00000000-0005-0000-0000-000024600000}"/>
    <cellStyle name="Note 16 4 3 2" xfId="46021" xr:uid="{757D90D6-95C5-4331-947A-D89FB244CF16}"/>
    <cellStyle name="Note 16 4 4" xfId="30143" xr:uid="{2E304A81-4380-4502-9906-5A4B6B725807}"/>
    <cellStyle name="Note 16 5" xfId="9809" xr:uid="{00000000-0005-0000-0000-000025600000}"/>
    <cellStyle name="Note 16 5 2" xfId="17767" xr:uid="{00000000-0005-0000-0000-000026600000}"/>
    <cellStyle name="Note 16 5 2 2" xfId="41608" xr:uid="{93BE2CF8-EF61-4B90-8E3F-732DCBAE670B}"/>
    <cellStyle name="Note 16 5 3" xfId="25711" xr:uid="{00000000-0005-0000-0000-000027600000}"/>
    <cellStyle name="Note 16 5 3 2" xfId="49544" xr:uid="{AB53332A-C5EA-40FB-8B00-47B793D47FA1}"/>
    <cellStyle name="Note 16 5 4" xfId="33667" xr:uid="{8A3DA8A4-19D0-4F52-8405-C4D098F5F7DD}"/>
    <cellStyle name="Note 16 6" xfId="10705" xr:uid="{00000000-0005-0000-0000-000028600000}"/>
    <cellStyle name="Note 16 6 2" xfId="34555" xr:uid="{EA65FACE-C56F-4E22-82A5-1FDBBED6D491}"/>
    <cellStyle name="Note 16 7" xfId="18660" xr:uid="{00000000-0005-0000-0000-000029600000}"/>
    <cellStyle name="Note 16 7 2" xfId="42493" xr:uid="{5FA8FCE4-4C09-4998-97C4-41F09DC37959}"/>
    <cellStyle name="Note 16 8" xfId="26613" xr:uid="{EFC68D4A-F5AB-4BCA-9A0A-DA435952BFB4}"/>
    <cellStyle name="Note 16_Exh G" xfId="3611" xr:uid="{00000000-0005-0000-0000-00002A600000}"/>
    <cellStyle name="Note 2" xfId="22" xr:uid="{00000000-0005-0000-0000-00002B600000}"/>
    <cellStyle name="Note 2 10" xfId="17927" xr:uid="{00000000-0005-0000-0000-00002C600000}"/>
    <cellStyle name="Note 2 10 2" xfId="41760" xr:uid="{D2E27C33-E28F-49ED-B90F-6EE750ABAECA}"/>
    <cellStyle name="Note 2 11" xfId="25880" xr:uid="{019155C6-B683-45E8-BD5E-4AFAC92FCB72}"/>
    <cellStyle name="Note 2 2" xfId="707" xr:uid="{00000000-0005-0000-0000-00002D600000}"/>
    <cellStyle name="Note 2 2 10" xfId="26563" xr:uid="{9FE8D027-2470-4674-91A1-656AEBE6B543}"/>
    <cellStyle name="Note 2 2 2" xfId="708" xr:uid="{00000000-0005-0000-0000-00002E600000}"/>
    <cellStyle name="Note 2 2 2 2" xfId="1736" xr:uid="{00000000-0005-0000-0000-00002F600000}"/>
    <cellStyle name="Note 2 2 2 2 2" xfId="5266" xr:uid="{00000000-0005-0000-0000-000030600000}"/>
    <cellStyle name="Note 2 2 2 2 2 2" xfId="8857" xr:uid="{00000000-0005-0000-0000-000031600000}"/>
    <cellStyle name="Note 2 2 2 2 2 2 2" xfId="16828" xr:uid="{00000000-0005-0000-0000-000032600000}"/>
    <cellStyle name="Note 2 2 2 2 2 2 2 2" xfId="40671" xr:uid="{1F5E8730-0917-4F5C-9F75-5FF6FB45C036}"/>
    <cellStyle name="Note 2 2 2 2 2 2 3" xfId="24774" xr:uid="{00000000-0005-0000-0000-000033600000}"/>
    <cellStyle name="Note 2 2 2 2 2 2 3 2" xfId="48607" xr:uid="{06B0D82B-5434-40CD-8D78-B0EAC8B5B922}"/>
    <cellStyle name="Note 2 2 2 2 2 2 4" xfId="32730" xr:uid="{52025851-0E0C-4F50-8A1F-ED3EE383A3F7}"/>
    <cellStyle name="Note 2 2 2 2 2 3" xfId="13290" xr:uid="{00000000-0005-0000-0000-000034600000}"/>
    <cellStyle name="Note 2 2 2 2 2 3 2" xfId="37140" xr:uid="{63FAFBF2-3D42-475E-A375-76883B94BEE8}"/>
    <cellStyle name="Note 2 2 2 2 2 4" xfId="21245" xr:uid="{00000000-0005-0000-0000-000035600000}"/>
    <cellStyle name="Note 2 2 2 2 2 4 2" xfId="45078" xr:uid="{DD384FAB-C7D0-4C0B-BFED-DDFA260DE7A5}"/>
    <cellStyle name="Note 2 2 2 2 2 5" xfId="29199" xr:uid="{8616044A-2E6B-4C44-AE04-56E9308C4F37}"/>
    <cellStyle name="Note 2 2 2 2 3" xfId="7098" xr:uid="{00000000-0005-0000-0000-000036600000}"/>
    <cellStyle name="Note 2 2 2 2 3 2" xfId="15070" xr:uid="{00000000-0005-0000-0000-000037600000}"/>
    <cellStyle name="Note 2 2 2 2 3 2 2" xfId="38913" xr:uid="{201D4626-9EB4-48F3-B69B-FFDAC9D89E16}"/>
    <cellStyle name="Note 2 2 2 2 3 3" xfId="23017" xr:uid="{00000000-0005-0000-0000-000038600000}"/>
    <cellStyle name="Note 2 2 2 2 3 3 2" xfId="46850" xr:uid="{DAA23DC1-2F23-4355-B7D3-DA65A28155A3}"/>
    <cellStyle name="Note 2 2 2 2 3 4" xfId="30972" xr:uid="{2D2F7E6D-2928-4C12-BEA5-511B6120A28C}"/>
    <cellStyle name="Note 2 2 2 2 4" xfId="11534" xr:uid="{00000000-0005-0000-0000-000039600000}"/>
    <cellStyle name="Note 2 2 2 2 4 2" xfId="35384" xr:uid="{ABF60B6D-CF59-4241-B7E6-FFF73F03D72F}"/>
    <cellStyle name="Note 2 2 2 2 5" xfId="19489" xr:uid="{00000000-0005-0000-0000-00003A600000}"/>
    <cellStyle name="Note 2 2 2 2 5 2" xfId="43322" xr:uid="{06751A39-8AA2-4A9D-87EA-8A4BC23C3BF3}"/>
    <cellStyle name="Note 2 2 2 2 6" xfId="27442" xr:uid="{769492C6-5531-47C1-9AD1-AE4ADFB53538}"/>
    <cellStyle name="Note 2 2 2 2_Exh G" xfId="3616" xr:uid="{00000000-0005-0000-0000-00003B600000}"/>
    <cellStyle name="Note 2 2 2 3" xfId="4387" xr:uid="{00000000-0005-0000-0000-00003C600000}"/>
    <cellStyle name="Note 2 2 2 3 2" xfId="7979" xr:uid="{00000000-0005-0000-0000-00003D600000}"/>
    <cellStyle name="Note 2 2 2 3 2 2" xfId="15950" xr:uid="{00000000-0005-0000-0000-00003E600000}"/>
    <cellStyle name="Note 2 2 2 3 2 2 2" xfId="39793" xr:uid="{56AF2E96-9D22-44D6-8E00-A175C53AB6D8}"/>
    <cellStyle name="Note 2 2 2 3 2 3" xfId="23896" xr:uid="{00000000-0005-0000-0000-00003F600000}"/>
    <cellStyle name="Note 2 2 2 3 2 3 2" xfId="47729" xr:uid="{96A1EE9E-AD16-44E6-9138-FE9C6C3D1ED2}"/>
    <cellStyle name="Note 2 2 2 3 2 4" xfId="31852" xr:uid="{96E402E6-DF70-439C-BEAB-45E7BFBE9473}"/>
    <cellStyle name="Note 2 2 2 3 3" xfId="12412" xr:uid="{00000000-0005-0000-0000-000040600000}"/>
    <cellStyle name="Note 2 2 2 3 3 2" xfId="36262" xr:uid="{5C0C60BE-0426-4B2F-AE5B-073AF82379AA}"/>
    <cellStyle name="Note 2 2 2 3 4" xfId="20367" xr:uid="{00000000-0005-0000-0000-000041600000}"/>
    <cellStyle name="Note 2 2 2 3 4 2" xfId="44200" xr:uid="{0C258848-5D2B-48CB-9A89-16D92FB0FC5F}"/>
    <cellStyle name="Note 2 2 2 3 5" xfId="28321" xr:uid="{E706B301-1E77-493D-88CF-496F7BEB8E6A}"/>
    <cellStyle name="Note 2 2 2 4" xfId="6207" xr:uid="{00000000-0005-0000-0000-000042600000}"/>
    <cellStyle name="Note 2 2 2 4 2" xfId="14191" xr:uid="{00000000-0005-0000-0000-000043600000}"/>
    <cellStyle name="Note 2 2 2 4 2 2" xfId="38035" xr:uid="{2F89649E-A2F2-4515-B2BC-E47D02EF1009}"/>
    <cellStyle name="Note 2 2 2 4 3" xfId="22139" xr:uid="{00000000-0005-0000-0000-000044600000}"/>
    <cellStyle name="Note 2 2 2 4 3 2" xfId="45972" xr:uid="{2021A996-3589-45B3-8ED4-C3E971D0C4A0}"/>
    <cellStyle name="Note 2 2 2 4 4" xfId="30094" xr:uid="{07EC7EEB-6524-4740-A551-C7860F116DB9}"/>
    <cellStyle name="Note 2 2 2 5" xfId="9760" xr:uid="{00000000-0005-0000-0000-000045600000}"/>
    <cellStyle name="Note 2 2 2 5 2" xfId="17718" xr:uid="{00000000-0005-0000-0000-000046600000}"/>
    <cellStyle name="Note 2 2 2 5 2 2" xfId="41559" xr:uid="{C2C832C2-A813-45B0-9331-E992D3752CC0}"/>
    <cellStyle name="Note 2 2 2 5 3" xfId="25662" xr:uid="{00000000-0005-0000-0000-000047600000}"/>
    <cellStyle name="Note 2 2 2 5 3 2" xfId="49495" xr:uid="{3ED099EC-942A-4C06-98C2-1CDE74DC3610}"/>
    <cellStyle name="Note 2 2 2 5 4" xfId="33618" xr:uid="{20786343-EA1A-4230-B55F-8EA79B7ACDAB}"/>
    <cellStyle name="Note 2 2 2 6" xfId="10656" xr:uid="{00000000-0005-0000-0000-000048600000}"/>
    <cellStyle name="Note 2 2 2 6 2" xfId="34506" xr:uid="{87C641B9-C760-4C89-A930-2FADA4F253B8}"/>
    <cellStyle name="Note 2 2 2 7" xfId="18611" xr:uid="{00000000-0005-0000-0000-000049600000}"/>
    <cellStyle name="Note 2 2 2 7 2" xfId="42444" xr:uid="{6C83D168-96F9-418D-9400-A46C53FAC1FD}"/>
    <cellStyle name="Note 2 2 2 8" xfId="26564" xr:uid="{7938A440-BB20-4D0E-9A1B-9668A3F4797B}"/>
    <cellStyle name="Note 2 2 2_Exh G" xfId="3615" xr:uid="{00000000-0005-0000-0000-00004A600000}"/>
    <cellStyle name="Note 2 2 3" xfId="1031" xr:uid="{00000000-0005-0000-0000-00004B600000}"/>
    <cellStyle name="Note 2 2 3 2" xfId="1931" xr:uid="{00000000-0005-0000-0000-00004C600000}"/>
    <cellStyle name="Note 2 2 3 2 2" xfId="5449" xr:uid="{00000000-0005-0000-0000-00004D600000}"/>
    <cellStyle name="Note 2 2 3 2 2 2" xfId="9040" xr:uid="{00000000-0005-0000-0000-00004E600000}"/>
    <cellStyle name="Note 2 2 3 2 2 2 2" xfId="17011" xr:uid="{00000000-0005-0000-0000-00004F600000}"/>
    <cellStyle name="Note 2 2 3 2 2 2 2 2" xfId="40854" xr:uid="{9C317B74-26BA-49E3-8872-2CA1975A5A86}"/>
    <cellStyle name="Note 2 2 3 2 2 2 3" xfId="24957" xr:uid="{00000000-0005-0000-0000-000050600000}"/>
    <cellStyle name="Note 2 2 3 2 2 2 3 2" xfId="48790" xr:uid="{77303974-2282-47AA-BD82-9174A0744E75}"/>
    <cellStyle name="Note 2 2 3 2 2 2 4" xfId="32913" xr:uid="{D4267D0F-D18F-4705-985F-799AF2D5189E}"/>
    <cellStyle name="Note 2 2 3 2 2 3" xfId="13473" xr:uid="{00000000-0005-0000-0000-000051600000}"/>
    <cellStyle name="Note 2 2 3 2 2 3 2" xfId="37323" xr:uid="{800EB515-B00D-406B-BEA8-E4531F7476F2}"/>
    <cellStyle name="Note 2 2 3 2 2 4" xfId="21428" xr:uid="{00000000-0005-0000-0000-000052600000}"/>
    <cellStyle name="Note 2 2 3 2 2 4 2" xfId="45261" xr:uid="{E63ECF4F-8F23-48CE-8D38-4A7BF765A2CD}"/>
    <cellStyle name="Note 2 2 3 2 2 5" xfId="29382" xr:uid="{3CD68210-2079-408E-B7E8-19A34CE04330}"/>
    <cellStyle name="Note 2 2 3 2 3" xfId="7281" xr:uid="{00000000-0005-0000-0000-000053600000}"/>
    <cellStyle name="Note 2 2 3 2 3 2" xfId="15253" xr:uid="{00000000-0005-0000-0000-000054600000}"/>
    <cellStyle name="Note 2 2 3 2 3 2 2" xfId="39096" xr:uid="{FFB2A592-F5F4-4688-97F6-B1D1AFA2F7CD}"/>
    <cellStyle name="Note 2 2 3 2 3 3" xfId="23200" xr:uid="{00000000-0005-0000-0000-000055600000}"/>
    <cellStyle name="Note 2 2 3 2 3 3 2" xfId="47033" xr:uid="{D7DC5D49-B494-444D-A36A-C7911715E742}"/>
    <cellStyle name="Note 2 2 3 2 3 4" xfId="31155" xr:uid="{AC8E5AF0-01DC-4DCA-ABA6-28A0E7E21DF9}"/>
    <cellStyle name="Note 2 2 3 2 4" xfId="11717" xr:uid="{00000000-0005-0000-0000-000056600000}"/>
    <cellStyle name="Note 2 2 3 2 4 2" xfId="35567" xr:uid="{A4B56DBE-117B-4890-AA95-3FA656CE7A6D}"/>
    <cellStyle name="Note 2 2 3 2 5" xfId="19672" xr:uid="{00000000-0005-0000-0000-000057600000}"/>
    <cellStyle name="Note 2 2 3 2 5 2" xfId="43505" xr:uid="{D0518BEF-DD4C-4C8E-8307-34BE5E72A576}"/>
    <cellStyle name="Note 2 2 3 2 6" xfId="27625" xr:uid="{962BC7AB-F779-4722-83DE-398502870F15}"/>
    <cellStyle name="Note 2 2 3 2_Exh G" xfId="3618" xr:uid="{00000000-0005-0000-0000-000058600000}"/>
    <cellStyle name="Note 2 2 3 3" xfId="4570" xr:uid="{00000000-0005-0000-0000-000059600000}"/>
    <cellStyle name="Note 2 2 3 3 2" xfId="8162" xr:uid="{00000000-0005-0000-0000-00005A600000}"/>
    <cellStyle name="Note 2 2 3 3 2 2" xfId="16133" xr:uid="{00000000-0005-0000-0000-00005B600000}"/>
    <cellStyle name="Note 2 2 3 3 2 2 2" xfId="39976" xr:uid="{02BF9073-BDA2-4AE2-8D26-A1C9B629259A}"/>
    <cellStyle name="Note 2 2 3 3 2 3" xfId="24079" xr:uid="{00000000-0005-0000-0000-00005C600000}"/>
    <cellStyle name="Note 2 2 3 3 2 3 2" xfId="47912" xr:uid="{A868F616-BBF3-4A68-BE91-561327488E9D}"/>
    <cellStyle name="Note 2 2 3 3 2 4" xfId="32035" xr:uid="{4ADDF099-E178-42C0-A830-30AA28516479}"/>
    <cellStyle name="Note 2 2 3 3 3" xfId="12595" xr:uid="{00000000-0005-0000-0000-00005D600000}"/>
    <cellStyle name="Note 2 2 3 3 3 2" xfId="36445" xr:uid="{57E08FDD-DF47-4217-9E43-258A2E737320}"/>
    <cellStyle name="Note 2 2 3 3 4" xfId="20550" xr:uid="{00000000-0005-0000-0000-00005E600000}"/>
    <cellStyle name="Note 2 2 3 3 4 2" xfId="44383" xr:uid="{579CB908-F413-480C-9AF4-51C0F026D0F5}"/>
    <cellStyle name="Note 2 2 3 3 5" xfId="28504" xr:uid="{8F0F403D-7B87-4D86-A34F-762ED99C0228}"/>
    <cellStyle name="Note 2 2 3 4" xfId="6401" xr:uid="{00000000-0005-0000-0000-00005F600000}"/>
    <cellStyle name="Note 2 2 3 4 2" xfId="14375" xr:uid="{00000000-0005-0000-0000-000060600000}"/>
    <cellStyle name="Note 2 2 3 4 2 2" xfId="38218" xr:uid="{7239E7EC-BDC8-46AA-B159-BB4A9B8FEA56}"/>
    <cellStyle name="Note 2 2 3 4 3" xfId="22322" xr:uid="{00000000-0005-0000-0000-000061600000}"/>
    <cellStyle name="Note 2 2 3 4 3 2" xfId="46155" xr:uid="{156CD4B3-3C1A-4932-8112-4F7220764E32}"/>
    <cellStyle name="Note 2 2 3 4 4" xfId="30277" xr:uid="{7960F6FD-5985-4A05-83C0-5A224FE12B2A}"/>
    <cellStyle name="Note 2 2 3 5" xfId="9943" xr:uid="{00000000-0005-0000-0000-000062600000}"/>
    <cellStyle name="Note 2 2 3 5 2" xfId="17901" xr:uid="{00000000-0005-0000-0000-000063600000}"/>
    <cellStyle name="Note 2 2 3 5 2 2" xfId="41742" xr:uid="{A76A3597-6064-4ED4-8586-3FB0B21310DF}"/>
    <cellStyle name="Note 2 2 3 5 3" xfId="25845" xr:uid="{00000000-0005-0000-0000-000064600000}"/>
    <cellStyle name="Note 2 2 3 5 3 2" xfId="49678" xr:uid="{480A420B-7A18-4ABC-A0B5-E5FD0AAC65EE}"/>
    <cellStyle name="Note 2 2 3 5 4" xfId="33801" xr:uid="{0E02DA34-3FE0-461E-B43C-73DC6FBE8AB2}"/>
    <cellStyle name="Note 2 2 3 6" xfId="10839" xr:uid="{00000000-0005-0000-0000-000065600000}"/>
    <cellStyle name="Note 2 2 3 6 2" xfId="34689" xr:uid="{EA868009-67C5-48F0-BFF8-0E0495A25897}"/>
    <cellStyle name="Note 2 2 3 7" xfId="18794" xr:uid="{00000000-0005-0000-0000-000066600000}"/>
    <cellStyle name="Note 2 2 3 7 2" xfId="42627" xr:uid="{D6236A06-3827-4CE1-9B80-4BD31137FB40}"/>
    <cellStyle name="Note 2 2 3 8" xfId="26747" xr:uid="{8C844EB9-E396-4037-B7F0-FCE71366E2D1}"/>
    <cellStyle name="Note 2 2 3_Exh G" xfId="3617" xr:uid="{00000000-0005-0000-0000-000067600000}"/>
    <cellStyle name="Note 2 2 4" xfId="1735" xr:uid="{00000000-0005-0000-0000-000068600000}"/>
    <cellStyle name="Note 2 2 4 2" xfId="5265" xr:uid="{00000000-0005-0000-0000-000069600000}"/>
    <cellStyle name="Note 2 2 4 2 2" xfId="8856" xr:uid="{00000000-0005-0000-0000-00006A600000}"/>
    <cellStyle name="Note 2 2 4 2 2 2" xfId="16827" xr:uid="{00000000-0005-0000-0000-00006B600000}"/>
    <cellStyle name="Note 2 2 4 2 2 2 2" xfId="40670" xr:uid="{E10F0C1E-AD6C-440D-81AD-59AF5C0EB2DF}"/>
    <cellStyle name="Note 2 2 4 2 2 3" xfId="24773" xr:uid="{00000000-0005-0000-0000-00006C600000}"/>
    <cellStyle name="Note 2 2 4 2 2 3 2" xfId="48606" xr:uid="{1425D402-BDFE-4CB9-B226-82DC06A85459}"/>
    <cellStyle name="Note 2 2 4 2 2 4" xfId="32729" xr:uid="{D306F0DF-9FE7-4896-A4A8-4E3B60B224DC}"/>
    <cellStyle name="Note 2 2 4 2 3" xfId="13289" xr:uid="{00000000-0005-0000-0000-00006D600000}"/>
    <cellStyle name="Note 2 2 4 2 3 2" xfId="37139" xr:uid="{628C9215-FD2C-46BE-902F-6A4D900381E6}"/>
    <cellStyle name="Note 2 2 4 2 4" xfId="21244" xr:uid="{00000000-0005-0000-0000-00006E600000}"/>
    <cellStyle name="Note 2 2 4 2 4 2" xfId="45077" xr:uid="{BF316C8C-82D7-4DF3-8CF6-68CB1DE7E75C}"/>
    <cellStyle name="Note 2 2 4 2 5" xfId="29198" xr:uid="{D45F84B5-43F5-4FCF-943B-A428C02F8C4A}"/>
    <cellStyle name="Note 2 2 4 3" xfId="7097" xr:uid="{00000000-0005-0000-0000-00006F600000}"/>
    <cellStyle name="Note 2 2 4 3 2" xfId="15069" xr:uid="{00000000-0005-0000-0000-000070600000}"/>
    <cellStyle name="Note 2 2 4 3 2 2" xfId="38912" xr:uid="{CF74682F-D4F7-4DFA-B181-87F897CEA2DB}"/>
    <cellStyle name="Note 2 2 4 3 3" xfId="23016" xr:uid="{00000000-0005-0000-0000-000071600000}"/>
    <cellStyle name="Note 2 2 4 3 3 2" xfId="46849" xr:uid="{355B4A1E-96DF-49F3-9A0D-5A80978BAA96}"/>
    <cellStyle name="Note 2 2 4 3 4" xfId="30971" xr:uid="{B9726FE4-31C4-4193-A30E-A661D04937A8}"/>
    <cellStyle name="Note 2 2 4 4" xfId="11533" xr:uid="{00000000-0005-0000-0000-000072600000}"/>
    <cellStyle name="Note 2 2 4 4 2" xfId="35383" xr:uid="{FE74E811-6458-445E-A9DF-D067AD483E44}"/>
    <cellStyle name="Note 2 2 4 5" xfId="19488" xr:uid="{00000000-0005-0000-0000-000073600000}"/>
    <cellStyle name="Note 2 2 4 5 2" xfId="43321" xr:uid="{222CB29D-0454-42B3-87E2-290B303931B0}"/>
    <cellStyle name="Note 2 2 4 6" xfId="27441" xr:uid="{BF28DB1F-C04E-4385-BAEF-D021408F86C2}"/>
    <cellStyle name="Note 2 2 4_Exh G" xfId="3619" xr:uid="{00000000-0005-0000-0000-000074600000}"/>
    <cellStyle name="Note 2 2 5" xfId="4386" xr:uid="{00000000-0005-0000-0000-000075600000}"/>
    <cellStyle name="Note 2 2 5 2" xfId="7978" xr:uid="{00000000-0005-0000-0000-000076600000}"/>
    <cellStyle name="Note 2 2 5 2 2" xfId="15949" xr:uid="{00000000-0005-0000-0000-000077600000}"/>
    <cellStyle name="Note 2 2 5 2 2 2" xfId="39792" xr:uid="{F562EEAB-00D7-4240-A5E4-7052302C4E5B}"/>
    <cellStyle name="Note 2 2 5 2 3" xfId="23895" xr:uid="{00000000-0005-0000-0000-000078600000}"/>
    <cellStyle name="Note 2 2 5 2 3 2" xfId="47728" xr:uid="{663DBF4B-BB37-4AD3-9C94-869D0A7B2C2A}"/>
    <cellStyle name="Note 2 2 5 2 4" xfId="31851" xr:uid="{637811EC-9BC2-47F3-B25B-565AA11AC9D7}"/>
    <cellStyle name="Note 2 2 5 3" xfId="12411" xr:uid="{00000000-0005-0000-0000-000079600000}"/>
    <cellStyle name="Note 2 2 5 3 2" xfId="36261" xr:uid="{0CA91C2A-263F-41AE-BA10-7C6865D69BB5}"/>
    <cellStyle name="Note 2 2 5 4" xfId="20366" xr:uid="{00000000-0005-0000-0000-00007A600000}"/>
    <cellStyle name="Note 2 2 5 4 2" xfId="44199" xr:uid="{6D659593-36AE-4B38-98FD-E9F81B0C1B15}"/>
    <cellStyle name="Note 2 2 5 5" xfId="28320" xr:uid="{1AAC5A3C-F537-446F-8F15-E544516A02BF}"/>
    <cellStyle name="Note 2 2 6" xfId="6206" xr:uid="{00000000-0005-0000-0000-00007B600000}"/>
    <cellStyle name="Note 2 2 6 2" xfId="14190" xr:uid="{00000000-0005-0000-0000-00007C600000}"/>
    <cellStyle name="Note 2 2 6 2 2" xfId="38034" xr:uid="{9750ADD5-B138-44CD-99A1-2A88B2E0C708}"/>
    <cellStyle name="Note 2 2 6 3" xfId="22138" xr:uid="{00000000-0005-0000-0000-00007D600000}"/>
    <cellStyle name="Note 2 2 6 3 2" xfId="45971" xr:uid="{68AC655F-D7E9-4B4E-8BFD-FDB3309E9FB8}"/>
    <cellStyle name="Note 2 2 6 4" xfId="30093" xr:uid="{F680E7D7-A92C-43F8-9B98-ED2A38AB942E}"/>
    <cellStyle name="Note 2 2 7" xfId="9759" xr:uid="{00000000-0005-0000-0000-00007E600000}"/>
    <cellStyle name="Note 2 2 7 2" xfId="17717" xr:uid="{00000000-0005-0000-0000-00007F600000}"/>
    <cellStyle name="Note 2 2 7 2 2" xfId="41558" xr:uid="{00C97F6F-2412-493A-8A85-1866E6C43C6D}"/>
    <cellStyle name="Note 2 2 7 3" xfId="25661" xr:uid="{00000000-0005-0000-0000-000080600000}"/>
    <cellStyle name="Note 2 2 7 3 2" xfId="49494" xr:uid="{C6B17086-A823-4F6E-90B2-5C5711D4FFD7}"/>
    <cellStyle name="Note 2 2 7 4" xfId="33617" xr:uid="{7CAF9B98-8441-4505-AE05-2013C4D555E9}"/>
    <cellStyle name="Note 2 2 8" xfId="10655" xr:uid="{00000000-0005-0000-0000-000081600000}"/>
    <cellStyle name="Note 2 2 8 2" xfId="34505" xr:uid="{1F3EB095-C44A-4CE6-A1C8-9856EC7A2A39}"/>
    <cellStyle name="Note 2 2 9" xfId="18610" xr:uid="{00000000-0005-0000-0000-000082600000}"/>
    <cellStyle name="Note 2 2 9 2" xfId="42443" xr:uid="{C9BA40A1-CEDD-463E-8719-66A6F87552B8}"/>
    <cellStyle name="Note 2 2_Exh G" xfId="3614" xr:uid="{00000000-0005-0000-0000-000083600000}"/>
    <cellStyle name="Note 2 3" xfId="709" xr:uid="{00000000-0005-0000-0000-000084600000}"/>
    <cellStyle name="Note 2 3 2" xfId="1737" xr:uid="{00000000-0005-0000-0000-000085600000}"/>
    <cellStyle name="Note 2 3 2 2" xfId="5267" xr:uid="{00000000-0005-0000-0000-000086600000}"/>
    <cellStyle name="Note 2 3 2 2 2" xfId="8858" xr:uid="{00000000-0005-0000-0000-000087600000}"/>
    <cellStyle name="Note 2 3 2 2 2 2" xfId="16829" xr:uid="{00000000-0005-0000-0000-000088600000}"/>
    <cellStyle name="Note 2 3 2 2 2 2 2" xfId="40672" xr:uid="{758D98DE-76FE-4527-AB8E-024D41ECB0BF}"/>
    <cellStyle name="Note 2 3 2 2 2 3" xfId="24775" xr:uid="{00000000-0005-0000-0000-000089600000}"/>
    <cellStyle name="Note 2 3 2 2 2 3 2" xfId="48608" xr:uid="{B003490C-9250-4B9B-842E-6EFA8856EB77}"/>
    <cellStyle name="Note 2 3 2 2 2 4" xfId="32731" xr:uid="{8A1D4957-EB70-43CA-B794-2EF915049809}"/>
    <cellStyle name="Note 2 3 2 2 3" xfId="13291" xr:uid="{00000000-0005-0000-0000-00008A600000}"/>
    <cellStyle name="Note 2 3 2 2 3 2" xfId="37141" xr:uid="{05710656-1120-4241-B327-A7A4D17203D1}"/>
    <cellStyle name="Note 2 3 2 2 4" xfId="21246" xr:uid="{00000000-0005-0000-0000-00008B600000}"/>
    <cellStyle name="Note 2 3 2 2 4 2" xfId="45079" xr:uid="{B104E43D-227D-40E8-AC36-47838084F0D6}"/>
    <cellStyle name="Note 2 3 2 2 5" xfId="29200" xr:uid="{3AEE6C1F-7A83-43F7-B872-5204DAE4DCF6}"/>
    <cellStyle name="Note 2 3 2 3" xfId="7099" xr:uid="{00000000-0005-0000-0000-00008C600000}"/>
    <cellStyle name="Note 2 3 2 3 2" xfId="15071" xr:uid="{00000000-0005-0000-0000-00008D600000}"/>
    <cellStyle name="Note 2 3 2 3 2 2" xfId="38914" xr:uid="{1AC614E6-EE8C-492B-B2A2-312F3ECFB6FC}"/>
    <cellStyle name="Note 2 3 2 3 3" xfId="23018" xr:uid="{00000000-0005-0000-0000-00008E600000}"/>
    <cellStyle name="Note 2 3 2 3 3 2" xfId="46851" xr:uid="{4F1D0414-E44A-4D2D-9336-8EA1DF30D010}"/>
    <cellStyle name="Note 2 3 2 3 4" xfId="30973" xr:uid="{1F5B6AB8-35CD-413C-94FC-97163B283A65}"/>
    <cellStyle name="Note 2 3 2 4" xfId="11535" xr:uid="{00000000-0005-0000-0000-00008F600000}"/>
    <cellStyle name="Note 2 3 2 4 2" xfId="35385" xr:uid="{53F5157D-FBA0-447E-8D71-5F8FA4A4C391}"/>
    <cellStyle name="Note 2 3 2 5" xfId="19490" xr:uid="{00000000-0005-0000-0000-000090600000}"/>
    <cellStyle name="Note 2 3 2 5 2" xfId="43323" xr:uid="{687DE308-3659-4B46-A315-03242A908D85}"/>
    <cellStyle name="Note 2 3 2 6" xfId="27443" xr:uid="{C1AF00A9-DD80-4C81-9FEF-50D397DA87DC}"/>
    <cellStyle name="Note 2 3 2_Exh G" xfId="3621" xr:uid="{00000000-0005-0000-0000-000091600000}"/>
    <cellStyle name="Note 2 3 3" xfId="4388" xr:uid="{00000000-0005-0000-0000-000092600000}"/>
    <cellStyle name="Note 2 3 3 2" xfId="7980" xr:uid="{00000000-0005-0000-0000-000093600000}"/>
    <cellStyle name="Note 2 3 3 2 2" xfId="15951" xr:uid="{00000000-0005-0000-0000-000094600000}"/>
    <cellStyle name="Note 2 3 3 2 2 2" xfId="39794" xr:uid="{C54E1709-B616-405E-BB0F-C772864817AD}"/>
    <cellStyle name="Note 2 3 3 2 3" xfId="23897" xr:uid="{00000000-0005-0000-0000-000095600000}"/>
    <cellStyle name="Note 2 3 3 2 3 2" xfId="47730" xr:uid="{F090B598-8926-4687-9174-04A40182DF13}"/>
    <cellStyle name="Note 2 3 3 2 4" xfId="31853" xr:uid="{735A1FD0-83D6-418B-A865-200E48C61602}"/>
    <cellStyle name="Note 2 3 3 3" xfId="12413" xr:uid="{00000000-0005-0000-0000-000096600000}"/>
    <cellStyle name="Note 2 3 3 3 2" xfId="36263" xr:uid="{019F1450-87E6-4C0C-99C4-A40743360242}"/>
    <cellStyle name="Note 2 3 3 4" xfId="20368" xr:uid="{00000000-0005-0000-0000-000097600000}"/>
    <cellStyle name="Note 2 3 3 4 2" xfId="44201" xr:uid="{75FD43E8-A1DF-435B-A102-8CF8A8594C8E}"/>
    <cellStyle name="Note 2 3 3 5" xfId="28322" xr:uid="{30BAC5F0-CF9D-4BA1-8B51-2D4315D9CAD7}"/>
    <cellStyle name="Note 2 3 4" xfId="6208" xr:uid="{00000000-0005-0000-0000-000098600000}"/>
    <cellStyle name="Note 2 3 4 2" xfId="14192" xr:uid="{00000000-0005-0000-0000-000099600000}"/>
    <cellStyle name="Note 2 3 4 2 2" xfId="38036" xr:uid="{9D0E9777-203D-4A91-ACE9-098FA1D5D3D6}"/>
    <cellStyle name="Note 2 3 4 3" xfId="22140" xr:uid="{00000000-0005-0000-0000-00009A600000}"/>
    <cellStyle name="Note 2 3 4 3 2" xfId="45973" xr:uid="{70C0B4F5-D4BC-4154-9228-9251737A3213}"/>
    <cellStyle name="Note 2 3 4 4" xfId="30095" xr:uid="{1EA61F18-B323-45E8-BAF8-974E97CE8BF5}"/>
    <cellStyle name="Note 2 3 5" xfId="9761" xr:uid="{00000000-0005-0000-0000-00009B600000}"/>
    <cellStyle name="Note 2 3 5 2" xfId="17719" xr:uid="{00000000-0005-0000-0000-00009C600000}"/>
    <cellStyle name="Note 2 3 5 2 2" xfId="41560" xr:uid="{93F71FA6-E0FE-43F2-9A4C-9F589CD2204D}"/>
    <cellStyle name="Note 2 3 5 3" xfId="25663" xr:uid="{00000000-0005-0000-0000-00009D600000}"/>
    <cellStyle name="Note 2 3 5 3 2" xfId="49496" xr:uid="{4549A1DD-60F4-4B08-9220-0891CF47177E}"/>
    <cellStyle name="Note 2 3 5 4" xfId="33619" xr:uid="{506E719A-F08E-432A-BC86-8CB0B44A6FB5}"/>
    <cellStyle name="Note 2 3 6" xfId="10657" xr:uid="{00000000-0005-0000-0000-00009E600000}"/>
    <cellStyle name="Note 2 3 6 2" xfId="34507" xr:uid="{B46D4B68-74ED-4F6C-8885-A6015D8274F4}"/>
    <cellStyle name="Note 2 3 7" xfId="18612" xr:uid="{00000000-0005-0000-0000-00009F600000}"/>
    <cellStyle name="Note 2 3 7 2" xfId="42445" xr:uid="{7FBA970E-2011-4AF7-9CC0-45B5D365050D}"/>
    <cellStyle name="Note 2 3 8" xfId="26565" xr:uid="{4C900347-96A2-49F7-A240-D4A12579B9E3}"/>
    <cellStyle name="Note 2 3_Exh G" xfId="3620" xr:uid="{00000000-0005-0000-0000-0000A0600000}"/>
    <cellStyle name="Note 2 4" xfId="1030" xr:uid="{00000000-0005-0000-0000-0000A1600000}"/>
    <cellStyle name="Note 2 4 2" xfId="1930" xr:uid="{00000000-0005-0000-0000-0000A2600000}"/>
    <cellStyle name="Note 2 4 2 2" xfId="5448" xr:uid="{00000000-0005-0000-0000-0000A3600000}"/>
    <cellStyle name="Note 2 4 2 2 2" xfId="9039" xr:uid="{00000000-0005-0000-0000-0000A4600000}"/>
    <cellStyle name="Note 2 4 2 2 2 2" xfId="17010" xr:uid="{00000000-0005-0000-0000-0000A5600000}"/>
    <cellStyle name="Note 2 4 2 2 2 2 2" xfId="40853" xr:uid="{B9FA836A-0A6F-4F7C-B5DC-23313D0D358F}"/>
    <cellStyle name="Note 2 4 2 2 2 3" xfId="24956" xr:uid="{00000000-0005-0000-0000-0000A6600000}"/>
    <cellStyle name="Note 2 4 2 2 2 3 2" xfId="48789" xr:uid="{762EC840-284E-4909-AFEB-E22D1D0C8AB2}"/>
    <cellStyle name="Note 2 4 2 2 2 4" xfId="32912" xr:uid="{6BF32523-703A-446D-A5D2-C2ACC9D132FC}"/>
    <cellStyle name="Note 2 4 2 2 3" xfId="13472" xr:uid="{00000000-0005-0000-0000-0000A7600000}"/>
    <cellStyle name="Note 2 4 2 2 3 2" xfId="37322" xr:uid="{FB13E903-524C-4E84-A359-2A4BCDAF8F76}"/>
    <cellStyle name="Note 2 4 2 2 4" xfId="21427" xr:uid="{00000000-0005-0000-0000-0000A8600000}"/>
    <cellStyle name="Note 2 4 2 2 4 2" xfId="45260" xr:uid="{33E3B532-61C2-4D9D-B4BE-2DACE3850DFA}"/>
    <cellStyle name="Note 2 4 2 2 5" xfId="29381" xr:uid="{46EC32B9-0653-4216-9462-22FF71FD0F8A}"/>
    <cellStyle name="Note 2 4 2 3" xfId="7280" xr:uid="{00000000-0005-0000-0000-0000A9600000}"/>
    <cellStyle name="Note 2 4 2 3 2" xfId="15252" xr:uid="{00000000-0005-0000-0000-0000AA600000}"/>
    <cellStyle name="Note 2 4 2 3 2 2" xfId="39095" xr:uid="{F57BF588-FD1E-422E-B578-0543B5609DD9}"/>
    <cellStyle name="Note 2 4 2 3 3" xfId="23199" xr:uid="{00000000-0005-0000-0000-0000AB600000}"/>
    <cellStyle name="Note 2 4 2 3 3 2" xfId="47032" xr:uid="{23CE7681-EBF1-4C36-ABAD-F77439633253}"/>
    <cellStyle name="Note 2 4 2 3 4" xfId="31154" xr:uid="{184FFA67-651D-4629-89A5-470A17F07F22}"/>
    <cellStyle name="Note 2 4 2 4" xfId="11716" xr:uid="{00000000-0005-0000-0000-0000AC600000}"/>
    <cellStyle name="Note 2 4 2 4 2" xfId="35566" xr:uid="{9364008E-7BBF-43C9-86F4-651946646989}"/>
    <cellStyle name="Note 2 4 2 5" xfId="19671" xr:uid="{00000000-0005-0000-0000-0000AD600000}"/>
    <cellStyle name="Note 2 4 2 5 2" xfId="43504" xr:uid="{5C5DE347-3163-489D-96BB-ACF5B172FCD3}"/>
    <cellStyle name="Note 2 4 2 6" xfId="27624" xr:uid="{90BF3E5F-F7AA-40BF-8E0F-3E863724E6DB}"/>
    <cellStyle name="Note 2 4 2_Exh G" xfId="3623" xr:uid="{00000000-0005-0000-0000-0000AE600000}"/>
    <cellStyle name="Note 2 4 3" xfId="4569" xr:uid="{00000000-0005-0000-0000-0000AF600000}"/>
    <cellStyle name="Note 2 4 3 2" xfId="8161" xr:uid="{00000000-0005-0000-0000-0000B0600000}"/>
    <cellStyle name="Note 2 4 3 2 2" xfId="16132" xr:uid="{00000000-0005-0000-0000-0000B1600000}"/>
    <cellStyle name="Note 2 4 3 2 2 2" xfId="39975" xr:uid="{9F041699-A85D-491D-89D0-E1C2E17A66C6}"/>
    <cellStyle name="Note 2 4 3 2 3" xfId="24078" xr:uid="{00000000-0005-0000-0000-0000B2600000}"/>
    <cellStyle name="Note 2 4 3 2 3 2" xfId="47911" xr:uid="{E0094B55-088A-4B71-BE20-68DC9821A357}"/>
    <cellStyle name="Note 2 4 3 2 4" xfId="32034" xr:uid="{CD272C3E-EB32-4A03-A3B2-C4ACD0E53957}"/>
    <cellStyle name="Note 2 4 3 3" xfId="12594" xr:uid="{00000000-0005-0000-0000-0000B3600000}"/>
    <cellStyle name="Note 2 4 3 3 2" xfId="36444" xr:uid="{4FADA7BA-C9A2-4993-9340-ACEA622670FC}"/>
    <cellStyle name="Note 2 4 3 4" xfId="20549" xr:uid="{00000000-0005-0000-0000-0000B4600000}"/>
    <cellStyle name="Note 2 4 3 4 2" xfId="44382" xr:uid="{1F64ACF6-8332-4DB0-BD36-4AAA9A37BBE7}"/>
    <cellStyle name="Note 2 4 3 5" xfId="28503" xr:uid="{0CCC95F6-218B-44B0-B347-2D1846DAC5B7}"/>
    <cellStyle name="Note 2 4 4" xfId="6400" xr:uid="{00000000-0005-0000-0000-0000B5600000}"/>
    <cellStyle name="Note 2 4 4 2" xfId="14374" xr:uid="{00000000-0005-0000-0000-0000B6600000}"/>
    <cellStyle name="Note 2 4 4 2 2" xfId="38217" xr:uid="{A15A4B49-F10F-4186-9B42-42032FBE9B5C}"/>
    <cellStyle name="Note 2 4 4 3" xfId="22321" xr:uid="{00000000-0005-0000-0000-0000B7600000}"/>
    <cellStyle name="Note 2 4 4 3 2" xfId="46154" xr:uid="{8C6BE264-CD1C-492E-940B-A7552A1733C5}"/>
    <cellStyle name="Note 2 4 4 4" xfId="30276" xr:uid="{DB236D93-B24E-4187-A87E-187AD1F82C71}"/>
    <cellStyle name="Note 2 4 5" xfId="9942" xr:uid="{00000000-0005-0000-0000-0000B8600000}"/>
    <cellStyle name="Note 2 4 5 2" xfId="17900" xr:uid="{00000000-0005-0000-0000-0000B9600000}"/>
    <cellStyle name="Note 2 4 5 2 2" xfId="41741" xr:uid="{776FB937-6FD0-4E3B-BBA4-50C1E76A920C}"/>
    <cellStyle name="Note 2 4 5 3" xfId="25844" xr:uid="{00000000-0005-0000-0000-0000BA600000}"/>
    <cellStyle name="Note 2 4 5 3 2" xfId="49677" xr:uid="{1DE5D490-8B26-449F-8015-0881D802E1D3}"/>
    <cellStyle name="Note 2 4 5 4" xfId="33800" xr:uid="{DCD6D44B-3CF1-4985-B834-05E61B603FF9}"/>
    <cellStyle name="Note 2 4 6" xfId="10838" xr:uid="{00000000-0005-0000-0000-0000BB600000}"/>
    <cellStyle name="Note 2 4 6 2" xfId="34688" xr:uid="{DD27FE5E-B25F-46A7-A6D8-9CA0D3449958}"/>
    <cellStyle name="Note 2 4 7" xfId="18793" xr:uid="{00000000-0005-0000-0000-0000BC600000}"/>
    <cellStyle name="Note 2 4 7 2" xfId="42626" xr:uid="{CB73509B-876A-42E2-ABEE-FABA0C1B9A4E}"/>
    <cellStyle name="Note 2 4 8" xfId="26746" xr:uid="{12140918-2027-4D87-BAE3-8A188F9EE475}"/>
    <cellStyle name="Note 2 4_Exh G" xfId="3622" xr:uid="{00000000-0005-0000-0000-0000BD600000}"/>
    <cellStyle name="Note 2 5" xfId="1052" xr:uid="{00000000-0005-0000-0000-0000BE600000}"/>
    <cellStyle name="Note 2 5 2" xfId="4582" xr:uid="{00000000-0005-0000-0000-0000BF600000}"/>
    <cellStyle name="Note 2 5 2 2" xfId="8173" xr:uid="{00000000-0005-0000-0000-0000C0600000}"/>
    <cellStyle name="Note 2 5 2 2 2" xfId="16144" xr:uid="{00000000-0005-0000-0000-0000C1600000}"/>
    <cellStyle name="Note 2 5 2 2 2 2" xfId="39987" xr:uid="{92C73336-08B3-4AAA-B2C4-7A17B26E5AC5}"/>
    <cellStyle name="Note 2 5 2 2 3" xfId="24090" xr:uid="{00000000-0005-0000-0000-0000C2600000}"/>
    <cellStyle name="Note 2 5 2 2 3 2" xfId="47923" xr:uid="{E7F32B19-E04F-4F46-BD7B-949B43CEBBC7}"/>
    <cellStyle name="Note 2 5 2 2 4" xfId="32046" xr:uid="{332689BC-D33A-4484-8663-37E63ECBB34D}"/>
    <cellStyle name="Note 2 5 2 3" xfId="12606" xr:uid="{00000000-0005-0000-0000-0000C3600000}"/>
    <cellStyle name="Note 2 5 2 3 2" xfId="36456" xr:uid="{E81C92CD-A020-40F5-8DF6-1A7A44FB04DE}"/>
    <cellStyle name="Note 2 5 2 4" xfId="20561" xr:uid="{00000000-0005-0000-0000-0000C4600000}"/>
    <cellStyle name="Note 2 5 2 4 2" xfId="44394" xr:uid="{62E8565E-79DE-4912-AAF3-46634C2BF456}"/>
    <cellStyle name="Note 2 5 2 5" xfId="28515" xr:uid="{F1D276FD-3715-466B-802E-D21BC9BBDDB6}"/>
    <cellStyle name="Note 2 5 3" xfId="6414" xr:uid="{00000000-0005-0000-0000-0000C5600000}"/>
    <cellStyle name="Note 2 5 3 2" xfId="14386" xr:uid="{00000000-0005-0000-0000-0000C6600000}"/>
    <cellStyle name="Note 2 5 3 2 2" xfId="38229" xr:uid="{566B7C1F-7B44-4B5A-A787-A9CA280BE855}"/>
    <cellStyle name="Note 2 5 3 3" xfId="22333" xr:uid="{00000000-0005-0000-0000-0000C7600000}"/>
    <cellStyle name="Note 2 5 3 3 2" xfId="46166" xr:uid="{CF6E2EC0-2A9A-42F0-9A83-72A7D664FF53}"/>
    <cellStyle name="Note 2 5 3 4" xfId="30288" xr:uid="{DDA6E084-E4A9-4A39-9675-ED2C100B3593}"/>
    <cellStyle name="Note 2 5 4" xfId="10850" xr:uid="{00000000-0005-0000-0000-0000C8600000}"/>
    <cellStyle name="Note 2 5 4 2" xfId="34700" xr:uid="{381B26CE-2E11-49CE-981B-429062E4295B}"/>
    <cellStyle name="Note 2 5 5" xfId="18805" xr:uid="{00000000-0005-0000-0000-0000C9600000}"/>
    <cellStyle name="Note 2 5 5 2" xfId="42638" xr:uid="{2246211A-B0AB-4A86-8F2F-106C2DDAB282}"/>
    <cellStyle name="Note 2 5 6" xfId="26758" xr:uid="{E0965C00-F509-49EA-95D9-62B206C9F8B9}"/>
    <cellStyle name="Note 2 5_Exh G" xfId="3624" xr:uid="{00000000-0005-0000-0000-0000CA600000}"/>
    <cellStyle name="Note 2 6" xfId="3703" xr:uid="{00000000-0005-0000-0000-0000CB600000}"/>
    <cellStyle name="Note 2 6 2" xfId="7295" xr:uid="{00000000-0005-0000-0000-0000CC600000}"/>
    <cellStyle name="Note 2 6 2 2" xfId="15266" xr:uid="{00000000-0005-0000-0000-0000CD600000}"/>
    <cellStyle name="Note 2 6 2 2 2" xfId="39109" xr:uid="{6260201A-71AC-4A16-AD18-4A6E5232F491}"/>
    <cellStyle name="Note 2 6 2 3" xfId="23212" xr:uid="{00000000-0005-0000-0000-0000CE600000}"/>
    <cellStyle name="Note 2 6 2 3 2" xfId="47045" xr:uid="{1D8EBBA2-B63E-416B-85E2-B275861A8489}"/>
    <cellStyle name="Note 2 6 2 4" xfId="31168" xr:uid="{EAD8B25A-4167-4A18-B4EF-44886BA0736D}"/>
    <cellStyle name="Note 2 6 3" xfId="11728" xr:uid="{00000000-0005-0000-0000-0000CF600000}"/>
    <cellStyle name="Note 2 6 3 2" xfId="35578" xr:uid="{835B17CA-E249-4016-8B38-A6E6106A610A}"/>
    <cellStyle name="Note 2 6 4" xfId="19683" xr:uid="{00000000-0005-0000-0000-0000D0600000}"/>
    <cellStyle name="Note 2 6 4 2" xfId="43516" xr:uid="{CEDFDBF0-5750-4B06-81D5-1CC9C9BEEDA0}"/>
    <cellStyle name="Note 2 6 5" xfId="27637" xr:uid="{7109C6C4-5E7C-449B-88EE-E67FC9401D1C}"/>
    <cellStyle name="Note 2 7" xfId="5523" xr:uid="{00000000-0005-0000-0000-0000D1600000}"/>
    <cellStyle name="Note 2 7 2" xfId="13507" xr:uid="{00000000-0005-0000-0000-0000D2600000}"/>
    <cellStyle name="Note 2 7 2 2" xfId="37351" xr:uid="{AE948561-D99C-4ECC-802F-B83DD91A889E}"/>
    <cellStyle name="Note 2 7 3" xfId="21455" xr:uid="{00000000-0005-0000-0000-0000D3600000}"/>
    <cellStyle name="Note 2 7 3 2" xfId="45288" xr:uid="{BA8B24AF-A4B5-43E8-83F8-B45ECD1A2259}"/>
    <cellStyle name="Note 2 7 4" xfId="29410" xr:uid="{C89D0E76-5EFF-4D13-BA68-EACB247F96A3}"/>
    <cellStyle name="Note 2 8" xfId="9076" xr:uid="{00000000-0005-0000-0000-0000D4600000}"/>
    <cellStyle name="Note 2 8 2" xfId="17034" xr:uid="{00000000-0005-0000-0000-0000D5600000}"/>
    <cellStyle name="Note 2 8 2 2" xfId="40875" xr:uid="{26F75691-C3B2-4644-9F21-F388D34500F9}"/>
    <cellStyle name="Note 2 8 3" xfId="24978" xr:uid="{00000000-0005-0000-0000-0000D6600000}"/>
    <cellStyle name="Note 2 8 3 2" xfId="48811" xr:uid="{6B43F970-20A5-4E41-8151-2A986B9E78AE}"/>
    <cellStyle name="Note 2 8 4" xfId="32934" xr:uid="{1670D14C-57C2-4D0A-9EFF-C99D54AA5A0C}"/>
    <cellStyle name="Note 2 9" xfId="9972" xr:uid="{00000000-0005-0000-0000-0000D7600000}"/>
    <cellStyle name="Note 2 9 2" xfId="33822" xr:uid="{BDF6EECF-76B0-4F2C-9E1C-D0D3DB41C1FF}"/>
    <cellStyle name="Note 2_Exh G" xfId="3613" xr:uid="{00000000-0005-0000-0000-0000D8600000}"/>
    <cellStyle name="Note 3" xfId="710" xr:uid="{00000000-0005-0000-0000-0000D9600000}"/>
    <cellStyle name="Note 3 10" xfId="18613" xr:uid="{00000000-0005-0000-0000-0000DA600000}"/>
    <cellStyle name="Note 3 10 2" xfId="42446" xr:uid="{FA5A2E12-E70D-42A1-9472-4A16DC68AE5B}"/>
    <cellStyle name="Note 3 11" xfId="26566" xr:uid="{84F1E09E-B4F2-4521-B36A-40A204538429}"/>
    <cellStyle name="Note 3 2" xfId="711" xr:uid="{00000000-0005-0000-0000-0000DB600000}"/>
    <cellStyle name="Note 3 2 10" xfId="26567" xr:uid="{7F3D37B3-1BF0-4A95-B9C8-6EBFA03EC579}"/>
    <cellStyle name="Note 3 2 2" xfId="712" xr:uid="{00000000-0005-0000-0000-0000DC600000}"/>
    <cellStyle name="Note 3 2 2 2" xfId="1740" xr:uid="{00000000-0005-0000-0000-0000DD600000}"/>
    <cellStyle name="Note 3 2 2 2 2" xfId="5270" xr:uid="{00000000-0005-0000-0000-0000DE600000}"/>
    <cellStyle name="Note 3 2 2 2 2 2" xfId="8861" xr:uid="{00000000-0005-0000-0000-0000DF600000}"/>
    <cellStyle name="Note 3 2 2 2 2 2 2" xfId="16832" xr:uid="{00000000-0005-0000-0000-0000E0600000}"/>
    <cellStyle name="Note 3 2 2 2 2 2 2 2" xfId="40675" xr:uid="{F17CE054-D912-4DE1-BCF2-D9BB918980D1}"/>
    <cellStyle name="Note 3 2 2 2 2 2 3" xfId="24778" xr:uid="{00000000-0005-0000-0000-0000E1600000}"/>
    <cellStyle name="Note 3 2 2 2 2 2 3 2" xfId="48611" xr:uid="{E2A184FF-274D-426E-9DB8-FB28A159EBCD}"/>
    <cellStyle name="Note 3 2 2 2 2 2 4" xfId="32734" xr:uid="{98ECE241-ED4A-43A0-A73B-67F0C65D6D80}"/>
    <cellStyle name="Note 3 2 2 2 2 3" xfId="13294" xr:uid="{00000000-0005-0000-0000-0000E2600000}"/>
    <cellStyle name="Note 3 2 2 2 2 3 2" xfId="37144" xr:uid="{1212B26B-8D6B-4F04-8E07-231B7D9A6624}"/>
    <cellStyle name="Note 3 2 2 2 2 4" xfId="21249" xr:uid="{00000000-0005-0000-0000-0000E3600000}"/>
    <cellStyle name="Note 3 2 2 2 2 4 2" xfId="45082" xr:uid="{78F50A0B-8E1B-4AE2-B2C2-C76971DEBC0A}"/>
    <cellStyle name="Note 3 2 2 2 2 5" xfId="29203" xr:uid="{087E3B77-2417-4AA3-AF93-08D233B13ADD}"/>
    <cellStyle name="Note 3 2 2 2 3" xfId="7102" xr:uid="{00000000-0005-0000-0000-0000E4600000}"/>
    <cellStyle name="Note 3 2 2 2 3 2" xfId="15074" xr:uid="{00000000-0005-0000-0000-0000E5600000}"/>
    <cellStyle name="Note 3 2 2 2 3 2 2" xfId="38917" xr:uid="{793F2669-29C3-4754-995D-BE5FF5836ADA}"/>
    <cellStyle name="Note 3 2 2 2 3 3" xfId="23021" xr:uid="{00000000-0005-0000-0000-0000E6600000}"/>
    <cellStyle name="Note 3 2 2 2 3 3 2" xfId="46854" xr:uid="{00899BB2-11D5-402D-A505-8BF2A15C1A71}"/>
    <cellStyle name="Note 3 2 2 2 3 4" xfId="30976" xr:uid="{B38C209C-25DD-4516-BD6C-439ADDC4CA03}"/>
    <cellStyle name="Note 3 2 2 2 4" xfId="11538" xr:uid="{00000000-0005-0000-0000-0000E7600000}"/>
    <cellStyle name="Note 3 2 2 2 4 2" xfId="35388" xr:uid="{89D4BB00-2A34-4AFF-9011-C3BA6A3BDD27}"/>
    <cellStyle name="Note 3 2 2 2 5" xfId="19493" xr:uid="{00000000-0005-0000-0000-0000E8600000}"/>
    <cellStyle name="Note 3 2 2 2 5 2" xfId="43326" xr:uid="{842F4E5C-FFC7-4B62-9E40-A1B9E6B0893C}"/>
    <cellStyle name="Note 3 2 2 2 6" xfId="27446" xr:uid="{7BB6EEF3-AC05-41BB-AB96-B88F5FC9219D}"/>
    <cellStyle name="Note 3 2 2 2_Exh G" xfId="3628" xr:uid="{00000000-0005-0000-0000-0000E9600000}"/>
    <cellStyle name="Note 3 2 2 3" xfId="4391" xr:uid="{00000000-0005-0000-0000-0000EA600000}"/>
    <cellStyle name="Note 3 2 2 3 2" xfId="7983" xr:uid="{00000000-0005-0000-0000-0000EB600000}"/>
    <cellStyle name="Note 3 2 2 3 2 2" xfId="15954" xr:uid="{00000000-0005-0000-0000-0000EC600000}"/>
    <cellStyle name="Note 3 2 2 3 2 2 2" xfId="39797" xr:uid="{037ED795-1DE4-4621-84B2-15517419754B}"/>
    <cellStyle name="Note 3 2 2 3 2 3" xfId="23900" xr:uid="{00000000-0005-0000-0000-0000ED600000}"/>
    <cellStyle name="Note 3 2 2 3 2 3 2" xfId="47733" xr:uid="{12F893FD-2B7D-460D-ABF5-66915C51A477}"/>
    <cellStyle name="Note 3 2 2 3 2 4" xfId="31856" xr:uid="{D2C55BCC-8086-414D-8CBD-EE6587849FB9}"/>
    <cellStyle name="Note 3 2 2 3 3" xfId="12416" xr:uid="{00000000-0005-0000-0000-0000EE600000}"/>
    <cellStyle name="Note 3 2 2 3 3 2" xfId="36266" xr:uid="{B2852AA8-9163-421D-AB34-BCDF4B6150EC}"/>
    <cellStyle name="Note 3 2 2 3 4" xfId="20371" xr:uid="{00000000-0005-0000-0000-0000EF600000}"/>
    <cellStyle name="Note 3 2 2 3 4 2" xfId="44204" xr:uid="{95F06B7F-4DC1-4A6D-9685-E6AA991F938C}"/>
    <cellStyle name="Note 3 2 2 3 5" xfId="28325" xr:uid="{7460C8BA-D4A3-4903-94DA-45047A8C57E1}"/>
    <cellStyle name="Note 3 2 2 4" xfId="6211" xr:uid="{00000000-0005-0000-0000-0000F0600000}"/>
    <cellStyle name="Note 3 2 2 4 2" xfId="14195" xr:uid="{00000000-0005-0000-0000-0000F1600000}"/>
    <cellStyle name="Note 3 2 2 4 2 2" xfId="38039" xr:uid="{5046FE0A-DC6B-4F8D-B6F2-AF9FEE414555}"/>
    <cellStyle name="Note 3 2 2 4 3" xfId="22143" xr:uid="{00000000-0005-0000-0000-0000F2600000}"/>
    <cellStyle name="Note 3 2 2 4 3 2" xfId="45976" xr:uid="{F9E3A306-AEB8-42DD-B04F-CC9ACBDACA13}"/>
    <cellStyle name="Note 3 2 2 4 4" xfId="30098" xr:uid="{7C0C78A4-D77A-4626-A874-7FCF710EA20A}"/>
    <cellStyle name="Note 3 2 2 5" xfId="9764" xr:uid="{00000000-0005-0000-0000-0000F3600000}"/>
    <cellStyle name="Note 3 2 2 5 2" xfId="17722" xr:uid="{00000000-0005-0000-0000-0000F4600000}"/>
    <cellStyle name="Note 3 2 2 5 2 2" xfId="41563" xr:uid="{0B19A9A2-78F0-4A66-BE54-14B716A80CAD}"/>
    <cellStyle name="Note 3 2 2 5 3" xfId="25666" xr:uid="{00000000-0005-0000-0000-0000F5600000}"/>
    <cellStyle name="Note 3 2 2 5 3 2" xfId="49499" xr:uid="{6E71992B-5A26-4E6B-ABB0-31BB95428DD1}"/>
    <cellStyle name="Note 3 2 2 5 4" xfId="33622" xr:uid="{3E7EFFCC-F208-494F-953A-E924FDF52A1A}"/>
    <cellStyle name="Note 3 2 2 6" xfId="10660" xr:uid="{00000000-0005-0000-0000-0000F6600000}"/>
    <cellStyle name="Note 3 2 2 6 2" xfId="34510" xr:uid="{FE4E53E3-528E-4C42-84E7-F8AF0DCFB224}"/>
    <cellStyle name="Note 3 2 2 7" xfId="18615" xr:uid="{00000000-0005-0000-0000-0000F7600000}"/>
    <cellStyle name="Note 3 2 2 7 2" xfId="42448" xr:uid="{7B68393E-56A5-44D9-BFF4-A8D200141FE2}"/>
    <cellStyle name="Note 3 2 2 8" xfId="26568" xr:uid="{AD3CF7A8-DA0D-4577-A778-D4AFC58BA842}"/>
    <cellStyle name="Note 3 2 2_Exh G" xfId="3627" xr:uid="{00000000-0005-0000-0000-0000F8600000}"/>
    <cellStyle name="Note 3 2 3" xfId="1033" xr:uid="{00000000-0005-0000-0000-0000F9600000}"/>
    <cellStyle name="Note 3 2 3 2" xfId="1933" xr:uid="{00000000-0005-0000-0000-0000FA600000}"/>
    <cellStyle name="Note 3 2 3 2 2" xfId="5451" xr:uid="{00000000-0005-0000-0000-0000FB600000}"/>
    <cellStyle name="Note 3 2 3 2 2 2" xfId="9042" xr:uid="{00000000-0005-0000-0000-0000FC600000}"/>
    <cellStyle name="Note 3 2 3 2 2 2 2" xfId="17013" xr:uid="{00000000-0005-0000-0000-0000FD600000}"/>
    <cellStyle name="Note 3 2 3 2 2 2 2 2" xfId="40856" xr:uid="{461168BD-C5E9-46F6-9D61-DAA94E19D432}"/>
    <cellStyle name="Note 3 2 3 2 2 2 3" xfId="24959" xr:uid="{00000000-0005-0000-0000-0000FE600000}"/>
    <cellStyle name="Note 3 2 3 2 2 2 3 2" xfId="48792" xr:uid="{AF08642D-DF0D-4068-AE49-F96284A05159}"/>
    <cellStyle name="Note 3 2 3 2 2 2 4" xfId="32915" xr:uid="{E4A67213-C6F3-4AA2-9A31-7A858BA86811}"/>
    <cellStyle name="Note 3 2 3 2 2 3" xfId="13475" xr:uid="{00000000-0005-0000-0000-0000FF600000}"/>
    <cellStyle name="Note 3 2 3 2 2 3 2" xfId="37325" xr:uid="{072E400E-DA30-41F5-9416-44C0D57E9A08}"/>
    <cellStyle name="Note 3 2 3 2 2 4" xfId="21430" xr:uid="{00000000-0005-0000-0000-000000610000}"/>
    <cellStyle name="Note 3 2 3 2 2 4 2" xfId="45263" xr:uid="{66FF6328-32FE-42ED-9C22-A50D3384AB9E}"/>
    <cellStyle name="Note 3 2 3 2 2 5" xfId="29384" xr:uid="{BDFC4DA3-F79C-4A63-8F49-92D31905DE58}"/>
    <cellStyle name="Note 3 2 3 2 3" xfId="7283" xr:uid="{00000000-0005-0000-0000-000001610000}"/>
    <cellStyle name="Note 3 2 3 2 3 2" xfId="15255" xr:uid="{00000000-0005-0000-0000-000002610000}"/>
    <cellStyle name="Note 3 2 3 2 3 2 2" xfId="39098" xr:uid="{F3C8B025-9129-4179-83E3-015F7F19F4BC}"/>
    <cellStyle name="Note 3 2 3 2 3 3" xfId="23202" xr:uid="{00000000-0005-0000-0000-000003610000}"/>
    <cellStyle name="Note 3 2 3 2 3 3 2" xfId="47035" xr:uid="{F3B9D8E6-EA3F-4B29-99B2-E07FC0384777}"/>
    <cellStyle name="Note 3 2 3 2 3 4" xfId="31157" xr:uid="{9565897D-4E74-4CAB-9FEE-F158CCBC8DC0}"/>
    <cellStyle name="Note 3 2 3 2 4" xfId="11719" xr:uid="{00000000-0005-0000-0000-000004610000}"/>
    <cellStyle name="Note 3 2 3 2 4 2" xfId="35569" xr:uid="{24025EF3-7BA9-4AD7-BA62-49716B91679F}"/>
    <cellStyle name="Note 3 2 3 2 5" xfId="19674" xr:uid="{00000000-0005-0000-0000-000005610000}"/>
    <cellStyle name="Note 3 2 3 2 5 2" xfId="43507" xr:uid="{48A17469-442A-40C9-9F01-19F4DEC8DD5F}"/>
    <cellStyle name="Note 3 2 3 2 6" xfId="27627" xr:uid="{6D3D160D-89E7-49C1-B896-6864DB6CE2FF}"/>
    <cellStyle name="Note 3 2 3 2_Exh G" xfId="3630" xr:uid="{00000000-0005-0000-0000-000006610000}"/>
    <cellStyle name="Note 3 2 3 3" xfId="4572" xr:uid="{00000000-0005-0000-0000-000007610000}"/>
    <cellStyle name="Note 3 2 3 3 2" xfId="8164" xr:uid="{00000000-0005-0000-0000-000008610000}"/>
    <cellStyle name="Note 3 2 3 3 2 2" xfId="16135" xr:uid="{00000000-0005-0000-0000-000009610000}"/>
    <cellStyle name="Note 3 2 3 3 2 2 2" xfId="39978" xr:uid="{E511DD9B-46FE-45CF-A3D2-472741B616A9}"/>
    <cellStyle name="Note 3 2 3 3 2 3" xfId="24081" xr:uid="{00000000-0005-0000-0000-00000A610000}"/>
    <cellStyle name="Note 3 2 3 3 2 3 2" xfId="47914" xr:uid="{9867FAA5-CEA2-4343-82F5-94859E14ADB0}"/>
    <cellStyle name="Note 3 2 3 3 2 4" xfId="32037" xr:uid="{B708B7B0-0A94-4C71-85A0-185E59291610}"/>
    <cellStyle name="Note 3 2 3 3 3" xfId="12597" xr:uid="{00000000-0005-0000-0000-00000B610000}"/>
    <cellStyle name="Note 3 2 3 3 3 2" xfId="36447" xr:uid="{55961D60-3EBB-4F32-A46D-7BEE2F8B0630}"/>
    <cellStyle name="Note 3 2 3 3 4" xfId="20552" xr:uid="{00000000-0005-0000-0000-00000C610000}"/>
    <cellStyle name="Note 3 2 3 3 4 2" xfId="44385" xr:uid="{8E00D923-450F-45D9-B080-8F1DF801560C}"/>
    <cellStyle name="Note 3 2 3 3 5" xfId="28506" xr:uid="{EE947940-7821-486D-ABBF-D0E3374BD180}"/>
    <cellStyle name="Note 3 2 3 4" xfId="6403" xr:uid="{00000000-0005-0000-0000-00000D610000}"/>
    <cellStyle name="Note 3 2 3 4 2" xfId="14377" xr:uid="{00000000-0005-0000-0000-00000E610000}"/>
    <cellStyle name="Note 3 2 3 4 2 2" xfId="38220" xr:uid="{8F4286E8-6108-4043-A6E1-7FA5F1F8E830}"/>
    <cellStyle name="Note 3 2 3 4 3" xfId="22324" xr:uid="{00000000-0005-0000-0000-00000F610000}"/>
    <cellStyle name="Note 3 2 3 4 3 2" xfId="46157" xr:uid="{A25C73B1-C6FC-49A2-8AB6-B4319A829C25}"/>
    <cellStyle name="Note 3 2 3 4 4" xfId="30279" xr:uid="{F677FEEA-63C4-4D8F-A26C-02E830313A4B}"/>
    <cellStyle name="Note 3 2 3 5" xfId="9945" xr:uid="{00000000-0005-0000-0000-000010610000}"/>
    <cellStyle name="Note 3 2 3 5 2" xfId="17903" xr:uid="{00000000-0005-0000-0000-000011610000}"/>
    <cellStyle name="Note 3 2 3 5 2 2" xfId="41744" xr:uid="{DC5014D9-D224-47C0-8966-1563CBF63619}"/>
    <cellStyle name="Note 3 2 3 5 3" xfId="25847" xr:uid="{00000000-0005-0000-0000-000012610000}"/>
    <cellStyle name="Note 3 2 3 5 3 2" xfId="49680" xr:uid="{63940F1E-C7A5-4BF1-8039-2C14A1393228}"/>
    <cellStyle name="Note 3 2 3 5 4" xfId="33803" xr:uid="{F47BBA52-644A-4567-B1A2-EDCF06A5CDD7}"/>
    <cellStyle name="Note 3 2 3 6" xfId="10841" xr:uid="{00000000-0005-0000-0000-000013610000}"/>
    <cellStyle name="Note 3 2 3 6 2" xfId="34691" xr:uid="{55595CC3-445C-465E-8CAE-E6006E3944BC}"/>
    <cellStyle name="Note 3 2 3 7" xfId="18796" xr:uid="{00000000-0005-0000-0000-000014610000}"/>
    <cellStyle name="Note 3 2 3 7 2" xfId="42629" xr:uid="{08517AB4-791D-40B7-A908-495DCDFFF6A8}"/>
    <cellStyle name="Note 3 2 3 8" xfId="26749" xr:uid="{5040E5C6-648D-4AE2-A2FF-33FAA8434472}"/>
    <cellStyle name="Note 3 2 3_Exh G" xfId="3629" xr:uid="{00000000-0005-0000-0000-000015610000}"/>
    <cellStyle name="Note 3 2 4" xfId="1739" xr:uid="{00000000-0005-0000-0000-000016610000}"/>
    <cellStyle name="Note 3 2 4 2" xfId="5269" xr:uid="{00000000-0005-0000-0000-000017610000}"/>
    <cellStyle name="Note 3 2 4 2 2" xfId="8860" xr:uid="{00000000-0005-0000-0000-000018610000}"/>
    <cellStyle name="Note 3 2 4 2 2 2" xfId="16831" xr:uid="{00000000-0005-0000-0000-000019610000}"/>
    <cellStyle name="Note 3 2 4 2 2 2 2" xfId="40674" xr:uid="{30997989-4838-493E-ABB4-5C81F61E80D0}"/>
    <cellStyle name="Note 3 2 4 2 2 3" xfId="24777" xr:uid="{00000000-0005-0000-0000-00001A610000}"/>
    <cellStyle name="Note 3 2 4 2 2 3 2" xfId="48610" xr:uid="{F1027CCE-C9BA-4CC0-AB51-4511EF800A5F}"/>
    <cellStyle name="Note 3 2 4 2 2 4" xfId="32733" xr:uid="{AD2942F7-6BBB-42B2-A9AB-A9AE1629D664}"/>
    <cellStyle name="Note 3 2 4 2 3" xfId="13293" xr:uid="{00000000-0005-0000-0000-00001B610000}"/>
    <cellStyle name="Note 3 2 4 2 3 2" xfId="37143" xr:uid="{431298A4-C0C0-43AD-A298-653C9CB10C65}"/>
    <cellStyle name="Note 3 2 4 2 4" xfId="21248" xr:uid="{00000000-0005-0000-0000-00001C610000}"/>
    <cellStyle name="Note 3 2 4 2 4 2" xfId="45081" xr:uid="{A2493C34-3260-48AB-8210-3C83035CF1D4}"/>
    <cellStyle name="Note 3 2 4 2 5" xfId="29202" xr:uid="{FC9552AF-91DF-42EB-9771-1FCA3ACDA939}"/>
    <cellStyle name="Note 3 2 4 3" xfId="7101" xr:uid="{00000000-0005-0000-0000-00001D610000}"/>
    <cellStyle name="Note 3 2 4 3 2" xfId="15073" xr:uid="{00000000-0005-0000-0000-00001E610000}"/>
    <cellStyle name="Note 3 2 4 3 2 2" xfId="38916" xr:uid="{4F01DC0B-37A5-4003-A22A-753C43D07524}"/>
    <cellStyle name="Note 3 2 4 3 3" xfId="23020" xr:uid="{00000000-0005-0000-0000-00001F610000}"/>
    <cellStyle name="Note 3 2 4 3 3 2" xfId="46853" xr:uid="{AFB919D3-A867-43D8-8B4B-8F6D3DD739CE}"/>
    <cellStyle name="Note 3 2 4 3 4" xfId="30975" xr:uid="{B5B4E587-7315-4B6B-80F8-7BBEFCC6E508}"/>
    <cellStyle name="Note 3 2 4 4" xfId="11537" xr:uid="{00000000-0005-0000-0000-000020610000}"/>
    <cellStyle name="Note 3 2 4 4 2" xfId="35387" xr:uid="{50F65C4B-4DAB-41B0-BDED-668C05AEA02D}"/>
    <cellStyle name="Note 3 2 4 5" xfId="19492" xr:uid="{00000000-0005-0000-0000-000021610000}"/>
    <cellStyle name="Note 3 2 4 5 2" xfId="43325" xr:uid="{036794DC-56E2-4581-BA4F-27C627ECE91C}"/>
    <cellStyle name="Note 3 2 4 6" xfId="27445" xr:uid="{59BBAF8D-B9B4-44D2-B065-8D507018E488}"/>
    <cellStyle name="Note 3 2 4_Exh G" xfId="3631" xr:uid="{00000000-0005-0000-0000-000022610000}"/>
    <cellStyle name="Note 3 2 5" xfId="4390" xr:uid="{00000000-0005-0000-0000-000023610000}"/>
    <cellStyle name="Note 3 2 5 2" xfId="7982" xr:uid="{00000000-0005-0000-0000-000024610000}"/>
    <cellStyle name="Note 3 2 5 2 2" xfId="15953" xr:uid="{00000000-0005-0000-0000-000025610000}"/>
    <cellStyle name="Note 3 2 5 2 2 2" xfId="39796" xr:uid="{5EE7B064-EA11-46CD-9885-5FFE4A89C04E}"/>
    <cellStyle name="Note 3 2 5 2 3" xfId="23899" xr:uid="{00000000-0005-0000-0000-000026610000}"/>
    <cellStyle name="Note 3 2 5 2 3 2" xfId="47732" xr:uid="{6B89D417-7ABE-4C9C-A1B1-7C5AD9219FA8}"/>
    <cellStyle name="Note 3 2 5 2 4" xfId="31855" xr:uid="{5933D7AD-4A20-48F8-AE40-CD59F4A197B2}"/>
    <cellStyle name="Note 3 2 5 3" xfId="12415" xr:uid="{00000000-0005-0000-0000-000027610000}"/>
    <cellStyle name="Note 3 2 5 3 2" xfId="36265" xr:uid="{0C776FCE-5723-46FF-8F64-A28AF0736F5E}"/>
    <cellStyle name="Note 3 2 5 4" xfId="20370" xr:uid="{00000000-0005-0000-0000-000028610000}"/>
    <cellStyle name="Note 3 2 5 4 2" xfId="44203" xr:uid="{2D7D7EFD-DC4D-4D75-BEB5-D22F6B3CAEC3}"/>
    <cellStyle name="Note 3 2 5 5" xfId="28324" xr:uid="{A7EF257F-6B7B-426D-91EE-A180EEAD9FA0}"/>
    <cellStyle name="Note 3 2 6" xfId="6210" xr:uid="{00000000-0005-0000-0000-000029610000}"/>
    <cellStyle name="Note 3 2 6 2" xfId="14194" xr:uid="{00000000-0005-0000-0000-00002A610000}"/>
    <cellStyle name="Note 3 2 6 2 2" xfId="38038" xr:uid="{B00778F9-CCE8-4A04-A952-A13E2240F198}"/>
    <cellStyle name="Note 3 2 6 3" xfId="22142" xr:uid="{00000000-0005-0000-0000-00002B610000}"/>
    <cellStyle name="Note 3 2 6 3 2" xfId="45975" xr:uid="{5C887453-FF2F-4A43-AC7E-8959EFF4482A}"/>
    <cellStyle name="Note 3 2 6 4" xfId="30097" xr:uid="{4B3BC7C9-E8DA-492D-ABDA-3D6366B7FB89}"/>
    <cellStyle name="Note 3 2 7" xfId="9763" xr:uid="{00000000-0005-0000-0000-00002C610000}"/>
    <cellStyle name="Note 3 2 7 2" xfId="17721" xr:uid="{00000000-0005-0000-0000-00002D610000}"/>
    <cellStyle name="Note 3 2 7 2 2" xfId="41562" xr:uid="{4AFE8ECB-75A4-4DA1-9236-F7741121EA49}"/>
    <cellStyle name="Note 3 2 7 3" xfId="25665" xr:uid="{00000000-0005-0000-0000-00002E610000}"/>
    <cellStyle name="Note 3 2 7 3 2" xfId="49498" xr:uid="{CD5A4773-FE9F-4500-A892-083C650E0916}"/>
    <cellStyle name="Note 3 2 7 4" xfId="33621" xr:uid="{E995FA6C-1587-4953-9448-B0C0E107314E}"/>
    <cellStyle name="Note 3 2 8" xfId="10659" xr:uid="{00000000-0005-0000-0000-00002F610000}"/>
    <cellStyle name="Note 3 2 8 2" xfId="34509" xr:uid="{42823E75-50F5-4E58-9093-1BE7ADB34D86}"/>
    <cellStyle name="Note 3 2 9" xfId="18614" xr:uid="{00000000-0005-0000-0000-000030610000}"/>
    <cellStyle name="Note 3 2 9 2" xfId="42447" xr:uid="{07937E32-2919-4189-BFD1-9A8200F1C7CD}"/>
    <cellStyle name="Note 3 2_Exh G" xfId="3626" xr:uid="{00000000-0005-0000-0000-000031610000}"/>
    <cellStyle name="Note 3 3" xfId="713" xr:uid="{00000000-0005-0000-0000-000032610000}"/>
    <cellStyle name="Note 3 3 2" xfId="1741" xr:uid="{00000000-0005-0000-0000-000033610000}"/>
    <cellStyle name="Note 3 3 2 2" xfId="5271" xr:uid="{00000000-0005-0000-0000-000034610000}"/>
    <cellStyle name="Note 3 3 2 2 2" xfId="8862" xr:uid="{00000000-0005-0000-0000-000035610000}"/>
    <cellStyle name="Note 3 3 2 2 2 2" xfId="16833" xr:uid="{00000000-0005-0000-0000-000036610000}"/>
    <cellStyle name="Note 3 3 2 2 2 2 2" xfId="40676" xr:uid="{3D4EC562-8F58-4C88-B890-41A74A9B5253}"/>
    <cellStyle name="Note 3 3 2 2 2 3" xfId="24779" xr:uid="{00000000-0005-0000-0000-000037610000}"/>
    <cellStyle name="Note 3 3 2 2 2 3 2" xfId="48612" xr:uid="{5EC36D32-C060-40F2-B90E-4CF635EA440A}"/>
    <cellStyle name="Note 3 3 2 2 2 4" xfId="32735" xr:uid="{45361EB8-603E-4BF9-AACD-E004534C2A95}"/>
    <cellStyle name="Note 3 3 2 2 3" xfId="13295" xr:uid="{00000000-0005-0000-0000-000038610000}"/>
    <cellStyle name="Note 3 3 2 2 3 2" xfId="37145" xr:uid="{43334850-09A4-4721-A4B7-D8AF84164156}"/>
    <cellStyle name="Note 3 3 2 2 4" xfId="21250" xr:uid="{00000000-0005-0000-0000-000039610000}"/>
    <cellStyle name="Note 3 3 2 2 4 2" xfId="45083" xr:uid="{410CF50F-B7CC-4431-9AA0-76703E8546E0}"/>
    <cellStyle name="Note 3 3 2 2 5" xfId="29204" xr:uid="{DCCF3F41-8887-4FA2-A2C2-F09EC86CD547}"/>
    <cellStyle name="Note 3 3 2 3" xfId="7103" xr:uid="{00000000-0005-0000-0000-00003A610000}"/>
    <cellStyle name="Note 3 3 2 3 2" xfId="15075" xr:uid="{00000000-0005-0000-0000-00003B610000}"/>
    <cellStyle name="Note 3 3 2 3 2 2" xfId="38918" xr:uid="{1C0AF8C2-D551-4B49-9CB6-C0EE317C5339}"/>
    <cellStyle name="Note 3 3 2 3 3" xfId="23022" xr:uid="{00000000-0005-0000-0000-00003C610000}"/>
    <cellStyle name="Note 3 3 2 3 3 2" xfId="46855" xr:uid="{3B6B859E-4C0D-4BB7-92BB-BCDFDB3DDD61}"/>
    <cellStyle name="Note 3 3 2 3 4" xfId="30977" xr:uid="{2D25DD51-32AB-4040-978C-FABB22378B49}"/>
    <cellStyle name="Note 3 3 2 4" xfId="11539" xr:uid="{00000000-0005-0000-0000-00003D610000}"/>
    <cellStyle name="Note 3 3 2 4 2" xfId="35389" xr:uid="{3F6385C2-FC6F-482E-8A33-9596625C9CDD}"/>
    <cellStyle name="Note 3 3 2 5" xfId="19494" xr:uid="{00000000-0005-0000-0000-00003E610000}"/>
    <cellStyle name="Note 3 3 2 5 2" xfId="43327" xr:uid="{B5F1C266-10DF-48D6-AA6C-3E5074C20486}"/>
    <cellStyle name="Note 3 3 2 6" xfId="27447" xr:uid="{032BDB11-B4F2-4915-8B75-128FB913C06A}"/>
    <cellStyle name="Note 3 3 2_Exh G" xfId="3633" xr:uid="{00000000-0005-0000-0000-00003F610000}"/>
    <cellStyle name="Note 3 3 3" xfId="4392" xr:uid="{00000000-0005-0000-0000-000040610000}"/>
    <cellStyle name="Note 3 3 3 2" xfId="7984" xr:uid="{00000000-0005-0000-0000-000041610000}"/>
    <cellStyle name="Note 3 3 3 2 2" xfId="15955" xr:uid="{00000000-0005-0000-0000-000042610000}"/>
    <cellStyle name="Note 3 3 3 2 2 2" xfId="39798" xr:uid="{360BC41A-7400-4044-A4D1-5092FCCCE01D}"/>
    <cellStyle name="Note 3 3 3 2 3" xfId="23901" xr:uid="{00000000-0005-0000-0000-000043610000}"/>
    <cellStyle name="Note 3 3 3 2 3 2" xfId="47734" xr:uid="{820731CD-AE79-4BEC-B0B8-C1B739AAB180}"/>
    <cellStyle name="Note 3 3 3 2 4" xfId="31857" xr:uid="{1F39B73B-BD46-4BCD-BE42-CE270CC8D781}"/>
    <cellStyle name="Note 3 3 3 3" xfId="12417" xr:uid="{00000000-0005-0000-0000-000044610000}"/>
    <cellStyle name="Note 3 3 3 3 2" xfId="36267" xr:uid="{287CDA20-53BC-4721-B9B3-E5B717B79C3C}"/>
    <cellStyle name="Note 3 3 3 4" xfId="20372" xr:uid="{00000000-0005-0000-0000-000045610000}"/>
    <cellStyle name="Note 3 3 3 4 2" xfId="44205" xr:uid="{25CF6AAA-5CD3-4519-85CC-3D345333CA87}"/>
    <cellStyle name="Note 3 3 3 5" xfId="28326" xr:uid="{5826EBDB-556E-4E4C-BFF1-40B42840F862}"/>
    <cellStyle name="Note 3 3 4" xfId="6212" xr:uid="{00000000-0005-0000-0000-000046610000}"/>
    <cellStyle name="Note 3 3 4 2" xfId="14196" xr:uid="{00000000-0005-0000-0000-000047610000}"/>
    <cellStyle name="Note 3 3 4 2 2" xfId="38040" xr:uid="{8AD30DC4-ED02-4E73-8A35-DA67F015BB3F}"/>
    <cellStyle name="Note 3 3 4 3" xfId="22144" xr:uid="{00000000-0005-0000-0000-000048610000}"/>
    <cellStyle name="Note 3 3 4 3 2" xfId="45977" xr:uid="{24D595EB-E499-47B0-A712-F8A5A1D80068}"/>
    <cellStyle name="Note 3 3 4 4" xfId="30099" xr:uid="{87E6B75B-6827-46E6-8D82-F7FDE5166402}"/>
    <cellStyle name="Note 3 3 5" xfId="9765" xr:uid="{00000000-0005-0000-0000-000049610000}"/>
    <cellStyle name="Note 3 3 5 2" xfId="17723" xr:uid="{00000000-0005-0000-0000-00004A610000}"/>
    <cellStyle name="Note 3 3 5 2 2" xfId="41564" xr:uid="{39F10505-7C4D-4AC1-9796-462B67C344A8}"/>
    <cellStyle name="Note 3 3 5 3" xfId="25667" xr:uid="{00000000-0005-0000-0000-00004B610000}"/>
    <cellStyle name="Note 3 3 5 3 2" xfId="49500" xr:uid="{9126D5F1-AE7B-4384-A645-20E8D7C84E80}"/>
    <cellStyle name="Note 3 3 5 4" xfId="33623" xr:uid="{9D74E631-911B-45AC-A39B-DBFF17AC3C9A}"/>
    <cellStyle name="Note 3 3 6" xfId="10661" xr:uid="{00000000-0005-0000-0000-00004C610000}"/>
    <cellStyle name="Note 3 3 6 2" xfId="34511" xr:uid="{D432CF03-600E-4C96-9AAC-158E2D7A1A20}"/>
    <cellStyle name="Note 3 3 7" xfId="18616" xr:uid="{00000000-0005-0000-0000-00004D610000}"/>
    <cellStyle name="Note 3 3 7 2" xfId="42449" xr:uid="{778C0D98-1BFE-44A3-8EAC-2624B3E05066}"/>
    <cellStyle name="Note 3 3 8" xfId="26569" xr:uid="{2BEE991B-791F-4376-B7BD-79900E285D3C}"/>
    <cellStyle name="Note 3 3_Exh G" xfId="3632" xr:uid="{00000000-0005-0000-0000-00004E610000}"/>
    <cellStyle name="Note 3 4" xfId="1032" xr:uid="{00000000-0005-0000-0000-00004F610000}"/>
    <cellStyle name="Note 3 4 2" xfId="1932" xr:uid="{00000000-0005-0000-0000-000050610000}"/>
    <cellStyle name="Note 3 4 2 2" xfId="5450" xr:uid="{00000000-0005-0000-0000-000051610000}"/>
    <cellStyle name="Note 3 4 2 2 2" xfId="9041" xr:uid="{00000000-0005-0000-0000-000052610000}"/>
    <cellStyle name="Note 3 4 2 2 2 2" xfId="17012" xr:uid="{00000000-0005-0000-0000-000053610000}"/>
    <cellStyle name="Note 3 4 2 2 2 2 2" xfId="40855" xr:uid="{E998324A-0935-4C79-AC08-FD0850B8B0FD}"/>
    <cellStyle name="Note 3 4 2 2 2 3" xfId="24958" xr:uid="{00000000-0005-0000-0000-000054610000}"/>
    <cellStyle name="Note 3 4 2 2 2 3 2" xfId="48791" xr:uid="{EBA96485-CEB0-4806-AD4C-690D2275441A}"/>
    <cellStyle name="Note 3 4 2 2 2 4" xfId="32914" xr:uid="{F5741EE3-F4D6-45BE-845B-185699576D1E}"/>
    <cellStyle name="Note 3 4 2 2 3" xfId="13474" xr:uid="{00000000-0005-0000-0000-000055610000}"/>
    <cellStyle name="Note 3 4 2 2 3 2" xfId="37324" xr:uid="{A38DF0F0-4603-4B49-848F-52B33B297144}"/>
    <cellStyle name="Note 3 4 2 2 4" xfId="21429" xr:uid="{00000000-0005-0000-0000-000056610000}"/>
    <cellStyle name="Note 3 4 2 2 4 2" xfId="45262" xr:uid="{E0F3E358-7C89-4422-9958-D4C8CA38F6E6}"/>
    <cellStyle name="Note 3 4 2 2 5" xfId="29383" xr:uid="{B62FEA4A-EDE6-4E8D-95BB-93861FCBC147}"/>
    <cellStyle name="Note 3 4 2 3" xfId="7282" xr:uid="{00000000-0005-0000-0000-000057610000}"/>
    <cellStyle name="Note 3 4 2 3 2" xfId="15254" xr:uid="{00000000-0005-0000-0000-000058610000}"/>
    <cellStyle name="Note 3 4 2 3 2 2" xfId="39097" xr:uid="{5B197E4E-C963-437D-84B1-BE810ABD4421}"/>
    <cellStyle name="Note 3 4 2 3 3" xfId="23201" xr:uid="{00000000-0005-0000-0000-000059610000}"/>
    <cellStyle name="Note 3 4 2 3 3 2" xfId="47034" xr:uid="{8801ECFE-1941-40E1-B59E-D91D7CD6E26B}"/>
    <cellStyle name="Note 3 4 2 3 4" xfId="31156" xr:uid="{555B2196-D28B-4E21-A33C-B8E6EFF2E3AA}"/>
    <cellStyle name="Note 3 4 2 4" xfId="11718" xr:uid="{00000000-0005-0000-0000-00005A610000}"/>
    <cellStyle name="Note 3 4 2 4 2" xfId="35568" xr:uid="{F124FED4-CBF2-40B3-A471-A66346602EA4}"/>
    <cellStyle name="Note 3 4 2 5" xfId="19673" xr:uid="{00000000-0005-0000-0000-00005B610000}"/>
    <cellStyle name="Note 3 4 2 5 2" xfId="43506" xr:uid="{6B4AF556-A528-4F90-9F8C-483A96D4F110}"/>
    <cellStyle name="Note 3 4 2 6" xfId="27626" xr:uid="{914693AE-7C9F-4B4F-9D1E-D8AE35C4DAC1}"/>
    <cellStyle name="Note 3 4 2_Exh G" xfId="3635" xr:uid="{00000000-0005-0000-0000-00005C610000}"/>
    <cellStyle name="Note 3 4 3" xfId="4571" xr:uid="{00000000-0005-0000-0000-00005D610000}"/>
    <cellStyle name="Note 3 4 3 2" xfId="8163" xr:uid="{00000000-0005-0000-0000-00005E610000}"/>
    <cellStyle name="Note 3 4 3 2 2" xfId="16134" xr:uid="{00000000-0005-0000-0000-00005F610000}"/>
    <cellStyle name="Note 3 4 3 2 2 2" xfId="39977" xr:uid="{A7741515-17CF-43A8-934C-9672883F1CB5}"/>
    <cellStyle name="Note 3 4 3 2 3" xfId="24080" xr:uid="{00000000-0005-0000-0000-000060610000}"/>
    <cellStyle name="Note 3 4 3 2 3 2" xfId="47913" xr:uid="{66C7D503-61A3-4FAC-9567-F7C17293085A}"/>
    <cellStyle name="Note 3 4 3 2 4" xfId="32036" xr:uid="{F7EE02FF-C984-4ADB-AC94-AAC63E1AAD02}"/>
    <cellStyle name="Note 3 4 3 3" xfId="12596" xr:uid="{00000000-0005-0000-0000-000061610000}"/>
    <cellStyle name="Note 3 4 3 3 2" xfId="36446" xr:uid="{FDB8E15D-2E86-4653-92E4-B89489EC88E0}"/>
    <cellStyle name="Note 3 4 3 4" xfId="20551" xr:uid="{00000000-0005-0000-0000-000062610000}"/>
    <cellStyle name="Note 3 4 3 4 2" xfId="44384" xr:uid="{4B951D95-46D1-4861-8784-684F85A64575}"/>
    <cellStyle name="Note 3 4 3 5" xfId="28505" xr:uid="{F6E9B008-54C4-4483-B83F-CE9262829539}"/>
    <cellStyle name="Note 3 4 4" xfId="6402" xr:uid="{00000000-0005-0000-0000-000063610000}"/>
    <cellStyle name="Note 3 4 4 2" xfId="14376" xr:uid="{00000000-0005-0000-0000-000064610000}"/>
    <cellStyle name="Note 3 4 4 2 2" xfId="38219" xr:uid="{04D2193B-6360-4052-BD79-F9FA7CB2A117}"/>
    <cellStyle name="Note 3 4 4 3" xfId="22323" xr:uid="{00000000-0005-0000-0000-000065610000}"/>
    <cellStyle name="Note 3 4 4 3 2" xfId="46156" xr:uid="{9CF71EB1-070D-4C3B-95D4-5DB6A20B1E85}"/>
    <cellStyle name="Note 3 4 4 4" xfId="30278" xr:uid="{BA11CEA0-5397-4137-B309-02D3EBBC00D6}"/>
    <cellStyle name="Note 3 4 5" xfId="9944" xr:uid="{00000000-0005-0000-0000-000066610000}"/>
    <cellStyle name="Note 3 4 5 2" xfId="17902" xr:uid="{00000000-0005-0000-0000-000067610000}"/>
    <cellStyle name="Note 3 4 5 2 2" xfId="41743" xr:uid="{DA172E84-C7F5-405E-9FB4-4BBB88791E0A}"/>
    <cellStyle name="Note 3 4 5 3" xfId="25846" xr:uid="{00000000-0005-0000-0000-000068610000}"/>
    <cellStyle name="Note 3 4 5 3 2" xfId="49679" xr:uid="{1B21245F-19FE-467E-B332-EBCB7E9413F7}"/>
    <cellStyle name="Note 3 4 5 4" xfId="33802" xr:uid="{5CF0B842-E019-48A5-AC8D-60BFA2E44220}"/>
    <cellStyle name="Note 3 4 6" xfId="10840" xr:uid="{00000000-0005-0000-0000-000069610000}"/>
    <cellStyle name="Note 3 4 6 2" xfId="34690" xr:uid="{746FBD09-863C-4178-A65D-27595F432013}"/>
    <cellStyle name="Note 3 4 7" xfId="18795" xr:uid="{00000000-0005-0000-0000-00006A610000}"/>
    <cellStyle name="Note 3 4 7 2" xfId="42628" xr:uid="{F13E9778-F0C5-4211-96E1-9767B6ED5466}"/>
    <cellStyle name="Note 3 4 8" xfId="26748" xr:uid="{D2478A99-180C-4A7B-9FA0-C82B5F96EFE7}"/>
    <cellStyle name="Note 3 4_Exh G" xfId="3634" xr:uid="{00000000-0005-0000-0000-00006B610000}"/>
    <cellStyle name="Note 3 5" xfId="1738" xr:uid="{00000000-0005-0000-0000-00006C610000}"/>
    <cellStyle name="Note 3 5 2" xfId="5268" xr:uid="{00000000-0005-0000-0000-00006D610000}"/>
    <cellStyle name="Note 3 5 2 2" xfId="8859" xr:uid="{00000000-0005-0000-0000-00006E610000}"/>
    <cellStyle name="Note 3 5 2 2 2" xfId="16830" xr:uid="{00000000-0005-0000-0000-00006F610000}"/>
    <cellStyle name="Note 3 5 2 2 2 2" xfId="40673" xr:uid="{14BADD2C-461C-46CA-AF15-B628B902F7D0}"/>
    <cellStyle name="Note 3 5 2 2 3" xfId="24776" xr:uid="{00000000-0005-0000-0000-000070610000}"/>
    <cellStyle name="Note 3 5 2 2 3 2" xfId="48609" xr:uid="{F4ED67C3-1CB3-4F5C-BF39-C2FCE8A36200}"/>
    <cellStyle name="Note 3 5 2 2 4" xfId="32732" xr:uid="{D445FD66-2BE8-4F39-9AC1-DA392AC6D2B5}"/>
    <cellStyle name="Note 3 5 2 3" xfId="13292" xr:uid="{00000000-0005-0000-0000-000071610000}"/>
    <cellStyle name="Note 3 5 2 3 2" xfId="37142" xr:uid="{AE3A92E5-62AC-4F0E-AA88-4E0F59ABF3C9}"/>
    <cellStyle name="Note 3 5 2 4" xfId="21247" xr:uid="{00000000-0005-0000-0000-000072610000}"/>
    <cellStyle name="Note 3 5 2 4 2" xfId="45080" xr:uid="{297C9924-C003-4BE6-A002-327CAE0EDC99}"/>
    <cellStyle name="Note 3 5 2 5" xfId="29201" xr:uid="{2D88ABD5-1D04-4C88-A235-F02F862FFA9E}"/>
    <cellStyle name="Note 3 5 3" xfId="7100" xr:uid="{00000000-0005-0000-0000-000073610000}"/>
    <cellStyle name="Note 3 5 3 2" xfId="15072" xr:uid="{00000000-0005-0000-0000-000074610000}"/>
    <cellStyle name="Note 3 5 3 2 2" xfId="38915" xr:uid="{07AA3B43-8466-492B-9B9A-39AFA8A1687D}"/>
    <cellStyle name="Note 3 5 3 3" xfId="23019" xr:uid="{00000000-0005-0000-0000-000075610000}"/>
    <cellStyle name="Note 3 5 3 3 2" xfId="46852" xr:uid="{AD9BC99D-56D9-4F70-BB3F-190AE9BA3F06}"/>
    <cellStyle name="Note 3 5 3 4" xfId="30974" xr:uid="{6B67647B-5C31-45D6-A58D-C83B3237EF12}"/>
    <cellStyle name="Note 3 5 4" xfId="11536" xr:uid="{00000000-0005-0000-0000-000076610000}"/>
    <cellStyle name="Note 3 5 4 2" xfId="35386" xr:uid="{2E9CFF69-3BC9-48E1-BC30-DC029A116AAB}"/>
    <cellStyle name="Note 3 5 5" xfId="19491" xr:uid="{00000000-0005-0000-0000-000077610000}"/>
    <cellStyle name="Note 3 5 5 2" xfId="43324" xr:uid="{3E3F657E-F04A-43B5-BF59-C3E2563A5CAB}"/>
    <cellStyle name="Note 3 5 6" xfId="27444" xr:uid="{22685268-C87F-4F27-8197-3AC3DEE832D4}"/>
    <cellStyle name="Note 3 5_Exh G" xfId="3636" xr:uid="{00000000-0005-0000-0000-000078610000}"/>
    <cellStyle name="Note 3 6" xfId="4389" xr:uid="{00000000-0005-0000-0000-000079610000}"/>
    <cellStyle name="Note 3 6 2" xfId="7981" xr:uid="{00000000-0005-0000-0000-00007A610000}"/>
    <cellStyle name="Note 3 6 2 2" xfId="15952" xr:uid="{00000000-0005-0000-0000-00007B610000}"/>
    <cellStyle name="Note 3 6 2 2 2" xfId="39795" xr:uid="{C1C7BE83-6093-4C35-A525-F4A3261DAB01}"/>
    <cellStyle name="Note 3 6 2 3" xfId="23898" xr:uid="{00000000-0005-0000-0000-00007C610000}"/>
    <cellStyle name="Note 3 6 2 3 2" xfId="47731" xr:uid="{BB243D5E-9655-4512-B853-8DE8B08C4549}"/>
    <cellStyle name="Note 3 6 2 4" xfId="31854" xr:uid="{6AB8578E-468B-4E92-A302-233B9077DE7B}"/>
    <cellStyle name="Note 3 6 3" xfId="12414" xr:uid="{00000000-0005-0000-0000-00007D610000}"/>
    <cellStyle name="Note 3 6 3 2" xfId="36264" xr:uid="{3DBA577D-AA71-4F81-9B07-2DB13991B68E}"/>
    <cellStyle name="Note 3 6 4" xfId="20369" xr:uid="{00000000-0005-0000-0000-00007E610000}"/>
    <cellStyle name="Note 3 6 4 2" xfId="44202" xr:uid="{75DD7661-7D1B-43D4-9BB1-4F5754795FD3}"/>
    <cellStyle name="Note 3 6 5" xfId="28323" xr:uid="{A4A01372-5851-4C13-B65F-97D82DD75FCD}"/>
    <cellStyle name="Note 3 7" xfId="6209" xr:uid="{00000000-0005-0000-0000-00007F610000}"/>
    <cellStyle name="Note 3 7 2" xfId="14193" xr:uid="{00000000-0005-0000-0000-000080610000}"/>
    <cellStyle name="Note 3 7 2 2" xfId="38037" xr:uid="{6D36E7A4-2F00-403F-8BD4-792F9A6A917D}"/>
    <cellStyle name="Note 3 7 3" xfId="22141" xr:uid="{00000000-0005-0000-0000-000081610000}"/>
    <cellStyle name="Note 3 7 3 2" xfId="45974" xr:uid="{CCD0A004-C5A5-45F9-B6DA-F950D9703035}"/>
    <cellStyle name="Note 3 7 4" xfId="30096" xr:uid="{BF9CF525-0B6C-41D0-B5DB-C5EC4A592F2B}"/>
    <cellStyle name="Note 3 8" xfId="9762" xr:uid="{00000000-0005-0000-0000-000082610000}"/>
    <cellStyle name="Note 3 8 2" xfId="17720" xr:uid="{00000000-0005-0000-0000-000083610000}"/>
    <cellStyle name="Note 3 8 2 2" xfId="41561" xr:uid="{9D5952C5-282C-4EE3-A875-EC373295A783}"/>
    <cellStyle name="Note 3 8 3" xfId="25664" xr:uid="{00000000-0005-0000-0000-000084610000}"/>
    <cellStyle name="Note 3 8 3 2" xfId="49497" xr:uid="{766E9775-2FA5-4721-B806-457BE6536DF3}"/>
    <cellStyle name="Note 3 8 4" xfId="33620" xr:uid="{BD35423C-9EBD-4F7E-A555-758236DA82C8}"/>
    <cellStyle name="Note 3 9" xfId="10658" xr:uid="{00000000-0005-0000-0000-000085610000}"/>
    <cellStyle name="Note 3 9 2" xfId="34508" xr:uid="{D4B06940-31DF-4CC5-99E4-FEDFEFB1E3D1}"/>
    <cellStyle name="Note 3_Exh G" xfId="3625" xr:uid="{00000000-0005-0000-0000-000086610000}"/>
    <cellStyle name="Note 4" xfId="714" xr:uid="{00000000-0005-0000-0000-000087610000}"/>
    <cellStyle name="Note 4 10" xfId="18617" xr:uid="{00000000-0005-0000-0000-000088610000}"/>
    <cellStyle name="Note 4 10 2" xfId="42450" xr:uid="{34CE7AA6-1085-40FA-8783-DD3E11E8EF20}"/>
    <cellStyle name="Note 4 11" xfId="26570" xr:uid="{7A489559-C85F-4B11-B769-B9BD4A4CCE23}"/>
    <cellStyle name="Note 4 2" xfId="715" xr:uid="{00000000-0005-0000-0000-000089610000}"/>
    <cellStyle name="Note 4 2 10" xfId="26571" xr:uid="{86C54F27-367D-41D0-AC67-F81A145F9D9D}"/>
    <cellStyle name="Note 4 2 2" xfId="716" xr:uid="{00000000-0005-0000-0000-00008A610000}"/>
    <cellStyle name="Note 4 2 2 2" xfId="1744" xr:uid="{00000000-0005-0000-0000-00008B610000}"/>
    <cellStyle name="Note 4 2 2 2 2" xfId="5274" xr:uid="{00000000-0005-0000-0000-00008C610000}"/>
    <cellStyle name="Note 4 2 2 2 2 2" xfId="8865" xr:uid="{00000000-0005-0000-0000-00008D610000}"/>
    <cellStyle name="Note 4 2 2 2 2 2 2" xfId="16836" xr:uid="{00000000-0005-0000-0000-00008E610000}"/>
    <cellStyle name="Note 4 2 2 2 2 2 2 2" xfId="40679" xr:uid="{9D347AF4-D494-426F-B7E8-2DF293E5706F}"/>
    <cellStyle name="Note 4 2 2 2 2 2 3" xfId="24782" xr:uid="{00000000-0005-0000-0000-00008F610000}"/>
    <cellStyle name="Note 4 2 2 2 2 2 3 2" xfId="48615" xr:uid="{06D67D3D-AE27-4E39-9691-E69086B56FE6}"/>
    <cellStyle name="Note 4 2 2 2 2 2 4" xfId="32738" xr:uid="{DAF12688-749F-4FAD-9518-D577BCEE2993}"/>
    <cellStyle name="Note 4 2 2 2 2 3" xfId="13298" xr:uid="{00000000-0005-0000-0000-000090610000}"/>
    <cellStyle name="Note 4 2 2 2 2 3 2" xfId="37148" xr:uid="{EC2496A0-6D2C-4E99-A5F3-2807C773A8F0}"/>
    <cellStyle name="Note 4 2 2 2 2 4" xfId="21253" xr:uid="{00000000-0005-0000-0000-000091610000}"/>
    <cellStyle name="Note 4 2 2 2 2 4 2" xfId="45086" xr:uid="{8257B93F-D2EE-4D5D-A08D-7DEAE601826B}"/>
    <cellStyle name="Note 4 2 2 2 2 5" xfId="29207" xr:uid="{CA0D0BDE-1E4C-4E22-9669-BE7640D23E86}"/>
    <cellStyle name="Note 4 2 2 2 3" xfId="7106" xr:uid="{00000000-0005-0000-0000-000092610000}"/>
    <cellStyle name="Note 4 2 2 2 3 2" xfId="15078" xr:uid="{00000000-0005-0000-0000-000093610000}"/>
    <cellStyle name="Note 4 2 2 2 3 2 2" xfId="38921" xr:uid="{E47DAA2E-418A-4742-B32C-C30548CE04D8}"/>
    <cellStyle name="Note 4 2 2 2 3 3" xfId="23025" xr:uid="{00000000-0005-0000-0000-000094610000}"/>
    <cellStyle name="Note 4 2 2 2 3 3 2" xfId="46858" xr:uid="{00F48420-3030-4C45-B3F4-81E7D06E6B11}"/>
    <cellStyle name="Note 4 2 2 2 3 4" xfId="30980" xr:uid="{6B9E348E-A663-4053-8C5C-A48880595074}"/>
    <cellStyle name="Note 4 2 2 2 4" xfId="11542" xr:uid="{00000000-0005-0000-0000-000095610000}"/>
    <cellStyle name="Note 4 2 2 2 4 2" xfId="35392" xr:uid="{8344CFB2-7EE7-444E-B2FE-EF42385D308C}"/>
    <cellStyle name="Note 4 2 2 2 5" xfId="19497" xr:uid="{00000000-0005-0000-0000-000096610000}"/>
    <cellStyle name="Note 4 2 2 2 5 2" xfId="43330" xr:uid="{ACD855E5-C869-468C-BEC1-28697EEB4A7F}"/>
    <cellStyle name="Note 4 2 2 2 6" xfId="27450" xr:uid="{DF60F928-864F-4C51-B25D-5E3B69E227F2}"/>
    <cellStyle name="Note 4 2 2 2_Exh G" xfId="3640" xr:uid="{00000000-0005-0000-0000-000097610000}"/>
    <cellStyle name="Note 4 2 2 3" xfId="4395" xr:uid="{00000000-0005-0000-0000-000098610000}"/>
    <cellStyle name="Note 4 2 2 3 2" xfId="7987" xr:uid="{00000000-0005-0000-0000-000099610000}"/>
    <cellStyle name="Note 4 2 2 3 2 2" xfId="15958" xr:uid="{00000000-0005-0000-0000-00009A610000}"/>
    <cellStyle name="Note 4 2 2 3 2 2 2" xfId="39801" xr:uid="{CD262D43-45BB-4047-B11D-0FFCB079D8F5}"/>
    <cellStyle name="Note 4 2 2 3 2 3" xfId="23904" xr:uid="{00000000-0005-0000-0000-00009B610000}"/>
    <cellStyle name="Note 4 2 2 3 2 3 2" xfId="47737" xr:uid="{2635D312-EA24-4F6F-A1C0-EE0DF793AE13}"/>
    <cellStyle name="Note 4 2 2 3 2 4" xfId="31860" xr:uid="{4E5FF219-4DF1-4B4F-8F2B-FEAE1743AFDC}"/>
    <cellStyle name="Note 4 2 2 3 3" xfId="12420" xr:uid="{00000000-0005-0000-0000-00009C610000}"/>
    <cellStyle name="Note 4 2 2 3 3 2" xfId="36270" xr:uid="{B6ED9608-BCB0-4194-8403-F3C54AB0F58C}"/>
    <cellStyle name="Note 4 2 2 3 4" xfId="20375" xr:uid="{00000000-0005-0000-0000-00009D610000}"/>
    <cellStyle name="Note 4 2 2 3 4 2" xfId="44208" xr:uid="{4B028F36-360C-4815-BD15-50DC3999821B}"/>
    <cellStyle name="Note 4 2 2 3 5" xfId="28329" xr:uid="{B581D3A9-F677-4C18-A6EB-2D136787B938}"/>
    <cellStyle name="Note 4 2 2 4" xfId="6215" xr:uid="{00000000-0005-0000-0000-00009E610000}"/>
    <cellStyle name="Note 4 2 2 4 2" xfId="14199" xr:uid="{00000000-0005-0000-0000-00009F610000}"/>
    <cellStyle name="Note 4 2 2 4 2 2" xfId="38043" xr:uid="{A26DBBDD-99E7-4AC5-A00B-6B90223DA0E3}"/>
    <cellStyle name="Note 4 2 2 4 3" xfId="22147" xr:uid="{00000000-0005-0000-0000-0000A0610000}"/>
    <cellStyle name="Note 4 2 2 4 3 2" xfId="45980" xr:uid="{574FC560-4F3F-46E8-97AA-33B7706F838E}"/>
    <cellStyle name="Note 4 2 2 4 4" xfId="30102" xr:uid="{0C164E33-CC66-4E1F-8BA8-A31BA412F28F}"/>
    <cellStyle name="Note 4 2 2 5" xfId="9768" xr:uid="{00000000-0005-0000-0000-0000A1610000}"/>
    <cellStyle name="Note 4 2 2 5 2" xfId="17726" xr:uid="{00000000-0005-0000-0000-0000A2610000}"/>
    <cellStyle name="Note 4 2 2 5 2 2" xfId="41567" xr:uid="{5566480E-34E9-484D-8B57-B43F7A5FFD4B}"/>
    <cellStyle name="Note 4 2 2 5 3" xfId="25670" xr:uid="{00000000-0005-0000-0000-0000A3610000}"/>
    <cellStyle name="Note 4 2 2 5 3 2" xfId="49503" xr:uid="{0294CC00-6205-4C4B-BAC7-9A2D1A45BED2}"/>
    <cellStyle name="Note 4 2 2 5 4" xfId="33626" xr:uid="{3DA0AF59-134C-49B8-BA5B-40ADD9FCEEFE}"/>
    <cellStyle name="Note 4 2 2 6" xfId="10664" xr:uid="{00000000-0005-0000-0000-0000A4610000}"/>
    <cellStyle name="Note 4 2 2 6 2" xfId="34514" xr:uid="{D1DBF110-02A8-4481-9756-4CB69C9FCAFE}"/>
    <cellStyle name="Note 4 2 2 7" xfId="18619" xr:uid="{00000000-0005-0000-0000-0000A5610000}"/>
    <cellStyle name="Note 4 2 2 7 2" xfId="42452" xr:uid="{6C7D00FA-FAD8-4135-B0EE-DE79F3E60531}"/>
    <cellStyle name="Note 4 2 2 8" xfId="26572" xr:uid="{1A76F685-025A-436A-91A6-ABCEC8C6E98D}"/>
    <cellStyle name="Note 4 2 2_Exh G" xfId="3639" xr:uid="{00000000-0005-0000-0000-0000A6610000}"/>
    <cellStyle name="Note 4 2 3" xfId="1035" xr:uid="{00000000-0005-0000-0000-0000A7610000}"/>
    <cellStyle name="Note 4 2 3 2" xfId="1935" xr:uid="{00000000-0005-0000-0000-0000A8610000}"/>
    <cellStyle name="Note 4 2 3 2 2" xfId="5453" xr:uid="{00000000-0005-0000-0000-0000A9610000}"/>
    <cellStyle name="Note 4 2 3 2 2 2" xfId="9044" xr:uid="{00000000-0005-0000-0000-0000AA610000}"/>
    <cellStyle name="Note 4 2 3 2 2 2 2" xfId="17015" xr:uid="{00000000-0005-0000-0000-0000AB610000}"/>
    <cellStyle name="Note 4 2 3 2 2 2 2 2" xfId="40858" xr:uid="{BD489DD2-43AC-4034-BFC1-D86620371774}"/>
    <cellStyle name="Note 4 2 3 2 2 2 3" xfId="24961" xr:uid="{00000000-0005-0000-0000-0000AC610000}"/>
    <cellStyle name="Note 4 2 3 2 2 2 3 2" xfId="48794" xr:uid="{4426528B-3F10-4374-8A09-11ABA6EB15A2}"/>
    <cellStyle name="Note 4 2 3 2 2 2 4" xfId="32917" xr:uid="{ECF1420E-A88D-4455-B0A8-AF20E79D5DE2}"/>
    <cellStyle name="Note 4 2 3 2 2 3" xfId="13477" xr:uid="{00000000-0005-0000-0000-0000AD610000}"/>
    <cellStyle name="Note 4 2 3 2 2 3 2" xfId="37327" xr:uid="{ECB406DD-0BE4-4C70-B6B6-5A6724CA0570}"/>
    <cellStyle name="Note 4 2 3 2 2 4" xfId="21432" xr:uid="{00000000-0005-0000-0000-0000AE610000}"/>
    <cellStyle name="Note 4 2 3 2 2 4 2" xfId="45265" xr:uid="{37E18582-9E1C-4ED2-8F56-EE1F88105DDA}"/>
    <cellStyle name="Note 4 2 3 2 2 5" xfId="29386" xr:uid="{26D01EE6-B61B-4303-BBD6-C6DE8A28ED86}"/>
    <cellStyle name="Note 4 2 3 2 3" xfId="7285" xr:uid="{00000000-0005-0000-0000-0000AF610000}"/>
    <cellStyle name="Note 4 2 3 2 3 2" xfId="15257" xr:uid="{00000000-0005-0000-0000-0000B0610000}"/>
    <cellStyle name="Note 4 2 3 2 3 2 2" xfId="39100" xr:uid="{A378248E-3D77-4ABD-B725-90E7AD1243F5}"/>
    <cellStyle name="Note 4 2 3 2 3 3" xfId="23204" xr:uid="{00000000-0005-0000-0000-0000B1610000}"/>
    <cellStyle name="Note 4 2 3 2 3 3 2" xfId="47037" xr:uid="{E639FF65-5407-47FC-9F19-6877B4912620}"/>
    <cellStyle name="Note 4 2 3 2 3 4" xfId="31159" xr:uid="{DBDB1A4E-EF9E-4971-8C00-FA0A268995B2}"/>
    <cellStyle name="Note 4 2 3 2 4" xfId="11721" xr:uid="{00000000-0005-0000-0000-0000B2610000}"/>
    <cellStyle name="Note 4 2 3 2 4 2" xfId="35571" xr:uid="{03A94A54-E2A1-4141-B299-7430082AF9D2}"/>
    <cellStyle name="Note 4 2 3 2 5" xfId="19676" xr:uid="{00000000-0005-0000-0000-0000B3610000}"/>
    <cellStyle name="Note 4 2 3 2 5 2" xfId="43509" xr:uid="{416BE71D-D28D-4CC3-8A2C-441BE1A793D9}"/>
    <cellStyle name="Note 4 2 3 2 6" xfId="27629" xr:uid="{8D753628-599F-4A0B-8B78-190D1D37F278}"/>
    <cellStyle name="Note 4 2 3 2_Exh G" xfId="3642" xr:uid="{00000000-0005-0000-0000-0000B4610000}"/>
    <cellStyle name="Note 4 2 3 3" xfId="4574" xr:uid="{00000000-0005-0000-0000-0000B5610000}"/>
    <cellStyle name="Note 4 2 3 3 2" xfId="8166" xr:uid="{00000000-0005-0000-0000-0000B6610000}"/>
    <cellStyle name="Note 4 2 3 3 2 2" xfId="16137" xr:uid="{00000000-0005-0000-0000-0000B7610000}"/>
    <cellStyle name="Note 4 2 3 3 2 2 2" xfId="39980" xr:uid="{E6609E2A-7901-4A0E-8C9F-239D80DD7D2A}"/>
    <cellStyle name="Note 4 2 3 3 2 3" xfId="24083" xr:uid="{00000000-0005-0000-0000-0000B8610000}"/>
    <cellStyle name="Note 4 2 3 3 2 3 2" xfId="47916" xr:uid="{F7C35BF1-B469-44AC-B539-06FA31A38DFF}"/>
    <cellStyle name="Note 4 2 3 3 2 4" xfId="32039" xr:uid="{7C948FDF-27C1-478E-9E13-35834C5F5C9C}"/>
    <cellStyle name="Note 4 2 3 3 3" xfId="12599" xr:uid="{00000000-0005-0000-0000-0000B9610000}"/>
    <cellStyle name="Note 4 2 3 3 3 2" xfId="36449" xr:uid="{E5202D3D-E9E4-42A1-9819-DCC25A0F2D76}"/>
    <cellStyle name="Note 4 2 3 3 4" xfId="20554" xr:uid="{00000000-0005-0000-0000-0000BA610000}"/>
    <cellStyle name="Note 4 2 3 3 4 2" xfId="44387" xr:uid="{B60EAFA9-F267-494E-BCD2-658892269974}"/>
    <cellStyle name="Note 4 2 3 3 5" xfId="28508" xr:uid="{9CA13B00-0FE9-4042-8E9E-2CE587823098}"/>
    <cellStyle name="Note 4 2 3 4" xfId="6405" xr:uid="{00000000-0005-0000-0000-0000BB610000}"/>
    <cellStyle name="Note 4 2 3 4 2" xfId="14379" xr:uid="{00000000-0005-0000-0000-0000BC610000}"/>
    <cellStyle name="Note 4 2 3 4 2 2" xfId="38222" xr:uid="{31765C46-5B1B-4917-AB24-D5CB841CE4A6}"/>
    <cellStyle name="Note 4 2 3 4 3" xfId="22326" xr:uid="{00000000-0005-0000-0000-0000BD610000}"/>
    <cellStyle name="Note 4 2 3 4 3 2" xfId="46159" xr:uid="{F80BF41F-4937-4B51-B811-FCA8045BF783}"/>
    <cellStyle name="Note 4 2 3 4 4" xfId="30281" xr:uid="{4FC9959B-8988-4CBE-9940-30FA6606348F}"/>
    <cellStyle name="Note 4 2 3 5" xfId="9947" xr:uid="{00000000-0005-0000-0000-0000BE610000}"/>
    <cellStyle name="Note 4 2 3 5 2" xfId="17905" xr:uid="{00000000-0005-0000-0000-0000BF610000}"/>
    <cellStyle name="Note 4 2 3 5 2 2" xfId="41746" xr:uid="{38398075-B2A1-45D4-AF7E-4993E0E9213E}"/>
    <cellStyle name="Note 4 2 3 5 3" xfId="25849" xr:uid="{00000000-0005-0000-0000-0000C0610000}"/>
    <cellStyle name="Note 4 2 3 5 3 2" xfId="49682" xr:uid="{34562F18-B844-480C-B848-AE2A69449213}"/>
    <cellStyle name="Note 4 2 3 5 4" xfId="33805" xr:uid="{F04198FC-29DC-49DA-959E-F24BD41B3DEB}"/>
    <cellStyle name="Note 4 2 3 6" xfId="10843" xr:uid="{00000000-0005-0000-0000-0000C1610000}"/>
    <cellStyle name="Note 4 2 3 6 2" xfId="34693" xr:uid="{9E05959E-9387-4DD2-A953-4ECAA032AE9C}"/>
    <cellStyle name="Note 4 2 3 7" xfId="18798" xr:uid="{00000000-0005-0000-0000-0000C2610000}"/>
    <cellStyle name="Note 4 2 3 7 2" xfId="42631" xr:uid="{38F2EF42-4597-4C90-A89B-A7F3C10D746D}"/>
    <cellStyle name="Note 4 2 3 8" xfId="26751" xr:uid="{13362789-DB1B-48FF-82AF-D2B03913A5C8}"/>
    <cellStyle name="Note 4 2 3_Exh G" xfId="3641" xr:uid="{00000000-0005-0000-0000-0000C3610000}"/>
    <cellStyle name="Note 4 2 4" xfId="1743" xr:uid="{00000000-0005-0000-0000-0000C4610000}"/>
    <cellStyle name="Note 4 2 4 2" xfId="5273" xr:uid="{00000000-0005-0000-0000-0000C5610000}"/>
    <cellStyle name="Note 4 2 4 2 2" xfId="8864" xr:uid="{00000000-0005-0000-0000-0000C6610000}"/>
    <cellStyle name="Note 4 2 4 2 2 2" xfId="16835" xr:uid="{00000000-0005-0000-0000-0000C7610000}"/>
    <cellStyle name="Note 4 2 4 2 2 2 2" xfId="40678" xr:uid="{0F505371-B43C-4C13-8C5F-AA5032E7247E}"/>
    <cellStyle name="Note 4 2 4 2 2 3" xfId="24781" xr:uid="{00000000-0005-0000-0000-0000C8610000}"/>
    <cellStyle name="Note 4 2 4 2 2 3 2" xfId="48614" xr:uid="{73A2D9AE-3116-4E6B-B63A-B55BB411EA17}"/>
    <cellStyle name="Note 4 2 4 2 2 4" xfId="32737" xr:uid="{229CB9F5-9F9B-4B8F-B997-D1034AD0B4C6}"/>
    <cellStyle name="Note 4 2 4 2 3" xfId="13297" xr:uid="{00000000-0005-0000-0000-0000C9610000}"/>
    <cellStyle name="Note 4 2 4 2 3 2" xfId="37147" xr:uid="{DB9C0077-1A63-465F-B88A-AD0A80E4A738}"/>
    <cellStyle name="Note 4 2 4 2 4" xfId="21252" xr:uid="{00000000-0005-0000-0000-0000CA610000}"/>
    <cellStyle name="Note 4 2 4 2 4 2" xfId="45085" xr:uid="{80487562-23EA-4DA1-8B7C-05E4C6FA249C}"/>
    <cellStyle name="Note 4 2 4 2 5" xfId="29206" xr:uid="{BC2F8F69-DDF7-4AC3-9E98-51CBA8B892B6}"/>
    <cellStyle name="Note 4 2 4 3" xfId="7105" xr:uid="{00000000-0005-0000-0000-0000CB610000}"/>
    <cellStyle name="Note 4 2 4 3 2" xfId="15077" xr:uid="{00000000-0005-0000-0000-0000CC610000}"/>
    <cellStyle name="Note 4 2 4 3 2 2" xfId="38920" xr:uid="{FB7ECB4E-F8F1-4804-B9F9-41772A0F4453}"/>
    <cellStyle name="Note 4 2 4 3 3" xfId="23024" xr:uid="{00000000-0005-0000-0000-0000CD610000}"/>
    <cellStyle name="Note 4 2 4 3 3 2" xfId="46857" xr:uid="{C6591DF3-B074-4E85-BA6A-974C4C49BED9}"/>
    <cellStyle name="Note 4 2 4 3 4" xfId="30979" xr:uid="{3F0AD540-8A98-4629-B98D-CB72F52C4CA4}"/>
    <cellStyle name="Note 4 2 4 4" xfId="11541" xr:uid="{00000000-0005-0000-0000-0000CE610000}"/>
    <cellStyle name="Note 4 2 4 4 2" xfId="35391" xr:uid="{0AA2E9E9-D884-478B-8864-BB8B77AFAACB}"/>
    <cellStyle name="Note 4 2 4 5" xfId="19496" xr:uid="{00000000-0005-0000-0000-0000CF610000}"/>
    <cellStyle name="Note 4 2 4 5 2" xfId="43329" xr:uid="{B9B1D505-F754-4361-8420-1D3C92594176}"/>
    <cellStyle name="Note 4 2 4 6" xfId="27449" xr:uid="{85B54443-0A99-4AEB-8DED-9EF9DC6D1661}"/>
    <cellStyle name="Note 4 2 4_Exh G" xfId="3643" xr:uid="{00000000-0005-0000-0000-0000D0610000}"/>
    <cellStyle name="Note 4 2 5" xfId="4394" xr:uid="{00000000-0005-0000-0000-0000D1610000}"/>
    <cellStyle name="Note 4 2 5 2" xfId="7986" xr:uid="{00000000-0005-0000-0000-0000D2610000}"/>
    <cellStyle name="Note 4 2 5 2 2" xfId="15957" xr:uid="{00000000-0005-0000-0000-0000D3610000}"/>
    <cellStyle name="Note 4 2 5 2 2 2" xfId="39800" xr:uid="{7BFF0614-1962-486E-9BE8-C691B59F26E0}"/>
    <cellStyle name="Note 4 2 5 2 3" xfId="23903" xr:uid="{00000000-0005-0000-0000-0000D4610000}"/>
    <cellStyle name="Note 4 2 5 2 3 2" xfId="47736" xr:uid="{8553BEDD-EDB4-4DD9-8423-631509EEC1EB}"/>
    <cellStyle name="Note 4 2 5 2 4" xfId="31859" xr:uid="{E67F73FD-C3B3-4252-AB3F-D2AA5F69886D}"/>
    <cellStyle name="Note 4 2 5 3" xfId="12419" xr:uid="{00000000-0005-0000-0000-0000D5610000}"/>
    <cellStyle name="Note 4 2 5 3 2" xfId="36269" xr:uid="{854746FB-F4DD-4E88-9A22-F3275D23F41F}"/>
    <cellStyle name="Note 4 2 5 4" xfId="20374" xr:uid="{00000000-0005-0000-0000-0000D6610000}"/>
    <cellStyle name="Note 4 2 5 4 2" xfId="44207" xr:uid="{5F3E5C15-61D1-4D55-89D7-95CF7AE58796}"/>
    <cellStyle name="Note 4 2 5 5" xfId="28328" xr:uid="{B450D644-CB6D-4ADC-AFE9-44C0B65416C5}"/>
    <cellStyle name="Note 4 2 6" xfId="6214" xr:uid="{00000000-0005-0000-0000-0000D7610000}"/>
    <cellStyle name="Note 4 2 6 2" xfId="14198" xr:uid="{00000000-0005-0000-0000-0000D8610000}"/>
    <cellStyle name="Note 4 2 6 2 2" xfId="38042" xr:uid="{8854F774-75FD-4588-8943-20739E72AD00}"/>
    <cellStyle name="Note 4 2 6 3" xfId="22146" xr:uid="{00000000-0005-0000-0000-0000D9610000}"/>
    <cellStyle name="Note 4 2 6 3 2" xfId="45979" xr:uid="{172C793A-B6E2-4EE7-BE6C-B9C9914451D9}"/>
    <cellStyle name="Note 4 2 6 4" xfId="30101" xr:uid="{E9126106-D77B-4202-9FF2-325D51AA6389}"/>
    <cellStyle name="Note 4 2 7" xfId="9767" xr:uid="{00000000-0005-0000-0000-0000DA610000}"/>
    <cellStyle name="Note 4 2 7 2" xfId="17725" xr:uid="{00000000-0005-0000-0000-0000DB610000}"/>
    <cellStyle name="Note 4 2 7 2 2" xfId="41566" xr:uid="{6AD4BCC5-6ADA-41A6-BC6D-681D1B671928}"/>
    <cellStyle name="Note 4 2 7 3" xfId="25669" xr:uid="{00000000-0005-0000-0000-0000DC610000}"/>
    <cellStyle name="Note 4 2 7 3 2" xfId="49502" xr:uid="{60D08E7D-7495-4FE1-A1B1-EF21252F1553}"/>
    <cellStyle name="Note 4 2 7 4" xfId="33625" xr:uid="{3D4A9442-BC94-4DBD-AFEC-CC2A91228B60}"/>
    <cellStyle name="Note 4 2 8" xfId="10663" xr:uid="{00000000-0005-0000-0000-0000DD610000}"/>
    <cellStyle name="Note 4 2 8 2" xfId="34513" xr:uid="{23CFB9AF-693B-4150-BBF0-E871E8E1308D}"/>
    <cellStyle name="Note 4 2 9" xfId="18618" xr:uid="{00000000-0005-0000-0000-0000DE610000}"/>
    <cellStyle name="Note 4 2 9 2" xfId="42451" xr:uid="{E544B7F6-E2D6-478D-96C3-D83460A68E0D}"/>
    <cellStyle name="Note 4 2_Exh G" xfId="3638" xr:uid="{00000000-0005-0000-0000-0000DF610000}"/>
    <cellStyle name="Note 4 3" xfId="717" xr:uid="{00000000-0005-0000-0000-0000E0610000}"/>
    <cellStyle name="Note 4 3 2" xfId="1745" xr:uid="{00000000-0005-0000-0000-0000E1610000}"/>
    <cellStyle name="Note 4 3 2 2" xfId="5275" xr:uid="{00000000-0005-0000-0000-0000E2610000}"/>
    <cellStyle name="Note 4 3 2 2 2" xfId="8866" xr:uid="{00000000-0005-0000-0000-0000E3610000}"/>
    <cellStyle name="Note 4 3 2 2 2 2" xfId="16837" xr:uid="{00000000-0005-0000-0000-0000E4610000}"/>
    <cellStyle name="Note 4 3 2 2 2 2 2" xfId="40680" xr:uid="{C62EAAE2-8EE5-4E01-A158-E51E0167250F}"/>
    <cellStyle name="Note 4 3 2 2 2 3" xfId="24783" xr:uid="{00000000-0005-0000-0000-0000E5610000}"/>
    <cellStyle name="Note 4 3 2 2 2 3 2" xfId="48616" xr:uid="{493E08CD-C547-4185-8AE3-5094A9FAF212}"/>
    <cellStyle name="Note 4 3 2 2 2 4" xfId="32739" xr:uid="{75E7D590-191A-4DC3-884D-C6147ECC1F17}"/>
    <cellStyle name="Note 4 3 2 2 3" xfId="13299" xr:uid="{00000000-0005-0000-0000-0000E6610000}"/>
    <cellStyle name="Note 4 3 2 2 3 2" xfId="37149" xr:uid="{B88FC9DA-0165-4791-BE59-D97D8833256A}"/>
    <cellStyle name="Note 4 3 2 2 4" xfId="21254" xr:uid="{00000000-0005-0000-0000-0000E7610000}"/>
    <cellStyle name="Note 4 3 2 2 4 2" xfId="45087" xr:uid="{7A369BF7-CD2F-45D5-9460-54112EFB1AD1}"/>
    <cellStyle name="Note 4 3 2 2 5" xfId="29208" xr:uid="{D24856EF-D609-4B50-870C-58340D958AD5}"/>
    <cellStyle name="Note 4 3 2 3" xfId="7107" xr:uid="{00000000-0005-0000-0000-0000E8610000}"/>
    <cellStyle name="Note 4 3 2 3 2" xfId="15079" xr:uid="{00000000-0005-0000-0000-0000E9610000}"/>
    <cellStyle name="Note 4 3 2 3 2 2" xfId="38922" xr:uid="{BBD2E413-26ED-468B-A705-53EA8340B57B}"/>
    <cellStyle name="Note 4 3 2 3 3" xfId="23026" xr:uid="{00000000-0005-0000-0000-0000EA610000}"/>
    <cellStyle name="Note 4 3 2 3 3 2" xfId="46859" xr:uid="{CB9C8201-CA03-4F69-81C3-D30739273ACC}"/>
    <cellStyle name="Note 4 3 2 3 4" xfId="30981" xr:uid="{3E558C9E-6436-45C8-BECE-68FE507E4283}"/>
    <cellStyle name="Note 4 3 2 4" xfId="11543" xr:uid="{00000000-0005-0000-0000-0000EB610000}"/>
    <cellStyle name="Note 4 3 2 4 2" xfId="35393" xr:uid="{9CBDDEFE-5777-43C5-8735-B030F1E67930}"/>
    <cellStyle name="Note 4 3 2 5" xfId="19498" xr:uid="{00000000-0005-0000-0000-0000EC610000}"/>
    <cellStyle name="Note 4 3 2 5 2" xfId="43331" xr:uid="{493333CD-6A4F-4526-806E-B6D16A2D2F56}"/>
    <cellStyle name="Note 4 3 2 6" xfId="27451" xr:uid="{4572109C-DEEB-4B86-B3B2-9787813EE2E8}"/>
    <cellStyle name="Note 4 3 2_Exh G" xfId="3645" xr:uid="{00000000-0005-0000-0000-0000ED610000}"/>
    <cellStyle name="Note 4 3 3" xfId="4396" xr:uid="{00000000-0005-0000-0000-0000EE610000}"/>
    <cellStyle name="Note 4 3 3 2" xfId="7988" xr:uid="{00000000-0005-0000-0000-0000EF610000}"/>
    <cellStyle name="Note 4 3 3 2 2" xfId="15959" xr:uid="{00000000-0005-0000-0000-0000F0610000}"/>
    <cellStyle name="Note 4 3 3 2 2 2" xfId="39802" xr:uid="{270923FF-BDF9-4439-A428-38A83E6B89B7}"/>
    <cellStyle name="Note 4 3 3 2 3" xfId="23905" xr:uid="{00000000-0005-0000-0000-0000F1610000}"/>
    <cellStyle name="Note 4 3 3 2 3 2" xfId="47738" xr:uid="{B1ACED73-FA67-41E3-AFD7-028857DB7C09}"/>
    <cellStyle name="Note 4 3 3 2 4" xfId="31861" xr:uid="{E610C7A6-ABF5-49C7-AEA2-3093BF702552}"/>
    <cellStyle name="Note 4 3 3 3" xfId="12421" xr:uid="{00000000-0005-0000-0000-0000F2610000}"/>
    <cellStyle name="Note 4 3 3 3 2" xfId="36271" xr:uid="{392A8318-D969-4BB8-9786-83C05019220B}"/>
    <cellStyle name="Note 4 3 3 4" xfId="20376" xr:uid="{00000000-0005-0000-0000-0000F3610000}"/>
    <cellStyle name="Note 4 3 3 4 2" xfId="44209" xr:uid="{627702EE-4270-4CB4-ACF3-07E78F443036}"/>
    <cellStyle name="Note 4 3 3 5" xfId="28330" xr:uid="{AAEBFBAD-921E-41ED-AED8-6BE4A4A76C7E}"/>
    <cellStyle name="Note 4 3 4" xfId="6216" xr:uid="{00000000-0005-0000-0000-0000F4610000}"/>
    <cellStyle name="Note 4 3 4 2" xfId="14200" xr:uid="{00000000-0005-0000-0000-0000F5610000}"/>
    <cellStyle name="Note 4 3 4 2 2" xfId="38044" xr:uid="{9AD90EE1-BA5F-47F9-851A-394E86FD4C0C}"/>
    <cellStyle name="Note 4 3 4 3" xfId="22148" xr:uid="{00000000-0005-0000-0000-0000F6610000}"/>
    <cellStyle name="Note 4 3 4 3 2" xfId="45981" xr:uid="{5AFAB07A-92BF-42BD-9107-CC5BA6636936}"/>
    <cellStyle name="Note 4 3 4 4" xfId="30103" xr:uid="{66628CA8-A71F-4483-AEF4-AEEB38EE47CA}"/>
    <cellStyle name="Note 4 3 5" xfId="9769" xr:uid="{00000000-0005-0000-0000-0000F7610000}"/>
    <cellStyle name="Note 4 3 5 2" xfId="17727" xr:uid="{00000000-0005-0000-0000-0000F8610000}"/>
    <cellStyle name="Note 4 3 5 2 2" xfId="41568" xr:uid="{C6500652-CD89-41B7-BD8C-6C67AFA4DFB5}"/>
    <cellStyle name="Note 4 3 5 3" xfId="25671" xr:uid="{00000000-0005-0000-0000-0000F9610000}"/>
    <cellStyle name="Note 4 3 5 3 2" xfId="49504" xr:uid="{013D7E00-A11C-48E0-9804-49BB88A6A465}"/>
    <cellStyle name="Note 4 3 5 4" xfId="33627" xr:uid="{A4D1124A-0DED-40B1-8C31-B29C9991D2DC}"/>
    <cellStyle name="Note 4 3 6" xfId="10665" xr:uid="{00000000-0005-0000-0000-0000FA610000}"/>
    <cellStyle name="Note 4 3 6 2" xfId="34515" xr:uid="{3AC7D8F3-9E6B-410E-9109-398A0DA3BE88}"/>
    <cellStyle name="Note 4 3 7" xfId="18620" xr:uid="{00000000-0005-0000-0000-0000FB610000}"/>
    <cellStyle name="Note 4 3 7 2" xfId="42453" xr:uid="{51AE0EFC-E6A6-40B1-9489-6B755D6137EF}"/>
    <cellStyle name="Note 4 3 8" xfId="26573" xr:uid="{A2005CF9-8E5C-4F29-89DE-06C58D4F7E62}"/>
    <cellStyle name="Note 4 3_Exh G" xfId="3644" xr:uid="{00000000-0005-0000-0000-0000FC610000}"/>
    <cellStyle name="Note 4 4" xfId="1034" xr:uid="{00000000-0005-0000-0000-0000FD610000}"/>
    <cellStyle name="Note 4 4 2" xfId="1934" xr:uid="{00000000-0005-0000-0000-0000FE610000}"/>
    <cellStyle name="Note 4 4 2 2" xfId="5452" xr:uid="{00000000-0005-0000-0000-0000FF610000}"/>
    <cellStyle name="Note 4 4 2 2 2" xfId="9043" xr:uid="{00000000-0005-0000-0000-000000620000}"/>
    <cellStyle name="Note 4 4 2 2 2 2" xfId="17014" xr:uid="{00000000-0005-0000-0000-000001620000}"/>
    <cellStyle name="Note 4 4 2 2 2 2 2" xfId="40857" xr:uid="{648FCDC1-4F46-4B19-B144-EE3408693342}"/>
    <cellStyle name="Note 4 4 2 2 2 3" xfId="24960" xr:uid="{00000000-0005-0000-0000-000002620000}"/>
    <cellStyle name="Note 4 4 2 2 2 3 2" xfId="48793" xr:uid="{8A03AE4A-E31B-4B32-B41E-7D698B2D4D32}"/>
    <cellStyle name="Note 4 4 2 2 2 4" xfId="32916" xr:uid="{A3E26942-0D05-42E8-A09E-035062DD3CCB}"/>
    <cellStyle name="Note 4 4 2 2 3" xfId="13476" xr:uid="{00000000-0005-0000-0000-000003620000}"/>
    <cellStyle name="Note 4 4 2 2 3 2" xfId="37326" xr:uid="{807EACC8-6D9A-4B2F-99D9-476C78B78CE5}"/>
    <cellStyle name="Note 4 4 2 2 4" xfId="21431" xr:uid="{00000000-0005-0000-0000-000004620000}"/>
    <cellStyle name="Note 4 4 2 2 4 2" xfId="45264" xr:uid="{31A3F56B-A28E-4FE3-A264-69BF5F0D6A27}"/>
    <cellStyle name="Note 4 4 2 2 5" xfId="29385" xr:uid="{650E0911-10C2-4939-B00C-D705372BEFAB}"/>
    <cellStyle name="Note 4 4 2 3" xfId="7284" xr:uid="{00000000-0005-0000-0000-000005620000}"/>
    <cellStyle name="Note 4 4 2 3 2" xfId="15256" xr:uid="{00000000-0005-0000-0000-000006620000}"/>
    <cellStyle name="Note 4 4 2 3 2 2" xfId="39099" xr:uid="{5070E025-EE10-4475-95AD-5242F63436A7}"/>
    <cellStyle name="Note 4 4 2 3 3" xfId="23203" xr:uid="{00000000-0005-0000-0000-000007620000}"/>
    <cellStyle name="Note 4 4 2 3 3 2" xfId="47036" xr:uid="{019CCF0F-3106-42FD-87F7-D2318955FAE2}"/>
    <cellStyle name="Note 4 4 2 3 4" xfId="31158" xr:uid="{1C069E39-BEED-4675-AF66-F5E9FC731D70}"/>
    <cellStyle name="Note 4 4 2 4" xfId="11720" xr:uid="{00000000-0005-0000-0000-000008620000}"/>
    <cellStyle name="Note 4 4 2 4 2" xfId="35570" xr:uid="{0EB4AD76-8F46-45D3-8B55-894D532A5990}"/>
    <cellStyle name="Note 4 4 2 5" xfId="19675" xr:uid="{00000000-0005-0000-0000-000009620000}"/>
    <cellStyle name="Note 4 4 2 5 2" xfId="43508" xr:uid="{8CF3A3DC-DA82-4C26-88D4-F625F8EBBA06}"/>
    <cellStyle name="Note 4 4 2 6" xfId="27628" xr:uid="{772B2EB3-2FD8-4917-A187-E141FF21A6F6}"/>
    <cellStyle name="Note 4 4 2_Exh G" xfId="3647" xr:uid="{00000000-0005-0000-0000-00000A620000}"/>
    <cellStyle name="Note 4 4 3" xfId="4573" xr:uid="{00000000-0005-0000-0000-00000B620000}"/>
    <cellStyle name="Note 4 4 3 2" xfId="8165" xr:uid="{00000000-0005-0000-0000-00000C620000}"/>
    <cellStyle name="Note 4 4 3 2 2" xfId="16136" xr:uid="{00000000-0005-0000-0000-00000D620000}"/>
    <cellStyle name="Note 4 4 3 2 2 2" xfId="39979" xr:uid="{B30BB5CC-35F7-4099-A073-5312C5A4B71E}"/>
    <cellStyle name="Note 4 4 3 2 3" xfId="24082" xr:uid="{00000000-0005-0000-0000-00000E620000}"/>
    <cellStyle name="Note 4 4 3 2 3 2" xfId="47915" xr:uid="{A6CD35B6-88D0-404D-8FA7-AB7FF6658C48}"/>
    <cellStyle name="Note 4 4 3 2 4" xfId="32038" xr:uid="{C6AFBFB9-64AC-40A9-9E2F-30020A27CDA8}"/>
    <cellStyle name="Note 4 4 3 3" xfId="12598" xr:uid="{00000000-0005-0000-0000-00000F620000}"/>
    <cellStyle name="Note 4 4 3 3 2" xfId="36448" xr:uid="{11E2AFF1-D0A4-4622-A56F-4F1CFE8A9E00}"/>
    <cellStyle name="Note 4 4 3 4" xfId="20553" xr:uid="{00000000-0005-0000-0000-000010620000}"/>
    <cellStyle name="Note 4 4 3 4 2" xfId="44386" xr:uid="{9A3BCD1F-D7AF-4AD8-964B-D94D9A8835A2}"/>
    <cellStyle name="Note 4 4 3 5" xfId="28507" xr:uid="{EB1FCFC8-7F75-427B-BD7B-EA9CC88D8F56}"/>
    <cellStyle name="Note 4 4 4" xfId="6404" xr:uid="{00000000-0005-0000-0000-000011620000}"/>
    <cellStyle name="Note 4 4 4 2" xfId="14378" xr:uid="{00000000-0005-0000-0000-000012620000}"/>
    <cellStyle name="Note 4 4 4 2 2" xfId="38221" xr:uid="{68D7AA58-160C-4C09-9BE6-99613FE8592E}"/>
    <cellStyle name="Note 4 4 4 3" xfId="22325" xr:uid="{00000000-0005-0000-0000-000013620000}"/>
    <cellStyle name="Note 4 4 4 3 2" xfId="46158" xr:uid="{5896C163-E58C-4A1B-BB02-646DBE026E31}"/>
    <cellStyle name="Note 4 4 4 4" xfId="30280" xr:uid="{198D5B08-23C1-413A-A15A-7378D61E648D}"/>
    <cellStyle name="Note 4 4 5" xfId="9946" xr:uid="{00000000-0005-0000-0000-000014620000}"/>
    <cellStyle name="Note 4 4 5 2" xfId="17904" xr:uid="{00000000-0005-0000-0000-000015620000}"/>
    <cellStyle name="Note 4 4 5 2 2" xfId="41745" xr:uid="{D61E4845-6346-447A-8751-5BC10414F293}"/>
    <cellStyle name="Note 4 4 5 3" xfId="25848" xr:uid="{00000000-0005-0000-0000-000016620000}"/>
    <cellStyle name="Note 4 4 5 3 2" xfId="49681" xr:uid="{480E6BEB-6A2F-424C-AEFC-2A07B15165C1}"/>
    <cellStyle name="Note 4 4 5 4" xfId="33804" xr:uid="{46EE0BF3-9F9C-41E6-8EAF-3A30F4CD27EF}"/>
    <cellStyle name="Note 4 4 6" xfId="10842" xr:uid="{00000000-0005-0000-0000-000017620000}"/>
    <cellStyle name="Note 4 4 6 2" xfId="34692" xr:uid="{106B1567-238A-4FE5-8FDE-B1C8C997F16C}"/>
    <cellStyle name="Note 4 4 7" xfId="18797" xr:uid="{00000000-0005-0000-0000-000018620000}"/>
    <cellStyle name="Note 4 4 7 2" xfId="42630" xr:uid="{D0FB6205-EE8B-45DC-AF95-727BE53DF79B}"/>
    <cellStyle name="Note 4 4 8" xfId="26750" xr:uid="{8429217B-1840-4C0F-B388-32E9723FAE74}"/>
    <cellStyle name="Note 4 4_Exh G" xfId="3646" xr:uid="{00000000-0005-0000-0000-000019620000}"/>
    <cellStyle name="Note 4 5" xfId="1742" xr:uid="{00000000-0005-0000-0000-00001A620000}"/>
    <cellStyle name="Note 4 5 2" xfId="5272" xr:uid="{00000000-0005-0000-0000-00001B620000}"/>
    <cellStyle name="Note 4 5 2 2" xfId="8863" xr:uid="{00000000-0005-0000-0000-00001C620000}"/>
    <cellStyle name="Note 4 5 2 2 2" xfId="16834" xr:uid="{00000000-0005-0000-0000-00001D620000}"/>
    <cellStyle name="Note 4 5 2 2 2 2" xfId="40677" xr:uid="{A5903344-A159-4C43-B63F-77CADDFE20A1}"/>
    <cellStyle name="Note 4 5 2 2 3" xfId="24780" xr:uid="{00000000-0005-0000-0000-00001E620000}"/>
    <cellStyle name="Note 4 5 2 2 3 2" xfId="48613" xr:uid="{F7ED64BC-56C1-47BD-820A-638EB69462A4}"/>
    <cellStyle name="Note 4 5 2 2 4" xfId="32736" xr:uid="{4304ADF5-1063-4E4B-9ADF-1706AF4F5758}"/>
    <cellStyle name="Note 4 5 2 3" xfId="13296" xr:uid="{00000000-0005-0000-0000-00001F620000}"/>
    <cellStyle name="Note 4 5 2 3 2" xfId="37146" xr:uid="{428B53B6-4591-4AEE-88CA-5CF8F294B9F8}"/>
    <cellStyle name="Note 4 5 2 4" xfId="21251" xr:uid="{00000000-0005-0000-0000-000020620000}"/>
    <cellStyle name="Note 4 5 2 4 2" xfId="45084" xr:uid="{F1F6B9D7-77DE-426A-8586-8670763E7746}"/>
    <cellStyle name="Note 4 5 2 5" xfId="29205" xr:uid="{A0859E2B-74CE-48D4-B753-37D5829591E6}"/>
    <cellStyle name="Note 4 5 3" xfId="7104" xr:uid="{00000000-0005-0000-0000-000021620000}"/>
    <cellStyle name="Note 4 5 3 2" xfId="15076" xr:uid="{00000000-0005-0000-0000-000022620000}"/>
    <cellStyle name="Note 4 5 3 2 2" xfId="38919" xr:uid="{8A551C51-93D2-488B-BCE2-72207A90481C}"/>
    <cellStyle name="Note 4 5 3 3" xfId="23023" xr:uid="{00000000-0005-0000-0000-000023620000}"/>
    <cellStyle name="Note 4 5 3 3 2" xfId="46856" xr:uid="{0238699C-21C2-4F79-A8D1-E838F9E20918}"/>
    <cellStyle name="Note 4 5 3 4" xfId="30978" xr:uid="{9D4011FE-1F32-46A2-B4BF-680D59E13436}"/>
    <cellStyle name="Note 4 5 4" xfId="11540" xr:uid="{00000000-0005-0000-0000-000024620000}"/>
    <cellStyle name="Note 4 5 4 2" xfId="35390" xr:uid="{68C3B892-CB3E-4EC6-8A25-45C4780C538D}"/>
    <cellStyle name="Note 4 5 5" xfId="19495" xr:uid="{00000000-0005-0000-0000-000025620000}"/>
    <cellStyle name="Note 4 5 5 2" xfId="43328" xr:uid="{1E098C70-BDB8-4605-9C8D-2C487F96AB03}"/>
    <cellStyle name="Note 4 5 6" xfId="27448" xr:uid="{7AD6B68C-CB98-473D-8B6E-24D6A9233656}"/>
    <cellStyle name="Note 4 5_Exh G" xfId="3648" xr:uid="{00000000-0005-0000-0000-000026620000}"/>
    <cellStyle name="Note 4 6" xfId="4393" xr:uid="{00000000-0005-0000-0000-000027620000}"/>
    <cellStyle name="Note 4 6 2" xfId="7985" xr:uid="{00000000-0005-0000-0000-000028620000}"/>
    <cellStyle name="Note 4 6 2 2" xfId="15956" xr:uid="{00000000-0005-0000-0000-000029620000}"/>
    <cellStyle name="Note 4 6 2 2 2" xfId="39799" xr:uid="{D9D026EC-805F-44CC-A186-5C85847518AE}"/>
    <cellStyle name="Note 4 6 2 3" xfId="23902" xr:uid="{00000000-0005-0000-0000-00002A620000}"/>
    <cellStyle name="Note 4 6 2 3 2" xfId="47735" xr:uid="{005D40EA-C6C0-461A-A87C-0D9549167F4D}"/>
    <cellStyle name="Note 4 6 2 4" xfId="31858" xr:uid="{1A93C193-EF24-4B6A-87CE-44D695DA0ED5}"/>
    <cellStyle name="Note 4 6 3" xfId="12418" xr:uid="{00000000-0005-0000-0000-00002B620000}"/>
    <cellStyle name="Note 4 6 3 2" xfId="36268" xr:uid="{1BC9A818-F353-4444-90AF-A3958885BFA9}"/>
    <cellStyle name="Note 4 6 4" xfId="20373" xr:uid="{00000000-0005-0000-0000-00002C620000}"/>
    <cellStyle name="Note 4 6 4 2" xfId="44206" xr:uid="{5BF15AFB-90E4-4C16-B19C-61FDD763A593}"/>
    <cellStyle name="Note 4 6 5" xfId="28327" xr:uid="{B74B0876-CA1C-466C-AE77-15E899998659}"/>
    <cellStyle name="Note 4 7" xfId="6213" xr:uid="{00000000-0005-0000-0000-00002D620000}"/>
    <cellStyle name="Note 4 7 2" xfId="14197" xr:uid="{00000000-0005-0000-0000-00002E620000}"/>
    <cellStyle name="Note 4 7 2 2" xfId="38041" xr:uid="{AE03D1B5-6736-4781-A02B-6C64C2810FCA}"/>
    <cellStyle name="Note 4 7 3" xfId="22145" xr:uid="{00000000-0005-0000-0000-00002F620000}"/>
    <cellStyle name="Note 4 7 3 2" xfId="45978" xr:uid="{C47900C6-E0EB-4379-9F25-208AE96F3BF1}"/>
    <cellStyle name="Note 4 7 4" xfId="30100" xr:uid="{3BE5A555-149C-4ABE-AF2C-0EC0C100D543}"/>
    <cellStyle name="Note 4 8" xfId="9766" xr:uid="{00000000-0005-0000-0000-000030620000}"/>
    <cellStyle name="Note 4 8 2" xfId="17724" xr:uid="{00000000-0005-0000-0000-000031620000}"/>
    <cellStyle name="Note 4 8 2 2" xfId="41565" xr:uid="{FE55F237-976F-4733-9AC5-D2191C111471}"/>
    <cellStyle name="Note 4 8 3" xfId="25668" xr:uid="{00000000-0005-0000-0000-000032620000}"/>
    <cellStyle name="Note 4 8 3 2" xfId="49501" xr:uid="{9ECD85EF-8A2E-4D6E-B4A6-A1FEB907D9B0}"/>
    <cellStyle name="Note 4 8 4" xfId="33624" xr:uid="{B4530F98-872C-40EA-AD66-1ABDC54644D3}"/>
    <cellStyle name="Note 4 9" xfId="10662" xr:uid="{00000000-0005-0000-0000-000033620000}"/>
    <cellStyle name="Note 4 9 2" xfId="34512" xr:uid="{85F6A9E4-3587-4438-8E7B-D060BE8EB3F9}"/>
    <cellStyle name="Note 4_Exh G" xfId="3637" xr:uid="{00000000-0005-0000-0000-000034620000}"/>
    <cellStyle name="Note 5" xfId="718" xr:uid="{00000000-0005-0000-0000-000035620000}"/>
    <cellStyle name="Note 5 10" xfId="18621" xr:uid="{00000000-0005-0000-0000-000036620000}"/>
    <cellStyle name="Note 5 10 2" xfId="42454" xr:uid="{BE33A779-548D-47A6-AC6C-E9FD43EF781B}"/>
    <cellStyle name="Note 5 11" xfId="26574" xr:uid="{042D98DF-5020-4440-91EA-9BF3A60B70B7}"/>
    <cellStyle name="Note 5 2" xfId="719" xr:uid="{00000000-0005-0000-0000-000037620000}"/>
    <cellStyle name="Note 5 2 2" xfId="720" xr:uid="{00000000-0005-0000-0000-000038620000}"/>
    <cellStyle name="Note 5 2 2 2" xfId="1748" xr:uid="{00000000-0005-0000-0000-000039620000}"/>
    <cellStyle name="Note 5 2 2 2 2" xfId="5278" xr:uid="{00000000-0005-0000-0000-00003A620000}"/>
    <cellStyle name="Note 5 2 2 2 2 2" xfId="8869" xr:uid="{00000000-0005-0000-0000-00003B620000}"/>
    <cellStyle name="Note 5 2 2 2 2 2 2" xfId="16840" xr:uid="{00000000-0005-0000-0000-00003C620000}"/>
    <cellStyle name="Note 5 2 2 2 2 2 2 2" xfId="40683" xr:uid="{92BC5263-9078-4F9D-8031-04E4ABDC4969}"/>
    <cellStyle name="Note 5 2 2 2 2 2 3" xfId="24786" xr:uid="{00000000-0005-0000-0000-00003D620000}"/>
    <cellStyle name="Note 5 2 2 2 2 2 3 2" xfId="48619" xr:uid="{FBF6E09E-1641-4FB4-B7BD-988D2DE3A170}"/>
    <cellStyle name="Note 5 2 2 2 2 2 4" xfId="32742" xr:uid="{8C909025-EA1D-4EDA-87AB-84AE0CDA2720}"/>
    <cellStyle name="Note 5 2 2 2 2 3" xfId="13302" xr:uid="{00000000-0005-0000-0000-00003E620000}"/>
    <cellStyle name="Note 5 2 2 2 2 3 2" xfId="37152" xr:uid="{C15C1BCE-0AC4-4679-A7CE-04EDE5224DA7}"/>
    <cellStyle name="Note 5 2 2 2 2 4" xfId="21257" xr:uid="{00000000-0005-0000-0000-00003F620000}"/>
    <cellStyle name="Note 5 2 2 2 2 4 2" xfId="45090" xr:uid="{914522A0-BEA8-49F6-BE81-FD53900DD185}"/>
    <cellStyle name="Note 5 2 2 2 2 5" xfId="29211" xr:uid="{873EB6BC-0A07-4AEF-B31C-FD51CA02E5DD}"/>
    <cellStyle name="Note 5 2 2 2 3" xfId="7110" xr:uid="{00000000-0005-0000-0000-000040620000}"/>
    <cellStyle name="Note 5 2 2 2 3 2" xfId="15082" xr:uid="{00000000-0005-0000-0000-000041620000}"/>
    <cellStyle name="Note 5 2 2 2 3 2 2" xfId="38925" xr:uid="{E585A137-8750-4033-B17E-9C031ED6661A}"/>
    <cellStyle name="Note 5 2 2 2 3 3" xfId="23029" xr:uid="{00000000-0005-0000-0000-000042620000}"/>
    <cellStyle name="Note 5 2 2 2 3 3 2" xfId="46862" xr:uid="{D5E957B9-19A3-43B0-98E2-EA45BB225114}"/>
    <cellStyle name="Note 5 2 2 2 3 4" xfId="30984" xr:uid="{12660465-1F99-4A7D-9709-A26617A09474}"/>
    <cellStyle name="Note 5 2 2 2 4" xfId="11546" xr:uid="{00000000-0005-0000-0000-000043620000}"/>
    <cellStyle name="Note 5 2 2 2 4 2" xfId="35396" xr:uid="{9568A220-5A2D-4E45-982C-3E9E8FFECE1E}"/>
    <cellStyle name="Note 5 2 2 2 5" xfId="19501" xr:uid="{00000000-0005-0000-0000-000044620000}"/>
    <cellStyle name="Note 5 2 2 2 5 2" xfId="43334" xr:uid="{5A5F37B4-EF38-4020-8DF4-5B2D84402913}"/>
    <cellStyle name="Note 5 2 2 2 6" xfId="27454" xr:uid="{7DD0FEA3-8DA8-40E0-AAED-3B2A5B526A08}"/>
    <cellStyle name="Note 5 2 2 2_Exh G" xfId="3652" xr:uid="{00000000-0005-0000-0000-000045620000}"/>
    <cellStyle name="Note 5 2 2 3" xfId="4399" xr:uid="{00000000-0005-0000-0000-000046620000}"/>
    <cellStyle name="Note 5 2 2 3 2" xfId="7991" xr:uid="{00000000-0005-0000-0000-000047620000}"/>
    <cellStyle name="Note 5 2 2 3 2 2" xfId="15962" xr:uid="{00000000-0005-0000-0000-000048620000}"/>
    <cellStyle name="Note 5 2 2 3 2 2 2" xfId="39805" xr:uid="{74CCDCEA-6D82-46BA-A9C5-833F5DE848C3}"/>
    <cellStyle name="Note 5 2 2 3 2 3" xfId="23908" xr:uid="{00000000-0005-0000-0000-000049620000}"/>
    <cellStyle name="Note 5 2 2 3 2 3 2" xfId="47741" xr:uid="{52F069E1-17BF-4E41-8F44-A72E2C168DBA}"/>
    <cellStyle name="Note 5 2 2 3 2 4" xfId="31864" xr:uid="{492E904E-04CC-4D87-9DBC-BBB565035A52}"/>
    <cellStyle name="Note 5 2 2 3 3" xfId="12424" xr:uid="{00000000-0005-0000-0000-00004A620000}"/>
    <cellStyle name="Note 5 2 2 3 3 2" xfId="36274" xr:uid="{A0CB728F-DAD5-4EEB-A71B-BC2029DA3E23}"/>
    <cellStyle name="Note 5 2 2 3 4" xfId="20379" xr:uid="{00000000-0005-0000-0000-00004B620000}"/>
    <cellStyle name="Note 5 2 2 3 4 2" xfId="44212" xr:uid="{6FBEDE4C-4C4D-4D48-8593-ABECB6BA15DD}"/>
    <cellStyle name="Note 5 2 2 3 5" xfId="28333" xr:uid="{31A35B2C-491F-4E3E-AADE-219C361DF393}"/>
    <cellStyle name="Note 5 2 2 4" xfId="6219" xr:uid="{00000000-0005-0000-0000-00004C620000}"/>
    <cellStyle name="Note 5 2 2 4 2" xfId="14203" xr:uid="{00000000-0005-0000-0000-00004D620000}"/>
    <cellStyle name="Note 5 2 2 4 2 2" xfId="38047" xr:uid="{7A2AB55F-1334-4593-B3DE-DC626435A42B}"/>
    <cellStyle name="Note 5 2 2 4 3" xfId="22151" xr:uid="{00000000-0005-0000-0000-00004E620000}"/>
    <cellStyle name="Note 5 2 2 4 3 2" xfId="45984" xr:uid="{C21BE198-7A27-4DC1-B5D3-22121F6B7D07}"/>
    <cellStyle name="Note 5 2 2 4 4" xfId="30106" xr:uid="{C0D943AD-B198-426E-9CCB-DA0257EDD86B}"/>
    <cellStyle name="Note 5 2 2 5" xfId="9772" xr:uid="{00000000-0005-0000-0000-00004F620000}"/>
    <cellStyle name="Note 5 2 2 5 2" xfId="17730" xr:uid="{00000000-0005-0000-0000-000050620000}"/>
    <cellStyle name="Note 5 2 2 5 2 2" xfId="41571" xr:uid="{A1DF3CE2-13BF-49CD-B1A9-B5B5D1BA62EF}"/>
    <cellStyle name="Note 5 2 2 5 3" xfId="25674" xr:uid="{00000000-0005-0000-0000-000051620000}"/>
    <cellStyle name="Note 5 2 2 5 3 2" xfId="49507" xr:uid="{DA49C371-9898-4B7D-8551-FB34A229A1B8}"/>
    <cellStyle name="Note 5 2 2 5 4" xfId="33630" xr:uid="{1954351C-94B0-4CB7-983F-8653A394F849}"/>
    <cellStyle name="Note 5 2 2 6" xfId="10668" xr:uid="{00000000-0005-0000-0000-000052620000}"/>
    <cellStyle name="Note 5 2 2 6 2" xfId="34518" xr:uid="{39F7E231-36E0-49E4-85E7-FA10AF917BBA}"/>
    <cellStyle name="Note 5 2 2 7" xfId="18623" xr:uid="{00000000-0005-0000-0000-000053620000}"/>
    <cellStyle name="Note 5 2 2 7 2" xfId="42456" xr:uid="{6C34C514-8788-4694-9B33-68CD63FE3051}"/>
    <cellStyle name="Note 5 2 2 8" xfId="26576" xr:uid="{014F7DAB-CCDF-4358-8495-5C2D321101A8}"/>
    <cellStyle name="Note 5 2 2_Exh G" xfId="3651" xr:uid="{00000000-0005-0000-0000-000054620000}"/>
    <cellStyle name="Note 5 2 3" xfId="1747" xr:uid="{00000000-0005-0000-0000-000055620000}"/>
    <cellStyle name="Note 5 2 3 2" xfId="5277" xr:uid="{00000000-0005-0000-0000-000056620000}"/>
    <cellStyle name="Note 5 2 3 2 2" xfId="8868" xr:uid="{00000000-0005-0000-0000-000057620000}"/>
    <cellStyle name="Note 5 2 3 2 2 2" xfId="16839" xr:uid="{00000000-0005-0000-0000-000058620000}"/>
    <cellStyle name="Note 5 2 3 2 2 2 2" xfId="40682" xr:uid="{CF9B6C08-CC44-4FD9-B739-89EBC0E839F1}"/>
    <cellStyle name="Note 5 2 3 2 2 3" xfId="24785" xr:uid="{00000000-0005-0000-0000-000059620000}"/>
    <cellStyle name="Note 5 2 3 2 2 3 2" xfId="48618" xr:uid="{58C28CEE-E844-40A3-9D86-8FC96C76B061}"/>
    <cellStyle name="Note 5 2 3 2 2 4" xfId="32741" xr:uid="{C488B482-02D1-4C67-A651-88A9D89D3809}"/>
    <cellStyle name="Note 5 2 3 2 3" xfId="13301" xr:uid="{00000000-0005-0000-0000-00005A620000}"/>
    <cellStyle name="Note 5 2 3 2 3 2" xfId="37151" xr:uid="{9ACD246A-51E3-40D4-BB16-EA0D7B1E3FFD}"/>
    <cellStyle name="Note 5 2 3 2 4" xfId="21256" xr:uid="{00000000-0005-0000-0000-00005B620000}"/>
    <cellStyle name="Note 5 2 3 2 4 2" xfId="45089" xr:uid="{A51D8201-3F1E-4002-91DA-2DA2AC6D8987}"/>
    <cellStyle name="Note 5 2 3 2 5" xfId="29210" xr:uid="{EDFE32B8-0D9D-4360-A3EA-86A3D7C44D02}"/>
    <cellStyle name="Note 5 2 3 3" xfId="7109" xr:uid="{00000000-0005-0000-0000-00005C620000}"/>
    <cellStyle name="Note 5 2 3 3 2" xfId="15081" xr:uid="{00000000-0005-0000-0000-00005D620000}"/>
    <cellStyle name="Note 5 2 3 3 2 2" xfId="38924" xr:uid="{0EC0C711-00CB-42C8-A4D5-D67AFAE39CF0}"/>
    <cellStyle name="Note 5 2 3 3 3" xfId="23028" xr:uid="{00000000-0005-0000-0000-00005E620000}"/>
    <cellStyle name="Note 5 2 3 3 3 2" xfId="46861" xr:uid="{D43C75E3-A5DD-4148-A294-4BFBFE9FCB5F}"/>
    <cellStyle name="Note 5 2 3 3 4" xfId="30983" xr:uid="{6F686380-D4E6-4AF3-9F8B-F51942F19179}"/>
    <cellStyle name="Note 5 2 3 4" xfId="11545" xr:uid="{00000000-0005-0000-0000-00005F620000}"/>
    <cellStyle name="Note 5 2 3 4 2" xfId="35395" xr:uid="{0CD3F45A-1F3C-4610-9926-8BAC9EA802D9}"/>
    <cellStyle name="Note 5 2 3 5" xfId="19500" xr:uid="{00000000-0005-0000-0000-000060620000}"/>
    <cellStyle name="Note 5 2 3 5 2" xfId="43333" xr:uid="{5465DD96-AE0E-48AD-9CED-419352FF6F51}"/>
    <cellStyle name="Note 5 2 3 6" xfId="27453" xr:uid="{9413FEF3-4711-41B0-A16A-B49DF6E128E1}"/>
    <cellStyle name="Note 5 2 3_Exh G" xfId="3653" xr:uid="{00000000-0005-0000-0000-000061620000}"/>
    <cellStyle name="Note 5 2 4" xfId="4398" xr:uid="{00000000-0005-0000-0000-000062620000}"/>
    <cellStyle name="Note 5 2 4 2" xfId="7990" xr:uid="{00000000-0005-0000-0000-000063620000}"/>
    <cellStyle name="Note 5 2 4 2 2" xfId="15961" xr:uid="{00000000-0005-0000-0000-000064620000}"/>
    <cellStyle name="Note 5 2 4 2 2 2" xfId="39804" xr:uid="{0B0AEEFE-55F4-4DD1-8261-A01C15191506}"/>
    <cellStyle name="Note 5 2 4 2 3" xfId="23907" xr:uid="{00000000-0005-0000-0000-000065620000}"/>
    <cellStyle name="Note 5 2 4 2 3 2" xfId="47740" xr:uid="{10D3926E-BAB2-4574-9D8C-5D9858DDB8A1}"/>
    <cellStyle name="Note 5 2 4 2 4" xfId="31863" xr:uid="{43323006-CF80-4DA2-9CAE-5E9C2148C3DC}"/>
    <cellStyle name="Note 5 2 4 3" xfId="12423" xr:uid="{00000000-0005-0000-0000-000066620000}"/>
    <cellStyle name="Note 5 2 4 3 2" xfId="36273" xr:uid="{75186C79-3EF4-4B01-B5C0-D2D3333B5E6E}"/>
    <cellStyle name="Note 5 2 4 4" xfId="20378" xr:uid="{00000000-0005-0000-0000-000067620000}"/>
    <cellStyle name="Note 5 2 4 4 2" xfId="44211" xr:uid="{88116EB5-C9A3-451D-A85B-D598AB30A9A7}"/>
    <cellStyle name="Note 5 2 4 5" xfId="28332" xr:uid="{8DD78997-480A-4722-820B-A69B4E06D398}"/>
    <cellStyle name="Note 5 2 5" xfId="6218" xr:uid="{00000000-0005-0000-0000-000068620000}"/>
    <cellStyle name="Note 5 2 5 2" xfId="14202" xr:uid="{00000000-0005-0000-0000-000069620000}"/>
    <cellStyle name="Note 5 2 5 2 2" xfId="38046" xr:uid="{4B84AA86-606C-4DDD-A84F-C960F9988214}"/>
    <cellStyle name="Note 5 2 5 3" xfId="22150" xr:uid="{00000000-0005-0000-0000-00006A620000}"/>
    <cellStyle name="Note 5 2 5 3 2" xfId="45983" xr:uid="{D7165F0E-02F3-4E60-9254-903A79A594D7}"/>
    <cellStyle name="Note 5 2 5 4" xfId="30105" xr:uid="{95596CBB-3E48-4095-AEA8-D3649BB4E775}"/>
    <cellStyle name="Note 5 2 6" xfId="9771" xr:uid="{00000000-0005-0000-0000-00006B620000}"/>
    <cellStyle name="Note 5 2 6 2" xfId="17729" xr:uid="{00000000-0005-0000-0000-00006C620000}"/>
    <cellStyle name="Note 5 2 6 2 2" xfId="41570" xr:uid="{F428AB1E-734B-4363-8BBC-38BE85DB22A1}"/>
    <cellStyle name="Note 5 2 6 3" xfId="25673" xr:uid="{00000000-0005-0000-0000-00006D620000}"/>
    <cellStyle name="Note 5 2 6 3 2" xfId="49506" xr:uid="{385E12D3-990C-42BF-9D3A-543D10BB8EC4}"/>
    <cellStyle name="Note 5 2 6 4" xfId="33629" xr:uid="{78890097-D71D-44EA-AC24-18AFB89FDF47}"/>
    <cellStyle name="Note 5 2 7" xfId="10667" xr:uid="{00000000-0005-0000-0000-00006E620000}"/>
    <cellStyle name="Note 5 2 7 2" xfId="34517" xr:uid="{13D8689F-A274-4F01-9139-A2AEC6374107}"/>
    <cellStyle name="Note 5 2 8" xfId="18622" xr:uid="{00000000-0005-0000-0000-00006F620000}"/>
    <cellStyle name="Note 5 2 8 2" xfId="42455" xr:uid="{CEBA806B-BAB7-4F38-AE25-FA3C97FDF814}"/>
    <cellStyle name="Note 5 2 9" xfId="26575" xr:uid="{53C88645-56C7-4471-95AB-BC1A4895AC08}"/>
    <cellStyle name="Note 5 2_Exh G" xfId="3650" xr:uid="{00000000-0005-0000-0000-000070620000}"/>
    <cellStyle name="Note 5 3" xfId="721" xr:uid="{00000000-0005-0000-0000-000071620000}"/>
    <cellStyle name="Note 5 3 2" xfId="1749" xr:uid="{00000000-0005-0000-0000-000072620000}"/>
    <cellStyle name="Note 5 3 2 2" xfId="5279" xr:uid="{00000000-0005-0000-0000-000073620000}"/>
    <cellStyle name="Note 5 3 2 2 2" xfId="8870" xr:uid="{00000000-0005-0000-0000-000074620000}"/>
    <cellStyle name="Note 5 3 2 2 2 2" xfId="16841" xr:uid="{00000000-0005-0000-0000-000075620000}"/>
    <cellStyle name="Note 5 3 2 2 2 2 2" xfId="40684" xr:uid="{33D9FA0B-A760-4819-8DF0-1B1F4D8C706D}"/>
    <cellStyle name="Note 5 3 2 2 2 3" xfId="24787" xr:uid="{00000000-0005-0000-0000-000076620000}"/>
    <cellStyle name="Note 5 3 2 2 2 3 2" xfId="48620" xr:uid="{3320F36C-1274-46DE-B22F-20F3C332E4AC}"/>
    <cellStyle name="Note 5 3 2 2 2 4" xfId="32743" xr:uid="{24A09F1A-96E5-4DBB-9CD5-C5819D66D7AF}"/>
    <cellStyle name="Note 5 3 2 2 3" xfId="13303" xr:uid="{00000000-0005-0000-0000-000077620000}"/>
    <cellStyle name="Note 5 3 2 2 3 2" xfId="37153" xr:uid="{E1C9AC7A-E13B-4E58-B954-E46641988670}"/>
    <cellStyle name="Note 5 3 2 2 4" xfId="21258" xr:uid="{00000000-0005-0000-0000-000078620000}"/>
    <cellStyle name="Note 5 3 2 2 4 2" xfId="45091" xr:uid="{14D664B9-20B1-4CD1-A947-1B57E9D424D0}"/>
    <cellStyle name="Note 5 3 2 2 5" xfId="29212" xr:uid="{E83EC0A6-876D-44BD-A5F5-37157D331389}"/>
    <cellStyle name="Note 5 3 2 3" xfId="7111" xr:uid="{00000000-0005-0000-0000-000079620000}"/>
    <cellStyle name="Note 5 3 2 3 2" xfId="15083" xr:uid="{00000000-0005-0000-0000-00007A620000}"/>
    <cellStyle name="Note 5 3 2 3 2 2" xfId="38926" xr:uid="{E484721E-974A-4068-8AA3-837126093AA8}"/>
    <cellStyle name="Note 5 3 2 3 3" xfId="23030" xr:uid="{00000000-0005-0000-0000-00007B620000}"/>
    <cellStyle name="Note 5 3 2 3 3 2" xfId="46863" xr:uid="{3A3AA3C9-0E43-4299-AE1F-4459372B9066}"/>
    <cellStyle name="Note 5 3 2 3 4" xfId="30985" xr:uid="{5E2E961F-1145-431B-83DD-82C0EB9595DC}"/>
    <cellStyle name="Note 5 3 2 4" xfId="11547" xr:uid="{00000000-0005-0000-0000-00007C620000}"/>
    <cellStyle name="Note 5 3 2 4 2" xfId="35397" xr:uid="{A8A0C09C-5B5F-4852-9BC1-9BF10878A11A}"/>
    <cellStyle name="Note 5 3 2 5" xfId="19502" xr:uid="{00000000-0005-0000-0000-00007D620000}"/>
    <cellStyle name="Note 5 3 2 5 2" xfId="43335" xr:uid="{16D73EE5-0A66-4D69-AE46-AB61C18AD1B2}"/>
    <cellStyle name="Note 5 3 2 6" xfId="27455" xr:uid="{1997B150-F875-48E7-9BAC-ACF260BF17DA}"/>
    <cellStyle name="Note 5 3 2_Exh G" xfId="3655" xr:uid="{00000000-0005-0000-0000-00007E620000}"/>
    <cellStyle name="Note 5 3 3" xfId="4400" xr:uid="{00000000-0005-0000-0000-00007F620000}"/>
    <cellStyle name="Note 5 3 3 2" xfId="7992" xr:uid="{00000000-0005-0000-0000-000080620000}"/>
    <cellStyle name="Note 5 3 3 2 2" xfId="15963" xr:uid="{00000000-0005-0000-0000-000081620000}"/>
    <cellStyle name="Note 5 3 3 2 2 2" xfId="39806" xr:uid="{AE60A50E-CD40-42AA-8B57-D9FCBE2539CD}"/>
    <cellStyle name="Note 5 3 3 2 3" xfId="23909" xr:uid="{00000000-0005-0000-0000-000082620000}"/>
    <cellStyle name="Note 5 3 3 2 3 2" xfId="47742" xr:uid="{56A867C5-83D4-4FF8-B9DA-8CC391EBBEE1}"/>
    <cellStyle name="Note 5 3 3 2 4" xfId="31865" xr:uid="{DC39FF4C-3B0D-44F1-AF63-F940255E7B21}"/>
    <cellStyle name="Note 5 3 3 3" xfId="12425" xr:uid="{00000000-0005-0000-0000-000083620000}"/>
    <cellStyle name="Note 5 3 3 3 2" xfId="36275" xr:uid="{5911BE76-133F-4BF7-A976-7ED193CAC784}"/>
    <cellStyle name="Note 5 3 3 4" xfId="20380" xr:uid="{00000000-0005-0000-0000-000084620000}"/>
    <cellStyle name="Note 5 3 3 4 2" xfId="44213" xr:uid="{CB9508A8-4AD0-46B5-AF4B-46E94F280935}"/>
    <cellStyle name="Note 5 3 3 5" xfId="28334" xr:uid="{3FC916BC-FAC2-4D6F-A815-0E31484319B1}"/>
    <cellStyle name="Note 5 3 4" xfId="6220" xr:uid="{00000000-0005-0000-0000-000085620000}"/>
    <cellStyle name="Note 5 3 4 2" xfId="14204" xr:uid="{00000000-0005-0000-0000-000086620000}"/>
    <cellStyle name="Note 5 3 4 2 2" xfId="38048" xr:uid="{3E4E1BAC-8889-47EB-88A5-2CD9529376E2}"/>
    <cellStyle name="Note 5 3 4 3" xfId="22152" xr:uid="{00000000-0005-0000-0000-000087620000}"/>
    <cellStyle name="Note 5 3 4 3 2" xfId="45985" xr:uid="{0C711136-92D2-4199-988A-73D609795711}"/>
    <cellStyle name="Note 5 3 4 4" xfId="30107" xr:uid="{B16579D5-E43A-4489-BD17-1CA41B2D7CEE}"/>
    <cellStyle name="Note 5 3 5" xfId="9773" xr:uid="{00000000-0005-0000-0000-000088620000}"/>
    <cellStyle name="Note 5 3 5 2" xfId="17731" xr:uid="{00000000-0005-0000-0000-000089620000}"/>
    <cellStyle name="Note 5 3 5 2 2" xfId="41572" xr:uid="{7FFA45A2-7638-493B-869E-FD94820CA070}"/>
    <cellStyle name="Note 5 3 5 3" xfId="25675" xr:uid="{00000000-0005-0000-0000-00008A620000}"/>
    <cellStyle name="Note 5 3 5 3 2" xfId="49508" xr:uid="{C9D91921-DC15-415F-9FCB-43073C82A894}"/>
    <cellStyle name="Note 5 3 5 4" xfId="33631" xr:uid="{8B920CE7-2E8C-48EA-997B-31D95B2B184F}"/>
    <cellStyle name="Note 5 3 6" xfId="10669" xr:uid="{00000000-0005-0000-0000-00008B620000}"/>
    <cellStyle name="Note 5 3 6 2" xfId="34519" xr:uid="{82E109DF-53AC-4CFB-937C-958B15E4CAAC}"/>
    <cellStyle name="Note 5 3 7" xfId="18624" xr:uid="{00000000-0005-0000-0000-00008C620000}"/>
    <cellStyle name="Note 5 3 7 2" xfId="42457" xr:uid="{E6F82C1B-7EE7-4E08-AB76-3DFD69349097}"/>
    <cellStyle name="Note 5 3 8" xfId="26577" xr:uid="{1386F825-9A36-47AE-BF00-5AD6D290E755}"/>
    <cellStyle name="Note 5 3_Exh G" xfId="3654" xr:uid="{00000000-0005-0000-0000-00008D620000}"/>
    <cellStyle name="Note 5 4" xfId="1036" xr:uid="{00000000-0005-0000-0000-00008E620000}"/>
    <cellStyle name="Note 5 4 2" xfId="6406" xr:uid="{00000000-0005-0000-0000-00008F620000}"/>
    <cellStyle name="Note 5 5" xfId="1746" xr:uid="{00000000-0005-0000-0000-000090620000}"/>
    <cellStyle name="Note 5 5 2" xfId="5276" xr:uid="{00000000-0005-0000-0000-000091620000}"/>
    <cellStyle name="Note 5 5 2 2" xfId="8867" xr:uid="{00000000-0005-0000-0000-000092620000}"/>
    <cellStyle name="Note 5 5 2 2 2" xfId="16838" xr:uid="{00000000-0005-0000-0000-000093620000}"/>
    <cellStyle name="Note 5 5 2 2 2 2" xfId="40681" xr:uid="{848629E3-A0EA-4EAD-B15F-9CC955944E79}"/>
    <cellStyle name="Note 5 5 2 2 3" xfId="24784" xr:uid="{00000000-0005-0000-0000-000094620000}"/>
    <cellStyle name="Note 5 5 2 2 3 2" xfId="48617" xr:uid="{3190C865-2265-43E4-93D3-35E2972F3A82}"/>
    <cellStyle name="Note 5 5 2 2 4" xfId="32740" xr:uid="{F93C6EB8-C609-4370-ABF6-81311896C30F}"/>
    <cellStyle name="Note 5 5 2 3" xfId="13300" xr:uid="{00000000-0005-0000-0000-000095620000}"/>
    <cellStyle name="Note 5 5 2 3 2" xfId="37150" xr:uid="{E6077A32-4C14-4F12-9594-83218E40E946}"/>
    <cellStyle name="Note 5 5 2 4" xfId="21255" xr:uid="{00000000-0005-0000-0000-000096620000}"/>
    <cellStyle name="Note 5 5 2 4 2" xfId="45088" xr:uid="{6840797A-BCFD-4A8C-A04A-6D58C520BAEF}"/>
    <cellStyle name="Note 5 5 2 5" xfId="29209" xr:uid="{FE6E87CC-14B2-4243-A36A-012E094D0FEB}"/>
    <cellStyle name="Note 5 5 3" xfId="7108" xr:uid="{00000000-0005-0000-0000-000097620000}"/>
    <cellStyle name="Note 5 5 3 2" xfId="15080" xr:uid="{00000000-0005-0000-0000-000098620000}"/>
    <cellStyle name="Note 5 5 3 2 2" xfId="38923" xr:uid="{E16287BD-3C60-4CD8-9793-A962E0BF449E}"/>
    <cellStyle name="Note 5 5 3 3" xfId="23027" xr:uid="{00000000-0005-0000-0000-000099620000}"/>
    <cellStyle name="Note 5 5 3 3 2" xfId="46860" xr:uid="{41814C19-7B2A-4448-9E0A-E3072D9D2ACD}"/>
    <cellStyle name="Note 5 5 3 4" xfId="30982" xr:uid="{526889DD-55EE-498B-8658-049B0DBC01D6}"/>
    <cellStyle name="Note 5 5 4" xfId="11544" xr:uid="{00000000-0005-0000-0000-00009A620000}"/>
    <cellStyle name="Note 5 5 4 2" xfId="35394" xr:uid="{FF2E04B9-99A8-4F7B-BF59-D22291D440D5}"/>
    <cellStyle name="Note 5 5 5" xfId="19499" xr:uid="{00000000-0005-0000-0000-00009B620000}"/>
    <cellStyle name="Note 5 5 5 2" xfId="43332" xr:uid="{EAC2AFA7-5739-42B0-980E-24E9FC9D4C2F}"/>
    <cellStyle name="Note 5 5 6" xfId="27452" xr:uid="{8216AD42-4F28-4182-ABB4-A07D743CF9B5}"/>
    <cellStyle name="Note 5 5_Exh G" xfId="3656" xr:uid="{00000000-0005-0000-0000-00009C620000}"/>
    <cellStyle name="Note 5 6" xfId="4397" xr:uid="{00000000-0005-0000-0000-00009D620000}"/>
    <cellStyle name="Note 5 6 2" xfId="7989" xr:uid="{00000000-0005-0000-0000-00009E620000}"/>
    <cellStyle name="Note 5 6 2 2" xfId="15960" xr:uid="{00000000-0005-0000-0000-00009F620000}"/>
    <cellStyle name="Note 5 6 2 2 2" xfId="39803" xr:uid="{1F159D4A-0D50-422F-80A6-D497968BF1DA}"/>
    <cellStyle name="Note 5 6 2 3" xfId="23906" xr:uid="{00000000-0005-0000-0000-0000A0620000}"/>
    <cellStyle name="Note 5 6 2 3 2" xfId="47739" xr:uid="{A0FFEACF-C8CE-4336-82AA-A0F7B1A3276A}"/>
    <cellStyle name="Note 5 6 2 4" xfId="31862" xr:uid="{3376C3C5-59C0-4549-822E-4C4FAD125AA9}"/>
    <cellStyle name="Note 5 6 3" xfId="12422" xr:uid="{00000000-0005-0000-0000-0000A1620000}"/>
    <cellStyle name="Note 5 6 3 2" xfId="36272" xr:uid="{0E962C4C-80F2-4543-9CDE-62F25212DDEA}"/>
    <cellStyle name="Note 5 6 4" xfId="20377" xr:uid="{00000000-0005-0000-0000-0000A2620000}"/>
    <cellStyle name="Note 5 6 4 2" xfId="44210" xr:uid="{AB30D8EB-CEA7-4AD4-AFB6-9CF64E82CC13}"/>
    <cellStyle name="Note 5 6 5" xfId="28331" xr:uid="{C79F3265-6FA6-4E7C-862C-FA7D8281817A}"/>
    <cellStyle name="Note 5 7" xfId="6217" xr:uid="{00000000-0005-0000-0000-0000A3620000}"/>
    <cellStyle name="Note 5 7 2" xfId="14201" xr:uid="{00000000-0005-0000-0000-0000A4620000}"/>
    <cellStyle name="Note 5 7 2 2" xfId="38045" xr:uid="{E44823B5-D2DE-4C10-9AB5-2E9164FB4634}"/>
    <cellStyle name="Note 5 7 3" xfId="22149" xr:uid="{00000000-0005-0000-0000-0000A5620000}"/>
    <cellStyle name="Note 5 7 3 2" xfId="45982" xr:uid="{577730FE-06DB-47E6-A1AE-4F0B835D7313}"/>
    <cellStyle name="Note 5 7 4" xfId="30104" xr:uid="{6E54CD0B-8488-4D27-8D99-665F35BB2194}"/>
    <cellStyle name="Note 5 8" xfId="9770" xr:uid="{00000000-0005-0000-0000-0000A6620000}"/>
    <cellStyle name="Note 5 8 2" xfId="17728" xr:uid="{00000000-0005-0000-0000-0000A7620000}"/>
    <cellStyle name="Note 5 8 2 2" xfId="41569" xr:uid="{7122009E-5636-4E27-85DC-8D14BF426100}"/>
    <cellStyle name="Note 5 8 3" xfId="25672" xr:uid="{00000000-0005-0000-0000-0000A8620000}"/>
    <cellStyle name="Note 5 8 3 2" xfId="49505" xr:uid="{B915848C-31C6-4E32-ADAE-EC165CAD8AC5}"/>
    <cellStyle name="Note 5 8 4" xfId="33628" xr:uid="{681BCA31-DD14-40DC-99AC-D562AA920479}"/>
    <cellStyle name="Note 5 9" xfId="10666" xr:uid="{00000000-0005-0000-0000-0000A9620000}"/>
    <cellStyle name="Note 5 9 2" xfId="34516" xr:uid="{3D168DBD-CD69-4582-B09B-153F4C6347EF}"/>
    <cellStyle name="Note 5_Exh G" xfId="3649" xr:uid="{00000000-0005-0000-0000-0000AA620000}"/>
    <cellStyle name="Note 6" xfId="722" xr:uid="{00000000-0005-0000-0000-0000AB620000}"/>
    <cellStyle name="Note 6 10" xfId="18625" xr:uid="{00000000-0005-0000-0000-0000AC620000}"/>
    <cellStyle name="Note 6 10 2" xfId="42458" xr:uid="{0AE95582-F33E-44E3-B702-4FF3339A130F}"/>
    <cellStyle name="Note 6 11" xfId="26578" xr:uid="{0951A3DA-ADDA-4600-A8A5-CABB9B599DE6}"/>
    <cellStyle name="Note 6 2" xfId="723" xr:uid="{00000000-0005-0000-0000-0000AD620000}"/>
    <cellStyle name="Note 6 2 2" xfId="724" xr:uid="{00000000-0005-0000-0000-0000AE620000}"/>
    <cellStyle name="Note 6 2 2 2" xfId="1752" xr:uid="{00000000-0005-0000-0000-0000AF620000}"/>
    <cellStyle name="Note 6 2 2 2 2" xfId="5282" xr:uid="{00000000-0005-0000-0000-0000B0620000}"/>
    <cellStyle name="Note 6 2 2 2 2 2" xfId="8873" xr:uid="{00000000-0005-0000-0000-0000B1620000}"/>
    <cellStyle name="Note 6 2 2 2 2 2 2" xfId="16844" xr:uid="{00000000-0005-0000-0000-0000B2620000}"/>
    <cellStyle name="Note 6 2 2 2 2 2 2 2" xfId="40687" xr:uid="{21021AAC-EB7C-4BF5-BCB6-3FFB2F2A5F40}"/>
    <cellStyle name="Note 6 2 2 2 2 2 3" xfId="24790" xr:uid="{00000000-0005-0000-0000-0000B3620000}"/>
    <cellStyle name="Note 6 2 2 2 2 2 3 2" xfId="48623" xr:uid="{8A5854D4-3F39-44A0-B79B-EAF65929CD0C}"/>
    <cellStyle name="Note 6 2 2 2 2 2 4" xfId="32746" xr:uid="{154EA236-DE76-4DBF-A690-8A48D5A1DBFF}"/>
    <cellStyle name="Note 6 2 2 2 2 3" xfId="13306" xr:uid="{00000000-0005-0000-0000-0000B4620000}"/>
    <cellStyle name="Note 6 2 2 2 2 3 2" xfId="37156" xr:uid="{9BF52C20-7B51-4B10-9B1E-1609974D63C4}"/>
    <cellStyle name="Note 6 2 2 2 2 4" xfId="21261" xr:uid="{00000000-0005-0000-0000-0000B5620000}"/>
    <cellStyle name="Note 6 2 2 2 2 4 2" xfId="45094" xr:uid="{F347E791-F0F8-4DD3-B6B9-B3AE91BBF8FC}"/>
    <cellStyle name="Note 6 2 2 2 2 5" xfId="29215" xr:uid="{EE892CE9-4782-4D1E-BB7E-46ED82A70A20}"/>
    <cellStyle name="Note 6 2 2 2 3" xfId="7114" xr:uid="{00000000-0005-0000-0000-0000B6620000}"/>
    <cellStyle name="Note 6 2 2 2 3 2" xfId="15086" xr:uid="{00000000-0005-0000-0000-0000B7620000}"/>
    <cellStyle name="Note 6 2 2 2 3 2 2" xfId="38929" xr:uid="{689E679F-5AE9-4A2E-BD1E-1217FD9FDFFE}"/>
    <cellStyle name="Note 6 2 2 2 3 3" xfId="23033" xr:uid="{00000000-0005-0000-0000-0000B8620000}"/>
    <cellStyle name="Note 6 2 2 2 3 3 2" xfId="46866" xr:uid="{87819170-4BD1-468F-BD10-C6F70C6DD9D0}"/>
    <cellStyle name="Note 6 2 2 2 3 4" xfId="30988" xr:uid="{06108D18-CA17-4464-80DD-E7108E2C464B}"/>
    <cellStyle name="Note 6 2 2 2 4" xfId="11550" xr:uid="{00000000-0005-0000-0000-0000B9620000}"/>
    <cellStyle name="Note 6 2 2 2 4 2" xfId="35400" xr:uid="{6BE17C8C-16EA-491B-9FDD-AE39AC33D41A}"/>
    <cellStyle name="Note 6 2 2 2 5" xfId="19505" xr:uid="{00000000-0005-0000-0000-0000BA620000}"/>
    <cellStyle name="Note 6 2 2 2 5 2" xfId="43338" xr:uid="{E70DDAD4-8A52-4285-B0A4-D30792DF4172}"/>
    <cellStyle name="Note 6 2 2 2 6" xfId="27458" xr:uid="{7776812E-0474-4A26-8ADA-D0AB619508FC}"/>
    <cellStyle name="Note 6 2 2 2_Exh G" xfId="3660" xr:uid="{00000000-0005-0000-0000-0000BB620000}"/>
    <cellStyle name="Note 6 2 2 3" xfId="4403" xr:uid="{00000000-0005-0000-0000-0000BC620000}"/>
    <cellStyle name="Note 6 2 2 3 2" xfId="7995" xr:uid="{00000000-0005-0000-0000-0000BD620000}"/>
    <cellStyle name="Note 6 2 2 3 2 2" xfId="15966" xr:uid="{00000000-0005-0000-0000-0000BE620000}"/>
    <cellStyle name="Note 6 2 2 3 2 2 2" xfId="39809" xr:uid="{0A2F646F-55ED-4F78-B132-9D91B80111F8}"/>
    <cellStyle name="Note 6 2 2 3 2 3" xfId="23912" xr:uid="{00000000-0005-0000-0000-0000BF620000}"/>
    <cellStyle name="Note 6 2 2 3 2 3 2" xfId="47745" xr:uid="{402AEEB5-163A-48C6-8975-B42CEA8DE43E}"/>
    <cellStyle name="Note 6 2 2 3 2 4" xfId="31868" xr:uid="{23445F78-1CAC-43B5-8794-FF0B400BC5F0}"/>
    <cellStyle name="Note 6 2 2 3 3" xfId="12428" xr:uid="{00000000-0005-0000-0000-0000C0620000}"/>
    <cellStyle name="Note 6 2 2 3 3 2" xfId="36278" xr:uid="{7B17F578-02E6-41AA-B3F2-B23BF85E215D}"/>
    <cellStyle name="Note 6 2 2 3 4" xfId="20383" xr:uid="{00000000-0005-0000-0000-0000C1620000}"/>
    <cellStyle name="Note 6 2 2 3 4 2" xfId="44216" xr:uid="{C4C06647-3F61-4BE3-A434-8BC11F56D1B3}"/>
    <cellStyle name="Note 6 2 2 3 5" xfId="28337" xr:uid="{E1192972-6D5F-42AE-BF98-17091344DCD0}"/>
    <cellStyle name="Note 6 2 2 4" xfId="6223" xr:uid="{00000000-0005-0000-0000-0000C2620000}"/>
    <cellStyle name="Note 6 2 2 4 2" xfId="14207" xr:uid="{00000000-0005-0000-0000-0000C3620000}"/>
    <cellStyle name="Note 6 2 2 4 2 2" xfId="38051" xr:uid="{321EE57A-A988-467E-9AB5-38BE50B599BB}"/>
    <cellStyle name="Note 6 2 2 4 3" xfId="22155" xr:uid="{00000000-0005-0000-0000-0000C4620000}"/>
    <cellStyle name="Note 6 2 2 4 3 2" xfId="45988" xr:uid="{0FE61AC8-2815-470B-A2FC-2EEEE28B9218}"/>
    <cellStyle name="Note 6 2 2 4 4" xfId="30110" xr:uid="{8B3FBB67-E40D-4817-9897-07D2C79E4970}"/>
    <cellStyle name="Note 6 2 2 5" xfId="9776" xr:uid="{00000000-0005-0000-0000-0000C5620000}"/>
    <cellStyle name="Note 6 2 2 5 2" xfId="17734" xr:uid="{00000000-0005-0000-0000-0000C6620000}"/>
    <cellStyle name="Note 6 2 2 5 2 2" xfId="41575" xr:uid="{D8076D5A-9FBB-4510-BBCE-281052D1E7FF}"/>
    <cellStyle name="Note 6 2 2 5 3" xfId="25678" xr:uid="{00000000-0005-0000-0000-0000C7620000}"/>
    <cellStyle name="Note 6 2 2 5 3 2" xfId="49511" xr:uid="{9746C7A9-7AD6-409E-9689-132071D7A56D}"/>
    <cellStyle name="Note 6 2 2 5 4" xfId="33634" xr:uid="{7EF736C7-BC3B-43BD-A567-FEB8E4D25BCD}"/>
    <cellStyle name="Note 6 2 2 6" xfId="10672" xr:uid="{00000000-0005-0000-0000-0000C8620000}"/>
    <cellStyle name="Note 6 2 2 6 2" xfId="34522" xr:uid="{9208433B-E761-4429-9F80-54B99B98830D}"/>
    <cellStyle name="Note 6 2 2 7" xfId="18627" xr:uid="{00000000-0005-0000-0000-0000C9620000}"/>
    <cellStyle name="Note 6 2 2 7 2" xfId="42460" xr:uid="{497F2705-B558-4BFE-96B2-7A9B47FC5AF2}"/>
    <cellStyle name="Note 6 2 2 8" xfId="26580" xr:uid="{6FC37E23-2CF6-473F-B057-35B3F84865DB}"/>
    <cellStyle name="Note 6 2 2_Exh G" xfId="3659" xr:uid="{00000000-0005-0000-0000-0000CA620000}"/>
    <cellStyle name="Note 6 2 3" xfId="1751" xr:uid="{00000000-0005-0000-0000-0000CB620000}"/>
    <cellStyle name="Note 6 2 3 2" xfId="5281" xr:uid="{00000000-0005-0000-0000-0000CC620000}"/>
    <cellStyle name="Note 6 2 3 2 2" xfId="8872" xr:uid="{00000000-0005-0000-0000-0000CD620000}"/>
    <cellStyle name="Note 6 2 3 2 2 2" xfId="16843" xr:uid="{00000000-0005-0000-0000-0000CE620000}"/>
    <cellStyle name="Note 6 2 3 2 2 2 2" xfId="40686" xr:uid="{8C976302-0B44-45A7-8DC0-0B2AA8C17E5B}"/>
    <cellStyle name="Note 6 2 3 2 2 3" xfId="24789" xr:uid="{00000000-0005-0000-0000-0000CF620000}"/>
    <cellStyle name="Note 6 2 3 2 2 3 2" xfId="48622" xr:uid="{857F871B-836A-4A71-91EC-14C8FDF4EE5F}"/>
    <cellStyle name="Note 6 2 3 2 2 4" xfId="32745" xr:uid="{3CD87FFA-290C-4888-BAD6-827D6980146E}"/>
    <cellStyle name="Note 6 2 3 2 3" xfId="13305" xr:uid="{00000000-0005-0000-0000-0000D0620000}"/>
    <cellStyle name="Note 6 2 3 2 3 2" xfId="37155" xr:uid="{75CA02D4-EFD4-4993-8439-0CA87B6DCA4A}"/>
    <cellStyle name="Note 6 2 3 2 4" xfId="21260" xr:uid="{00000000-0005-0000-0000-0000D1620000}"/>
    <cellStyle name="Note 6 2 3 2 4 2" xfId="45093" xr:uid="{53F08657-A08C-4F1D-B8B4-3331B299ED10}"/>
    <cellStyle name="Note 6 2 3 2 5" xfId="29214" xr:uid="{77692D84-28D8-4BCB-A09D-6EA42B8197A5}"/>
    <cellStyle name="Note 6 2 3 3" xfId="7113" xr:uid="{00000000-0005-0000-0000-0000D2620000}"/>
    <cellStyle name="Note 6 2 3 3 2" xfId="15085" xr:uid="{00000000-0005-0000-0000-0000D3620000}"/>
    <cellStyle name="Note 6 2 3 3 2 2" xfId="38928" xr:uid="{0C943A0F-2ACD-41D9-B180-FFC50C728049}"/>
    <cellStyle name="Note 6 2 3 3 3" xfId="23032" xr:uid="{00000000-0005-0000-0000-0000D4620000}"/>
    <cellStyle name="Note 6 2 3 3 3 2" xfId="46865" xr:uid="{C8E8F94E-64B1-4C3A-9575-8109E8BA09DD}"/>
    <cellStyle name="Note 6 2 3 3 4" xfId="30987" xr:uid="{B00B7CD3-BC93-46A7-99BE-8CF7AB00A195}"/>
    <cellStyle name="Note 6 2 3 4" xfId="11549" xr:uid="{00000000-0005-0000-0000-0000D5620000}"/>
    <cellStyle name="Note 6 2 3 4 2" xfId="35399" xr:uid="{01255B01-63B2-4FF2-AEA7-D413D0D5C348}"/>
    <cellStyle name="Note 6 2 3 5" xfId="19504" xr:uid="{00000000-0005-0000-0000-0000D6620000}"/>
    <cellStyle name="Note 6 2 3 5 2" xfId="43337" xr:uid="{2F710A43-188A-4186-B18F-BDCD60AB2376}"/>
    <cellStyle name="Note 6 2 3 6" xfId="27457" xr:uid="{9910E074-0877-464D-A2C3-A914B39CADE6}"/>
    <cellStyle name="Note 6 2 3_Exh G" xfId="3661" xr:uid="{00000000-0005-0000-0000-0000D7620000}"/>
    <cellStyle name="Note 6 2 4" xfId="4402" xr:uid="{00000000-0005-0000-0000-0000D8620000}"/>
    <cellStyle name="Note 6 2 4 2" xfId="7994" xr:uid="{00000000-0005-0000-0000-0000D9620000}"/>
    <cellStyle name="Note 6 2 4 2 2" xfId="15965" xr:uid="{00000000-0005-0000-0000-0000DA620000}"/>
    <cellStyle name="Note 6 2 4 2 2 2" xfId="39808" xr:uid="{878F76AF-6030-45CA-BDA1-0DB160544B95}"/>
    <cellStyle name="Note 6 2 4 2 3" xfId="23911" xr:uid="{00000000-0005-0000-0000-0000DB620000}"/>
    <cellStyle name="Note 6 2 4 2 3 2" xfId="47744" xr:uid="{DB06EAA7-F71E-41F3-A17E-4F48D6405708}"/>
    <cellStyle name="Note 6 2 4 2 4" xfId="31867" xr:uid="{4FB3B94A-0896-428F-9A9B-460AECBF5F5F}"/>
    <cellStyle name="Note 6 2 4 3" xfId="12427" xr:uid="{00000000-0005-0000-0000-0000DC620000}"/>
    <cellStyle name="Note 6 2 4 3 2" xfId="36277" xr:uid="{696BD8F9-06F5-4166-B166-82B27164EE1A}"/>
    <cellStyle name="Note 6 2 4 4" xfId="20382" xr:uid="{00000000-0005-0000-0000-0000DD620000}"/>
    <cellStyle name="Note 6 2 4 4 2" xfId="44215" xr:uid="{FEA5F447-095C-45B3-9BEF-041C9F660210}"/>
    <cellStyle name="Note 6 2 4 5" xfId="28336" xr:uid="{AA8352F3-4DF2-4EE9-BF2F-AE7542392ADB}"/>
    <cellStyle name="Note 6 2 5" xfId="6222" xr:uid="{00000000-0005-0000-0000-0000DE620000}"/>
    <cellStyle name="Note 6 2 5 2" xfId="14206" xr:uid="{00000000-0005-0000-0000-0000DF620000}"/>
    <cellStyle name="Note 6 2 5 2 2" xfId="38050" xr:uid="{FB128B45-F315-48CC-A9F3-304BFBC9910A}"/>
    <cellStyle name="Note 6 2 5 3" xfId="22154" xr:uid="{00000000-0005-0000-0000-0000E0620000}"/>
    <cellStyle name="Note 6 2 5 3 2" xfId="45987" xr:uid="{D12F487C-6E58-4E70-B1FB-3F9330A634F5}"/>
    <cellStyle name="Note 6 2 5 4" xfId="30109" xr:uid="{9080EF13-3FA2-4EFD-BBCE-E6DCA1A496A3}"/>
    <cellStyle name="Note 6 2 6" xfId="9775" xr:uid="{00000000-0005-0000-0000-0000E1620000}"/>
    <cellStyle name="Note 6 2 6 2" xfId="17733" xr:uid="{00000000-0005-0000-0000-0000E2620000}"/>
    <cellStyle name="Note 6 2 6 2 2" xfId="41574" xr:uid="{22D465DE-86FA-47BC-AB02-F43449E952B6}"/>
    <cellStyle name="Note 6 2 6 3" xfId="25677" xr:uid="{00000000-0005-0000-0000-0000E3620000}"/>
    <cellStyle name="Note 6 2 6 3 2" xfId="49510" xr:uid="{2CAD1488-15FC-474D-BEEB-FD1DF91EDE15}"/>
    <cellStyle name="Note 6 2 6 4" xfId="33633" xr:uid="{EF584F50-1D08-4956-86E9-6E50E8738D89}"/>
    <cellStyle name="Note 6 2 7" xfId="10671" xr:uid="{00000000-0005-0000-0000-0000E4620000}"/>
    <cellStyle name="Note 6 2 7 2" xfId="34521" xr:uid="{D1BCDB71-AF3D-4C6E-89D2-90411CFF2D5C}"/>
    <cellStyle name="Note 6 2 8" xfId="18626" xr:uid="{00000000-0005-0000-0000-0000E5620000}"/>
    <cellStyle name="Note 6 2 8 2" xfId="42459" xr:uid="{CC97A2E8-9084-45EC-B2ED-2C7CF98FA58D}"/>
    <cellStyle name="Note 6 2 9" xfId="26579" xr:uid="{9394434B-15EB-4C2E-B60B-2BCBC51DACB0}"/>
    <cellStyle name="Note 6 2_Exh G" xfId="3658" xr:uid="{00000000-0005-0000-0000-0000E6620000}"/>
    <cellStyle name="Note 6 3" xfId="725" xr:uid="{00000000-0005-0000-0000-0000E7620000}"/>
    <cellStyle name="Note 6 3 2" xfId="1753" xr:uid="{00000000-0005-0000-0000-0000E8620000}"/>
    <cellStyle name="Note 6 3 2 2" xfId="5283" xr:uid="{00000000-0005-0000-0000-0000E9620000}"/>
    <cellStyle name="Note 6 3 2 2 2" xfId="8874" xr:uid="{00000000-0005-0000-0000-0000EA620000}"/>
    <cellStyle name="Note 6 3 2 2 2 2" xfId="16845" xr:uid="{00000000-0005-0000-0000-0000EB620000}"/>
    <cellStyle name="Note 6 3 2 2 2 2 2" xfId="40688" xr:uid="{6913E42D-E5EE-438D-8266-C0D038C757D5}"/>
    <cellStyle name="Note 6 3 2 2 2 3" xfId="24791" xr:uid="{00000000-0005-0000-0000-0000EC620000}"/>
    <cellStyle name="Note 6 3 2 2 2 3 2" xfId="48624" xr:uid="{937689BB-4F4E-44FC-A58E-14A7794E21B2}"/>
    <cellStyle name="Note 6 3 2 2 2 4" xfId="32747" xr:uid="{5D393776-8010-4DDB-AD43-C4A7AD072CB8}"/>
    <cellStyle name="Note 6 3 2 2 3" xfId="13307" xr:uid="{00000000-0005-0000-0000-0000ED620000}"/>
    <cellStyle name="Note 6 3 2 2 3 2" xfId="37157" xr:uid="{FF01AF63-7319-41B5-9E61-6499D2C1275D}"/>
    <cellStyle name="Note 6 3 2 2 4" xfId="21262" xr:uid="{00000000-0005-0000-0000-0000EE620000}"/>
    <cellStyle name="Note 6 3 2 2 4 2" xfId="45095" xr:uid="{9EA328EB-5D80-4BDC-8278-883E09A03EC6}"/>
    <cellStyle name="Note 6 3 2 2 5" xfId="29216" xr:uid="{E7E31E76-2FB5-4F79-97D1-0ADCB6EED92A}"/>
    <cellStyle name="Note 6 3 2 3" xfId="7115" xr:uid="{00000000-0005-0000-0000-0000EF620000}"/>
    <cellStyle name="Note 6 3 2 3 2" xfId="15087" xr:uid="{00000000-0005-0000-0000-0000F0620000}"/>
    <cellStyle name="Note 6 3 2 3 2 2" xfId="38930" xr:uid="{45DAA393-5621-4419-9478-8431BED71AED}"/>
    <cellStyle name="Note 6 3 2 3 3" xfId="23034" xr:uid="{00000000-0005-0000-0000-0000F1620000}"/>
    <cellStyle name="Note 6 3 2 3 3 2" xfId="46867" xr:uid="{3F61B6FC-D8EB-4E19-998B-EFFF89723EF2}"/>
    <cellStyle name="Note 6 3 2 3 4" xfId="30989" xr:uid="{78591AA0-A737-4B90-A838-58D2F38C7FD3}"/>
    <cellStyle name="Note 6 3 2 4" xfId="11551" xr:uid="{00000000-0005-0000-0000-0000F2620000}"/>
    <cellStyle name="Note 6 3 2 4 2" xfId="35401" xr:uid="{C11EC697-D313-4017-8A25-5BB04531B25E}"/>
    <cellStyle name="Note 6 3 2 5" xfId="19506" xr:uid="{00000000-0005-0000-0000-0000F3620000}"/>
    <cellStyle name="Note 6 3 2 5 2" xfId="43339" xr:uid="{3AD66ED3-A7DF-4333-8E61-7E0C8FB28B47}"/>
    <cellStyle name="Note 6 3 2 6" xfId="27459" xr:uid="{AAA8C5E8-B73E-42DF-82D8-5CB031DE25D2}"/>
    <cellStyle name="Note 6 3 2_Exh G" xfId="3663" xr:uid="{00000000-0005-0000-0000-0000F4620000}"/>
    <cellStyle name="Note 6 3 3" xfId="4404" xr:uid="{00000000-0005-0000-0000-0000F5620000}"/>
    <cellStyle name="Note 6 3 3 2" xfId="7996" xr:uid="{00000000-0005-0000-0000-0000F6620000}"/>
    <cellStyle name="Note 6 3 3 2 2" xfId="15967" xr:uid="{00000000-0005-0000-0000-0000F7620000}"/>
    <cellStyle name="Note 6 3 3 2 2 2" xfId="39810" xr:uid="{F832649F-959E-4024-9701-57C84D23689E}"/>
    <cellStyle name="Note 6 3 3 2 3" xfId="23913" xr:uid="{00000000-0005-0000-0000-0000F8620000}"/>
    <cellStyle name="Note 6 3 3 2 3 2" xfId="47746" xr:uid="{6CBA3952-EABD-4587-A356-A2B81D607539}"/>
    <cellStyle name="Note 6 3 3 2 4" xfId="31869" xr:uid="{75A64901-3552-49C4-8815-2BAD60E1C93C}"/>
    <cellStyle name="Note 6 3 3 3" xfId="12429" xr:uid="{00000000-0005-0000-0000-0000F9620000}"/>
    <cellStyle name="Note 6 3 3 3 2" xfId="36279" xr:uid="{5688FF61-DEC6-40AB-B27F-9F32627BC97A}"/>
    <cellStyle name="Note 6 3 3 4" xfId="20384" xr:uid="{00000000-0005-0000-0000-0000FA620000}"/>
    <cellStyle name="Note 6 3 3 4 2" xfId="44217" xr:uid="{CD9E506E-5F44-46AC-82EA-52244DF6D7A3}"/>
    <cellStyle name="Note 6 3 3 5" xfId="28338" xr:uid="{CA50140B-442A-4B81-9B7F-322FB552F3CC}"/>
    <cellStyle name="Note 6 3 4" xfId="6224" xr:uid="{00000000-0005-0000-0000-0000FB620000}"/>
    <cellStyle name="Note 6 3 4 2" xfId="14208" xr:uid="{00000000-0005-0000-0000-0000FC620000}"/>
    <cellStyle name="Note 6 3 4 2 2" xfId="38052" xr:uid="{CD788941-55B4-42FA-95C2-7A6EA41308E4}"/>
    <cellStyle name="Note 6 3 4 3" xfId="22156" xr:uid="{00000000-0005-0000-0000-0000FD620000}"/>
    <cellStyle name="Note 6 3 4 3 2" xfId="45989" xr:uid="{AEC3755C-B88E-4052-80A0-682055ABB60C}"/>
    <cellStyle name="Note 6 3 4 4" xfId="30111" xr:uid="{1B3E0E61-335F-495C-8405-6119257D708F}"/>
    <cellStyle name="Note 6 3 5" xfId="9777" xr:uid="{00000000-0005-0000-0000-0000FE620000}"/>
    <cellStyle name="Note 6 3 5 2" xfId="17735" xr:uid="{00000000-0005-0000-0000-0000FF620000}"/>
    <cellStyle name="Note 6 3 5 2 2" xfId="41576" xr:uid="{25303036-6D61-4851-9111-89A3240AA149}"/>
    <cellStyle name="Note 6 3 5 3" xfId="25679" xr:uid="{00000000-0005-0000-0000-000000630000}"/>
    <cellStyle name="Note 6 3 5 3 2" xfId="49512" xr:uid="{D8FEC3F3-E7AA-4E54-B371-57F9D6177C78}"/>
    <cellStyle name="Note 6 3 5 4" xfId="33635" xr:uid="{11B2F3D1-63C2-48EC-80D1-EC2577CFB2B3}"/>
    <cellStyle name="Note 6 3 6" xfId="10673" xr:uid="{00000000-0005-0000-0000-000001630000}"/>
    <cellStyle name="Note 6 3 6 2" xfId="34523" xr:uid="{0AEBFA71-3CD9-4888-BFAD-53209F135FFE}"/>
    <cellStyle name="Note 6 3 7" xfId="18628" xr:uid="{00000000-0005-0000-0000-000002630000}"/>
    <cellStyle name="Note 6 3 7 2" xfId="42461" xr:uid="{D7475FF9-A152-4FA6-B550-A221661980AD}"/>
    <cellStyle name="Note 6 3 8" xfId="26581" xr:uid="{F7BF1D32-57FB-47C2-B7CC-052B2806A6E0}"/>
    <cellStyle name="Note 6 3_Exh G" xfId="3662" xr:uid="{00000000-0005-0000-0000-000003630000}"/>
    <cellStyle name="Note 6 4" xfId="1037" xr:uid="{00000000-0005-0000-0000-000004630000}"/>
    <cellStyle name="Note 6 4 2" xfId="1936" xr:uid="{00000000-0005-0000-0000-000005630000}"/>
    <cellStyle name="Note 6 4 2 2" xfId="5454" xr:uid="{00000000-0005-0000-0000-000006630000}"/>
    <cellStyle name="Note 6 4 2 2 2" xfId="9045" xr:uid="{00000000-0005-0000-0000-000007630000}"/>
    <cellStyle name="Note 6 4 2 2 2 2" xfId="17016" xr:uid="{00000000-0005-0000-0000-000008630000}"/>
    <cellStyle name="Note 6 4 2 2 2 2 2" xfId="40859" xr:uid="{A8D0F90A-D101-4BEB-BD82-93D3D69BA670}"/>
    <cellStyle name="Note 6 4 2 2 2 3" xfId="24962" xr:uid="{00000000-0005-0000-0000-000009630000}"/>
    <cellStyle name="Note 6 4 2 2 2 3 2" xfId="48795" xr:uid="{D70DFE5E-C1C7-4966-B755-FEF60F554C32}"/>
    <cellStyle name="Note 6 4 2 2 2 4" xfId="32918" xr:uid="{1B84FA1E-AA4F-41A6-8102-F3672EFC268F}"/>
    <cellStyle name="Note 6 4 2 2 3" xfId="13478" xr:uid="{00000000-0005-0000-0000-00000A630000}"/>
    <cellStyle name="Note 6 4 2 2 3 2" xfId="37328" xr:uid="{736DD08C-726B-42FC-A792-90B89527503A}"/>
    <cellStyle name="Note 6 4 2 2 4" xfId="21433" xr:uid="{00000000-0005-0000-0000-00000B630000}"/>
    <cellStyle name="Note 6 4 2 2 4 2" xfId="45266" xr:uid="{01AE5B3F-1A59-4BF3-8B4C-0398A6ED3175}"/>
    <cellStyle name="Note 6 4 2 2 5" xfId="29387" xr:uid="{CCD4C8C1-D98F-4EF5-8230-40D6F0E8199E}"/>
    <cellStyle name="Note 6 4 2 3" xfId="7286" xr:uid="{00000000-0005-0000-0000-00000C630000}"/>
    <cellStyle name="Note 6 4 2 3 2" xfId="15258" xr:uid="{00000000-0005-0000-0000-00000D630000}"/>
    <cellStyle name="Note 6 4 2 3 2 2" xfId="39101" xr:uid="{C59DF62C-51B4-4111-B684-EAA42265575B}"/>
    <cellStyle name="Note 6 4 2 3 3" xfId="23205" xr:uid="{00000000-0005-0000-0000-00000E630000}"/>
    <cellStyle name="Note 6 4 2 3 3 2" xfId="47038" xr:uid="{2975B587-BAF1-4BDF-839C-6444E183C833}"/>
    <cellStyle name="Note 6 4 2 3 4" xfId="31160" xr:uid="{D177DF9A-11CC-4F4F-80ED-12FD5BD0FE0A}"/>
    <cellStyle name="Note 6 4 2 4" xfId="11722" xr:uid="{00000000-0005-0000-0000-00000F630000}"/>
    <cellStyle name="Note 6 4 2 4 2" xfId="35572" xr:uid="{4A358289-86E4-4689-95E0-8E5C03797BE2}"/>
    <cellStyle name="Note 6 4 2 5" xfId="19677" xr:uid="{00000000-0005-0000-0000-000010630000}"/>
    <cellStyle name="Note 6 4 2 5 2" xfId="43510" xr:uid="{7DC24652-9318-407D-AD9B-D73167052ADE}"/>
    <cellStyle name="Note 6 4 2 6" xfId="27630" xr:uid="{E37D4B43-92C6-4655-9773-D0ACF1EE9C77}"/>
    <cellStyle name="Note 6 4 2_Exh G" xfId="3665" xr:uid="{00000000-0005-0000-0000-000011630000}"/>
    <cellStyle name="Note 6 4 3" xfId="4575" xr:uid="{00000000-0005-0000-0000-000012630000}"/>
    <cellStyle name="Note 6 4 3 2" xfId="8167" xr:uid="{00000000-0005-0000-0000-000013630000}"/>
    <cellStyle name="Note 6 4 3 2 2" xfId="16138" xr:uid="{00000000-0005-0000-0000-000014630000}"/>
    <cellStyle name="Note 6 4 3 2 2 2" xfId="39981" xr:uid="{13395481-AF97-4D9C-A7C1-2EE84AC49D85}"/>
    <cellStyle name="Note 6 4 3 2 3" xfId="24084" xr:uid="{00000000-0005-0000-0000-000015630000}"/>
    <cellStyle name="Note 6 4 3 2 3 2" xfId="47917" xr:uid="{8005C952-7E8F-4AFE-9465-9FFD99CF6784}"/>
    <cellStyle name="Note 6 4 3 2 4" xfId="32040" xr:uid="{EC786CAB-55BF-41FA-98D4-B860F16E1370}"/>
    <cellStyle name="Note 6 4 3 3" xfId="12600" xr:uid="{00000000-0005-0000-0000-000016630000}"/>
    <cellStyle name="Note 6 4 3 3 2" xfId="36450" xr:uid="{1E7A1F1A-79D9-4522-8927-23DB0461E70A}"/>
    <cellStyle name="Note 6 4 3 4" xfId="20555" xr:uid="{00000000-0005-0000-0000-000017630000}"/>
    <cellStyle name="Note 6 4 3 4 2" xfId="44388" xr:uid="{A43E6B62-E27C-43DD-86C3-7CC132A8A8D8}"/>
    <cellStyle name="Note 6 4 3 5" xfId="28509" xr:uid="{A06A6B39-B68F-48D1-8F55-CF1FF2992E8F}"/>
    <cellStyle name="Note 6 4 4" xfId="6407" xr:uid="{00000000-0005-0000-0000-000018630000}"/>
    <cellStyle name="Note 6 4 4 2" xfId="14380" xr:uid="{00000000-0005-0000-0000-000019630000}"/>
    <cellStyle name="Note 6 4 4 2 2" xfId="38223" xr:uid="{B3270BA5-F579-4F2C-967A-36FC48E8BC78}"/>
    <cellStyle name="Note 6 4 4 3" xfId="22327" xr:uid="{00000000-0005-0000-0000-00001A630000}"/>
    <cellStyle name="Note 6 4 4 3 2" xfId="46160" xr:uid="{F20D3B6E-61A4-4CCC-9D51-7738E6F03DAB}"/>
    <cellStyle name="Note 6 4 4 4" xfId="30282" xr:uid="{75FAF15E-3CA1-4290-B245-E466A3293363}"/>
    <cellStyle name="Note 6 4 5" xfId="9948" xr:uid="{00000000-0005-0000-0000-00001B630000}"/>
    <cellStyle name="Note 6 4 5 2" xfId="17906" xr:uid="{00000000-0005-0000-0000-00001C630000}"/>
    <cellStyle name="Note 6 4 5 2 2" xfId="41747" xr:uid="{FD0923B0-6673-4AFE-B3D3-9D37E31FBFCA}"/>
    <cellStyle name="Note 6 4 5 3" xfId="25850" xr:uid="{00000000-0005-0000-0000-00001D630000}"/>
    <cellStyle name="Note 6 4 5 3 2" xfId="49683" xr:uid="{8990D589-111B-4E98-BBEA-E26C90E62E67}"/>
    <cellStyle name="Note 6 4 5 4" xfId="33806" xr:uid="{D01DFB28-DD7B-4C32-B64D-FF12882D8BD1}"/>
    <cellStyle name="Note 6 4 6" xfId="10844" xr:uid="{00000000-0005-0000-0000-00001E630000}"/>
    <cellStyle name="Note 6 4 6 2" xfId="34694" xr:uid="{8DA5BAC2-AE1E-4968-8017-8F0FE083C128}"/>
    <cellStyle name="Note 6 4 7" xfId="18799" xr:uid="{00000000-0005-0000-0000-00001F630000}"/>
    <cellStyle name="Note 6 4 7 2" xfId="42632" xr:uid="{95C15FD6-7F01-484E-A211-5E11FE350B82}"/>
    <cellStyle name="Note 6 4 8" xfId="26752" xr:uid="{F06DC647-41BF-4892-ABA2-7934F224370F}"/>
    <cellStyle name="Note 6 4_Exh G" xfId="3664" xr:uid="{00000000-0005-0000-0000-000020630000}"/>
    <cellStyle name="Note 6 5" xfId="1750" xr:uid="{00000000-0005-0000-0000-000021630000}"/>
    <cellStyle name="Note 6 5 2" xfId="5280" xr:uid="{00000000-0005-0000-0000-000022630000}"/>
    <cellStyle name="Note 6 5 2 2" xfId="8871" xr:uid="{00000000-0005-0000-0000-000023630000}"/>
    <cellStyle name="Note 6 5 2 2 2" xfId="16842" xr:uid="{00000000-0005-0000-0000-000024630000}"/>
    <cellStyle name="Note 6 5 2 2 2 2" xfId="40685" xr:uid="{A48B0D6F-8402-4E52-89CA-D126EE256B82}"/>
    <cellStyle name="Note 6 5 2 2 3" xfId="24788" xr:uid="{00000000-0005-0000-0000-000025630000}"/>
    <cellStyle name="Note 6 5 2 2 3 2" xfId="48621" xr:uid="{ABABB5AF-9176-48AE-B299-F0F51685A161}"/>
    <cellStyle name="Note 6 5 2 2 4" xfId="32744" xr:uid="{28C09D12-0331-4248-9A11-C9B21632D65E}"/>
    <cellStyle name="Note 6 5 2 3" xfId="13304" xr:uid="{00000000-0005-0000-0000-000026630000}"/>
    <cellStyle name="Note 6 5 2 3 2" xfId="37154" xr:uid="{14C8F0AA-5CAA-424D-B78E-F4F775F03CE4}"/>
    <cellStyle name="Note 6 5 2 4" xfId="21259" xr:uid="{00000000-0005-0000-0000-000027630000}"/>
    <cellStyle name="Note 6 5 2 4 2" xfId="45092" xr:uid="{A77AB754-2711-4124-AE20-80273AA0F372}"/>
    <cellStyle name="Note 6 5 2 5" xfId="29213" xr:uid="{A1CA344F-816D-459E-81D4-7F44F22160B8}"/>
    <cellStyle name="Note 6 5 3" xfId="7112" xr:uid="{00000000-0005-0000-0000-000028630000}"/>
    <cellStyle name="Note 6 5 3 2" xfId="15084" xr:uid="{00000000-0005-0000-0000-000029630000}"/>
    <cellStyle name="Note 6 5 3 2 2" xfId="38927" xr:uid="{EB353DD3-00DC-4654-9076-EF3518C38C33}"/>
    <cellStyle name="Note 6 5 3 3" xfId="23031" xr:uid="{00000000-0005-0000-0000-00002A630000}"/>
    <cellStyle name="Note 6 5 3 3 2" xfId="46864" xr:uid="{3E2ED0D7-FB58-4A7F-BFC9-AA0816E7BA40}"/>
    <cellStyle name="Note 6 5 3 4" xfId="30986" xr:uid="{45C35445-9D84-4499-8ED0-D3CA13D61417}"/>
    <cellStyle name="Note 6 5 4" xfId="11548" xr:uid="{00000000-0005-0000-0000-00002B630000}"/>
    <cellStyle name="Note 6 5 4 2" xfId="35398" xr:uid="{4A57FCAB-2D37-4BED-8B4A-FC3FB0BC7F28}"/>
    <cellStyle name="Note 6 5 5" xfId="19503" xr:uid="{00000000-0005-0000-0000-00002C630000}"/>
    <cellStyle name="Note 6 5 5 2" xfId="43336" xr:uid="{A37BCA2D-1D26-4411-9C93-40A90211139A}"/>
    <cellStyle name="Note 6 5 6" xfId="27456" xr:uid="{F631EB3F-6FDB-456E-84AE-224577F33C66}"/>
    <cellStyle name="Note 6 5_Exh G" xfId="3666" xr:uid="{00000000-0005-0000-0000-00002D630000}"/>
    <cellStyle name="Note 6 6" xfId="4401" xr:uid="{00000000-0005-0000-0000-00002E630000}"/>
    <cellStyle name="Note 6 6 2" xfId="7993" xr:uid="{00000000-0005-0000-0000-00002F630000}"/>
    <cellStyle name="Note 6 6 2 2" xfId="15964" xr:uid="{00000000-0005-0000-0000-000030630000}"/>
    <cellStyle name="Note 6 6 2 2 2" xfId="39807" xr:uid="{4C711336-FD84-4F43-AAB3-BC088F9C5AD3}"/>
    <cellStyle name="Note 6 6 2 3" xfId="23910" xr:uid="{00000000-0005-0000-0000-000031630000}"/>
    <cellStyle name="Note 6 6 2 3 2" xfId="47743" xr:uid="{9EACFD37-1877-4500-BFF3-C129C552D14F}"/>
    <cellStyle name="Note 6 6 2 4" xfId="31866" xr:uid="{54AAE579-295F-4C5B-83F1-466BA46D6EFE}"/>
    <cellStyle name="Note 6 6 3" xfId="12426" xr:uid="{00000000-0005-0000-0000-000032630000}"/>
    <cellStyle name="Note 6 6 3 2" xfId="36276" xr:uid="{227FB8B1-32A7-4A0B-9E89-E42D9199BE3F}"/>
    <cellStyle name="Note 6 6 4" xfId="20381" xr:uid="{00000000-0005-0000-0000-000033630000}"/>
    <cellStyle name="Note 6 6 4 2" xfId="44214" xr:uid="{756F0496-45AF-48F3-A909-55B6465408BA}"/>
    <cellStyle name="Note 6 6 5" xfId="28335" xr:uid="{5734E952-6F92-4368-9737-464F2374440C}"/>
    <cellStyle name="Note 6 7" xfId="6221" xr:uid="{00000000-0005-0000-0000-000034630000}"/>
    <cellStyle name="Note 6 7 2" xfId="14205" xr:uid="{00000000-0005-0000-0000-000035630000}"/>
    <cellStyle name="Note 6 7 2 2" xfId="38049" xr:uid="{DB2B1185-8C1B-4453-A560-4EAAA263B80D}"/>
    <cellStyle name="Note 6 7 3" xfId="22153" xr:uid="{00000000-0005-0000-0000-000036630000}"/>
    <cellStyle name="Note 6 7 3 2" xfId="45986" xr:uid="{39E2BF80-1CA4-4131-840E-21FF79AB64EA}"/>
    <cellStyle name="Note 6 7 4" xfId="30108" xr:uid="{00360398-DA9E-4A1F-A94E-27E9152E0A1F}"/>
    <cellStyle name="Note 6 8" xfId="9774" xr:uid="{00000000-0005-0000-0000-000037630000}"/>
    <cellStyle name="Note 6 8 2" xfId="17732" xr:uid="{00000000-0005-0000-0000-000038630000}"/>
    <cellStyle name="Note 6 8 2 2" xfId="41573" xr:uid="{80D0573E-8EB8-4EA5-9A1A-C872C8CBDACF}"/>
    <cellStyle name="Note 6 8 3" xfId="25676" xr:uid="{00000000-0005-0000-0000-000039630000}"/>
    <cellStyle name="Note 6 8 3 2" xfId="49509" xr:uid="{99DB2541-5F35-4717-AEC6-4329D3EE3F83}"/>
    <cellStyle name="Note 6 8 4" xfId="33632" xr:uid="{EF35199E-B284-4DB3-8548-77E8E7365C1B}"/>
    <cellStyle name="Note 6 9" xfId="10670" xr:uid="{00000000-0005-0000-0000-00003A630000}"/>
    <cellStyle name="Note 6 9 2" xfId="34520" xr:uid="{A32B5139-EAA9-43C2-B1A9-0BB0C0CB537D}"/>
    <cellStyle name="Note 6_Exh G" xfId="3657" xr:uid="{00000000-0005-0000-0000-00003B630000}"/>
    <cellStyle name="Note 7" xfId="726" xr:uid="{00000000-0005-0000-0000-00003C630000}"/>
    <cellStyle name="Note 7 10" xfId="18629" xr:uid="{00000000-0005-0000-0000-00003D630000}"/>
    <cellStyle name="Note 7 10 2" xfId="42462" xr:uid="{37C19CA8-FA63-4D83-A7F1-8519BB2948EF}"/>
    <cellStyle name="Note 7 11" xfId="26582" xr:uid="{58EECAC3-9365-445D-9BAE-2D41EC247AD6}"/>
    <cellStyle name="Note 7 2" xfId="727" xr:uid="{00000000-0005-0000-0000-00003E630000}"/>
    <cellStyle name="Note 7 2 2" xfId="728" xr:uid="{00000000-0005-0000-0000-00003F630000}"/>
    <cellStyle name="Note 7 2 2 2" xfId="1756" xr:uid="{00000000-0005-0000-0000-000040630000}"/>
    <cellStyle name="Note 7 2 2 2 2" xfId="5286" xr:uid="{00000000-0005-0000-0000-000041630000}"/>
    <cellStyle name="Note 7 2 2 2 2 2" xfId="8877" xr:uid="{00000000-0005-0000-0000-000042630000}"/>
    <cellStyle name="Note 7 2 2 2 2 2 2" xfId="16848" xr:uid="{00000000-0005-0000-0000-000043630000}"/>
    <cellStyle name="Note 7 2 2 2 2 2 2 2" xfId="40691" xr:uid="{765F0807-D078-4E39-8627-94FE011E8B7F}"/>
    <cellStyle name="Note 7 2 2 2 2 2 3" xfId="24794" xr:uid="{00000000-0005-0000-0000-000044630000}"/>
    <cellStyle name="Note 7 2 2 2 2 2 3 2" xfId="48627" xr:uid="{B7028E86-6A96-4498-860D-4898D62B7EBF}"/>
    <cellStyle name="Note 7 2 2 2 2 2 4" xfId="32750" xr:uid="{A07B7C47-DD4B-4A67-B67A-1D0F1C8088F6}"/>
    <cellStyle name="Note 7 2 2 2 2 3" xfId="13310" xr:uid="{00000000-0005-0000-0000-000045630000}"/>
    <cellStyle name="Note 7 2 2 2 2 3 2" xfId="37160" xr:uid="{DD74694B-D551-4D1A-BE48-BCA274034C30}"/>
    <cellStyle name="Note 7 2 2 2 2 4" xfId="21265" xr:uid="{00000000-0005-0000-0000-000046630000}"/>
    <cellStyle name="Note 7 2 2 2 2 4 2" xfId="45098" xr:uid="{EB97868B-7C1D-4DE1-8539-859C92C3FDCC}"/>
    <cellStyle name="Note 7 2 2 2 2 5" xfId="29219" xr:uid="{92464023-F81D-46F6-807A-DF6CE992F00D}"/>
    <cellStyle name="Note 7 2 2 2 3" xfId="7118" xr:uid="{00000000-0005-0000-0000-000047630000}"/>
    <cellStyle name="Note 7 2 2 2 3 2" xfId="15090" xr:uid="{00000000-0005-0000-0000-000048630000}"/>
    <cellStyle name="Note 7 2 2 2 3 2 2" xfId="38933" xr:uid="{F01DDC00-6D2A-4AA5-B38C-A70E61FB26BE}"/>
    <cellStyle name="Note 7 2 2 2 3 3" xfId="23037" xr:uid="{00000000-0005-0000-0000-000049630000}"/>
    <cellStyle name="Note 7 2 2 2 3 3 2" xfId="46870" xr:uid="{73CCA1C0-83CF-430C-AE0D-2592761876B3}"/>
    <cellStyle name="Note 7 2 2 2 3 4" xfId="30992" xr:uid="{2610BB79-D206-4588-A7F8-412F40E0A458}"/>
    <cellStyle name="Note 7 2 2 2 4" xfId="11554" xr:uid="{00000000-0005-0000-0000-00004A630000}"/>
    <cellStyle name="Note 7 2 2 2 4 2" xfId="35404" xr:uid="{6BAD975C-91FB-4CD5-9600-D54F14388C80}"/>
    <cellStyle name="Note 7 2 2 2 5" xfId="19509" xr:uid="{00000000-0005-0000-0000-00004B630000}"/>
    <cellStyle name="Note 7 2 2 2 5 2" xfId="43342" xr:uid="{AFB972D3-0E8F-43FF-BB1F-43DF91808CF9}"/>
    <cellStyle name="Note 7 2 2 2 6" xfId="27462" xr:uid="{FCC2FE9E-D76D-45F7-8950-CE3D64E05FBB}"/>
    <cellStyle name="Note 7 2 2 2_Exh G" xfId="3670" xr:uid="{00000000-0005-0000-0000-00004C630000}"/>
    <cellStyle name="Note 7 2 2 3" xfId="4407" xr:uid="{00000000-0005-0000-0000-00004D630000}"/>
    <cellStyle name="Note 7 2 2 3 2" xfId="7999" xr:uid="{00000000-0005-0000-0000-00004E630000}"/>
    <cellStyle name="Note 7 2 2 3 2 2" xfId="15970" xr:uid="{00000000-0005-0000-0000-00004F630000}"/>
    <cellStyle name="Note 7 2 2 3 2 2 2" xfId="39813" xr:uid="{CA15BBF0-F8B3-41CB-9510-83838AAF53C7}"/>
    <cellStyle name="Note 7 2 2 3 2 3" xfId="23916" xr:uid="{00000000-0005-0000-0000-000050630000}"/>
    <cellStyle name="Note 7 2 2 3 2 3 2" xfId="47749" xr:uid="{49DBBEA4-01AE-412A-BE1C-ED054EC8AF5D}"/>
    <cellStyle name="Note 7 2 2 3 2 4" xfId="31872" xr:uid="{061348FB-82E8-402A-8855-41259213FD23}"/>
    <cellStyle name="Note 7 2 2 3 3" xfId="12432" xr:uid="{00000000-0005-0000-0000-000051630000}"/>
    <cellStyle name="Note 7 2 2 3 3 2" xfId="36282" xr:uid="{97EE7B30-F1D3-49A7-8E31-B2E984BC993B}"/>
    <cellStyle name="Note 7 2 2 3 4" xfId="20387" xr:uid="{00000000-0005-0000-0000-000052630000}"/>
    <cellStyle name="Note 7 2 2 3 4 2" xfId="44220" xr:uid="{AC815131-9236-436C-B69D-C14888E81B97}"/>
    <cellStyle name="Note 7 2 2 3 5" xfId="28341" xr:uid="{C2799515-4EC9-44E9-83CB-25872772673A}"/>
    <cellStyle name="Note 7 2 2 4" xfId="6227" xr:uid="{00000000-0005-0000-0000-000053630000}"/>
    <cellStyle name="Note 7 2 2 4 2" xfId="14211" xr:uid="{00000000-0005-0000-0000-000054630000}"/>
    <cellStyle name="Note 7 2 2 4 2 2" xfId="38055" xr:uid="{FEC7D2B9-CBF1-41CA-83E6-3AB1AC85F0CA}"/>
    <cellStyle name="Note 7 2 2 4 3" xfId="22159" xr:uid="{00000000-0005-0000-0000-000055630000}"/>
    <cellStyle name="Note 7 2 2 4 3 2" xfId="45992" xr:uid="{3A5D0FE5-23DA-4713-BC0A-B687EE858A2A}"/>
    <cellStyle name="Note 7 2 2 4 4" xfId="30114" xr:uid="{873440D6-3AE6-4123-AAD8-72C1F252F9B3}"/>
    <cellStyle name="Note 7 2 2 5" xfId="9780" xr:uid="{00000000-0005-0000-0000-000056630000}"/>
    <cellStyle name="Note 7 2 2 5 2" xfId="17738" xr:uid="{00000000-0005-0000-0000-000057630000}"/>
    <cellStyle name="Note 7 2 2 5 2 2" xfId="41579" xr:uid="{4313F135-7296-4FA5-8956-2C2B9279655B}"/>
    <cellStyle name="Note 7 2 2 5 3" xfId="25682" xr:uid="{00000000-0005-0000-0000-000058630000}"/>
    <cellStyle name="Note 7 2 2 5 3 2" xfId="49515" xr:uid="{B126BF9D-6895-47BE-9298-8F166B33AC47}"/>
    <cellStyle name="Note 7 2 2 5 4" xfId="33638" xr:uid="{3CFED1FC-61CF-4201-B8FC-7035CF5AFBB8}"/>
    <cellStyle name="Note 7 2 2 6" xfId="10676" xr:uid="{00000000-0005-0000-0000-000059630000}"/>
    <cellStyle name="Note 7 2 2 6 2" xfId="34526" xr:uid="{F9B95CEE-A797-4C4A-892A-89BE6CDA63DA}"/>
    <cellStyle name="Note 7 2 2 7" xfId="18631" xr:uid="{00000000-0005-0000-0000-00005A630000}"/>
    <cellStyle name="Note 7 2 2 7 2" xfId="42464" xr:uid="{08F348B3-954D-456E-A15F-BB8B41A138B0}"/>
    <cellStyle name="Note 7 2 2 8" xfId="26584" xr:uid="{DEC4EA2E-5294-48B5-9DC7-556B5A5D3844}"/>
    <cellStyle name="Note 7 2 2_Exh G" xfId="3669" xr:uid="{00000000-0005-0000-0000-00005B630000}"/>
    <cellStyle name="Note 7 2 3" xfId="1755" xr:uid="{00000000-0005-0000-0000-00005C630000}"/>
    <cellStyle name="Note 7 2 3 2" xfId="5285" xr:uid="{00000000-0005-0000-0000-00005D630000}"/>
    <cellStyle name="Note 7 2 3 2 2" xfId="8876" xr:uid="{00000000-0005-0000-0000-00005E630000}"/>
    <cellStyle name="Note 7 2 3 2 2 2" xfId="16847" xr:uid="{00000000-0005-0000-0000-00005F630000}"/>
    <cellStyle name="Note 7 2 3 2 2 2 2" xfId="40690" xr:uid="{592B8260-3831-4E11-A30F-32706335D5C0}"/>
    <cellStyle name="Note 7 2 3 2 2 3" xfId="24793" xr:uid="{00000000-0005-0000-0000-000060630000}"/>
    <cellStyle name="Note 7 2 3 2 2 3 2" xfId="48626" xr:uid="{F58B9BC5-634F-4A92-987F-4D02035B5E4A}"/>
    <cellStyle name="Note 7 2 3 2 2 4" xfId="32749" xr:uid="{332C6730-A12F-42E0-8012-EAEEE6603618}"/>
    <cellStyle name="Note 7 2 3 2 3" xfId="13309" xr:uid="{00000000-0005-0000-0000-000061630000}"/>
    <cellStyle name="Note 7 2 3 2 3 2" xfId="37159" xr:uid="{1AAB50E8-4F60-43E7-942D-3DC187CD0576}"/>
    <cellStyle name="Note 7 2 3 2 4" xfId="21264" xr:uid="{00000000-0005-0000-0000-000062630000}"/>
    <cellStyle name="Note 7 2 3 2 4 2" xfId="45097" xr:uid="{360985C1-613E-4FE2-AF6C-1EF609E61D66}"/>
    <cellStyle name="Note 7 2 3 2 5" xfId="29218" xr:uid="{7DB66ACC-700A-4426-A7A2-B083DD1D0346}"/>
    <cellStyle name="Note 7 2 3 3" xfId="7117" xr:uid="{00000000-0005-0000-0000-000063630000}"/>
    <cellStyle name="Note 7 2 3 3 2" xfId="15089" xr:uid="{00000000-0005-0000-0000-000064630000}"/>
    <cellStyle name="Note 7 2 3 3 2 2" xfId="38932" xr:uid="{7C0A05AB-5637-4075-A65D-60214868D5C0}"/>
    <cellStyle name="Note 7 2 3 3 3" xfId="23036" xr:uid="{00000000-0005-0000-0000-000065630000}"/>
    <cellStyle name="Note 7 2 3 3 3 2" xfId="46869" xr:uid="{CB079F5E-8225-4844-8E52-5ABF4CEFB9C5}"/>
    <cellStyle name="Note 7 2 3 3 4" xfId="30991" xr:uid="{61ABD42B-A9D2-48D9-BF8A-6C9A8F8A41DF}"/>
    <cellStyle name="Note 7 2 3 4" xfId="11553" xr:uid="{00000000-0005-0000-0000-000066630000}"/>
    <cellStyle name="Note 7 2 3 4 2" xfId="35403" xr:uid="{2DE4D065-9EC0-48D5-A314-8C33EDA23ECD}"/>
    <cellStyle name="Note 7 2 3 5" xfId="19508" xr:uid="{00000000-0005-0000-0000-000067630000}"/>
    <cellStyle name="Note 7 2 3 5 2" xfId="43341" xr:uid="{0D55A4C8-8E0D-4999-B524-E05431B570D0}"/>
    <cellStyle name="Note 7 2 3 6" xfId="27461" xr:uid="{CB2D4B63-AC96-447B-A2C7-0E166C26502C}"/>
    <cellStyle name="Note 7 2 3_Exh G" xfId="3671" xr:uid="{00000000-0005-0000-0000-000068630000}"/>
    <cellStyle name="Note 7 2 4" xfId="4406" xr:uid="{00000000-0005-0000-0000-000069630000}"/>
    <cellStyle name="Note 7 2 4 2" xfId="7998" xr:uid="{00000000-0005-0000-0000-00006A630000}"/>
    <cellStyle name="Note 7 2 4 2 2" xfId="15969" xr:uid="{00000000-0005-0000-0000-00006B630000}"/>
    <cellStyle name="Note 7 2 4 2 2 2" xfId="39812" xr:uid="{ADC97A64-D66A-43F3-BECB-BF87F74F5FCD}"/>
    <cellStyle name="Note 7 2 4 2 3" xfId="23915" xr:uid="{00000000-0005-0000-0000-00006C630000}"/>
    <cellStyle name="Note 7 2 4 2 3 2" xfId="47748" xr:uid="{4DDD1366-794F-4AAD-B4B3-074325C8CE07}"/>
    <cellStyle name="Note 7 2 4 2 4" xfId="31871" xr:uid="{974E908F-7298-4733-BB26-1AAC712FC7C6}"/>
    <cellStyle name="Note 7 2 4 3" xfId="12431" xr:uid="{00000000-0005-0000-0000-00006D630000}"/>
    <cellStyle name="Note 7 2 4 3 2" xfId="36281" xr:uid="{2B932B72-B66A-461B-A177-D2233A3ECA7C}"/>
    <cellStyle name="Note 7 2 4 4" xfId="20386" xr:uid="{00000000-0005-0000-0000-00006E630000}"/>
    <cellStyle name="Note 7 2 4 4 2" xfId="44219" xr:uid="{AE8E4935-4C4A-42AA-A12F-8BFE5E6D90B2}"/>
    <cellStyle name="Note 7 2 4 5" xfId="28340" xr:uid="{8F39E04A-9CE4-4BF0-B88C-BC28B6F2C82C}"/>
    <cellStyle name="Note 7 2 5" xfId="6226" xr:uid="{00000000-0005-0000-0000-00006F630000}"/>
    <cellStyle name="Note 7 2 5 2" xfId="14210" xr:uid="{00000000-0005-0000-0000-000070630000}"/>
    <cellStyle name="Note 7 2 5 2 2" xfId="38054" xr:uid="{3D16AFAA-D331-416F-9382-8CE45BE64863}"/>
    <cellStyle name="Note 7 2 5 3" xfId="22158" xr:uid="{00000000-0005-0000-0000-000071630000}"/>
    <cellStyle name="Note 7 2 5 3 2" xfId="45991" xr:uid="{02C321A9-2373-41D7-9572-6DA35088EBC8}"/>
    <cellStyle name="Note 7 2 5 4" xfId="30113" xr:uid="{F0F64EE7-A89A-4EE6-ABF9-E74FBB8B00CD}"/>
    <cellStyle name="Note 7 2 6" xfId="9779" xr:uid="{00000000-0005-0000-0000-000072630000}"/>
    <cellStyle name="Note 7 2 6 2" xfId="17737" xr:uid="{00000000-0005-0000-0000-000073630000}"/>
    <cellStyle name="Note 7 2 6 2 2" xfId="41578" xr:uid="{D6A07E71-BCBD-4CF5-B74F-DAD1E3B97E41}"/>
    <cellStyle name="Note 7 2 6 3" xfId="25681" xr:uid="{00000000-0005-0000-0000-000074630000}"/>
    <cellStyle name="Note 7 2 6 3 2" xfId="49514" xr:uid="{202BECFF-857A-40EC-9318-2BDA9FD8E3F3}"/>
    <cellStyle name="Note 7 2 6 4" xfId="33637" xr:uid="{A1391F5C-D3DD-4DDA-B1B7-FD689F20E9E2}"/>
    <cellStyle name="Note 7 2 7" xfId="10675" xr:uid="{00000000-0005-0000-0000-000075630000}"/>
    <cellStyle name="Note 7 2 7 2" xfId="34525" xr:uid="{39FE35A0-6255-492A-8A2B-D196747E36C3}"/>
    <cellStyle name="Note 7 2 8" xfId="18630" xr:uid="{00000000-0005-0000-0000-000076630000}"/>
    <cellStyle name="Note 7 2 8 2" xfId="42463" xr:uid="{FEC1E762-B1A3-4D6A-B9AD-6DDD60672BE3}"/>
    <cellStyle name="Note 7 2 9" xfId="26583" xr:uid="{AB2C0C38-3306-4964-9BF3-8494D17F4A3B}"/>
    <cellStyle name="Note 7 2_Exh G" xfId="3668" xr:uid="{00000000-0005-0000-0000-000077630000}"/>
    <cellStyle name="Note 7 3" xfId="729" xr:uid="{00000000-0005-0000-0000-000078630000}"/>
    <cellStyle name="Note 7 3 2" xfId="1757" xr:uid="{00000000-0005-0000-0000-000079630000}"/>
    <cellStyle name="Note 7 3 2 2" xfId="5287" xr:uid="{00000000-0005-0000-0000-00007A630000}"/>
    <cellStyle name="Note 7 3 2 2 2" xfId="8878" xr:uid="{00000000-0005-0000-0000-00007B630000}"/>
    <cellStyle name="Note 7 3 2 2 2 2" xfId="16849" xr:uid="{00000000-0005-0000-0000-00007C630000}"/>
    <cellStyle name="Note 7 3 2 2 2 2 2" xfId="40692" xr:uid="{F5582F72-1876-4C57-B53E-B7D8FD183B05}"/>
    <cellStyle name="Note 7 3 2 2 2 3" xfId="24795" xr:uid="{00000000-0005-0000-0000-00007D630000}"/>
    <cellStyle name="Note 7 3 2 2 2 3 2" xfId="48628" xr:uid="{6628D03F-6554-42C9-A876-CF6710B17F64}"/>
    <cellStyle name="Note 7 3 2 2 2 4" xfId="32751" xr:uid="{76A14E6B-2733-4132-9D53-85ABF4877D34}"/>
    <cellStyle name="Note 7 3 2 2 3" xfId="13311" xr:uid="{00000000-0005-0000-0000-00007E630000}"/>
    <cellStyle name="Note 7 3 2 2 3 2" xfId="37161" xr:uid="{CC4BA355-BA1B-4543-9FB6-77EBE407B33B}"/>
    <cellStyle name="Note 7 3 2 2 4" xfId="21266" xr:uid="{00000000-0005-0000-0000-00007F630000}"/>
    <cellStyle name="Note 7 3 2 2 4 2" xfId="45099" xr:uid="{BCC86D99-31E9-4A08-880A-F9A2E6F61430}"/>
    <cellStyle name="Note 7 3 2 2 5" xfId="29220" xr:uid="{2AC9386F-C904-4E9E-A3AA-55089DA1AF11}"/>
    <cellStyle name="Note 7 3 2 3" xfId="7119" xr:uid="{00000000-0005-0000-0000-000080630000}"/>
    <cellStyle name="Note 7 3 2 3 2" xfId="15091" xr:uid="{00000000-0005-0000-0000-000081630000}"/>
    <cellStyle name="Note 7 3 2 3 2 2" xfId="38934" xr:uid="{E2FF6A83-44D8-4181-A415-D39D2A0CB011}"/>
    <cellStyle name="Note 7 3 2 3 3" xfId="23038" xr:uid="{00000000-0005-0000-0000-000082630000}"/>
    <cellStyle name="Note 7 3 2 3 3 2" xfId="46871" xr:uid="{CDED8B1F-91A6-4848-B50B-990DFDB92137}"/>
    <cellStyle name="Note 7 3 2 3 4" xfId="30993" xr:uid="{006C555D-A970-4C58-BF74-352F3F95A241}"/>
    <cellStyle name="Note 7 3 2 4" xfId="11555" xr:uid="{00000000-0005-0000-0000-000083630000}"/>
    <cellStyle name="Note 7 3 2 4 2" xfId="35405" xr:uid="{F517FF5F-12BF-4FE3-BC18-A44A35CF6E68}"/>
    <cellStyle name="Note 7 3 2 5" xfId="19510" xr:uid="{00000000-0005-0000-0000-000084630000}"/>
    <cellStyle name="Note 7 3 2 5 2" xfId="43343" xr:uid="{C03B754D-D1DA-4EB4-B320-E289B8E3C745}"/>
    <cellStyle name="Note 7 3 2 6" xfId="27463" xr:uid="{3CCC7F24-3B61-4C08-A4CF-8F1F4425FE56}"/>
    <cellStyle name="Note 7 3 2_Exh G" xfId="3673" xr:uid="{00000000-0005-0000-0000-000085630000}"/>
    <cellStyle name="Note 7 3 3" xfId="4408" xr:uid="{00000000-0005-0000-0000-000086630000}"/>
    <cellStyle name="Note 7 3 3 2" xfId="8000" xr:uid="{00000000-0005-0000-0000-000087630000}"/>
    <cellStyle name="Note 7 3 3 2 2" xfId="15971" xr:uid="{00000000-0005-0000-0000-000088630000}"/>
    <cellStyle name="Note 7 3 3 2 2 2" xfId="39814" xr:uid="{B8020F76-848B-4FE2-9398-24B83C2E74F3}"/>
    <cellStyle name="Note 7 3 3 2 3" xfId="23917" xr:uid="{00000000-0005-0000-0000-000089630000}"/>
    <cellStyle name="Note 7 3 3 2 3 2" xfId="47750" xr:uid="{EB3DFB58-56FC-4755-9612-76933599936F}"/>
    <cellStyle name="Note 7 3 3 2 4" xfId="31873" xr:uid="{C9C80FA5-ECA2-41C4-A351-8618134F2372}"/>
    <cellStyle name="Note 7 3 3 3" xfId="12433" xr:uid="{00000000-0005-0000-0000-00008A630000}"/>
    <cellStyle name="Note 7 3 3 3 2" xfId="36283" xr:uid="{A14AAA62-2003-4549-90D2-8FDE0A305504}"/>
    <cellStyle name="Note 7 3 3 4" xfId="20388" xr:uid="{00000000-0005-0000-0000-00008B630000}"/>
    <cellStyle name="Note 7 3 3 4 2" xfId="44221" xr:uid="{C0214B57-347D-46A3-9A7D-1068ADEC626A}"/>
    <cellStyle name="Note 7 3 3 5" xfId="28342" xr:uid="{2D5CA383-7D78-4F2D-B700-B926E09A5566}"/>
    <cellStyle name="Note 7 3 4" xfId="6228" xr:uid="{00000000-0005-0000-0000-00008C630000}"/>
    <cellStyle name="Note 7 3 4 2" xfId="14212" xr:uid="{00000000-0005-0000-0000-00008D630000}"/>
    <cellStyle name="Note 7 3 4 2 2" xfId="38056" xr:uid="{71437BC4-6699-416B-9173-969B11E4D706}"/>
    <cellStyle name="Note 7 3 4 3" xfId="22160" xr:uid="{00000000-0005-0000-0000-00008E630000}"/>
    <cellStyle name="Note 7 3 4 3 2" xfId="45993" xr:uid="{49B2FE65-2D3F-488B-81BD-D7729D2D7C31}"/>
    <cellStyle name="Note 7 3 4 4" xfId="30115" xr:uid="{298B3010-763E-40EA-90D9-C9F19A616D34}"/>
    <cellStyle name="Note 7 3 5" xfId="9781" xr:uid="{00000000-0005-0000-0000-00008F630000}"/>
    <cellStyle name="Note 7 3 5 2" xfId="17739" xr:uid="{00000000-0005-0000-0000-000090630000}"/>
    <cellStyle name="Note 7 3 5 2 2" xfId="41580" xr:uid="{D11640CC-F07F-4ACD-B2A5-4DB0C80E4BF9}"/>
    <cellStyle name="Note 7 3 5 3" xfId="25683" xr:uid="{00000000-0005-0000-0000-000091630000}"/>
    <cellStyle name="Note 7 3 5 3 2" xfId="49516" xr:uid="{FAFD66A5-04E8-4C98-90F7-DDA074E0A7C6}"/>
    <cellStyle name="Note 7 3 5 4" xfId="33639" xr:uid="{FD1D3E1C-7671-4CC3-9AFA-FAB1F5043F93}"/>
    <cellStyle name="Note 7 3 6" xfId="10677" xr:uid="{00000000-0005-0000-0000-000092630000}"/>
    <cellStyle name="Note 7 3 6 2" xfId="34527" xr:uid="{B2C4B0CD-C38E-41D9-9C43-8C716033C847}"/>
    <cellStyle name="Note 7 3 7" xfId="18632" xr:uid="{00000000-0005-0000-0000-000093630000}"/>
    <cellStyle name="Note 7 3 7 2" xfId="42465" xr:uid="{3B0B6630-B3A4-4990-8FC9-C5C42AD08FDD}"/>
    <cellStyle name="Note 7 3 8" xfId="26585" xr:uid="{BB357ED6-BD3D-4C26-B60B-3F7DA351A6BA}"/>
    <cellStyle name="Note 7 3_Exh G" xfId="3672" xr:uid="{00000000-0005-0000-0000-000094630000}"/>
    <cellStyle name="Note 7 4" xfId="1038" xr:uid="{00000000-0005-0000-0000-000095630000}"/>
    <cellStyle name="Note 7 4 2" xfId="1937" xr:uid="{00000000-0005-0000-0000-000096630000}"/>
    <cellStyle name="Note 7 4 2 2" xfId="5455" xr:uid="{00000000-0005-0000-0000-000097630000}"/>
    <cellStyle name="Note 7 4 2 2 2" xfId="9046" xr:uid="{00000000-0005-0000-0000-000098630000}"/>
    <cellStyle name="Note 7 4 2 2 2 2" xfId="17017" xr:uid="{00000000-0005-0000-0000-000099630000}"/>
    <cellStyle name="Note 7 4 2 2 2 2 2" xfId="40860" xr:uid="{4B0BE7AC-9D0A-4785-BF6F-E1BC41F9E8A9}"/>
    <cellStyle name="Note 7 4 2 2 2 3" xfId="24963" xr:uid="{00000000-0005-0000-0000-00009A630000}"/>
    <cellStyle name="Note 7 4 2 2 2 3 2" xfId="48796" xr:uid="{8DA24AA4-1C2F-4EDC-897E-3DEB05FF6B64}"/>
    <cellStyle name="Note 7 4 2 2 2 4" xfId="32919" xr:uid="{608FBA51-A4A7-428D-B9A1-9CA8DE02D06D}"/>
    <cellStyle name="Note 7 4 2 2 3" xfId="13479" xr:uid="{00000000-0005-0000-0000-00009B630000}"/>
    <cellStyle name="Note 7 4 2 2 3 2" xfId="37329" xr:uid="{168EAF6F-FC69-49EA-ACEF-39479AC2AE56}"/>
    <cellStyle name="Note 7 4 2 2 4" xfId="21434" xr:uid="{00000000-0005-0000-0000-00009C630000}"/>
    <cellStyle name="Note 7 4 2 2 4 2" xfId="45267" xr:uid="{D12C7362-A983-4B77-8A2C-A9BC69DDD0A7}"/>
    <cellStyle name="Note 7 4 2 2 5" xfId="29388" xr:uid="{99DF0504-06D1-4047-A635-9658ED312417}"/>
    <cellStyle name="Note 7 4 2 3" xfId="7287" xr:uid="{00000000-0005-0000-0000-00009D630000}"/>
    <cellStyle name="Note 7 4 2 3 2" xfId="15259" xr:uid="{00000000-0005-0000-0000-00009E630000}"/>
    <cellStyle name="Note 7 4 2 3 2 2" xfId="39102" xr:uid="{4980E09C-7EFF-4CD4-B1F6-8A4E742C0DBA}"/>
    <cellStyle name="Note 7 4 2 3 3" xfId="23206" xr:uid="{00000000-0005-0000-0000-00009F630000}"/>
    <cellStyle name="Note 7 4 2 3 3 2" xfId="47039" xr:uid="{3C79AF4E-B1A1-4A7C-986A-2B5796BEE99C}"/>
    <cellStyle name="Note 7 4 2 3 4" xfId="31161" xr:uid="{9F77BD7F-0962-43DD-9E4A-E2DA20AEF22A}"/>
    <cellStyle name="Note 7 4 2 4" xfId="11723" xr:uid="{00000000-0005-0000-0000-0000A0630000}"/>
    <cellStyle name="Note 7 4 2 4 2" xfId="35573" xr:uid="{4F9DA239-E362-44B1-A639-760046ADAF18}"/>
    <cellStyle name="Note 7 4 2 5" xfId="19678" xr:uid="{00000000-0005-0000-0000-0000A1630000}"/>
    <cellStyle name="Note 7 4 2 5 2" xfId="43511" xr:uid="{80911EB7-F9D0-46D4-B34D-BCC2309A9794}"/>
    <cellStyle name="Note 7 4 2 6" xfId="27631" xr:uid="{420C4039-66F1-4845-A731-13AB1A19ACCD}"/>
    <cellStyle name="Note 7 4 2_Exh G" xfId="3675" xr:uid="{00000000-0005-0000-0000-0000A2630000}"/>
    <cellStyle name="Note 7 4 3" xfId="4576" xr:uid="{00000000-0005-0000-0000-0000A3630000}"/>
    <cellStyle name="Note 7 4 3 2" xfId="8168" xr:uid="{00000000-0005-0000-0000-0000A4630000}"/>
    <cellStyle name="Note 7 4 3 2 2" xfId="16139" xr:uid="{00000000-0005-0000-0000-0000A5630000}"/>
    <cellStyle name="Note 7 4 3 2 2 2" xfId="39982" xr:uid="{18FF64FB-9BEC-4FDF-A472-20850110097F}"/>
    <cellStyle name="Note 7 4 3 2 3" xfId="24085" xr:uid="{00000000-0005-0000-0000-0000A6630000}"/>
    <cellStyle name="Note 7 4 3 2 3 2" xfId="47918" xr:uid="{95621C49-B5E6-4278-9CB5-916F8DEE3E38}"/>
    <cellStyle name="Note 7 4 3 2 4" xfId="32041" xr:uid="{2AD4486C-067C-466A-A99B-D002C942D894}"/>
    <cellStyle name="Note 7 4 3 3" xfId="12601" xr:uid="{00000000-0005-0000-0000-0000A7630000}"/>
    <cellStyle name="Note 7 4 3 3 2" xfId="36451" xr:uid="{31F82225-1DC3-4AB7-9A83-070ADF0EBD60}"/>
    <cellStyle name="Note 7 4 3 4" xfId="20556" xr:uid="{00000000-0005-0000-0000-0000A8630000}"/>
    <cellStyle name="Note 7 4 3 4 2" xfId="44389" xr:uid="{E0AF8BC0-263D-4A37-8DAE-4EF603611932}"/>
    <cellStyle name="Note 7 4 3 5" xfId="28510" xr:uid="{06D9D1E2-B4CB-4C94-8E1F-1ED6E01EDBBA}"/>
    <cellStyle name="Note 7 4 4" xfId="6408" xr:uid="{00000000-0005-0000-0000-0000A9630000}"/>
    <cellStyle name="Note 7 4 4 2" xfId="14381" xr:uid="{00000000-0005-0000-0000-0000AA630000}"/>
    <cellStyle name="Note 7 4 4 2 2" xfId="38224" xr:uid="{7A703873-2FE0-4D60-AC0A-073B3A542800}"/>
    <cellStyle name="Note 7 4 4 3" xfId="22328" xr:uid="{00000000-0005-0000-0000-0000AB630000}"/>
    <cellStyle name="Note 7 4 4 3 2" xfId="46161" xr:uid="{C77A2D8E-04F3-4FAA-B142-764B897A15FF}"/>
    <cellStyle name="Note 7 4 4 4" xfId="30283" xr:uid="{FC004B60-6B7D-4226-B1E3-01CB6744E394}"/>
    <cellStyle name="Note 7 4 5" xfId="9949" xr:uid="{00000000-0005-0000-0000-0000AC630000}"/>
    <cellStyle name="Note 7 4 5 2" xfId="17907" xr:uid="{00000000-0005-0000-0000-0000AD630000}"/>
    <cellStyle name="Note 7 4 5 2 2" xfId="41748" xr:uid="{6A8D784A-6EF3-4BDB-B9CE-EB40C3172DF2}"/>
    <cellStyle name="Note 7 4 5 3" xfId="25851" xr:uid="{00000000-0005-0000-0000-0000AE630000}"/>
    <cellStyle name="Note 7 4 5 3 2" xfId="49684" xr:uid="{3A3F658F-C951-4CF1-967B-33D1614785FF}"/>
    <cellStyle name="Note 7 4 5 4" xfId="33807" xr:uid="{66CD39A2-EB1E-4B12-BA31-C498D09D3716}"/>
    <cellStyle name="Note 7 4 6" xfId="10845" xr:uid="{00000000-0005-0000-0000-0000AF630000}"/>
    <cellStyle name="Note 7 4 6 2" xfId="34695" xr:uid="{1AD5B30D-5FD9-4E72-8693-21EAB680EC8F}"/>
    <cellStyle name="Note 7 4 7" xfId="18800" xr:uid="{00000000-0005-0000-0000-0000B0630000}"/>
    <cellStyle name="Note 7 4 7 2" xfId="42633" xr:uid="{0F8F70C0-8DE1-46A8-9DBF-0B1060526DEB}"/>
    <cellStyle name="Note 7 4 8" xfId="26753" xr:uid="{BDDDD839-050C-4714-97A5-3E49C1CFF0E6}"/>
    <cellStyle name="Note 7 4_Exh G" xfId="3674" xr:uid="{00000000-0005-0000-0000-0000B1630000}"/>
    <cellStyle name="Note 7 5" xfId="1754" xr:uid="{00000000-0005-0000-0000-0000B2630000}"/>
    <cellStyle name="Note 7 5 2" xfId="5284" xr:uid="{00000000-0005-0000-0000-0000B3630000}"/>
    <cellStyle name="Note 7 5 2 2" xfId="8875" xr:uid="{00000000-0005-0000-0000-0000B4630000}"/>
    <cellStyle name="Note 7 5 2 2 2" xfId="16846" xr:uid="{00000000-0005-0000-0000-0000B5630000}"/>
    <cellStyle name="Note 7 5 2 2 2 2" xfId="40689" xr:uid="{42A8F110-DFB7-455A-A931-3FB690619B3B}"/>
    <cellStyle name="Note 7 5 2 2 3" xfId="24792" xr:uid="{00000000-0005-0000-0000-0000B6630000}"/>
    <cellStyle name="Note 7 5 2 2 3 2" xfId="48625" xr:uid="{A8C8C401-2BDE-4990-AD62-A92852C8DD16}"/>
    <cellStyle name="Note 7 5 2 2 4" xfId="32748" xr:uid="{3DBFB330-47AD-4326-91B2-57418C52F4F4}"/>
    <cellStyle name="Note 7 5 2 3" xfId="13308" xr:uid="{00000000-0005-0000-0000-0000B7630000}"/>
    <cellStyle name="Note 7 5 2 3 2" xfId="37158" xr:uid="{1D87D7D6-467C-4445-899E-791B8D3C5D6A}"/>
    <cellStyle name="Note 7 5 2 4" xfId="21263" xr:uid="{00000000-0005-0000-0000-0000B8630000}"/>
    <cellStyle name="Note 7 5 2 4 2" xfId="45096" xr:uid="{0DA2B26D-AC10-4B89-9CFE-5654E7FF4E01}"/>
    <cellStyle name="Note 7 5 2 5" xfId="29217" xr:uid="{D5A9E371-E7F2-4508-8073-16A6CE3B2B68}"/>
    <cellStyle name="Note 7 5 3" xfId="7116" xr:uid="{00000000-0005-0000-0000-0000B9630000}"/>
    <cellStyle name="Note 7 5 3 2" xfId="15088" xr:uid="{00000000-0005-0000-0000-0000BA630000}"/>
    <cellStyle name="Note 7 5 3 2 2" xfId="38931" xr:uid="{5AFBACAE-2F8A-427E-AC4C-9C6FD1AAE912}"/>
    <cellStyle name="Note 7 5 3 3" xfId="23035" xr:uid="{00000000-0005-0000-0000-0000BB630000}"/>
    <cellStyle name="Note 7 5 3 3 2" xfId="46868" xr:uid="{14EE3D0D-BCEA-4CFB-8A6D-CB2A1E6A94C9}"/>
    <cellStyle name="Note 7 5 3 4" xfId="30990" xr:uid="{13475C61-7F58-4289-9485-227B8F80B13E}"/>
    <cellStyle name="Note 7 5 4" xfId="11552" xr:uid="{00000000-0005-0000-0000-0000BC630000}"/>
    <cellStyle name="Note 7 5 4 2" xfId="35402" xr:uid="{1B5F9427-DC01-4FCB-A422-3B7786C9B0DA}"/>
    <cellStyle name="Note 7 5 5" xfId="19507" xr:uid="{00000000-0005-0000-0000-0000BD630000}"/>
    <cellStyle name="Note 7 5 5 2" xfId="43340" xr:uid="{341FF9A0-ADAA-4DE0-8950-DF3E3C167616}"/>
    <cellStyle name="Note 7 5 6" xfId="27460" xr:uid="{614FD2FA-E697-47E6-8027-21B0F2E60B99}"/>
    <cellStyle name="Note 7 5_Exh G" xfId="3676" xr:uid="{00000000-0005-0000-0000-0000BE630000}"/>
    <cellStyle name="Note 7 6" xfId="4405" xr:uid="{00000000-0005-0000-0000-0000BF630000}"/>
    <cellStyle name="Note 7 6 2" xfId="7997" xr:uid="{00000000-0005-0000-0000-0000C0630000}"/>
    <cellStyle name="Note 7 6 2 2" xfId="15968" xr:uid="{00000000-0005-0000-0000-0000C1630000}"/>
    <cellStyle name="Note 7 6 2 2 2" xfId="39811" xr:uid="{00792BE2-951F-4A58-8806-9D79DAE5C7E5}"/>
    <cellStyle name="Note 7 6 2 3" xfId="23914" xr:uid="{00000000-0005-0000-0000-0000C2630000}"/>
    <cellStyle name="Note 7 6 2 3 2" xfId="47747" xr:uid="{5D9B35AC-397A-43CF-9C2A-FCF77045FD00}"/>
    <cellStyle name="Note 7 6 2 4" xfId="31870" xr:uid="{74657897-4602-49DB-85D0-114D14FFE61C}"/>
    <cellStyle name="Note 7 6 3" xfId="12430" xr:uid="{00000000-0005-0000-0000-0000C3630000}"/>
    <cellStyle name="Note 7 6 3 2" xfId="36280" xr:uid="{3B49A196-35C7-470B-885B-893516EDEC7F}"/>
    <cellStyle name="Note 7 6 4" xfId="20385" xr:uid="{00000000-0005-0000-0000-0000C4630000}"/>
    <cellStyle name="Note 7 6 4 2" xfId="44218" xr:uid="{5B02F138-53ED-422F-AC53-9329408B0114}"/>
    <cellStyle name="Note 7 6 5" xfId="28339" xr:uid="{5D6CA9C2-928F-479A-B06D-633098E8CE74}"/>
    <cellStyle name="Note 7 7" xfId="6225" xr:uid="{00000000-0005-0000-0000-0000C5630000}"/>
    <cellStyle name="Note 7 7 2" xfId="14209" xr:uid="{00000000-0005-0000-0000-0000C6630000}"/>
    <cellStyle name="Note 7 7 2 2" xfId="38053" xr:uid="{437A33A1-49BA-4734-8321-B62DAEC4CB8D}"/>
    <cellStyle name="Note 7 7 3" xfId="22157" xr:uid="{00000000-0005-0000-0000-0000C7630000}"/>
    <cellStyle name="Note 7 7 3 2" xfId="45990" xr:uid="{F1D2DA14-135A-4996-8E68-EAD8E2B85EC3}"/>
    <cellStyle name="Note 7 7 4" xfId="30112" xr:uid="{7847B059-393C-45A3-A855-DD9104666356}"/>
    <cellStyle name="Note 7 8" xfId="9778" xr:uid="{00000000-0005-0000-0000-0000C8630000}"/>
    <cellStyle name="Note 7 8 2" xfId="17736" xr:uid="{00000000-0005-0000-0000-0000C9630000}"/>
    <cellStyle name="Note 7 8 2 2" xfId="41577" xr:uid="{098C2545-1FC1-4A99-944B-19B412718459}"/>
    <cellStyle name="Note 7 8 3" xfId="25680" xr:uid="{00000000-0005-0000-0000-0000CA630000}"/>
    <cellStyle name="Note 7 8 3 2" xfId="49513" xr:uid="{B49DC4D8-72CD-48BF-AC53-97CC1F65ECD9}"/>
    <cellStyle name="Note 7 8 4" xfId="33636" xr:uid="{08ABB11F-7591-417E-A402-201DCDE9B94A}"/>
    <cellStyle name="Note 7 9" xfId="10674" xr:uid="{00000000-0005-0000-0000-0000CB630000}"/>
    <cellStyle name="Note 7 9 2" xfId="34524" xr:uid="{F6F02DAD-AF6B-46AF-ABF8-1A567B0D80EF}"/>
    <cellStyle name="Note 7_Exh G" xfId="3667" xr:uid="{00000000-0005-0000-0000-0000CC630000}"/>
    <cellStyle name="Note 8" xfId="730" xr:uid="{00000000-0005-0000-0000-0000CD630000}"/>
    <cellStyle name="Note 8 10" xfId="18633" xr:uid="{00000000-0005-0000-0000-0000CE630000}"/>
    <cellStyle name="Note 8 10 2" xfId="42466" xr:uid="{1F8CD182-1153-4491-BABA-A3CB444D249B}"/>
    <cellStyle name="Note 8 11" xfId="26586" xr:uid="{43B3572E-25A3-4512-A114-9EA12C273871}"/>
    <cellStyle name="Note 8 2" xfId="731" xr:uid="{00000000-0005-0000-0000-0000CF630000}"/>
    <cellStyle name="Note 8 2 2" xfId="732" xr:uid="{00000000-0005-0000-0000-0000D0630000}"/>
    <cellStyle name="Note 8 2 2 2" xfId="1760" xr:uid="{00000000-0005-0000-0000-0000D1630000}"/>
    <cellStyle name="Note 8 2 2 2 2" xfId="5290" xr:uid="{00000000-0005-0000-0000-0000D2630000}"/>
    <cellStyle name="Note 8 2 2 2 2 2" xfId="8881" xr:uid="{00000000-0005-0000-0000-0000D3630000}"/>
    <cellStyle name="Note 8 2 2 2 2 2 2" xfId="16852" xr:uid="{00000000-0005-0000-0000-0000D4630000}"/>
    <cellStyle name="Note 8 2 2 2 2 2 2 2" xfId="40695" xr:uid="{72506A00-2AD9-4F36-B157-9820679FDA60}"/>
    <cellStyle name="Note 8 2 2 2 2 2 3" xfId="24798" xr:uid="{00000000-0005-0000-0000-0000D5630000}"/>
    <cellStyle name="Note 8 2 2 2 2 2 3 2" xfId="48631" xr:uid="{DA1E8156-790B-4E45-949C-C408762F3A8D}"/>
    <cellStyle name="Note 8 2 2 2 2 2 4" xfId="32754" xr:uid="{34827A84-617A-42DF-B4DE-DE2F603B89FD}"/>
    <cellStyle name="Note 8 2 2 2 2 3" xfId="13314" xr:uid="{00000000-0005-0000-0000-0000D6630000}"/>
    <cellStyle name="Note 8 2 2 2 2 3 2" xfId="37164" xr:uid="{D0AA8119-838C-4246-B341-3528A98B7279}"/>
    <cellStyle name="Note 8 2 2 2 2 4" xfId="21269" xr:uid="{00000000-0005-0000-0000-0000D7630000}"/>
    <cellStyle name="Note 8 2 2 2 2 4 2" xfId="45102" xr:uid="{F283AE83-4C95-4AF6-88C9-687509AC669C}"/>
    <cellStyle name="Note 8 2 2 2 2 5" xfId="29223" xr:uid="{4FFAE6CF-946D-4B9F-837C-BAA32E99B7DE}"/>
    <cellStyle name="Note 8 2 2 2 3" xfId="7122" xr:uid="{00000000-0005-0000-0000-0000D8630000}"/>
    <cellStyle name="Note 8 2 2 2 3 2" xfId="15094" xr:uid="{00000000-0005-0000-0000-0000D9630000}"/>
    <cellStyle name="Note 8 2 2 2 3 2 2" xfId="38937" xr:uid="{7583724E-2A20-4F91-B17C-8E971317F51D}"/>
    <cellStyle name="Note 8 2 2 2 3 3" xfId="23041" xr:uid="{00000000-0005-0000-0000-0000DA630000}"/>
    <cellStyle name="Note 8 2 2 2 3 3 2" xfId="46874" xr:uid="{CE291EC7-968E-42A9-9AEA-D3E4B9D4A9AB}"/>
    <cellStyle name="Note 8 2 2 2 3 4" xfId="30996" xr:uid="{451F52AC-9B92-4505-99CF-6CD9A6842AA5}"/>
    <cellStyle name="Note 8 2 2 2 4" xfId="11558" xr:uid="{00000000-0005-0000-0000-0000DB630000}"/>
    <cellStyle name="Note 8 2 2 2 4 2" xfId="35408" xr:uid="{E9C5A6F0-2F6B-414F-9B53-ABAD1D808E06}"/>
    <cellStyle name="Note 8 2 2 2 5" xfId="19513" xr:uid="{00000000-0005-0000-0000-0000DC630000}"/>
    <cellStyle name="Note 8 2 2 2 5 2" xfId="43346" xr:uid="{F4825AD0-D064-4841-8542-E9ABAF7C9D00}"/>
    <cellStyle name="Note 8 2 2 2 6" xfId="27466" xr:uid="{76A5F2F8-0362-4BE5-98AD-8BAB21D7B176}"/>
    <cellStyle name="Note 8 2 2 2_Exh G" xfId="3680" xr:uid="{00000000-0005-0000-0000-0000DD630000}"/>
    <cellStyle name="Note 8 2 2 3" xfId="4411" xr:uid="{00000000-0005-0000-0000-0000DE630000}"/>
    <cellStyle name="Note 8 2 2 3 2" xfId="8003" xr:uid="{00000000-0005-0000-0000-0000DF630000}"/>
    <cellStyle name="Note 8 2 2 3 2 2" xfId="15974" xr:uid="{00000000-0005-0000-0000-0000E0630000}"/>
    <cellStyle name="Note 8 2 2 3 2 2 2" xfId="39817" xr:uid="{6CDEF469-4CE9-4E08-9682-6DA5A3D73DC2}"/>
    <cellStyle name="Note 8 2 2 3 2 3" xfId="23920" xr:uid="{00000000-0005-0000-0000-0000E1630000}"/>
    <cellStyle name="Note 8 2 2 3 2 3 2" xfId="47753" xr:uid="{F2C328ED-AD78-4787-8524-D98535236C01}"/>
    <cellStyle name="Note 8 2 2 3 2 4" xfId="31876" xr:uid="{3C5502C2-FCDF-47A3-B3EE-C46C33CA918F}"/>
    <cellStyle name="Note 8 2 2 3 3" xfId="12436" xr:uid="{00000000-0005-0000-0000-0000E2630000}"/>
    <cellStyle name="Note 8 2 2 3 3 2" xfId="36286" xr:uid="{B3CF7684-C7EC-44EC-9850-949CD18A97A9}"/>
    <cellStyle name="Note 8 2 2 3 4" xfId="20391" xr:uid="{00000000-0005-0000-0000-0000E3630000}"/>
    <cellStyle name="Note 8 2 2 3 4 2" xfId="44224" xr:uid="{EB5609C4-10D1-478E-8E04-8A24B5486E06}"/>
    <cellStyle name="Note 8 2 2 3 5" xfId="28345" xr:uid="{28176FCA-A69E-43B9-B126-241B24B4B4D3}"/>
    <cellStyle name="Note 8 2 2 4" xfId="6231" xr:uid="{00000000-0005-0000-0000-0000E4630000}"/>
    <cellStyle name="Note 8 2 2 4 2" xfId="14215" xr:uid="{00000000-0005-0000-0000-0000E5630000}"/>
    <cellStyle name="Note 8 2 2 4 2 2" xfId="38059" xr:uid="{E0217F82-5B25-4596-AA8C-11415B6B1620}"/>
    <cellStyle name="Note 8 2 2 4 3" xfId="22163" xr:uid="{00000000-0005-0000-0000-0000E6630000}"/>
    <cellStyle name="Note 8 2 2 4 3 2" xfId="45996" xr:uid="{6DF9F867-AA84-46DC-8815-E344CF5A8E71}"/>
    <cellStyle name="Note 8 2 2 4 4" xfId="30118" xr:uid="{D18F3768-39BE-40D6-AA86-59DC91694DB6}"/>
    <cellStyle name="Note 8 2 2 5" xfId="9784" xr:uid="{00000000-0005-0000-0000-0000E7630000}"/>
    <cellStyle name="Note 8 2 2 5 2" xfId="17742" xr:uid="{00000000-0005-0000-0000-0000E8630000}"/>
    <cellStyle name="Note 8 2 2 5 2 2" xfId="41583" xr:uid="{3F844209-1986-4E29-8775-BBE09D9B7616}"/>
    <cellStyle name="Note 8 2 2 5 3" xfId="25686" xr:uid="{00000000-0005-0000-0000-0000E9630000}"/>
    <cellStyle name="Note 8 2 2 5 3 2" xfId="49519" xr:uid="{E03191F5-D0DB-4919-A7A6-91D85B5DD7DF}"/>
    <cellStyle name="Note 8 2 2 5 4" xfId="33642" xr:uid="{2BE16926-2CF3-44AE-9DE6-C5AF4080782C}"/>
    <cellStyle name="Note 8 2 2 6" xfId="10680" xr:uid="{00000000-0005-0000-0000-0000EA630000}"/>
    <cellStyle name="Note 8 2 2 6 2" xfId="34530" xr:uid="{47A79E80-5E60-49DC-8FDA-57E258076FFC}"/>
    <cellStyle name="Note 8 2 2 7" xfId="18635" xr:uid="{00000000-0005-0000-0000-0000EB630000}"/>
    <cellStyle name="Note 8 2 2 7 2" xfId="42468" xr:uid="{D1A786AD-4939-411E-A7E5-CAC0DE82406C}"/>
    <cellStyle name="Note 8 2 2 8" xfId="26588" xr:uid="{ED0A6726-4072-4744-95FA-00D77C697672}"/>
    <cellStyle name="Note 8 2 2_Exh G" xfId="3679" xr:uid="{00000000-0005-0000-0000-0000EC630000}"/>
    <cellStyle name="Note 8 2 3" xfId="1759" xr:uid="{00000000-0005-0000-0000-0000ED630000}"/>
    <cellStyle name="Note 8 2 3 2" xfId="5289" xr:uid="{00000000-0005-0000-0000-0000EE630000}"/>
    <cellStyle name="Note 8 2 3 2 2" xfId="8880" xr:uid="{00000000-0005-0000-0000-0000EF630000}"/>
    <cellStyle name="Note 8 2 3 2 2 2" xfId="16851" xr:uid="{00000000-0005-0000-0000-0000F0630000}"/>
    <cellStyle name="Note 8 2 3 2 2 2 2" xfId="40694" xr:uid="{63548E7A-7762-4B03-ADD8-195F5D07EB86}"/>
    <cellStyle name="Note 8 2 3 2 2 3" xfId="24797" xr:uid="{00000000-0005-0000-0000-0000F1630000}"/>
    <cellStyle name="Note 8 2 3 2 2 3 2" xfId="48630" xr:uid="{07B51B5D-F2E3-41F4-81E8-CB5A6D277B8E}"/>
    <cellStyle name="Note 8 2 3 2 2 4" xfId="32753" xr:uid="{9C925BCE-47D9-4BF5-A018-5285BE6E5BE8}"/>
    <cellStyle name="Note 8 2 3 2 3" xfId="13313" xr:uid="{00000000-0005-0000-0000-0000F2630000}"/>
    <cellStyle name="Note 8 2 3 2 3 2" xfId="37163" xr:uid="{BFF1E5C3-8822-4714-B06C-2C3EA0CF0DE3}"/>
    <cellStyle name="Note 8 2 3 2 4" xfId="21268" xr:uid="{00000000-0005-0000-0000-0000F3630000}"/>
    <cellStyle name="Note 8 2 3 2 4 2" xfId="45101" xr:uid="{063D5F86-1617-48D3-9429-7F33BD129181}"/>
    <cellStyle name="Note 8 2 3 2 5" xfId="29222" xr:uid="{4B50A9FB-5025-4007-AF30-AD09F678AB1D}"/>
    <cellStyle name="Note 8 2 3 3" xfId="7121" xr:uid="{00000000-0005-0000-0000-0000F4630000}"/>
    <cellStyle name="Note 8 2 3 3 2" xfId="15093" xr:uid="{00000000-0005-0000-0000-0000F5630000}"/>
    <cellStyle name="Note 8 2 3 3 2 2" xfId="38936" xr:uid="{E075F74C-DD9B-4EEC-B96B-97431AB65454}"/>
    <cellStyle name="Note 8 2 3 3 3" xfId="23040" xr:uid="{00000000-0005-0000-0000-0000F6630000}"/>
    <cellStyle name="Note 8 2 3 3 3 2" xfId="46873" xr:uid="{69417B97-9ABF-4484-A930-EE2491CC8C49}"/>
    <cellStyle name="Note 8 2 3 3 4" xfId="30995" xr:uid="{7A49E12A-E40A-43C4-802E-529170A36E8D}"/>
    <cellStyle name="Note 8 2 3 4" xfId="11557" xr:uid="{00000000-0005-0000-0000-0000F7630000}"/>
    <cellStyle name="Note 8 2 3 4 2" xfId="35407" xr:uid="{F0815516-64B5-4115-B279-B4A7C854CF7B}"/>
    <cellStyle name="Note 8 2 3 5" xfId="19512" xr:uid="{00000000-0005-0000-0000-0000F8630000}"/>
    <cellStyle name="Note 8 2 3 5 2" xfId="43345" xr:uid="{1D6FBDCA-F536-44C3-A0B0-E81F26850271}"/>
    <cellStyle name="Note 8 2 3 6" xfId="27465" xr:uid="{247591EE-BD0D-4939-B378-910B586AD8DB}"/>
    <cellStyle name="Note 8 2 3_Exh G" xfId="3681" xr:uid="{00000000-0005-0000-0000-0000F9630000}"/>
    <cellStyle name="Note 8 2 4" xfId="4410" xr:uid="{00000000-0005-0000-0000-0000FA630000}"/>
    <cellStyle name="Note 8 2 4 2" xfId="8002" xr:uid="{00000000-0005-0000-0000-0000FB630000}"/>
    <cellStyle name="Note 8 2 4 2 2" xfId="15973" xr:uid="{00000000-0005-0000-0000-0000FC630000}"/>
    <cellStyle name="Note 8 2 4 2 2 2" xfId="39816" xr:uid="{3EE8AD4E-8217-4C45-8588-4B36F670432C}"/>
    <cellStyle name="Note 8 2 4 2 3" xfId="23919" xr:uid="{00000000-0005-0000-0000-0000FD630000}"/>
    <cellStyle name="Note 8 2 4 2 3 2" xfId="47752" xr:uid="{37C4B5C4-9AE2-43A8-95B3-EABD654EF34B}"/>
    <cellStyle name="Note 8 2 4 2 4" xfId="31875" xr:uid="{38BD62FA-C80A-485A-BBD4-0E493649D62C}"/>
    <cellStyle name="Note 8 2 4 3" xfId="12435" xr:uid="{00000000-0005-0000-0000-0000FE630000}"/>
    <cellStyle name="Note 8 2 4 3 2" xfId="36285" xr:uid="{D83E8153-48F6-4139-99A5-0BDECED808B8}"/>
    <cellStyle name="Note 8 2 4 4" xfId="20390" xr:uid="{00000000-0005-0000-0000-0000FF630000}"/>
    <cellStyle name="Note 8 2 4 4 2" xfId="44223" xr:uid="{24D89FC8-2FC5-4B16-86F7-E8084CAB3635}"/>
    <cellStyle name="Note 8 2 4 5" xfId="28344" xr:uid="{66936F82-B784-4DF6-A82E-09F5C8C8BDD2}"/>
    <cellStyle name="Note 8 2 5" xfId="6230" xr:uid="{00000000-0005-0000-0000-000000640000}"/>
    <cellStyle name="Note 8 2 5 2" xfId="14214" xr:uid="{00000000-0005-0000-0000-000001640000}"/>
    <cellStyle name="Note 8 2 5 2 2" xfId="38058" xr:uid="{A9A68F0A-01D2-45DB-B75C-613A2A329007}"/>
    <cellStyle name="Note 8 2 5 3" xfId="22162" xr:uid="{00000000-0005-0000-0000-000002640000}"/>
    <cellStyle name="Note 8 2 5 3 2" xfId="45995" xr:uid="{E55CC68F-B7BB-47CE-AE5D-35A7BAD649EF}"/>
    <cellStyle name="Note 8 2 5 4" xfId="30117" xr:uid="{BBC9B3B0-EE08-4B0E-B86A-E2B0C987084F}"/>
    <cellStyle name="Note 8 2 6" xfId="9783" xr:uid="{00000000-0005-0000-0000-000003640000}"/>
    <cellStyle name="Note 8 2 6 2" xfId="17741" xr:uid="{00000000-0005-0000-0000-000004640000}"/>
    <cellStyle name="Note 8 2 6 2 2" xfId="41582" xr:uid="{07CA26E1-224A-40D1-87F0-3DD1FEAD5BB4}"/>
    <cellStyle name="Note 8 2 6 3" xfId="25685" xr:uid="{00000000-0005-0000-0000-000005640000}"/>
    <cellStyle name="Note 8 2 6 3 2" xfId="49518" xr:uid="{2085ED1D-191D-4B96-A7EB-D07AAAF87A41}"/>
    <cellStyle name="Note 8 2 6 4" xfId="33641" xr:uid="{2FFD3AAA-7335-4ABD-9A8D-379BA735A7F5}"/>
    <cellStyle name="Note 8 2 7" xfId="10679" xr:uid="{00000000-0005-0000-0000-000006640000}"/>
    <cellStyle name="Note 8 2 7 2" xfId="34529" xr:uid="{4E067028-E69E-4D1A-B75D-8CD55F3ABC48}"/>
    <cellStyle name="Note 8 2 8" xfId="18634" xr:uid="{00000000-0005-0000-0000-000007640000}"/>
    <cellStyle name="Note 8 2 8 2" xfId="42467" xr:uid="{38A9F875-3E6F-43D5-9902-840FA539EA2D}"/>
    <cellStyle name="Note 8 2 9" xfId="26587" xr:uid="{E98D833B-65C4-4D21-9B10-7A818061EFE8}"/>
    <cellStyle name="Note 8 2_Exh G" xfId="3678" xr:uid="{00000000-0005-0000-0000-000008640000}"/>
    <cellStyle name="Note 8 3" xfId="733" xr:uid="{00000000-0005-0000-0000-000009640000}"/>
    <cellStyle name="Note 8 3 2" xfId="1761" xr:uid="{00000000-0005-0000-0000-00000A640000}"/>
    <cellStyle name="Note 8 3 2 2" xfId="5291" xr:uid="{00000000-0005-0000-0000-00000B640000}"/>
    <cellStyle name="Note 8 3 2 2 2" xfId="8882" xr:uid="{00000000-0005-0000-0000-00000C640000}"/>
    <cellStyle name="Note 8 3 2 2 2 2" xfId="16853" xr:uid="{00000000-0005-0000-0000-00000D640000}"/>
    <cellStyle name="Note 8 3 2 2 2 2 2" xfId="40696" xr:uid="{8AF9DFF0-7652-45B7-845C-1CE62304A500}"/>
    <cellStyle name="Note 8 3 2 2 2 3" xfId="24799" xr:uid="{00000000-0005-0000-0000-00000E640000}"/>
    <cellStyle name="Note 8 3 2 2 2 3 2" xfId="48632" xr:uid="{69C1EFE1-DDE0-4451-BE53-EC287CC5CF0A}"/>
    <cellStyle name="Note 8 3 2 2 2 4" xfId="32755" xr:uid="{7633BA60-6287-4896-80E1-4241E4DCC26C}"/>
    <cellStyle name="Note 8 3 2 2 3" xfId="13315" xr:uid="{00000000-0005-0000-0000-00000F640000}"/>
    <cellStyle name="Note 8 3 2 2 3 2" xfId="37165" xr:uid="{AA027590-7800-45D9-94AA-065B297FE5A2}"/>
    <cellStyle name="Note 8 3 2 2 4" xfId="21270" xr:uid="{00000000-0005-0000-0000-000010640000}"/>
    <cellStyle name="Note 8 3 2 2 4 2" xfId="45103" xr:uid="{3C55BE14-3B03-4DB0-9110-546F46136947}"/>
    <cellStyle name="Note 8 3 2 2 5" xfId="29224" xr:uid="{5FC7FFE4-E1F6-4411-8181-5FBCD1B56064}"/>
    <cellStyle name="Note 8 3 2 3" xfId="7123" xr:uid="{00000000-0005-0000-0000-000011640000}"/>
    <cellStyle name="Note 8 3 2 3 2" xfId="15095" xr:uid="{00000000-0005-0000-0000-000012640000}"/>
    <cellStyle name="Note 8 3 2 3 2 2" xfId="38938" xr:uid="{DB5DE7FA-B525-431C-B008-92110EC35B34}"/>
    <cellStyle name="Note 8 3 2 3 3" xfId="23042" xr:uid="{00000000-0005-0000-0000-000013640000}"/>
    <cellStyle name="Note 8 3 2 3 3 2" xfId="46875" xr:uid="{6E069EB6-8C00-4CA4-BF1D-06286F52C24F}"/>
    <cellStyle name="Note 8 3 2 3 4" xfId="30997" xr:uid="{4A6BCEC1-416E-4BE0-8DB6-84B52F378CE0}"/>
    <cellStyle name="Note 8 3 2 4" xfId="11559" xr:uid="{00000000-0005-0000-0000-000014640000}"/>
    <cellStyle name="Note 8 3 2 4 2" xfId="35409" xr:uid="{FD26E75F-662F-4F73-B726-29D186AEF245}"/>
    <cellStyle name="Note 8 3 2 5" xfId="19514" xr:uid="{00000000-0005-0000-0000-000015640000}"/>
    <cellStyle name="Note 8 3 2 5 2" xfId="43347" xr:uid="{67564E43-117E-4873-82AE-E7B67BE62D38}"/>
    <cellStyle name="Note 8 3 2 6" xfId="27467" xr:uid="{BE8DE65B-11F9-4783-B13A-45BAC5A827D3}"/>
    <cellStyle name="Note 8 3 2_Exh G" xfId="3683" xr:uid="{00000000-0005-0000-0000-000016640000}"/>
    <cellStyle name="Note 8 3 3" xfId="4412" xr:uid="{00000000-0005-0000-0000-000017640000}"/>
    <cellStyle name="Note 8 3 3 2" xfId="8004" xr:uid="{00000000-0005-0000-0000-000018640000}"/>
    <cellStyle name="Note 8 3 3 2 2" xfId="15975" xr:uid="{00000000-0005-0000-0000-000019640000}"/>
    <cellStyle name="Note 8 3 3 2 2 2" xfId="39818" xr:uid="{D75C55FE-F151-47E5-ACD6-CFE973156494}"/>
    <cellStyle name="Note 8 3 3 2 3" xfId="23921" xr:uid="{00000000-0005-0000-0000-00001A640000}"/>
    <cellStyle name="Note 8 3 3 2 3 2" xfId="47754" xr:uid="{BCFA711C-1520-4428-880B-8B6C801310F6}"/>
    <cellStyle name="Note 8 3 3 2 4" xfId="31877" xr:uid="{97305AF0-10C8-49F4-93C1-108560C2024C}"/>
    <cellStyle name="Note 8 3 3 3" xfId="12437" xr:uid="{00000000-0005-0000-0000-00001B640000}"/>
    <cellStyle name="Note 8 3 3 3 2" xfId="36287" xr:uid="{301B5D9C-0CA7-423A-9648-D6CA5177A414}"/>
    <cellStyle name="Note 8 3 3 4" xfId="20392" xr:uid="{00000000-0005-0000-0000-00001C640000}"/>
    <cellStyle name="Note 8 3 3 4 2" xfId="44225" xr:uid="{00A76828-3B9D-42BD-812B-D997FB99C288}"/>
    <cellStyle name="Note 8 3 3 5" xfId="28346" xr:uid="{43B07A51-BBF9-4B81-874E-34783E7BE7F5}"/>
    <cellStyle name="Note 8 3 4" xfId="6232" xr:uid="{00000000-0005-0000-0000-00001D640000}"/>
    <cellStyle name="Note 8 3 4 2" xfId="14216" xr:uid="{00000000-0005-0000-0000-00001E640000}"/>
    <cellStyle name="Note 8 3 4 2 2" xfId="38060" xr:uid="{D297F137-8A44-45C3-86E6-34B8002233B8}"/>
    <cellStyle name="Note 8 3 4 3" xfId="22164" xr:uid="{00000000-0005-0000-0000-00001F640000}"/>
    <cellStyle name="Note 8 3 4 3 2" xfId="45997" xr:uid="{88AD672F-3951-4AD4-BE9E-5DD6C85DAB92}"/>
    <cellStyle name="Note 8 3 4 4" xfId="30119" xr:uid="{916ADA40-127A-455A-9B63-5D1B523AEF9D}"/>
    <cellStyle name="Note 8 3 5" xfId="9785" xr:uid="{00000000-0005-0000-0000-000020640000}"/>
    <cellStyle name="Note 8 3 5 2" xfId="17743" xr:uid="{00000000-0005-0000-0000-000021640000}"/>
    <cellStyle name="Note 8 3 5 2 2" xfId="41584" xr:uid="{FBEA77E8-BE3D-4EEE-A7C0-669A5438630F}"/>
    <cellStyle name="Note 8 3 5 3" xfId="25687" xr:uid="{00000000-0005-0000-0000-000022640000}"/>
    <cellStyle name="Note 8 3 5 3 2" xfId="49520" xr:uid="{AD16EDE4-3B86-45E9-B11C-2DF6FBEF7CE3}"/>
    <cellStyle name="Note 8 3 5 4" xfId="33643" xr:uid="{CE97A360-3E32-4DB8-8751-AB59D824A1DC}"/>
    <cellStyle name="Note 8 3 6" xfId="10681" xr:uid="{00000000-0005-0000-0000-000023640000}"/>
    <cellStyle name="Note 8 3 6 2" xfId="34531" xr:uid="{F4006A2E-28F6-4E4D-ADD0-A29A5B2421D6}"/>
    <cellStyle name="Note 8 3 7" xfId="18636" xr:uid="{00000000-0005-0000-0000-000024640000}"/>
    <cellStyle name="Note 8 3 7 2" xfId="42469" xr:uid="{8286A584-A1B1-45BF-8F09-B148C3FA2BFC}"/>
    <cellStyle name="Note 8 3 8" xfId="26589" xr:uid="{43B7EB35-917E-4E62-AA85-60D463E60782}"/>
    <cellStyle name="Note 8 3_Exh G" xfId="3682" xr:uid="{00000000-0005-0000-0000-000025640000}"/>
    <cellStyle name="Note 8 4" xfId="1039" xr:uid="{00000000-0005-0000-0000-000026640000}"/>
    <cellStyle name="Note 8 4 2" xfId="1938" xr:uid="{00000000-0005-0000-0000-000027640000}"/>
    <cellStyle name="Note 8 4 2 2" xfId="5456" xr:uid="{00000000-0005-0000-0000-000028640000}"/>
    <cellStyle name="Note 8 4 2 2 2" xfId="9047" xr:uid="{00000000-0005-0000-0000-000029640000}"/>
    <cellStyle name="Note 8 4 2 2 2 2" xfId="17018" xr:uid="{00000000-0005-0000-0000-00002A640000}"/>
    <cellStyle name="Note 8 4 2 2 2 2 2" xfId="40861" xr:uid="{E873D45B-4F6C-4EA6-95AC-15E11C0B3511}"/>
    <cellStyle name="Note 8 4 2 2 2 3" xfId="24964" xr:uid="{00000000-0005-0000-0000-00002B640000}"/>
    <cellStyle name="Note 8 4 2 2 2 3 2" xfId="48797" xr:uid="{C6FBE82C-63A6-49B4-965C-1DF3CC7370F5}"/>
    <cellStyle name="Note 8 4 2 2 2 4" xfId="32920" xr:uid="{2B5C05D8-B100-4481-9B1C-ABB728AC1FC4}"/>
    <cellStyle name="Note 8 4 2 2 3" xfId="13480" xr:uid="{00000000-0005-0000-0000-00002C640000}"/>
    <cellStyle name="Note 8 4 2 2 3 2" xfId="37330" xr:uid="{12A82DDB-EEF9-4095-A075-A4E9B09177D2}"/>
    <cellStyle name="Note 8 4 2 2 4" xfId="21435" xr:uid="{00000000-0005-0000-0000-00002D640000}"/>
    <cellStyle name="Note 8 4 2 2 4 2" xfId="45268" xr:uid="{50E1A598-678B-4452-A676-2CB7ECE299CE}"/>
    <cellStyle name="Note 8 4 2 2 5" xfId="29389" xr:uid="{DFE17543-89B3-4AA4-8469-00692E0E8337}"/>
    <cellStyle name="Note 8 4 2 3" xfId="7288" xr:uid="{00000000-0005-0000-0000-00002E640000}"/>
    <cellStyle name="Note 8 4 2 3 2" xfId="15260" xr:uid="{00000000-0005-0000-0000-00002F640000}"/>
    <cellStyle name="Note 8 4 2 3 2 2" xfId="39103" xr:uid="{CF5D3994-BFF1-4577-BAEE-F0BF7AFB6F34}"/>
    <cellStyle name="Note 8 4 2 3 3" xfId="23207" xr:uid="{00000000-0005-0000-0000-000030640000}"/>
    <cellStyle name="Note 8 4 2 3 3 2" xfId="47040" xr:uid="{873CD936-23A5-4475-8C95-F29FA0F3E787}"/>
    <cellStyle name="Note 8 4 2 3 4" xfId="31162" xr:uid="{4F7DF1D7-EB3F-440C-8346-635A18F5A62E}"/>
    <cellStyle name="Note 8 4 2 4" xfId="11724" xr:uid="{00000000-0005-0000-0000-000031640000}"/>
    <cellStyle name="Note 8 4 2 4 2" xfId="35574" xr:uid="{E962DC72-9902-43FA-A5A9-0F515CDE5C19}"/>
    <cellStyle name="Note 8 4 2 5" xfId="19679" xr:uid="{00000000-0005-0000-0000-000032640000}"/>
    <cellStyle name="Note 8 4 2 5 2" xfId="43512" xr:uid="{1F50D184-6819-4AFA-B0CB-5673040572CE}"/>
    <cellStyle name="Note 8 4 2 6" xfId="27632" xr:uid="{DE27C334-829B-4231-B485-E7CDDFC48C68}"/>
    <cellStyle name="Note 8 4 2_Exh G" xfId="3685" xr:uid="{00000000-0005-0000-0000-000033640000}"/>
    <cellStyle name="Note 8 4 3" xfId="4577" xr:uid="{00000000-0005-0000-0000-000034640000}"/>
    <cellStyle name="Note 8 4 3 2" xfId="8169" xr:uid="{00000000-0005-0000-0000-000035640000}"/>
    <cellStyle name="Note 8 4 3 2 2" xfId="16140" xr:uid="{00000000-0005-0000-0000-000036640000}"/>
    <cellStyle name="Note 8 4 3 2 2 2" xfId="39983" xr:uid="{2CC612D2-F167-495D-9D83-550581000B60}"/>
    <cellStyle name="Note 8 4 3 2 3" xfId="24086" xr:uid="{00000000-0005-0000-0000-000037640000}"/>
    <cellStyle name="Note 8 4 3 2 3 2" xfId="47919" xr:uid="{9FEEA6FF-B90B-44B9-B2AF-3A3B0B2DEAAD}"/>
    <cellStyle name="Note 8 4 3 2 4" xfId="32042" xr:uid="{54A04BCD-7907-40AD-9F19-55D0D256A5E6}"/>
    <cellStyle name="Note 8 4 3 3" xfId="12602" xr:uid="{00000000-0005-0000-0000-000038640000}"/>
    <cellStyle name="Note 8 4 3 3 2" xfId="36452" xr:uid="{EDD023C3-299A-4E82-A86A-2C5BF361E8AD}"/>
    <cellStyle name="Note 8 4 3 4" xfId="20557" xr:uid="{00000000-0005-0000-0000-000039640000}"/>
    <cellStyle name="Note 8 4 3 4 2" xfId="44390" xr:uid="{9B6475E4-0746-4A7E-99C4-43D31FA0D2A0}"/>
    <cellStyle name="Note 8 4 3 5" xfId="28511" xr:uid="{7DCE7A64-4C06-464D-AD55-8064D4487834}"/>
    <cellStyle name="Note 8 4 4" xfId="6409" xr:uid="{00000000-0005-0000-0000-00003A640000}"/>
    <cellStyle name="Note 8 4 4 2" xfId="14382" xr:uid="{00000000-0005-0000-0000-00003B640000}"/>
    <cellStyle name="Note 8 4 4 2 2" xfId="38225" xr:uid="{26CF8171-CAC5-46D7-A619-2EAB940A8705}"/>
    <cellStyle name="Note 8 4 4 3" xfId="22329" xr:uid="{00000000-0005-0000-0000-00003C640000}"/>
    <cellStyle name="Note 8 4 4 3 2" xfId="46162" xr:uid="{4A77A5B6-F30F-40BB-B7C3-5C4F3CF366FF}"/>
    <cellStyle name="Note 8 4 4 4" xfId="30284" xr:uid="{5C08CCC4-8D3F-4DA3-B9F3-C8AA9631DFD8}"/>
    <cellStyle name="Note 8 4 5" xfId="9950" xr:uid="{00000000-0005-0000-0000-00003D640000}"/>
    <cellStyle name="Note 8 4 5 2" xfId="17908" xr:uid="{00000000-0005-0000-0000-00003E640000}"/>
    <cellStyle name="Note 8 4 5 2 2" xfId="41749" xr:uid="{97E57DDC-C5DB-4BEF-A65E-07088C35D68F}"/>
    <cellStyle name="Note 8 4 5 3" xfId="25852" xr:uid="{00000000-0005-0000-0000-00003F640000}"/>
    <cellStyle name="Note 8 4 5 3 2" xfId="49685" xr:uid="{C6A3D02A-BE45-45A8-B1E2-00351B709CFD}"/>
    <cellStyle name="Note 8 4 5 4" xfId="33808" xr:uid="{E409C61F-9537-4913-B6D2-D4E997BA52D5}"/>
    <cellStyle name="Note 8 4 6" xfId="10846" xr:uid="{00000000-0005-0000-0000-000040640000}"/>
    <cellStyle name="Note 8 4 6 2" xfId="34696" xr:uid="{F66B31BE-9D03-49D5-937B-BBE976F99859}"/>
    <cellStyle name="Note 8 4 7" xfId="18801" xr:uid="{00000000-0005-0000-0000-000041640000}"/>
    <cellStyle name="Note 8 4 7 2" xfId="42634" xr:uid="{523BF6CA-65A5-4766-BFB8-0C0418C3DF2D}"/>
    <cellStyle name="Note 8 4 8" xfId="26754" xr:uid="{C31A3C85-379C-439F-A1B5-C1C7C00EBD79}"/>
    <cellStyle name="Note 8 4_Exh G" xfId="3684" xr:uid="{00000000-0005-0000-0000-000042640000}"/>
    <cellStyle name="Note 8 5" xfId="1758" xr:uid="{00000000-0005-0000-0000-000043640000}"/>
    <cellStyle name="Note 8 5 2" xfId="5288" xr:uid="{00000000-0005-0000-0000-000044640000}"/>
    <cellStyle name="Note 8 5 2 2" xfId="8879" xr:uid="{00000000-0005-0000-0000-000045640000}"/>
    <cellStyle name="Note 8 5 2 2 2" xfId="16850" xr:uid="{00000000-0005-0000-0000-000046640000}"/>
    <cellStyle name="Note 8 5 2 2 2 2" xfId="40693" xr:uid="{F10403B5-68B4-45B0-8EA4-DA99A79E97BF}"/>
    <cellStyle name="Note 8 5 2 2 3" xfId="24796" xr:uid="{00000000-0005-0000-0000-000047640000}"/>
    <cellStyle name="Note 8 5 2 2 3 2" xfId="48629" xr:uid="{B439B1AE-930E-4A6F-B616-CF5C01747FC4}"/>
    <cellStyle name="Note 8 5 2 2 4" xfId="32752" xr:uid="{DE99AE66-3C81-4AFF-9A8B-26F5BEE32650}"/>
    <cellStyle name="Note 8 5 2 3" xfId="13312" xr:uid="{00000000-0005-0000-0000-000048640000}"/>
    <cellStyle name="Note 8 5 2 3 2" xfId="37162" xr:uid="{652A6115-AFA7-4F73-80D2-079437B508B4}"/>
    <cellStyle name="Note 8 5 2 4" xfId="21267" xr:uid="{00000000-0005-0000-0000-000049640000}"/>
    <cellStyle name="Note 8 5 2 4 2" xfId="45100" xr:uid="{0E63588F-89B8-4FC8-8311-806379B96489}"/>
    <cellStyle name="Note 8 5 2 5" xfId="29221" xr:uid="{E209B5F5-9B36-4357-91B6-3E4954AACB46}"/>
    <cellStyle name="Note 8 5 3" xfId="7120" xr:uid="{00000000-0005-0000-0000-00004A640000}"/>
    <cellStyle name="Note 8 5 3 2" xfId="15092" xr:uid="{00000000-0005-0000-0000-00004B640000}"/>
    <cellStyle name="Note 8 5 3 2 2" xfId="38935" xr:uid="{F74FCE8C-55D2-4414-B769-2337DC9B1C19}"/>
    <cellStyle name="Note 8 5 3 3" xfId="23039" xr:uid="{00000000-0005-0000-0000-00004C640000}"/>
    <cellStyle name="Note 8 5 3 3 2" xfId="46872" xr:uid="{B633E7B0-AE25-4EA3-B241-15C599D28125}"/>
    <cellStyle name="Note 8 5 3 4" xfId="30994" xr:uid="{410F1D6D-2BAE-497F-B727-3F5C7198A628}"/>
    <cellStyle name="Note 8 5 4" xfId="11556" xr:uid="{00000000-0005-0000-0000-00004D640000}"/>
    <cellStyle name="Note 8 5 4 2" xfId="35406" xr:uid="{A417BB95-10C2-4964-BFBE-105D66B709D6}"/>
    <cellStyle name="Note 8 5 5" xfId="19511" xr:uid="{00000000-0005-0000-0000-00004E640000}"/>
    <cellStyle name="Note 8 5 5 2" xfId="43344" xr:uid="{0AE910E6-0478-45AF-B984-969BBDD212C4}"/>
    <cellStyle name="Note 8 5 6" xfId="27464" xr:uid="{BC14E67C-7DFB-46A0-AF54-6D72D43A5C69}"/>
    <cellStyle name="Note 8 5_Exh G" xfId="3686" xr:uid="{00000000-0005-0000-0000-00004F640000}"/>
    <cellStyle name="Note 8 6" xfId="4409" xr:uid="{00000000-0005-0000-0000-000050640000}"/>
    <cellStyle name="Note 8 6 2" xfId="8001" xr:uid="{00000000-0005-0000-0000-000051640000}"/>
    <cellStyle name="Note 8 6 2 2" xfId="15972" xr:uid="{00000000-0005-0000-0000-000052640000}"/>
    <cellStyle name="Note 8 6 2 2 2" xfId="39815" xr:uid="{DB6680BD-138D-4E4C-A662-A3CBC8118270}"/>
    <cellStyle name="Note 8 6 2 3" xfId="23918" xr:uid="{00000000-0005-0000-0000-000053640000}"/>
    <cellStyle name="Note 8 6 2 3 2" xfId="47751" xr:uid="{58330B1C-9CC6-4FEB-8F7D-E56516A99383}"/>
    <cellStyle name="Note 8 6 2 4" xfId="31874" xr:uid="{24F668AF-DE54-4819-AC21-34F323F8683C}"/>
    <cellStyle name="Note 8 6 3" xfId="12434" xr:uid="{00000000-0005-0000-0000-000054640000}"/>
    <cellStyle name="Note 8 6 3 2" xfId="36284" xr:uid="{A1AD7CAE-AC1C-4FC7-A741-A3963D0E1D23}"/>
    <cellStyle name="Note 8 6 4" xfId="20389" xr:uid="{00000000-0005-0000-0000-000055640000}"/>
    <cellStyle name="Note 8 6 4 2" xfId="44222" xr:uid="{3C579453-8B71-40D0-8EA8-66EDE0529B8E}"/>
    <cellStyle name="Note 8 6 5" xfId="28343" xr:uid="{EEF9605E-B825-4E6A-9B8B-D24CC79E55FD}"/>
    <cellStyle name="Note 8 7" xfId="6229" xr:uid="{00000000-0005-0000-0000-000056640000}"/>
    <cellStyle name="Note 8 7 2" xfId="14213" xr:uid="{00000000-0005-0000-0000-000057640000}"/>
    <cellStyle name="Note 8 7 2 2" xfId="38057" xr:uid="{EFFD7369-ABD4-4198-B24A-C876C1E812D8}"/>
    <cellStyle name="Note 8 7 3" xfId="22161" xr:uid="{00000000-0005-0000-0000-000058640000}"/>
    <cellStyle name="Note 8 7 3 2" xfId="45994" xr:uid="{02D5B6FF-B1F6-4D30-A3AB-64A01E140B33}"/>
    <cellStyle name="Note 8 7 4" xfId="30116" xr:uid="{330E36B0-1665-495D-B5CA-CAF2C6BC6CED}"/>
    <cellStyle name="Note 8 8" xfId="9782" xr:uid="{00000000-0005-0000-0000-000059640000}"/>
    <cellStyle name="Note 8 8 2" xfId="17740" xr:uid="{00000000-0005-0000-0000-00005A640000}"/>
    <cellStyle name="Note 8 8 2 2" xfId="41581" xr:uid="{B304004F-46F3-451B-A212-B1CAF2B38425}"/>
    <cellStyle name="Note 8 8 3" xfId="25684" xr:uid="{00000000-0005-0000-0000-00005B640000}"/>
    <cellStyle name="Note 8 8 3 2" xfId="49517" xr:uid="{67EC6100-8C1B-4417-89A4-8BBCC9F2F90E}"/>
    <cellStyle name="Note 8 8 4" xfId="33640" xr:uid="{217D7B9E-2152-4FBA-9874-98769FF59B9C}"/>
    <cellStyle name="Note 8 9" xfId="10678" xr:uid="{00000000-0005-0000-0000-00005C640000}"/>
    <cellStyle name="Note 8 9 2" xfId="34528" xr:uid="{816180DD-9C9A-4FB8-90EB-BA7356F704C5}"/>
    <cellStyle name="Note 8_Exh G" xfId="3677" xr:uid="{00000000-0005-0000-0000-00005D640000}"/>
    <cellStyle name="Note 9" xfId="734" xr:uid="{00000000-0005-0000-0000-00005E640000}"/>
    <cellStyle name="Note 9 10" xfId="18637" xr:uid="{00000000-0005-0000-0000-00005F640000}"/>
    <cellStyle name="Note 9 10 2" xfId="42470" xr:uid="{98B9C75C-217E-468B-B836-1BFA1471A54C}"/>
    <cellStyle name="Note 9 11" xfId="26590" xr:uid="{F0B124F6-2BEA-4906-A0DF-E1434034527E}"/>
    <cellStyle name="Note 9 2" xfId="735" xr:uid="{00000000-0005-0000-0000-000060640000}"/>
    <cellStyle name="Note 9 2 2" xfId="736" xr:uid="{00000000-0005-0000-0000-000061640000}"/>
    <cellStyle name="Note 9 2 2 2" xfId="1764" xr:uid="{00000000-0005-0000-0000-000062640000}"/>
    <cellStyle name="Note 9 2 2 2 2" xfId="5294" xr:uid="{00000000-0005-0000-0000-000063640000}"/>
    <cellStyle name="Note 9 2 2 2 2 2" xfId="8885" xr:uid="{00000000-0005-0000-0000-000064640000}"/>
    <cellStyle name="Note 9 2 2 2 2 2 2" xfId="16856" xr:uid="{00000000-0005-0000-0000-000065640000}"/>
    <cellStyle name="Note 9 2 2 2 2 2 2 2" xfId="40699" xr:uid="{2D443883-E3F4-48F5-BCA5-31A87887C37A}"/>
    <cellStyle name="Note 9 2 2 2 2 2 3" xfId="24802" xr:uid="{00000000-0005-0000-0000-000066640000}"/>
    <cellStyle name="Note 9 2 2 2 2 2 3 2" xfId="48635" xr:uid="{EC701DFC-ED0B-45F7-A230-0D382607B695}"/>
    <cellStyle name="Note 9 2 2 2 2 2 4" xfId="32758" xr:uid="{8D6DDB7B-BF2B-4D9D-9432-38C26ED87383}"/>
    <cellStyle name="Note 9 2 2 2 2 3" xfId="13318" xr:uid="{00000000-0005-0000-0000-000067640000}"/>
    <cellStyle name="Note 9 2 2 2 2 3 2" xfId="37168" xr:uid="{1F719971-457F-4C97-8C9A-72D329527BC5}"/>
    <cellStyle name="Note 9 2 2 2 2 4" xfId="21273" xr:uid="{00000000-0005-0000-0000-000068640000}"/>
    <cellStyle name="Note 9 2 2 2 2 4 2" xfId="45106" xr:uid="{09D2A380-2537-4386-895B-99DE54996E06}"/>
    <cellStyle name="Note 9 2 2 2 2 5" xfId="29227" xr:uid="{12A3A0B5-DFD2-46D9-9BB1-9642A542B42F}"/>
    <cellStyle name="Note 9 2 2 2 3" xfId="7126" xr:uid="{00000000-0005-0000-0000-000069640000}"/>
    <cellStyle name="Note 9 2 2 2 3 2" xfId="15098" xr:uid="{00000000-0005-0000-0000-00006A640000}"/>
    <cellStyle name="Note 9 2 2 2 3 2 2" xfId="38941" xr:uid="{078FD4DD-EAF2-4535-A68D-C930A97BF291}"/>
    <cellStyle name="Note 9 2 2 2 3 3" xfId="23045" xr:uid="{00000000-0005-0000-0000-00006B640000}"/>
    <cellStyle name="Note 9 2 2 2 3 3 2" xfId="46878" xr:uid="{A2B42C10-33A2-4005-9D7E-0E4C70560091}"/>
    <cellStyle name="Note 9 2 2 2 3 4" xfId="31000" xr:uid="{C927B8EC-6E59-411A-8B59-040A882B5F8B}"/>
    <cellStyle name="Note 9 2 2 2 4" xfId="11562" xr:uid="{00000000-0005-0000-0000-00006C640000}"/>
    <cellStyle name="Note 9 2 2 2 4 2" xfId="35412" xr:uid="{DB1E7BDD-2FE9-4515-BFB2-FCA230E4DBF7}"/>
    <cellStyle name="Note 9 2 2 2 5" xfId="19517" xr:uid="{00000000-0005-0000-0000-00006D640000}"/>
    <cellStyle name="Note 9 2 2 2 5 2" xfId="43350" xr:uid="{3F47AA54-B958-4765-84CD-23357413E3A3}"/>
    <cellStyle name="Note 9 2 2 2 6" xfId="27470" xr:uid="{166A8905-D3A2-44D6-9CB9-78E488A62856}"/>
    <cellStyle name="Note 9 2 2 2_Exh G" xfId="3690" xr:uid="{00000000-0005-0000-0000-00006E640000}"/>
    <cellStyle name="Note 9 2 2 3" xfId="4415" xr:uid="{00000000-0005-0000-0000-00006F640000}"/>
    <cellStyle name="Note 9 2 2 3 2" xfId="8007" xr:uid="{00000000-0005-0000-0000-000070640000}"/>
    <cellStyle name="Note 9 2 2 3 2 2" xfId="15978" xr:uid="{00000000-0005-0000-0000-000071640000}"/>
    <cellStyle name="Note 9 2 2 3 2 2 2" xfId="39821" xr:uid="{1EFBE16C-39C7-44E4-BAFD-DA197FF3A81A}"/>
    <cellStyle name="Note 9 2 2 3 2 3" xfId="23924" xr:uid="{00000000-0005-0000-0000-000072640000}"/>
    <cellStyle name="Note 9 2 2 3 2 3 2" xfId="47757" xr:uid="{91E399AA-393D-4E0E-9791-3DAFBA206921}"/>
    <cellStyle name="Note 9 2 2 3 2 4" xfId="31880" xr:uid="{59D134C6-B0FA-402F-B60A-ECA87D3A4D13}"/>
    <cellStyle name="Note 9 2 2 3 3" xfId="12440" xr:uid="{00000000-0005-0000-0000-000073640000}"/>
    <cellStyle name="Note 9 2 2 3 3 2" xfId="36290" xr:uid="{3F556A19-C9A2-476F-9736-BA06CFA0D254}"/>
    <cellStyle name="Note 9 2 2 3 4" xfId="20395" xr:uid="{00000000-0005-0000-0000-000074640000}"/>
    <cellStyle name="Note 9 2 2 3 4 2" xfId="44228" xr:uid="{88F22C36-53C0-442B-B895-AB3436CB788D}"/>
    <cellStyle name="Note 9 2 2 3 5" xfId="28349" xr:uid="{C8BBE478-628E-43C8-9A4F-0F237F9505F8}"/>
    <cellStyle name="Note 9 2 2 4" xfId="6235" xr:uid="{00000000-0005-0000-0000-000075640000}"/>
    <cellStyle name="Note 9 2 2 4 2" xfId="14219" xr:uid="{00000000-0005-0000-0000-000076640000}"/>
    <cellStyle name="Note 9 2 2 4 2 2" xfId="38063" xr:uid="{06722C63-491B-40EE-910F-3E0EC976BA36}"/>
    <cellStyle name="Note 9 2 2 4 3" xfId="22167" xr:uid="{00000000-0005-0000-0000-000077640000}"/>
    <cellStyle name="Note 9 2 2 4 3 2" xfId="46000" xr:uid="{50761395-11F3-4477-8B4E-AF71A9BAB984}"/>
    <cellStyle name="Note 9 2 2 4 4" xfId="30122" xr:uid="{83ADB7C1-33FC-4EAD-A531-65CB663C696D}"/>
    <cellStyle name="Note 9 2 2 5" xfId="9788" xr:uid="{00000000-0005-0000-0000-000078640000}"/>
    <cellStyle name="Note 9 2 2 5 2" xfId="17746" xr:uid="{00000000-0005-0000-0000-000079640000}"/>
    <cellStyle name="Note 9 2 2 5 2 2" xfId="41587" xr:uid="{29272D50-0AC3-4DCD-BE6D-5547D13989D9}"/>
    <cellStyle name="Note 9 2 2 5 3" xfId="25690" xr:uid="{00000000-0005-0000-0000-00007A640000}"/>
    <cellStyle name="Note 9 2 2 5 3 2" xfId="49523" xr:uid="{B9B36932-535D-48A7-BDF8-4039689ABF63}"/>
    <cellStyle name="Note 9 2 2 5 4" xfId="33646" xr:uid="{37DC56FC-852B-4665-80D1-96157414653C}"/>
    <cellStyle name="Note 9 2 2 6" xfId="10684" xr:uid="{00000000-0005-0000-0000-00007B640000}"/>
    <cellStyle name="Note 9 2 2 6 2" xfId="34534" xr:uid="{EB985E95-1468-438A-9455-BEF23B2D1286}"/>
    <cellStyle name="Note 9 2 2 7" xfId="18639" xr:uid="{00000000-0005-0000-0000-00007C640000}"/>
    <cellStyle name="Note 9 2 2 7 2" xfId="42472" xr:uid="{37218FD2-1018-4F1A-AD78-710F959A928F}"/>
    <cellStyle name="Note 9 2 2 8" xfId="26592" xr:uid="{A18FFB61-E257-4B9E-802C-1C10DEB0BF77}"/>
    <cellStyle name="Note 9 2 2_Exh G" xfId="3689" xr:uid="{00000000-0005-0000-0000-00007D640000}"/>
    <cellStyle name="Note 9 2 3" xfId="1763" xr:uid="{00000000-0005-0000-0000-00007E640000}"/>
    <cellStyle name="Note 9 2 3 2" xfId="5293" xr:uid="{00000000-0005-0000-0000-00007F640000}"/>
    <cellStyle name="Note 9 2 3 2 2" xfId="8884" xr:uid="{00000000-0005-0000-0000-000080640000}"/>
    <cellStyle name="Note 9 2 3 2 2 2" xfId="16855" xr:uid="{00000000-0005-0000-0000-000081640000}"/>
    <cellStyle name="Note 9 2 3 2 2 2 2" xfId="40698" xr:uid="{3BB1BFBD-2CE6-4F99-85CD-08377CDE41CF}"/>
    <cellStyle name="Note 9 2 3 2 2 3" xfId="24801" xr:uid="{00000000-0005-0000-0000-000082640000}"/>
    <cellStyle name="Note 9 2 3 2 2 3 2" xfId="48634" xr:uid="{12EC2A26-DBD7-4457-A71D-B18B20149CAE}"/>
    <cellStyle name="Note 9 2 3 2 2 4" xfId="32757" xr:uid="{913125BA-48CE-413E-844C-F9F6357B5E11}"/>
    <cellStyle name="Note 9 2 3 2 3" xfId="13317" xr:uid="{00000000-0005-0000-0000-000083640000}"/>
    <cellStyle name="Note 9 2 3 2 3 2" xfId="37167" xr:uid="{76A0EBB1-208B-4902-AFCF-B863942F4F13}"/>
    <cellStyle name="Note 9 2 3 2 4" xfId="21272" xr:uid="{00000000-0005-0000-0000-000084640000}"/>
    <cellStyle name="Note 9 2 3 2 4 2" xfId="45105" xr:uid="{BE569910-21A3-4387-9B9E-DA58FFB91038}"/>
    <cellStyle name="Note 9 2 3 2 5" xfId="29226" xr:uid="{16D98DC3-78BD-4290-B2D1-4AD97773FB77}"/>
    <cellStyle name="Note 9 2 3 3" xfId="7125" xr:uid="{00000000-0005-0000-0000-000085640000}"/>
    <cellStyle name="Note 9 2 3 3 2" xfId="15097" xr:uid="{00000000-0005-0000-0000-000086640000}"/>
    <cellStyle name="Note 9 2 3 3 2 2" xfId="38940" xr:uid="{6B631D50-00E4-48EA-A506-EBFFDD73F1A3}"/>
    <cellStyle name="Note 9 2 3 3 3" xfId="23044" xr:uid="{00000000-0005-0000-0000-000087640000}"/>
    <cellStyle name="Note 9 2 3 3 3 2" xfId="46877" xr:uid="{CF5FEBFB-F4B8-40AD-9962-0D91C34BCE84}"/>
    <cellStyle name="Note 9 2 3 3 4" xfId="30999" xr:uid="{0158848B-0761-4643-B0F8-D7B91262020C}"/>
    <cellStyle name="Note 9 2 3 4" xfId="11561" xr:uid="{00000000-0005-0000-0000-000088640000}"/>
    <cellStyle name="Note 9 2 3 4 2" xfId="35411" xr:uid="{E0A60404-9383-4654-AC06-E5EF29779FC7}"/>
    <cellStyle name="Note 9 2 3 5" xfId="19516" xr:uid="{00000000-0005-0000-0000-000089640000}"/>
    <cellStyle name="Note 9 2 3 5 2" xfId="43349" xr:uid="{9CC48B5C-1FDC-490E-9E21-F10400B1D813}"/>
    <cellStyle name="Note 9 2 3 6" xfId="27469" xr:uid="{2A7D0932-7982-46E8-BE35-C49DBFDB90BA}"/>
    <cellStyle name="Note 9 2 3_Exh G" xfId="3691" xr:uid="{00000000-0005-0000-0000-00008A640000}"/>
    <cellStyle name="Note 9 2 4" xfId="4414" xr:uid="{00000000-0005-0000-0000-00008B640000}"/>
    <cellStyle name="Note 9 2 4 2" xfId="8006" xr:uid="{00000000-0005-0000-0000-00008C640000}"/>
    <cellStyle name="Note 9 2 4 2 2" xfId="15977" xr:uid="{00000000-0005-0000-0000-00008D640000}"/>
    <cellStyle name="Note 9 2 4 2 2 2" xfId="39820" xr:uid="{952586E8-D0E2-40CB-B3C8-C0E86334BF46}"/>
    <cellStyle name="Note 9 2 4 2 3" xfId="23923" xr:uid="{00000000-0005-0000-0000-00008E640000}"/>
    <cellStyle name="Note 9 2 4 2 3 2" xfId="47756" xr:uid="{9816545D-6831-4973-91DD-F89D0893BBE3}"/>
    <cellStyle name="Note 9 2 4 2 4" xfId="31879" xr:uid="{1524D5FB-7BB1-4CFE-B1D6-04C34170FE75}"/>
    <cellStyle name="Note 9 2 4 3" xfId="12439" xr:uid="{00000000-0005-0000-0000-00008F640000}"/>
    <cellStyle name="Note 9 2 4 3 2" xfId="36289" xr:uid="{7EDE5BB3-B91A-4051-8F19-39525599E51C}"/>
    <cellStyle name="Note 9 2 4 4" xfId="20394" xr:uid="{00000000-0005-0000-0000-000090640000}"/>
    <cellStyle name="Note 9 2 4 4 2" xfId="44227" xr:uid="{2C166FE7-8094-46ED-B450-B287ED046DEF}"/>
    <cellStyle name="Note 9 2 4 5" xfId="28348" xr:uid="{A09D6DCC-DCA6-4553-8F20-F9B488CC13BA}"/>
    <cellStyle name="Note 9 2 5" xfId="6234" xr:uid="{00000000-0005-0000-0000-000091640000}"/>
    <cellStyle name="Note 9 2 5 2" xfId="14218" xr:uid="{00000000-0005-0000-0000-000092640000}"/>
    <cellStyle name="Note 9 2 5 2 2" xfId="38062" xr:uid="{1EB43644-1CC8-4657-AF56-0755C72A3C89}"/>
    <cellStyle name="Note 9 2 5 3" xfId="22166" xr:uid="{00000000-0005-0000-0000-000093640000}"/>
    <cellStyle name="Note 9 2 5 3 2" xfId="45999" xr:uid="{EB92B02A-CC55-4D84-AC85-6E90C488D82D}"/>
    <cellStyle name="Note 9 2 5 4" xfId="30121" xr:uid="{6C9076B9-5776-4296-8FF6-A39F1891041A}"/>
    <cellStyle name="Note 9 2 6" xfId="9787" xr:uid="{00000000-0005-0000-0000-000094640000}"/>
    <cellStyle name="Note 9 2 6 2" xfId="17745" xr:uid="{00000000-0005-0000-0000-000095640000}"/>
    <cellStyle name="Note 9 2 6 2 2" xfId="41586" xr:uid="{C39C2126-F5A1-4803-86F7-2DE346FFB5F7}"/>
    <cellStyle name="Note 9 2 6 3" xfId="25689" xr:uid="{00000000-0005-0000-0000-000096640000}"/>
    <cellStyle name="Note 9 2 6 3 2" xfId="49522" xr:uid="{BB05DF12-8D10-4A1C-AD6D-94E3EF766631}"/>
    <cellStyle name="Note 9 2 6 4" xfId="33645" xr:uid="{AC8705EE-7DA1-4D36-B381-77BA644BE889}"/>
    <cellStyle name="Note 9 2 7" xfId="10683" xr:uid="{00000000-0005-0000-0000-000097640000}"/>
    <cellStyle name="Note 9 2 7 2" xfId="34533" xr:uid="{AB17183B-8372-4FE9-8A5C-B227B8BEAFA7}"/>
    <cellStyle name="Note 9 2 8" xfId="18638" xr:uid="{00000000-0005-0000-0000-000098640000}"/>
    <cellStyle name="Note 9 2 8 2" xfId="42471" xr:uid="{CE486E6A-AE1A-4C18-A7DB-5AEE510096FA}"/>
    <cellStyle name="Note 9 2 9" xfId="26591" xr:uid="{5185B392-403C-40F1-A600-A94F930EF2C3}"/>
    <cellStyle name="Note 9 2_Exh G" xfId="3688" xr:uid="{00000000-0005-0000-0000-000099640000}"/>
    <cellStyle name="Note 9 3" xfId="737" xr:uid="{00000000-0005-0000-0000-00009A640000}"/>
    <cellStyle name="Note 9 3 2" xfId="1765" xr:uid="{00000000-0005-0000-0000-00009B640000}"/>
    <cellStyle name="Note 9 3 2 2" xfId="5295" xr:uid="{00000000-0005-0000-0000-00009C640000}"/>
    <cellStyle name="Note 9 3 2 2 2" xfId="8886" xr:uid="{00000000-0005-0000-0000-00009D640000}"/>
    <cellStyle name="Note 9 3 2 2 2 2" xfId="16857" xr:uid="{00000000-0005-0000-0000-00009E640000}"/>
    <cellStyle name="Note 9 3 2 2 2 2 2" xfId="40700" xr:uid="{7BA52E4B-BEA9-4E81-888B-0F16DEED7B7F}"/>
    <cellStyle name="Note 9 3 2 2 2 3" xfId="24803" xr:uid="{00000000-0005-0000-0000-00009F640000}"/>
    <cellStyle name="Note 9 3 2 2 2 3 2" xfId="48636" xr:uid="{F088ADB2-8808-4F78-8A9B-F26AF4447D27}"/>
    <cellStyle name="Note 9 3 2 2 2 4" xfId="32759" xr:uid="{121FDCA3-06B5-4493-A6EF-B9E80552D087}"/>
    <cellStyle name="Note 9 3 2 2 3" xfId="13319" xr:uid="{00000000-0005-0000-0000-0000A0640000}"/>
    <cellStyle name="Note 9 3 2 2 3 2" xfId="37169" xr:uid="{FCABA7E6-2460-4BB1-BFBA-B8FC3E78DD35}"/>
    <cellStyle name="Note 9 3 2 2 4" xfId="21274" xr:uid="{00000000-0005-0000-0000-0000A1640000}"/>
    <cellStyle name="Note 9 3 2 2 4 2" xfId="45107" xr:uid="{0DE34CCF-FB3E-42BC-86FE-97474D989DD3}"/>
    <cellStyle name="Note 9 3 2 2 5" xfId="29228" xr:uid="{BFA1A0DC-AC88-4671-898A-F8C1B795F6B7}"/>
    <cellStyle name="Note 9 3 2 3" xfId="7127" xr:uid="{00000000-0005-0000-0000-0000A2640000}"/>
    <cellStyle name="Note 9 3 2 3 2" xfId="15099" xr:uid="{00000000-0005-0000-0000-0000A3640000}"/>
    <cellStyle name="Note 9 3 2 3 2 2" xfId="38942" xr:uid="{6DF68F2E-9056-44E8-8FF2-2EC4D957C92B}"/>
    <cellStyle name="Note 9 3 2 3 3" xfId="23046" xr:uid="{00000000-0005-0000-0000-0000A4640000}"/>
    <cellStyle name="Note 9 3 2 3 3 2" xfId="46879" xr:uid="{E7E32DBC-AC83-432E-9A1B-691590658963}"/>
    <cellStyle name="Note 9 3 2 3 4" xfId="31001" xr:uid="{3684B375-E59C-46C0-A947-D8E182BED6D1}"/>
    <cellStyle name="Note 9 3 2 4" xfId="11563" xr:uid="{00000000-0005-0000-0000-0000A5640000}"/>
    <cellStyle name="Note 9 3 2 4 2" xfId="35413" xr:uid="{0629671D-4FA6-4CD1-8C23-23722B992BE7}"/>
    <cellStyle name="Note 9 3 2 5" xfId="19518" xr:uid="{00000000-0005-0000-0000-0000A6640000}"/>
    <cellStyle name="Note 9 3 2 5 2" xfId="43351" xr:uid="{32E4144E-1792-4A8F-8E20-BB216C2F481A}"/>
    <cellStyle name="Note 9 3 2 6" xfId="27471" xr:uid="{4B26D67F-4328-4822-948A-C2A5E08ECC55}"/>
    <cellStyle name="Note 9 3 2_Exh G" xfId="3693" xr:uid="{00000000-0005-0000-0000-0000A7640000}"/>
    <cellStyle name="Note 9 3 3" xfId="4416" xr:uid="{00000000-0005-0000-0000-0000A8640000}"/>
    <cellStyle name="Note 9 3 3 2" xfId="8008" xr:uid="{00000000-0005-0000-0000-0000A9640000}"/>
    <cellStyle name="Note 9 3 3 2 2" xfId="15979" xr:uid="{00000000-0005-0000-0000-0000AA640000}"/>
    <cellStyle name="Note 9 3 3 2 2 2" xfId="39822" xr:uid="{025402E5-89FA-47C7-AAF8-CC30F966A95D}"/>
    <cellStyle name="Note 9 3 3 2 3" xfId="23925" xr:uid="{00000000-0005-0000-0000-0000AB640000}"/>
    <cellStyle name="Note 9 3 3 2 3 2" xfId="47758" xr:uid="{85655C44-CA1C-4E5F-A4C2-ABE55C91B7EB}"/>
    <cellStyle name="Note 9 3 3 2 4" xfId="31881" xr:uid="{55C0D61F-6845-4FDC-BFEF-916AA714DF0B}"/>
    <cellStyle name="Note 9 3 3 3" xfId="12441" xr:uid="{00000000-0005-0000-0000-0000AC640000}"/>
    <cellStyle name="Note 9 3 3 3 2" xfId="36291" xr:uid="{A9F54A81-4971-4B9C-B747-733A73440430}"/>
    <cellStyle name="Note 9 3 3 4" xfId="20396" xr:uid="{00000000-0005-0000-0000-0000AD640000}"/>
    <cellStyle name="Note 9 3 3 4 2" xfId="44229" xr:uid="{071D1F73-4DEA-47B2-9963-E7450FBA5BC1}"/>
    <cellStyle name="Note 9 3 3 5" xfId="28350" xr:uid="{10A356E1-703E-4BA8-BB5F-89F19340AEB4}"/>
    <cellStyle name="Note 9 3 4" xfId="6236" xr:uid="{00000000-0005-0000-0000-0000AE640000}"/>
    <cellStyle name="Note 9 3 4 2" xfId="14220" xr:uid="{00000000-0005-0000-0000-0000AF640000}"/>
    <cellStyle name="Note 9 3 4 2 2" xfId="38064" xr:uid="{2A5B5B53-711F-484A-BBD2-18046760BF61}"/>
    <cellStyle name="Note 9 3 4 3" xfId="22168" xr:uid="{00000000-0005-0000-0000-0000B0640000}"/>
    <cellStyle name="Note 9 3 4 3 2" xfId="46001" xr:uid="{D855488D-BE13-4326-9B5A-D73F6E948206}"/>
    <cellStyle name="Note 9 3 4 4" xfId="30123" xr:uid="{1FE304DB-EDA2-4876-BBB6-917105D9E9FE}"/>
    <cellStyle name="Note 9 3 5" xfId="9789" xr:uid="{00000000-0005-0000-0000-0000B1640000}"/>
    <cellStyle name="Note 9 3 5 2" xfId="17747" xr:uid="{00000000-0005-0000-0000-0000B2640000}"/>
    <cellStyle name="Note 9 3 5 2 2" xfId="41588" xr:uid="{D869A498-2E05-4320-9410-39124CA16A02}"/>
    <cellStyle name="Note 9 3 5 3" xfId="25691" xr:uid="{00000000-0005-0000-0000-0000B3640000}"/>
    <cellStyle name="Note 9 3 5 3 2" xfId="49524" xr:uid="{FA716C05-1469-4773-819A-8DF163AF5753}"/>
    <cellStyle name="Note 9 3 5 4" xfId="33647" xr:uid="{5EC47388-7488-40BA-93CA-8919656C2AEA}"/>
    <cellStyle name="Note 9 3 6" xfId="10685" xr:uid="{00000000-0005-0000-0000-0000B4640000}"/>
    <cellStyle name="Note 9 3 6 2" xfId="34535" xr:uid="{34C0D769-605B-4B84-8CC5-31E8C2BB7219}"/>
    <cellStyle name="Note 9 3 7" xfId="18640" xr:uid="{00000000-0005-0000-0000-0000B5640000}"/>
    <cellStyle name="Note 9 3 7 2" xfId="42473" xr:uid="{73370D5C-FF90-4822-957A-70087EB19867}"/>
    <cellStyle name="Note 9 3 8" xfId="26593" xr:uid="{CAFDE4F9-349A-41D7-8DD4-F04AD2FF9896}"/>
    <cellStyle name="Note 9 3_Exh G" xfId="3692" xr:uid="{00000000-0005-0000-0000-0000B6640000}"/>
    <cellStyle name="Note 9 4" xfId="1040" xr:uid="{00000000-0005-0000-0000-0000B7640000}"/>
    <cellStyle name="Note 9 4 2" xfId="1939" xr:uid="{00000000-0005-0000-0000-0000B8640000}"/>
    <cellStyle name="Note 9 4 2 2" xfId="5457" xr:uid="{00000000-0005-0000-0000-0000B9640000}"/>
    <cellStyle name="Note 9 4 2 2 2" xfId="9048" xr:uid="{00000000-0005-0000-0000-0000BA640000}"/>
    <cellStyle name="Note 9 4 2 2 2 2" xfId="17019" xr:uid="{00000000-0005-0000-0000-0000BB640000}"/>
    <cellStyle name="Note 9 4 2 2 2 2 2" xfId="40862" xr:uid="{85F5DB24-E768-4C5D-89E7-BC9EC28DC9A3}"/>
    <cellStyle name="Note 9 4 2 2 2 3" xfId="24965" xr:uid="{00000000-0005-0000-0000-0000BC640000}"/>
    <cellStyle name="Note 9 4 2 2 2 3 2" xfId="48798" xr:uid="{4FF6F304-2880-4723-B83E-00B41D78F801}"/>
    <cellStyle name="Note 9 4 2 2 2 4" xfId="32921" xr:uid="{F854AF45-7057-41EC-A750-1B1A5A7CD89F}"/>
    <cellStyle name="Note 9 4 2 2 3" xfId="13481" xr:uid="{00000000-0005-0000-0000-0000BD640000}"/>
    <cellStyle name="Note 9 4 2 2 3 2" xfId="37331" xr:uid="{F35A9143-9507-47AB-9AFA-CFDC65AD70D2}"/>
    <cellStyle name="Note 9 4 2 2 4" xfId="21436" xr:uid="{00000000-0005-0000-0000-0000BE640000}"/>
    <cellStyle name="Note 9 4 2 2 4 2" xfId="45269" xr:uid="{05CDFAFE-43A0-4DB7-AD40-513E05FDBE39}"/>
    <cellStyle name="Note 9 4 2 2 5" xfId="29390" xr:uid="{FCB04ED0-1D36-4610-8197-5FF83ACCA4C3}"/>
    <cellStyle name="Note 9 4 2 3" xfId="7289" xr:uid="{00000000-0005-0000-0000-0000BF640000}"/>
    <cellStyle name="Note 9 4 2 3 2" xfId="15261" xr:uid="{00000000-0005-0000-0000-0000C0640000}"/>
    <cellStyle name="Note 9 4 2 3 2 2" xfId="39104" xr:uid="{C6ACBE81-6FE8-4D6F-8A92-3C87EF40DA2B}"/>
    <cellStyle name="Note 9 4 2 3 3" xfId="23208" xr:uid="{00000000-0005-0000-0000-0000C1640000}"/>
    <cellStyle name="Note 9 4 2 3 3 2" xfId="47041" xr:uid="{9FE996E6-5A70-428C-9963-5D10D49BD029}"/>
    <cellStyle name="Note 9 4 2 3 4" xfId="31163" xr:uid="{2F18982D-C728-458B-8290-047945938E0A}"/>
    <cellStyle name="Note 9 4 2 4" xfId="11725" xr:uid="{00000000-0005-0000-0000-0000C2640000}"/>
    <cellStyle name="Note 9 4 2 4 2" xfId="35575" xr:uid="{97DE4D4F-3165-446A-938C-831C0565C8D0}"/>
    <cellStyle name="Note 9 4 2 5" xfId="19680" xr:uid="{00000000-0005-0000-0000-0000C3640000}"/>
    <cellStyle name="Note 9 4 2 5 2" xfId="43513" xr:uid="{2548050B-672E-4F1A-9EA3-7D6BF103A094}"/>
    <cellStyle name="Note 9 4 2 6" xfId="27633" xr:uid="{07606C73-9462-4344-8A22-EEF9B12042A0}"/>
    <cellStyle name="Note 9 4 2_Exh G" xfId="3695" xr:uid="{00000000-0005-0000-0000-0000C4640000}"/>
    <cellStyle name="Note 9 4 3" xfId="4578" xr:uid="{00000000-0005-0000-0000-0000C5640000}"/>
    <cellStyle name="Note 9 4 3 2" xfId="8170" xr:uid="{00000000-0005-0000-0000-0000C6640000}"/>
    <cellStyle name="Note 9 4 3 2 2" xfId="16141" xr:uid="{00000000-0005-0000-0000-0000C7640000}"/>
    <cellStyle name="Note 9 4 3 2 2 2" xfId="39984" xr:uid="{4BD1D994-2BE2-4513-BB17-3EDE5B9C6899}"/>
    <cellStyle name="Note 9 4 3 2 3" xfId="24087" xr:uid="{00000000-0005-0000-0000-0000C8640000}"/>
    <cellStyle name="Note 9 4 3 2 3 2" xfId="47920" xr:uid="{78C8BB83-55B4-47FB-A6A1-874823D1B441}"/>
    <cellStyle name="Note 9 4 3 2 4" xfId="32043" xr:uid="{B8E10B37-B55A-4043-A061-72FF0C3E7000}"/>
    <cellStyle name="Note 9 4 3 3" xfId="12603" xr:uid="{00000000-0005-0000-0000-0000C9640000}"/>
    <cellStyle name="Note 9 4 3 3 2" xfId="36453" xr:uid="{D3677765-E255-499A-A9DD-20203B96DFD5}"/>
    <cellStyle name="Note 9 4 3 4" xfId="20558" xr:uid="{00000000-0005-0000-0000-0000CA640000}"/>
    <cellStyle name="Note 9 4 3 4 2" xfId="44391" xr:uid="{1C9B6469-67D7-4E5D-8728-FEC0F7BF5E3E}"/>
    <cellStyle name="Note 9 4 3 5" xfId="28512" xr:uid="{6ACAD47C-00A5-4E27-99EC-514D1F554E74}"/>
    <cellStyle name="Note 9 4 4" xfId="6410" xr:uid="{00000000-0005-0000-0000-0000CB640000}"/>
    <cellStyle name="Note 9 4 4 2" xfId="14383" xr:uid="{00000000-0005-0000-0000-0000CC640000}"/>
    <cellStyle name="Note 9 4 4 2 2" xfId="38226" xr:uid="{44A4CB88-4953-4B88-BAC7-19189840842C}"/>
    <cellStyle name="Note 9 4 4 3" xfId="22330" xr:uid="{00000000-0005-0000-0000-0000CD640000}"/>
    <cellStyle name="Note 9 4 4 3 2" xfId="46163" xr:uid="{AE891A76-2F3F-4972-BBED-666CA2CDA770}"/>
    <cellStyle name="Note 9 4 4 4" xfId="30285" xr:uid="{870B71CA-450C-4469-989F-4A150849CAFA}"/>
    <cellStyle name="Note 9 4 5" xfId="9951" xr:uid="{00000000-0005-0000-0000-0000CE640000}"/>
    <cellStyle name="Note 9 4 5 2" xfId="17909" xr:uid="{00000000-0005-0000-0000-0000CF640000}"/>
    <cellStyle name="Note 9 4 5 2 2" xfId="41750" xr:uid="{CDC63EC5-9A76-4C83-B319-B981DF13F7CD}"/>
    <cellStyle name="Note 9 4 5 3" xfId="25853" xr:uid="{00000000-0005-0000-0000-0000D0640000}"/>
    <cellStyle name="Note 9 4 5 3 2" xfId="49686" xr:uid="{B47A73D7-7BF9-422B-B981-6C9879313EAF}"/>
    <cellStyle name="Note 9 4 5 4" xfId="33809" xr:uid="{624C4EE8-59C5-4D17-86EC-F730D2450BA0}"/>
    <cellStyle name="Note 9 4 6" xfId="10847" xr:uid="{00000000-0005-0000-0000-0000D1640000}"/>
    <cellStyle name="Note 9 4 6 2" xfId="34697" xr:uid="{E44B7865-C2CF-435A-8162-3A504C97FBC8}"/>
    <cellStyle name="Note 9 4 7" xfId="18802" xr:uid="{00000000-0005-0000-0000-0000D2640000}"/>
    <cellStyle name="Note 9 4 7 2" xfId="42635" xr:uid="{17B125CC-9029-43B8-9CCD-EF5E64807373}"/>
    <cellStyle name="Note 9 4 8" xfId="26755" xr:uid="{68465ACF-3318-42D2-894D-4F3EAFF5A991}"/>
    <cellStyle name="Note 9 4_Exh G" xfId="3694" xr:uid="{00000000-0005-0000-0000-0000D3640000}"/>
    <cellStyle name="Note 9 5" xfId="1762" xr:uid="{00000000-0005-0000-0000-0000D4640000}"/>
    <cellStyle name="Note 9 5 2" xfId="5292" xr:uid="{00000000-0005-0000-0000-0000D5640000}"/>
    <cellStyle name="Note 9 5 2 2" xfId="8883" xr:uid="{00000000-0005-0000-0000-0000D6640000}"/>
    <cellStyle name="Note 9 5 2 2 2" xfId="16854" xr:uid="{00000000-0005-0000-0000-0000D7640000}"/>
    <cellStyle name="Note 9 5 2 2 2 2" xfId="40697" xr:uid="{E2784E14-631A-49F8-A183-20F4BBC34474}"/>
    <cellStyle name="Note 9 5 2 2 3" xfId="24800" xr:uid="{00000000-0005-0000-0000-0000D8640000}"/>
    <cellStyle name="Note 9 5 2 2 3 2" xfId="48633" xr:uid="{44C01FFE-FF1F-4B4B-BE37-7B5D55DDA016}"/>
    <cellStyle name="Note 9 5 2 2 4" xfId="32756" xr:uid="{E5D1CB3B-DBC6-400C-B6BE-3AEAB52CE928}"/>
    <cellStyle name="Note 9 5 2 3" xfId="13316" xr:uid="{00000000-0005-0000-0000-0000D9640000}"/>
    <cellStyle name="Note 9 5 2 3 2" xfId="37166" xr:uid="{0CC1E72F-7F09-4E67-9688-1AB72169C69C}"/>
    <cellStyle name="Note 9 5 2 4" xfId="21271" xr:uid="{00000000-0005-0000-0000-0000DA640000}"/>
    <cellStyle name="Note 9 5 2 4 2" xfId="45104" xr:uid="{031118EF-EFDF-497A-8D96-956A132594D5}"/>
    <cellStyle name="Note 9 5 2 5" xfId="29225" xr:uid="{4875B6C3-E4D1-4893-B2A8-EB62E0761EBA}"/>
    <cellStyle name="Note 9 5 3" xfId="7124" xr:uid="{00000000-0005-0000-0000-0000DB640000}"/>
    <cellStyle name="Note 9 5 3 2" xfId="15096" xr:uid="{00000000-0005-0000-0000-0000DC640000}"/>
    <cellStyle name="Note 9 5 3 2 2" xfId="38939" xr:uid="{22D0326C-02FD-4950-988B-8CDECF1E124E}"/>
    <cellStyle name="Note 9 5 3 3" xfId="23043" xr:uid="{00000000-0005-0000-0000-0000DD640000}"/>
    <cellStyle name="Note 9 5 3 3 2" xfId="46876" xr:uid="{EC09DB24-E68C-4DC3-9E3E-E7470C7A5CFF}"/>
    <cellStyle name="Note 9 5 3 4" xfId="30998" xr:uid="{8338139E-CBF8-4580-B6B2-59B5DE317D85}"/>
    <cellStyle name="Note 9 5 4" xfId="11560" xr:uid="{00000000-0005-0000-0000-0000DE640000}"/>
    <cellStyle name="Note 9 5 4 2" xfId="35410" xr:uid="{EEEBB55E-EB5E-4B40-A415-91404DE198E0}"/>
    <cellStyle name="Note 9 5 5" xfId="19515" xr:uid="{00000000-0005-0000-0000-0000DF640000}"/>
    <cellStyle name="Note 9 5 5 2" xfId="43348" xr:uid="{6A2CBF48-990B-4B7A-AD9F-DFE9B31C5C1E}"/>
    <cellStyle name="Note 9 5 6" xfId="27468" xr:uid="{B46E9553-82F2-4BB0-9687-1C51FDFCBB2F}"/>
    <cellStyle name="Note 9 5_Exh G" xfId="3696" xr:uid="{00000000-0005-0000-0000-0000E0640000}"/>
    <cellStyle name="Note 9 6" xfId="4413" xr:uid="{00000000-0005-0000-0000-0000E1640000}"/>
    <cellStyle name="Note 9 6 2" xfId="8005" xr:uid="{00000000-0005-0000-0000-0000E2640000}"/>
    <cellStyle name="Note 9 6 2 2" xfId="15976" xr:uid="{00000000-0005-0000-0000-0000E3640000}"/>
    <cellStyle name="Note 9 6 2 2 2" xfId="39819" xr:uid="{F3442581-C66B-4807-B45B-E27AA1C13D99}"/>
    <cellStyle name="Note 9 6 2 3" xfId="23922" xr:uid="{00000000-0005-0000-0000-0000E4640000}"/>
    <cellStyle name="Note 9 6 2 3 2" xfId="47755" xr:uid="{7AB757CF-CCD2-4E5D-A0A5-8BAF19F415BF}"/>
    <cellStyle name="Note 9 6 2 4" xfId="31878" xr:uid="{82152DC6-DD9C-4034-8B66-AEE997C635CA}"/>
    <cellStyle name="Note 9 6 3" xfId="12438" xr:uid="{00000000-0005-0000-0000-0000E5640000}"/>
    <cellStyle name="Note 9 6 3 2" xfId="36288" xr:uid="{22F523A3-1225-46F2-8910-7C265C5DCC36}"/>
    <cellStyle name="Note 9 6 4" xfId="20393" xr:uid="{00000000-0005-0000-0000-0000E6640000}"/>
    <cellStyle name="Note 9 6 4 2" xfId="44226" xr:uid="{63C1CCD7-746F-4032-9FD5-82C7F288995B}"/>
    <cellStyle name="Note 9 6 5" xfId="28347" xr:uid="{6033349D-DA3A-4F38-B015-575531D4E7A5}"/>
    <cellStyle name="Note 9 7" xfId="6233" xr:uid="{00000000-0005-0000-0000-0000E7640000}"/>
    <cellStyle name="Note 9 7 2" xfId="14217" xr:uid="{00000000-0005-0000-0000-0000E8640000}"/>
    <cellStyle name="Note 9 7 2 2" xfId="38061" xr:uid="{F8A12693-B556-47A7-A9FA-DD7ACB6301E3}"/>
    <cellStyle name="Note 9 7 3" xfId="22165" xr:uid="{00000000-0005-0000-0000-0000E9640000}"/>
    <cellStyle name="Note 9 7 3 2" xfId="45998" xr:uid="{9DEFCB75-D49F-495D-B4B6-B6E68D2469AD}"/>
    <cellStyle name="Note 9 7 4" xfId="30120" xr:uid="{A70B7A2C-1211-45ED-BA8F-6B93FCED5545}"/>
    <cellStyle name="Note 9 8" xfId="9786" xr:uid="{00000000-0005-0000-0000-0000EA640000}"/>
    <cellStyle name="Note 9 8 2" xfId="17744" xr:uid="{00000000-0005-0000-0000-0000EB640000}"/>
    <cellStyle name="Note 9 8 2 2" xfId="41585" xr:uid="{50E5D5B6-8394-4308-BCFA-E2C55E89E792}"/>
    <cellStyle name="Note 9 8 3" xfId="25688" xr:uid="{00000000-0005-0000-0000-0000EC640000}"/>
    <cellStyle name="Note 9 8 3 2" xfId="49521" xr:uid="{3631378F-98BE-45FC-9208-116AA7BD97B6}"/>
    <cellStyle name="Note 9 8 4" xfId="33644" xr:uid="{C08FB77F-2549-4656-9792-D82943581AAC}"/>
    <cellStyle name="Note 9 9" xfId="10682" xr:uid="{00000000-0005-0000-0000-0000ED640000}"/>
    <cellStyle name="Note 9 9 2" xfId="34532" xr:uid="{C0476EFF-DB74-4AFB-917A-2D96C5A2BBE5}"/>
    <cellStyle name="Note 9_Exh G" xfId="3687" xr:uid="{00000000-0005-0000-0000-0000EE640000}"/>
    <cellStyle name="Output 2" xfId="815" xr:uid="{00000000-0005-0000-0000-0000EF640000}"/>
    <cellStyle name="Output 3" xfId="816" xr:uid="{00000000-0005-0000-0000-0000F0640000}"/>
    <cellStyle name="Output 3 2" xfId="6244" xr:uid="{00000000-0005-0000-0000-0000F1640000}"/>
    <cellStyle name="Output 4" xfId="817" xr:uid="{00000000-0005-0000-0000-0000F2640000}"/>
    <cellStyle name="Output 4 2" xfId="6245" xr:uid="{00000000-0005-0000-0000-0000F3640000}"/>
    <cellStyle name="Output Amounts" xfId="12" xr:uid="{00000000-0005-0000-0000-0000F4640000}"/>
    <cellStyle name="Output Column Headings" xfId="13" xr:uid="{00000000-0005-0000-0000-0000F5640000}"/>
    <cellStyle name="Output Line Items" xfId="14" xr:uid="{00000000-0005-0000-0000-0000F6640000}"/>
    <cellStyle name="Output Line Items 2" xfId="3699" xr:uid="{00000000-0005-0000-0000-0000F7640000}"/>
    <cellStyle name="Output Line Items 2 2" xfId="7292" xr:uid="{00000000-0005-0000-0000-0000F8640000}"/>
    <cellStyle name="Output Line Items 2 2 2" xfId="15263" xr:uid="{00000000-0005-0000-0000-0000F9640000}"/>
    <cellStyle name="Output Line Items 2 2 2 2" xfId="39106" xr:uid="{DD1B4581-ED16-4FE9-8D26-767DF391F833}"/>
    <cellStyle name="Output Line Items 2 2 3" xfId="31165" xr:uid="{6B9629A4-57B1-41F7-9C4F-31C740D38E2A}"/>
    <cellStyle name="Output Line Items 2 3" xfId="27634" xr:uid="{D68E4EC4-62A1-4E83-B9F6-A0869640F005}"/>
    <cellStyle name="Output Line Items 3" xfId="5460" xr:uid="{00000000-0005-0000-0000-0000FA640000}"/>
    <cellStyle name="Output Line Items 3 2" xfId="13482" xr:uid="{00000000-0005-0000-0000-0000FB640000}"/>
    <cellStyle name="Output Line Items 3 2 2" xfId="37332" xr:uid="{9F230919-D3E3-4D78-A5E8-B6F0F7FCFD58}"/>
    <cellStyle name="Output Line Items 3 3" xfId="29391" xr:uid="{E56313D5-4E26-4450-B7FF-567F3DD9AAEC}"/>
    <cellStyle name="Output Line Items 4" xfId="25877" xr:uid="{DAC44F73-0623-4BAD-BBDC-2544B852F1F6}"/>
    <cellStyle name="Output Line Items_Exh G" xfId="3697" xr:uid="{00000000-0005-0000-0000-0000FC640000}"/>
    <cellStyle name="Output Report Heading" xfId="15" xr:uid="{00000000-0005-0000-0000-0000FD640000}"/>
    <cellStyle name="Output Report Title" xfId="16" xr:uid="{00000000-0005-0000-0000-0000FE640000}"/>
    <cellStyle name="Percent" xfId="1940" builtinId="5"/>
    <cellStyle name="Percent 2" xfId="7" xr:uid="{00000000-0005-0000-0000-000000650000}"/>
    <cellStyle name="Percent 2 2" xfId="1048" xr:uid="{00000000-0005-0000-0000-000001650000}"/>
    <cellStyle name="Percent 3" xfId="1043" xr:uid="{00000000-0005-0000-0000-000002650000}"/>
    <cellStyle name="Percent 4" xfId="7290" xr:uid="{00000000-0005-0000-0000-000003650000}"/>
    <cellStyle name="R00A" xfId="49741" xr:uid="{7B6C0521-7885-4DB5-B264-E219D81DF26D}"/>
    <cellStyle name="R00B" xfId="49742" xr:uid="{98E9EBBF-D33C-4870-8619-E4CCB7FE6D7E}"/>
    <cellStyle name="R00L" xfId="49743" xr:uid="{C4FF600F-1EAC-4A4F-B738-673259829868}"/>
    <cellStyle name="R01A" xfId="49744" xr:uid="{DE1E0AE8-EA60-4498-92F0-43FB7007CDEC}"/>
    <cellStyle name="R01B" xfId="25864" xr:uid="{00000000-0005-0000-0000-000004650000}"/>
    <cellStyle name="R01H" xfId="25865" xr:uid="{00000000-0005-0000-0000-000005650000}"/>
    <cellStyle name="R01L" xfId="25871" xr:uid="{00000000-0005-0000-0000-000006650000}"/>
    <cellStyle name="R02A" xfId="25870" xr:uid="{00000000-0005-0000-0000-000007650000}"/>
    <cellStyle name="R02B" xfId="25866" xr:uid="{00000000-0005-0000-0000-000008650000}"/>
    <cellStyle name="R02H" xfId="49745" xr:uid="{9CBCAA73-9F11-4254-8054-AF0AA71F6F70}"/>
    <cellStyle name="R02L" xfId="25867" xr:uid="{00000000-0005-0000-0000-000009650000}"/>
    <cellStyle name="R03A" xfId="49746" xr:uid="{B8150B26-A38B-411A-9C1F-713565795023}"/>
    <cellStyle name="R03B" xfId="49747" xr:uid="{0B8CD15F-4416-430F-8748-8DD071013D90}"/>
    <cellStyle name="R03H" xfId="49748" xr:uid="{8CF50398-D3EE-434B-A96F-22B187A24912}"/>
    <cellStyle name="R03L" xfId="49749" xr:uid="{B2E5094E-A000-4592-A4B7-39799F3C4979}"/>
    <cellStyle name="R04A" xfId="49750" xr:uid="{30C3E21F-4C7D-4492-9DD8-6DDAA92046A5}"/>
    <cellStyle name="R04B" xfId="49751" xr:uid="{E1BD74AC-8068-4BAB-A82E-97C36F6650B9}"/>
    <cellStyle name="R04H" xfId="49752" xr:uid="{66CE1DD6-250A-44DD-B070-B6DF6B0071F2}"/>
    <cellStyle name="R04L" xfId="49753" xr:uid="{67189EA3-ADB9-487C-8F42-160572CC00F3}"/>
    <cellStyle name="R05A" xfId="49754" xr:uid="{C8E11FEA-5847-4E79-8849-696E1F4BD714}"/>
    <cellStyle name="R05B" xfId="49755" xr:uid="{F12A779A-FC04-4EA5-9ACB-6BEE437BD4D5}"/>
    <cellStyle name="R05H" xfId="49756" xr:uid="{4A349211-27A5-45F0-9A61-EDA5810BF6D3}"/>
    <cellStyle name="R05L" xfId="49757" xr:uid="{CCF23101-AF9D-42AA-9A10-A1AFDB9DE572}"/>
    <cellStyle name="R05L 2" xfId="49793" xr:uid="{6F9D4CE7-1A52-4BEE-B2DF-49672611DE7C}"/>
    <cellStyle name="R05L 3" xfId="49779" xr:uid="{B3B8F5D7-F2EB-45E8-B55C-76C55797736C}"/>
    <cellStyle name="R06A" xfId="49758" xr:uid="{60DBFAD4-68B0-4C88-994E-FA60A95F9159}"/>
    <cellStyle name="R06B" xfId="49759" xr:uid="{54C3346D-A60C-4C4F-9405-2B2D147C4413}"/>
    <cellStyle name="R06H" xfId="49760" xr:uid="{3AEA0AAD-CFA7-4AE6-B8B9-BD7E01ED1A46}"/>
    <cellStyle name="R06L" xfId="49761" xr:uid="{048A8497-953F-4DE4-859C-27069A4DFE88}"/>
    <cellStyle name="R07A" xfId="49762" xr:uid="{F4E5A1A0-6741-4EE6-A45A-9723749FE4D0}"/>
    <cellStyle name="R07B" xfId="49763" xr:uid="{9ECF5628-EEC7-433D-9063-2A60C438965E}"/>
    <cellStyle name="R07H" xfId="49764" xr:uid="{5852413E-657C-470A-AACE-EA9CFA079B29}"/>
    <cellStyle name="R07L" xfId="49765" xr:uid="{D72A47E1-0953-43E0-83CB-70BF7CAD80BD}"/>
    <cellStyle name="Title 2" xfId="818" xr:uid="{00000000-0005-0000-0000-00000A650000}"/>
    <cellStyle name="Title 3" xfId="819" xr:uid="{00000000-0005-0000-0000-00000B650000}"/>
    <cellStyle name="Title 4" xfId="820" xr:uid="{00000000-0005-0000-0000-00000C650000}"/>
    <cellStyle name="Total 2" xfId="821" xr:uid="{00000000-0005-0000-0000-00000D650000}"/>
    <cellStyle name="Total 3" xfId="822" xr:uid="{00000000-0005-0000-0000-00000E650000}"/>
    <cellStyle name="Total 3 2" xfId="6246" xr:uid="{00000000-0005-0000-0000-00000F650000}"/>
    <cellStyle name="Total 4" xfId="823" xr:uid="{00000000-0005-0000-0000-000010650000}"/>
    <cellStyle name="Total 4 2" xfId="6247" xr:uid="{00000000-0005-0000-0000-000011650000}"/>
    <cellStyle name="Warning Text 2" xfId="824" xr:uid="{00000000-0005-0000-0000-000012650000}"/>
    <cellStyle name="Warning Text 3" xfId="825" xr:uid="{00000000-0005-0000-0000-000013650000}"/>
    <cellStyle name="Warning Text 4" xfId="826" xr:uid="{00000000-0005-0000-0000-000014650000}"/>
  </cellStyles>
  <dxfs count="0"/>
  <tableStyles count="0" defaultTableStyle="TableStyleMedium9" defaultPivotStyle="PivotStyleLight16"/>
  <colors>
    <mruColors>
      <color rgb="FFFFFFCC"/>
      <color rgb="FF1362D7"/>
      <color rgb="FF5C39EF"/>
      <color rgb="FF3711D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10026</xdr:colOff>
      <xdr:row>0</xdr:row>
      <xdr:rowOff>0</xdr:rowOff>
    </xdr:from>
    <xdr:to>
      <xdr:col>1</xdr:col>
      <xdr:colOff>1314951</xdr:colOff>
      <xdr:row>7</xdr:row>
      <xdr:rowOff>158750</xdr:rowOff>
    </xdr:to>
    <xdr:pic>
      <xdr:nvPicPr>
        <xdr:cNvPr id="2" name="Picture 1" descr="Seal.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10026" y="0"/>
          <a:ext cx="1495425" cy="14954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32</xdr:col>
      <xdr:colOff>28574</xdr:colOff>
      <xdr:row>14</xdr:row>
      <xdr:rowOff>44450</xdr:rowOff>
    </xdr:from>
    <xdr:to>
      <xdr:col>32</xdr:col>
      <xdr:colOff>35718</xdr:colOff>
      <xdr:row>148</xdr:row>
      <xdr:rowOff>202406</xdr:rowOff>
    </xdr:to>
    <xdr:sp macro="" textlink="">
      <xdr:nvSpPr>
        <xdr:cNvPr id="2" name="Line 1">
          <a:extLst>
            <a:ext uri="{FF2B5EF4-FFF2-40B4-BE49-F238E27FC236}">
              <a16:creationId xmlns:a16="http://schemas.microsoft.com/office/drawing/2014/main" id="{00000000-0008-0000-0F00-000002000000}"/>
            </a:ext>
          </a:extLst>
        </xdr:cNvPr>
        <xdr:cNvSpPr>
          <a:spLocks noChangeShapeType="1"/>
        </xdr:cNvSpPr>
      </xdr:nvSpPr>
      <xdr:spPr bwMode="auto">
        <a:xfrm>
          <a:off x="21959887" y="3461544"/>
          <a:ext cx="7144" cy="28090018"/>
        </a:xfrm>
        <a:prstGeom prst="line">
          <a:avLst/>
        </a:prstGeom>
        <a:noFill/>
        <a:ln w="2857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31</xdr:col>
      <xdr:colOff>142874</xdr:colOff>
      <xdr:row>13</xdr:row>
      <xdr:rowOff>6350</xdr:rowOff>
    </xdr:from>
    <xdr:to>
      <xdr:col>32</xdr:col>
      <xdr:colOff>12698</xdr:colOff>
      <xdr:row>148</xdr:row>
      <xdr:rowOff>35719</xdr:rowOff>
    </xdr:to>
    <xdr:sp macro="" textlink="">
      <xdr:nvSpPr>
        <xdr:cNvPr id="2" name="Line 1">
          <a:extLst>
            <a:ext uri="{FF2B5EF4-FFF2-40B4-BE49-F238E27FC236}">
              <a16:creationId xmlns:a16="http://schemas.microsoft.com/office/drawing/2014/main" id="{00000000-0008-0000-1000-000002000000}"/>
            </a:ext>
          </a:extLst>
        </xdr:cNvPr>
        <xdr:cNvSpPr>
          <a:spLocks noChangeShapeType="1"/>
        </xdr:cNvSpPr>
      </xdr:nvSpPr>
      <xdr:spPr bwMode="auto">
        <a:xfrm flipH="1">
          <a:off x="21466968" y="3113881"/>
          <a:ext cx="12699" cy="26794619"/>
        </a:xfrm>
        <a:prstGeom prst="line">
          <a:avLst/>
        </a:prstGeom>
        <a:noFill/>
        <a:ln w="285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1238250</xdr:colOff>
      <xdr:row>42</xdr:row>
      <xdr:rowOff>0</xdr:rowOff>
    </xdr:from>
    <xdr:to>
      <xdr:col>5</xdr:col>
      <xdr:colOff>1276350</xdr:colOff>
      <xdr:row>42</xdr:row>
      <xdr:rowOff>0</xdr:rowOff>
    </xdr:to>
    <xdr:sp macro="" textlink="">
      <xdr:nvSpPr>
        <xdr:cNvPr id="2" name="Line 1">
          <a:extLst>
            <a:ext uri="{FF2B5EF4-FFF2-40B4-BE49-F238E27FC236}">
              <a16:creationId xmlns:a16="http://schemas.microsoft.com/office/drawing/2014/main" id="{00000000-0008-0000-2000-000002000000}"/>
            </a:ext>
          </a:extLst>
        </xdr:cNvPr>
        <xdr:cNvSpPr>
          <a:spLocks noChangeShapeType="1"/>
        </xdr:cNvSpPr>
      </xdr:nvSpPr>
      <xdr:spPr bwMode="auto">
        <a:xfrm flipV="1">
          <a:off x="8401050" y="10067925"/>
          <a:ext cx="38100" cy="0"/>
        </a:xfrm>
        <a:prstGeom prst="line">
          <a:avLst/>
        </a:prstGeom>
        <a:noFill/>
        <a:ln w="9525">
          <a:solidFill>
            <a:srgbClr val="000000"/>
          </a:solidFill>
          <a:round/>
          <a:headEnd/>
          <a:tailEnd/>
        </a:ln>
      </xdr:spPr>
    </xdr:sp>
    <xdr:clientData/>
  </xdr:twoCellAnchor>
  <xdr:twoCellAnchor>
    <xdr:from>
      <xdr:col>5</xdr:col>
      <xdr:colOff>1238250</xdr:colOff>
      <xdr:row>42</xdr:row>
      <xdr:rowOff>0</xdr:rowOff>
    </xdr:from>
    <xdr:to>
      <xdr:col>5</xdr:col>
      <xdr:colOff>1276350</xdr:colOff>
      <xdr:row>42</xdr:row>
      <xdr:rowOff>0</xdr:rowOff>
    </xdr:to>
    <xdr:sp macro="" textlink="">
      <xdr:nvSpPr>
        <xdr:cNvPr id="3" name="Line 1">
          <a:extLst>
            <a:ext uri="{FF2B5EF4-FFF2-40B4-BE49-F238E27FC236}">
              <a16:creationId xmlns:a16="http://schemas.microsoft.com/office/drawing/2014/main" id="{00000000-0008-0000-2000-000003000000}"/>
            </a:ext>
          </a:extLst>
        </xdr:cNvPr>
        <xdr:cNvSpPr>
          <a:spLocks noChangeShapeType="1"/>
        </xdr:cNvSpPr>
      </xdr:nvSpPr>
      <xdr:spPr bwMode="auto">
        <a:xfrm flipV="1">
          <a:off x="8629650" y="10067925"/>
          <a:ext cx="38100" cy="0"/>
        </a:xfrm>
        <a:prstGeom prst="line">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16</xdr:row>
      <xdr:rowOff>171450</xdr:rowOff>
    </xdr:from>
    <xdr:to>
      <xdr:col>10</xdr:col>
      <xdr:colOff>190499</xdr:colOff>
      <xdr:row>30</xdr:row>
      <xdr:rowOff>161925</xdr:rowOff>
    </xdr:to>
    <xdr:sp macro="" textlink="">
      <xdr:nvSpPr>
        <xdr:cNvPr id="2" name="Rectangle 2">
          <a:extLst>
            <a:ext uri="{FF2B5EF4-FFF2-40B4-BE49-F238E27FC236}">
              <a16:creationId xmlns:a16="http://schemas.microsoft.com/office/drawing/2014/main" id="{00000000-0008-0000-2300-000002000000}"/>
            </a:ext>
          </a:extLst>
        </xdr:cNvPr>
        <xdr:cNvSpPr>
          <a:spLocks noChangeArrowheads="1"/>
        </xdr:cNvSpPr>
      </xdr:nvSpPr>
      <xdr:spPr bwMode="auto">
        <a:xfrm>
          <a:off x="0" y="3314700"/>
          <a:ext cx="7858124" cy="2533650"/>
        </a:xfrm>
        <a:prstGeom prst="rect">
          <a:avLst/>
        </a:prstGeom>
        <a:noFill/>
        <a:ln w="9525">
          <a:solidFill>
            <a:srgbClr val="000000"/>
          </a:solidFill>
          <a:miter lim="800000"/>
          <a:headEnd/>
          <a:tailEnd/>
        </a:ln>
      </xdr:spPr>
    </xdr:sp>
    <xdr:clientData/>
  </xdr:twoCellAnchor>
  <xdr:oneCellAnchor>
    <xdr:from>
      <xdr:col>5</xdr:col>
      <xdr:colOff>1076325</xdr:colOff>
      <xdr:row>18</xdr:row>
      <xdr:rowOff>57150</xdr:rowOff>
    </xdr:from>
    <xdr:ext cx="184731" cy="264560"/>
    <xdr:sp macro="" textlink="">
      <xdr:nvSpPr>
        <xdr:cNvPr id="3" name="TextBox 2">
          <a:extLst>
            <a:ext uri="{FF2B5EF4-FFF2-40B4-BE49-F238E27FC236}">
              <a16:creationId xmlns:a16="http://schemas.microsoft.com/office/drawing/2014/main" id="{00000000-0008-0000-2300-000003000000}"/>
            </a:ext>
          </a:extLst>
        </xdr:cNvPr>
        <xdr:cNvSpPr txBox="1"/>
      </xdr:nvSpPr>
      <xdr:spPr>
        <a:xfrm>
          <a:off x="4391025"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1</xdr:col>
      <xdr:colOff>0</xdr:colOff>
      <xdr:row>16</xdr:row>
      <xdr:rowOff>171450</xdr:rowOff>
    </xdr:from>
    <xdr:to>
      <xdr:col>10</xdr:col>
      <xdr:colOff>190499</xdr:colOff>
      <xdr:row>30</xdr:row>
      <xdr:rowOff>161925</xdr:rowOff>
    </xdr:to>
    <xdr:sp macro="" textlink="">
      <xdr:nvSpPr>
        <xdr:cNvPr id="4" name="Rectangle 2">
          <a:extLst>
            <a:ext uri="{FF2B5EF4-FFF2-40B4-BE49-F238E27FC236}">
              <a16:creationId xmlns:a16="http://schemas.microsoft.com/office/drawing/2014/main" id="{00000000-0008-0000-2300-000004000000}"/>
            </a:ext>
          </a:extLst>
        </xdr:cNvPr>
        <xdr:cNvSpPr>
          <a:spLocks noChangeArrowheads="1"/>
        </xdr:cNvSpPr>
      </xdr:nvSpPr>
      <xdr:spPr bwMode="auto">
        <a:xfrm>
          <a:off x="0" y="3314700"/>
          <a:ext cx="7924799" cy="2533650"/>
        </a:xfrm>
        <a:prstGeom prst="rect">
          <a:avLst/>
        </a:prstGeom>
        <a:noFill/>
        <a:ln w="9525">
          <a:solidFill>
            <a:srgbClr val="000000"/>
          </a:solidFill>
          <a:miter lim="800000"/>
          <a:headEnd/>
          <a:tailEnd/>
        </a:ln>
      </xdr:spPr>
    </xdr:sp>
    <xdr:clientData/>
  </xdr:twoCellAnchor>
  <xdr:oneCellAnchor>
    <xdr:from>
      <xdr:col>5</xdr:col>
      <xdr:colOff>1076325</xdr:colOff>
      <xdr:row>18</xdr:row>
      <xdr:rowOff>57150</xdr:rowOff>
    </xdr:from>
    <xdr:ext cx="184731" cy="264560"/>
    <xdr:sp macro="" textlink="">
      <xdr:nvSpPr>
        <xdr:cNvPr id="5" name="TextBox 4">
          <a:extLst>
            <a:ext uri="{FF2B5EF4-FFF2-40B4-BE49-F238E27FC236}">
              <a16:creationId xmlns:a16="http://schemas.microsoft.com/office/drawing/2014/main" id="{00000000-0008-0000-2300-000005000000}"/>
            </a:ext>
          </a:extLst>
        </xdr:cNvPr>
        <xdr:cNvSpPr txBox="1"/>
      </xdr:nvSpPr>
      <xdr:spPr>
        <a:xfrm>
          <a:off x="4457700"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1</xdr:col>
      <xdr:colOff>0</xdr:colOff>
      <xdr:row>16</xdr:row>
      <xdr:rowOff>171450</xdr:rowOff>
    </xdr:from>
    <xdr:to>
      <xdr:col>10</xdr:col>
      <xdr:colOff>190499</xdr:colOff>
      <xdr:row>30</xdr:row>
      <xdr:rowOff>161925</xdr:rowOff>
    </xdr:to>
    <xdr:sp macro="" textlink="">
      <xdr:nvSpPr>
        <xdr:cNvPr id="6" name="Rectangle 2">
          <a:extLst>
            <a:ext uri="{FF2B5EF4-FFF2-40B4-BE49-F238E27FC236}">
              <a16:creationId xmlns:a16="http://schemas.microsoft.com/office/drawing/2014/main" id="{00000000-0008-0000-2300-000006000000}"/>
            </a:ext>
          </a:extLst>
        </xdr:cNvPr>
        <xdr:cNvSpPr>
          <a:spLocks noChangeArrowheads="1"/>
        </xdr:cNvSpPr>
      </xdr:nvSpPr>
      <xdr:spPr bwMode="auto">
        <a:xfrm>
          <a:off x="0" y="3314700"/>
          <a:ext cx="7924799" cy="2533650"/>
        </a:xfrm>
        <a:prstGeom prst="rect">
          <a:avLst/>
        </a:prstGeom>
        <a:noFill/>
        <a:ln w="9525">
          <a:solidFill>
            <a:srgbClr val="000000"/>
          </a:solidFill>
          <a:miter lim="800000"/>
          <a:headEnd/>
          <a:tailEnd/>
        </a:ln>
      </xdr:spPr>
    </xdr:sp>
    <xdr:clientData/>
  </xdr:twoCellAnchor>
  <xdr:oneCellAnchor>
    <xdr:from>
      <xdr:col>5</xdr:col>
      <xdr:colOff>1076325</xdr:colOff>
      <xdr:row>18</xdr:row>
      <xdr:rowOff>57150</xdr:rowOff>
    </xdr:from>
    <xdr:ext cx="184731" cy="264560"/>
    <xdr:sp macro="" textlink="">
      <xdr:nvSpPr>
        <xdr:cNvPr id="7" name="TextBox 6">
          <a:extLst>
            <a:ext uri="{FF2B5EF4-FFF2-40B4-BE49-F238E27FC236}">
              <a16:creationId xmlns:a16="http://schemas.microsoft.com/office/drawing/2014/main" id="{00000000-0008-0000-2300-000007000000}"/>
            </a:ext>
          </a:extLst>
        </xdr:cNvPr>
        <xdr:cNvSpPr txBox="1"/>
      </xdr:nvSpPr>
      <xdr:spPr>
        <a:xfrm>
          <a:off x="4457700"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1</xdr:col>
      <xdr:colOff>0</xdr:colOff>
      <xdr:row>16</xdr:row>
      <xdr:rowOff>171450</xdr:rowOff>
    </xdr:from>
    <xdr:to>
      <xdr:col>10</xdr:col>
      <xdr:colOff>190499</xdr:colOff>
      <xdr:row>30</xdr:row>
      <xdr:rowOff>161925</xdr:rowOff>
    </xdr:to>
    <xdr:sp macro="" textlink="">
      <xdr:nvSpPr>
        <xdr:cNvPr id="8" name="Rectangle 2">
          <a:extLst>
            <a:ext uri="{FF2B5EF4-FFF2-40B4-BE49-F238E27FC236}">
              <a16:creationId xmlns:a16="http://schemas.microsoft.com/office/drawing/2014/main" id="{00000000-0008-0000-2300-000008000000}"/>
            </a:ext>
          </a:extLst>
        </xdr:cNvPr>
        <xdr:cNvSpPr>
          <a:spLocks noChangeArrowheads="1"/>
        </xdr:cNvSpPr>
      </xdr:nvSpPr>
      <xdr:spPr bwMode="auto">
        <a:xfrm>
          <a:off x="0" y="3314700"/>
          <a:ext cx="7924799" cy="2533650"/>
        </a:xfrm>
        <a:prstGeom prst="rect">
          <a:avLst/>
        </a:prstGeom>
        <a:noFill/>
        <a:ln w="9525">
          <a:solidFill>
            <a:srgbClr val="000000"/>
          </a:solidFill>
          <a:miter lim="800000"/>
          <a:headEnd/>
          <a:tailEnd/>
        </a:ln>
      </xdr:spPr>
    </xdr:sp>
    <xdr:clientData/>
  </xdr:twoCellAnchor>
  <xdr:oneCellAnchor>
    <xdr:from>
      <xdr:col>5</xdr:col>
      <xdr:colOff>1076325</xdr:colOff>
      <xdr:row>18</xdr:row>
      <xdr:rowOff>57150</xdr:rowOff>
    </xdr:from>
    <xdr:ext cx="184731" cy="264560"/>
    <xdr:sp macro="" textlink="">
      <xdr:nvSpPr>
        <xdr:cNvPr id="9" name="TextBox 8">
          <a:extLst>
            <a:ext uri="{FF2B5EF4-FFF2-40B4-BE49-F238E27FC236}">
              <a16:creationId xmlns:a16="http://schemas.microsoft.com/office/drawing/2014/main" id="{00000000-0008-0000-2300-000009000000}"/>
            </a:ext>
          </a:extLst>
        </xdr:cNvPr>
        <xdr:cNvSpPr txBox="1"/>
      </xdr:nvSpPr>
      <xdr:spPr>
        <a:xfrm>
          <a:off x="4457700"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16.bin"/><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17.bin"/><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customProperty" Target="../customProperty18.bin"/><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customProperty" Target="../customProperty19.bin"/><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customProperty" Target="../customProperty20.bin"/><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customProperty" Target="../customProperty21.bin"/><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customProperty" Target="../customProperty22.bin"/><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customProperty" Target="../customProperty23.bin"/><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customProperty" Target="../customProperty24.bin"/><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customProperty" Target="../customProperty25.bin"/><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customProperty" Target="../customProperty26.bin"/><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customProperty" Target="../customProperty27.bin"/><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customProperty" Target="../customProperty28.bin"/><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customProperty" Target="../customProperty29.bin"/><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customProperty" Target="../customProperty30.bin"/><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customProperty" Target="../customProperty31.bin"/><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customProperty" Target="../customProperty32.bin"/><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33.bin"/><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customProperty" Target="../customProperty34.bin"/><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customProperty" Target="../customProperty35.bin"/><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36.bin"/><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customProperty" Target="../customProperty37.bin"/><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customProperty" Target="../customProperty38.bin"/><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customProperty" Target="../customProperty39.bin"/><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customProperty" Target="../customProperty40.bin"/><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customProperty" Target="../customProperty41.bin"/><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customProperty" Target="../customProperty42.bin"/><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customProperty" Target="../customProperty43.bin"/><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customProperty" Target="../customProperty44.bin"/><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autoPageBreaks="0"/>
  </sheetPr>
  <dimension ref="A1:AA109"/>
  <sheetViews>
    <sheetView showGridLines="0" tabSelected="1" workbookViewId="0">
      <selection activeCell="H4" sqref="H4"/>
    </sheetView>
  </sheetViews>
  <sheetFormatPr defaultColWidth="8.88671875" defaultRowHeight="12.75"/>
  <cols>
    <col min="1" max="1" width="2.109375" style="427" customWidth="1"/>
    <col min="2" max="2" width="22.88671875" style="427" customWidth="1"/>
    <col min="3" max="3" width="6" style="427" customWidth="1"/>
    <col min="4" max="4" width="24.109375" style="427" customWidth="1"/>
    <col min="5" max="6" width="12.44140625" style="427" customWidth="1"/>
    <col min="7" max="7" width="4" style="427" customWidth="1"/>
    <col min="8" max="8" width="12.44140625" style="427" customWidth="1"/>
    <col min="9" max="9" width="12" style="427" customWidth="1"/>
    <col min="10" max="10" width="3.88671875" style="427" customWidth="1"/>
    <col min="11" max="11" width="28.44140625" style="427" customWidth="1"/>
    <col min="12" max="16384" width="8.88671875" style="427"/>
  </cols>
  <sheetData>
    <row r="1" spans="1:10" s="424" customFormat="1">
      <c r="A1" s="422"/>
      <c r="B1" s="422"/>
      <c r="C1" s="422"/>
      <c r="D1" s="422"/>
      <c r="E1" s="422"/>
      <c r="F1" s="422"/>
      <c r="G1" s="422"/>
      <c r="H1" s="422"/>
      <c r="I1" s="422"/>
      <c r="J1" s="423"/>
    </row>
    <row r="2" spans="1:10" s="424" customFormat="1">
      <c r="A2" s="422"/>
      <c r="B2" s="422"/>
      <c r="C2" s="422"/>
      <c r="D2" s="422"/>
      <c r="E2" s="422"/>
      <c r="F2" s="422"/>
      <c r="G2" s="422"/>
      <c r="H2" s="422"/>
      <c r="I2" s="422"/>
      <c r="J2" s="423"/>
    </row>
    <row r="3" spans="1:10" s="424" customFormat="1">
      <c r="A3" s="422"/>
      <c r="B3" s="422"/>
      <c r="C3" s="422"/>
      <c r="D3" s="422"/>
      <c r="E3" s="422"/>
      <c r="F3" s="422"/>
      <c r="G3" s="422"/>
      <c r="H3" s="422"/>
      <c r="I3" s="422"/>
      <c r="J3" s="423"/>
    </row>
    <row r="4" spans="1:10" s="424" customFormat="1">
      <c r="A4" s="422" t="s">
        <v>807</v>
      </c>
      <c r="B4" s="422"/>
      <c r="C4" s="422"/>
      <c r="D4" s="422"/>
      <c r="E4" s="422"/>
      <c r="F4" s="422"/>
      <c r="G4" s="422"/>
      <c r="H4" s="422"/>
      <c r="I4" s="563" t="s">
        <v>803</v>
      </c>
      <c r="J4" s="423"/>
    </row>
    <row r="5" spans="1:10" ht="18">
      <c r="A5" s="422" t="s">
        <v>805</v>
      </c>
      <c r="B5" s="425"/>
      <c r="C5" s="425"/>
      <c r="D5" s="425"/>
      <c r="E5" s="425"/>
      <c r="F5" s="425"/>
      <c r="G5" s="425"/>
      <c r="H5" s="425"/>
      <c r="I5" s="563" t="s">
        <v>804</v>
      </c>
      <c r="J5" s="426"/>
    </row>
    <row r="6" spans="1:10" ht="18">
      <c r="A6" s="422" t="s">
        <v>687</v>
      </c>
      <c r="B6" s="425"/>
      <c r="C6" s="425"/>
      <c r="D6" s="425"/>
      <c r="E6" s="425"/>
      <c r="F6" s="425"/>
      <c r="G6" s="425"/>
      <c r="H6" s="425"/>
      <c r="I6" s="425"/>
      <c r="J6" s="426"/>
    </row>
    <row r="7" spans="1:10" ht="18">
      <c r="A7" s="422" t="s">
        <v>688</v>
      </c>
      <c r="B7" s="425"/>
      <c r="C7" s="425"/>
      <c r="D7" s="425"/>
      <c r="E7" s="425"/>
      <c r="F7" s="425"/>
      <c r="G7" s="425"/>
      <c r="H7" s="425"/>
      <c r="I7" s="425"/>
      <c r="J7" s="426"/>
    </row>
    <row r="8" spans="1:10" ht="18.75" thickBot="1">
      <c r="A8" s="425"/>
      <c r="B8" s="425"/>
      <c r="C8" s="425"/>
      <c r="D8" s="425"/>
      <c r="E8" s="425"/>
      <c r="F8" s="425"/>
      <c r="G8" s="425"/>
      <c r="H8" s="425"/>
      <c r="I8" s="425"/>
      <c r="J8" s="426"/>
    </row>
    <row r="9" spans="1:10" ht="18.75" thickTop="1">
      <c r="A9" s="428" t="s">
        <v>689</v>
      </c>
      <c r="B9" s="429"/>
      <c r="C9" s="429"/>
      <c r="D9" s="429"/>
      <c r="E9" s="429"/>
      <c r="F9" s="429"/>
      <c r="G9" s="429"/>
      <c r="H9" s="429"/>
      <c r="I9" s="429"/>
      <c r="J9" s="430"/>
    </row>
    <row r="10" spans="1:10" ht="18.75" thickBot="1">
      <c r="A10" s="1005" t="s">
        <v>1506</v>
      </c>
      <c r="B10" s="425"/>
      <c r="C10" s="425"/>
      <c r="D10" s="425"/>
      <c r="E10" s="425"/>
      <c r="F10" s="425"/>
      <c r="G10" s="425"/>
      <c r="H10" s="425"/>
      <c r="I10" s="425"/>
      <c r="J10" s="430"/>
    </row>
    <row r="11" spans="1:10" ht="18.75" thickTop="1">
      <c r="A11" s="431"/>
      <c r="B11" s="432"/>
      <c r="C11" s="432"/>
      <c r="D11" s="432"/>
      <c r="E11" s="432"/>
      <c r="F11" s="432"/>
      <c r="G11" s="432"/>
      <c r="H11" s="432"/>
      <c r="I11" s="432"/>
      <c r="J11" s="433"/>
    </row>
    <row r="12" spans="1:10">
      <c r="A12" s="422" t="s">
        <v>690</v>
      </c>
      <c r="B12" s="425"/>
      <c r="C12" s="425"/>
      <c r="D12" s="425"/>
      <c r="E12" s="422"/>
      <c r="F12" s="422"/>
      <c r="G12" s="422"/>
      <c r="H12" s="425"/>
      <c r="I12" s="425"/>
      <c r="J12" s="434"/>
    </row>
    <row r="13" spans="1:10">
      <c r="A13" s="424"/>
      <c r="J13" s="434"/>
    </row>
    <row r="14" spans="1:10">
      <c r="A14" s="424" t="s">
        <v>691</v>
      </c>
      <c r="B14" s="437"/>
      <c r="J14" s="435"/>
    </row>
    <row r="15" spans="1:10">
      <c r="A15" s="424"/>
      <c r="B15" s="475"/>
      <c r="J15" s="435"/>
    </row>
    <row r="16" spans="1:10">
      <c r="A16" s="424"/>
      <c r="B16" s="922" t="s">
        <v>721</v>
      </c>
      <c r="D16" s="436" t="s">
        <v>692</v>
      </c>
      <c r="F16" s="437"/>
      <c r="J16" s="476">
        <v>2</v>
      </c>
    </row>
    <row r="17" spans="1:27">
      <c r="A17" s="424"/>
      <c r="B17" s="922" t="s">
        <v>722</v>
      </c>
      <c r="D17" s="427" t="s">
        <v>1016</v>
      </c>
      <c r="E17" s="439"/>
      <c r="F17" s="440"/>
      <c r="G17" s="439"/>
      <c r="H17" s="439"/>
      <c r="I17" s="439"/>
      <c r="J17" s="476">
        <v>3</v>
      </c>
    </row>
    <row r="18" spans="1:27">
      <c r="A18" s="441"/>
      <c r="B18" s="917" t="s">
        <v>1124</v>
      </c>
      <c r="D18" s="443" t="s">
        <v>839</v>
      </c>
      <c r="E18" s="436"/>
      <c r="F18" s="436"/>
      <c r="G18" s="436"/>
      <c r="H18" s="436"/>
      <c r="I18" s="436"/>
      <c r="J18" s="476">
        <v>4</v>
      </c>
    </row>
    <row r="19" spans="1:27">
      <c r="A19" s="424"/>
      <c r="B19" s="917" t="s">
        <v>723</v>
      </c>
      <c r="D19" s="442" t="s">
        <v>693</v>
      </c>
      <c r="E19" s="442"/>
      <c r="F19" s="442"/>
      <c r="G19" s="442"/>
      <c r="H19" s="442"/>
      <c r="I19" s="442"/>
      <c r="J19" s="476">
        <v>5</v>
      </c>
    </row>
    <row r="20" spans="1:27">
      <c r="A20" s="424"/>
      <c r="B20" s="917" t="s">
        <v>724</v>
      </c>
      <c r="D20" s="442" t="s">
        <v>694</v>
      </c>
      <c r="E20" s="442"/>
      <c r="F20" s="442"/>
      <c r="G20" s="442"/>
      <c r="H20" s="442"/>
      <c r="I20" s="442"/>
      <c r="J20" s="476">
        <v>6</v>
      </c>
    </row>
    <row r="21" spans="1:27">
      <c r="A21" s="424"/>
      <c r="B21" s="917" t="s">
        <v>982</v>
      </c>
      <c r="D21" s="443" t="s">
        <v>1017</v>
      </c>
      <c r="E21" s="442"/>
      <c r="F21" s="442"/>
      <c r="G21" s="442"/>
      <c r="H21" s="442"/>
      <c r="I21" s="442"/>
      <c r="J21" s="476">
        <v>7</v>
      </c>
    </row>
    <row r="22" spans="1:27">
      <c r="A22" s="424"/>
      <c r="B22" s="917" t="s">
        <v>983</v>
      </c>
      <c r="D22" s="443" t="s">
        <v>1018</v>
      </c>
      <c r="E22" s="442"/>
      <c r="F22" s="442"/>
      <c r="G22" s="442"/>
      <c r="H22" s="442"/>
      <c r="I22" s="442"/>
      <c r="J22" s="476">
        <v>8</v>
      </c>
      <c r="AA22" s="427" t="e">
        <v>#VALUE!</v>
      </c>
    </row>
    <row r="23" spans="1:27">
      <c r="A23" s="424"/>
      <c r="B23" s="922" t="s">
        <v>984</v>
      </c>
      <c r="D23" s="443" t="s">
        <v>1025</v>
      </c>
      <c r="E23" s="442"/>
      <c r="F23" s="442"/>
      <c r="G23" s="442"/>
      <c r="H23" s="442"/>
      <c r="I23" s="442"/>
      <c r="J23" s="476">
        <v>9</v>
      </c>
    </row>
    <row r="24" spans="1:27">
      <c r="A24" s="424"/>
      <c r="B24" s="917" t="s">
        <v>985</v>
      </c>
      <c r="D24" s="443" t="s">
        <v>1019</v>
      </c>
      <c r="E24" s="442"/>
      <c r="F24" s="442"/>
      <c r="G24" s="442"/>
      <c r="H24" s="442"/>
      <c r="I24" s="442"/>
      <c r="J24" s="476">
        <v>10</v>
      </c>
    </row>
    <row r="25" spans="1:27">
      <c r="A25" s="424"/>
      <c r="B25" s="917" t="s">
        <v>986</v>
      </c>
      <c r="D25" s="443" t="s">
        <v>1020</v>
      </c>
      <c r="E25" s="442"/>
      <c r="F25" s="442"/>
      <c r="G25" s="442"/>
      <c r="H25" s="442"/>
      <c r="I25" s="442"/>
      <c r="J25" s="476">
        <v>11</v>
      </c>
    </row>
    <row r="26" spans="1:27">
      <c r="A26" s="424"/>
      <c r="B26" s="917" t="s">
        <v>987</v>
      </c>
      <c r="D26" s="443" t="s">
        <v>1021</v>
      </c>
      <c r="E26" s="442"/>
      <c r="F26" s="442"/>
      <c r="G26" s="442"/>
      <c r="H26" s="442"/>
      <c r="I26" s="442"/>
      <c r="J26" s="476">
        <v>12</v>
      </c>
    </row>
    <row r="27" spans="1:27">
      <c r="A27" s="424"/>
      <c r="B27" s="917" t="s">
        <v>988</v>
      </c>
      <c r="D27" s="443" t="s">
        <v>1022</v>
      </c>
      <c r="E27" s="442"/>
      <c r="F27" s="442"/>
      <c r="G27" s="442"/>
      <c r="H27" s="442"/>
      <c r="I27" s="442"/>
      <c r="J27" s="476">
        <v>13</v>
      </c>
    </row>
    <row r="28" spans="1:27">
      <c r="A28" s="424"/>
      <c r="B28" s="917" t="s">
        <v>989</v>
      </c>
      <c r="D28" s="443" t="s">
        <v>1023</v>
      </c>
      <c r="E28" s="442"/>
      <c r="F28" s="442"/>
      <c r="G28" s="442"/>
      <c r="H28" s="442"/>
      <c r="I28" s="442"/>
      <c r="J28" s="476">
        <v>14</v>
      </c>
    </row>
    <row r="29" spans="1:27">
      <c r="A29" s="424"/>
      <c r="B29" s="917" t="s">
        <v>725</v>
      </c>
      <c r="D29" s="444" t="s">
        <v>695</v>
      </c>
      <c r="E29" s="442"/>
      <c r="F29" s="442"/>
      <c r="G29" s="442"/>
      <c r="H29" s="442"/>
      <c r="I29" s="442"/>
      <c r="J29" s="476">
        <v>15</v>
      </c>
    </row>
    <row r="30" spans="1:27">
      <c r="A30" s="424"/>
      <c r="B30" s="922" t="s">
        <v>743</v>
      </c>
      <c r="D30" s="443" t="s">
        <v>1024</v>
      </c>
      <c r="E30" s="443"/>
      <c r="F30" s="443"/>
      <c r="G30" s="443"/>
      <c r="H30" s="443"/>
      <c r="I30" s="443"/>
      <c r="J30" s="476">
        <v>16</v>
      </c>
      <c r="K30" s="424"/>
    </row>
    <row r="31" spans="1:27">
      <c r="A31" s="424"/>
      <c r="B31" s="917" t="s">
        <v>990</v>
      </c>
      <c r="D31" s="443" t="s">
        <v>1016</v>
      </c>
      <c r="E31" s="439"/>
      <c r="F31" s="439"/>
      <c r="G31" s="439"/>
      <c r="H31" s="439"/>
      <c r="I31" s="439"/>
      <c r="J31" s="476">
        <v>18</v>
      </c>
      <c r="K31" s="424"/>
    </row>
    <row r="32" spans="1:27">
      <c r="A32" s="424"/>
      <c r="B32" s="917"/>
      <c r="J32" s="476"/>
      <c r="K32" s="424"/>
    </row>
    <row r="33" spans="1:11">
      <c r="A33" s="424"/>
      <c r="B33" s="918"/>
      <c r="J33" s="476"/>
    </row>
    <row r="34" spans="1:11">
      <c r="A34" s="424" t="s">
        <v>696</v>
      </c>
      <c r="B34" s="919"/>
      <c r="C34" s="424"/>
      <c r="D34" s="424"/>
      <c r="E34" s="424"/>
      <c r="F34" s="424"/>
      <c r="G34" s="424"/>
      <c r="H34" s="424"/>
      <c r="I34" s="424"/>
      <c r="J34" s="477"/>
    </row>
    <row r="35" spans="1:11">
      <c r="A35" s="424"/>
      <c r="B35" s="919"/>
      <c r="C35" s="424"/>
      <c r="D35" s="424"/>
      <c r="E35" s="424"/>
      <c r="F35" s="424"/>
      <c r="G35" s="424"/>
      <c r="H35" s="424"/>
      <c r="I35" s="424"/>
      <c r="J35" s="477"/>
    </row>
    <row r="36" spans="1:11">
      <c r="A36" s="424"/>
      <c r="B36" s="922" t="s">
        <v>726</v>
      </c>
      <c r="D36" s="436" t="s">
        <v>746</v>
      </c>
      <c r="E36" s="436"/>
      <c r="F36" s="436"/>
      <c r="G36" s="436"/>
      <c r="H36" s="436"/>
      <c r="I36" s="436"/>
      <c r="J36" s="476">
        <v>20</v>
      </c>
    </row>
    <row r="37" spans="1:11">
      <c r="A37" s="424"/>
      <c r="B37" s="922" t="s">
        <v>697</v>
      </c>
      <c r="D37" s="427" t="s">
        <v>742</v>
      </c>
      <c r="J37" s="476">
        <v>22</v>
      </c>
    </row>
    <row r="38" spans="1:11">
      <c r="A38" s="424"/>
      <c r="B38" s="922" t="s">
        <v>727</v>
      </c>
      <c r="D38" s="442" t="s">
        <v>1125</v>
      </c>
      <c r="E38" s="442"/>
      <c r="F38" s="442"/>
      <c r="G38" s="442"/>
      <c r="H38" s="442"/>
      <c r="I38" s="442"/>
      <c r="J38" s="476">
        <v>24</v>
      </c>
    </row>
    <row r="39" spans="1:11">
      <c r="A39" s="424"/>
      <c r="B39" s="922" t="s">
        <v>728</v>
      </c>
      <c r="D39" s="442" t="s">
        <v>1126</v>
      </c>
      <c r="E39" s="442"/>
      <c r="F39" s="442"/>
      <c r="G39" s="442"/>
      <c r="H39" s="442"/>
      <c r="I39" s="442"/>
      <c r="J39" s="476">
        <v>26</v>
      </c>
    </row>
    <row r="40" spans="1:11">
      <c r="A40" s="424"/>
      <c r="B40" s="917" t="s">
        <v>698</v>
      </c>
      <c r="D40" s="442" t="s">
        <v>881</v>
      </c>
      <c r="E40" s="442"/>
      <c r="F40" s="442"/>
      <c r="G40" s="442"/>
      <c r="H40" s="442"/>
      <c r="I40" s="442"/>
      <c r="J40" s="476">
        <v>28</v>
      </c>
    </row>
    <row r="41" spans="1:11">
      <c r="A41" s="424"/>
      <c r="B41" s="922" t="s">
        <v>699</v>
      </c>
      <c r="D41" s="442" t="s">
        <v>847</v>
      </c>
      <c r="E41" s="442"/>
      <c r="F41" s="442"/>
      <c r="G41" s="442"/>
      <c r="H41" s="442"/>
      <c r="I41" s="442"/>
      <c r="J41" s="476">
        <v>29</v>
      </c>
    </row>
    <row r="42" spans="1:11">
      <c r="A42" s="424"/>
      <c r="B42" s="922" t="s">
        <v>729</v>
      </c>
      <c r="D42" s="442" t="s">
        <v>1127</v>
      </c>
      <c r="E42" s="442"/>
      <c r="F42" s="442"/>
      <c r="G42" s="442"/>
      <c r="H42" s="442"/>
      <c r="I42" s="442"/>
      <c r="J42" s="476">
        <v>31</v>
      </c>
    </row>
    <row r="43" spans="1:11">
      <c r="A43" s="424"/>
      <c r="B43" s="922" t="s">
        <v>730</v>
      </c>
      <c r="D43" s="442" t="s">
        <v>1128</v>
      </c>
      <c r="E43" s="442"/>
      <c r="F43" s="442"/>
      <c r="G43" s="442"/>
      <c r="H43" s="442"/>
      <c r="I43" s="442"/>
      <c r="J43" s="476">
        <v>33</v>
      </c>
    </row>
    <row r="44" spans="1:11">
      <c r="A44" s="424"/>
      <c r="B44" s="917" t="s">
        <v>700</v>
      </c>
      <c r="D44" s="442" t="s">
        <v>747</v>
      </c>
      <c r="E44" s="442"/>
      <c r="F44" s="442"/>
      <c r="G44" s="442"/>
      <c r="H44" s="442"/>
      <c r="I44" s="442"/>
      <c r="J44" s="476">
        <v>34</v>
      </c>
    </row>
    <row r="45" spans="1:11">
      <c r="A45" s="424"/>
      <c r="B45" s="922" t="s">
        <v>701</v>
      </c>
      <c r="D45" s="442" t="s">
        <v>744</v>
      </c>
      <c r="E45" s="442"/>
      <c r="F45" s="442"/>
      <c r="G45" s="442"/>
      <c r="H45" s="442"/>
      <c r="I45" s="442"/>
      <c r="J45" s="476">
        <v>35</v>
      </c>
    </row>
    <row r="46" spans="1:11">
      <c r="A46" s="424"/>
      <c r="B46" s="917" t="s">
        <v>702</v>
      </c>
      <c r="D46" s="442" t="s">
        <v>1410</v>
      </c>
      <c r="E46" s="442"/>
      <c r="F46" s="442"/>
      <c r="G46" s="442"/>
      <c r="H46" s="442"/>
      <c r="I46" s="442"/>
      <c r="J46" s="476">
        <v>36</v>
      </c>
    </row>
    <row r="47" spans="1:11">
      <c r="A47" s="424"/>
      <c r="B47" s="917" t="s">
        <v>703</v>
      </c>
      <c r="D47" s="443" t="s">
        <v>745</v>
      </c>
      <c r="E47" s="443"/>
      <c r="F47" s="443"/>
      <c r="G47" s="443"/>
      <c r="H47" s="443"/>
      <c r="I47" s="443"/>
      <c r="J47" s="476">
        <v>37</v>
      </c>
      <c r="K47" s="424"/>
    </row>
    <row r="48" spans="1:11">
      <c r="A48" s="424"/>
      <c r="B48" s="918"/>
      <c r="J48" s="476"/>
    </row>
    <row r="49" spans="1:11">
      <c r="A49" s="424" t="s">
        <v>704</v>
      </c>
      <c r="B49" s="918"/>
      <c r="J49" s="476"/>
    </row>
    <row r="50" spans="1:11">
      <c r="A50" s="424"/>
      <c r="B50" s="919"/>
      <c r="C50" s="424"/>
      <c r="D50" s="424"/>
      <c r="E50" s="424"/>
      <c r="F50" s="424"/>
      <c r="G50" s="424"/>
      <c r="H50" s="424"/>
      <c r="I50" s="424"/>
      <c r="J50" s="477"/>
    </row>
    <row r="51" spans="1:11">
      <c r="A51" s="424"/>
      <c r="B51" s="917" t="s">
        <v>705</v>
      </c>
      <c r="D51" s="427" t="s">
        <v>748</v>
      </c>
      <c r="J51" s="476">
        <v>38</v>
      </c>
    </row>
    <row r="52" spans="1:11">
      <c r="A52" s="424"/>
      <c r="B52" s="917" t="s">
        <v>706</v>
      </c>
      <c r="D52" s="442" t="s">
        <v>749</v>
      </c>
      <c r="E52" s="442"/>
      <c r="F52" s="442"/>
      <c r="G52" s="442"/>
      <c r="H52" s="442"/>
      <c r="I52" s="442"/>
      <c r="J52" s="476">
        <v>41</v>
      </c>
    </row>
    <row r="53" spans="1:11">
      <c r="A53" s="424"/>
      <c r="B53" s="917" t="s">
        <v>707</v>
      </c>
      <c r="D53" s="442" t="s">
        <v>750</v>
      </c>
      <c r="E53" s="442"/>
      <c r="F53" s="442"/>
      <c r="G53" s="442"/>
      <c r="H53" s="442"/>
      <c r="I53" s="442"/>
      <c r="J53" s="476">
        <v>42</v>
      </c>
    </row>
    <row r="54" spans="1:11">
      <c r="A54" s="424"/>
      <c r="B54" s="917" t="s">
        <v>708</v>
      </c>
      <c r="D54" s="442" t="s">
        <v>753</v>
      </c>
      <c r="E54" s="442"/>
      <c r="F54" s="442"/>
      <c r="G54" s="442"/>
      <c r="H54" s="442"/>
      <c r="I54" s="442"/>
      <c r="J54" s="476">
        <v>43</v>
      </c>
    </row>
    <row r="55" spans="1:11">
      <c r="A55" s="424"/>
      <c r="B55" s="917" t="s">
        <v>709</v>
      </c>
      <c r="D55" s="442" t="s">
        <v>751</v>
      </c>
      <c r="E55" s="442"/>
      <c r="F55" s="442"/>
      <c r="G55" s="442"/>
      <c r="H55" s="442"/>
      <c r="I55" s="442"/>
      <c r="J55" s="476">
        <v>44</v>
      </c>
      <c r="K55" s="445"/>
    </row>
    <row r="56" spans="1:11">
      <c r="A56" s="424"/>
      <c r="B56" s="922" t="s">
        <v>710</v>
      </c>
      <c r="D56" s="442" t="s">
        <v>752</v>
      </c>
      <c r="E56" s="442"/>
      <c r="F56" s="442"/>
      <c r="G56" s="442"/>
      <c r="H56" s="442"/>
      <c r="I56" s="442"/>
      <c r="J56" s="476">
        <v>45</v>
      </c>
      <c r="K56" s="434"/>
    </row>
    <row r="57" spans="1:11">
      <c r="A57" s="424"/>
      <c r="B57" s="917" t="s">
        <v>711</v>
      </c>
      <c r="D57" s="443" t="s">
        <v>712</v>
      </c>
      <c r="E57" s="443"/>
      <c r="F57" s="443"/>
      <c r="G57" s="443"/>
      <c r="H57" s="443"/>
      <c r="I57" s="443"/>
      <c r="J57" s="476">
        <v>46</v>
      </c>
      <c r="K57" s="434"/>
    </row>
    <row r="58" spans="1:11">
      <c r="A58" s="424"/>
      <c r="B58" s="920" t="s">
        <v>731</v>
      </c>
      <c r="D58" s="436" t="s">
        <v>713</v>
      </c>
      <c r="E58" s="436"/>
      <c r="F58" s="436"/>
      <c r="G58" s="436"/>
      <c r="H58" s="436"/>
      <c r="I58" s="436"/>
      <c r="J58" s="476">
        <v>47</v>
      </c>
      <c r="K58" s="434"/>
    </row>
    <row r="59" spans="1:11">
      <c r="A59" s="424"/>
      <c r="B59" s="921" t="s">
        <v>732</v>
      </c>
      <c r="D59" s="439" t="s">
        <v>714</v>
      </c>
      <c r="E59" s="439"/>
      <c r="F59" s="439"/>
      <c r="G59" s="439"/>
      <c r="H59" s="439"/>
      <c r="I59" s="439"/>
      <c r="J59" s="476">
        <v>48</v>
      </c>
      <c r="K59" s="434"/>
    </row>
    <row r="60" spans="1:11">
      <c r="A60" s="424"/>
      <c r="B60" s="921" t="s">
        <v>733</v>
      </c>
      <c r="D60" s="446" t="s">
        <v>715</v>
      </c>
      <c r="E60" s="439"/>
      <c r="F60" s="446"/>
      <c r="G60" s="439"/>
      <c r="H60" s="439"/>
      <c r="I60" s="439"/>
      <c r="J60" s="476">
        <v>49</v>
      </c>
      <c r="K60" s="434"/>
    </row>
    <row r="61" spans="1:11">
      <c r="A61" s="424"/>
      <c r="B61" s="921" t="s">
        <v>734</v>
      </c>
      <c r="D61" s="439" t="s">
        <v>716</v>
      </c>
      <c r="E61" s="439"/>
      <c r="F61" s="439"/>
      <c r="G61" s="439"/>
      <c r="H61" s="439"/>
      <c r="I61" s="439"/>
      <c r="J61" s="476">
        <v>50</v>
      </c>
    </row>
    <row r="62" spans="1:11">
      <c r="A62" s="424"/>
      <c r="B62" s="1057" t="s">
        <v>735</v>
      </c>
      <c r="D62" s="439" t="s">
        <v>1129</v>
      </c>
      <c r="E62" s="439"/>
      <c r="F62" s="439"/>
      <c r="G62" s="439"/>
      <c r="H62" s="440"/>
      <c r="I62" s="439"/>
      <c r="J62" s="476">
        <v>51</v>
      </c>
    </row>
    <row r="63" spans="1:11">
      <c r="A63" s="424"/>
      <c r="B63" s="1057" t="s">
        <v>736</v>
      </c>
      <c r="D63" s="439" t="s">
        <v>717</v>
      </c>
      <c r="E63" s="439"/>
      <c r="F63" s="439"/>
      <c r="G63" s="439"/>
      <c r="H63" s="440"/>
      <c r="I63" s="439"/>
      <c r="J63" s="476">
        <v>52</v>
      </c>
    </row>
    <row r="64" spans="1:11">
      <c r="A64" s="424"/>
      <c r="B64" s="922" t="s">
        <v>737</v>
      </c>
      <c r="D64" s="439" t="s">
        <v>1080</v>
      </c>
      <c r="E64" s="439"/>
      <c r="F64" s="439"/>
      <c r="G64" s="439"/>
      <c r="H64" s="440"/>
      <c r="I64" s="439"/>
      <c r="J64" s="476">
        <v>56</v>
      </c>
    </row>
    <row r="65" spans="1:10" ht="13.35" customHeight="1">
      <c r="A65" s="424"/>
      <c r="B65" s="922" t="s">
        <v>1247</v>
      </c>
      <c r="D65" s="439" t="s">
        <v>1273</v>
      </c>
      <c r="E65" s="439"/>
      <c r="F65" s="439"/>
      <c r="G65" s="439"/>
      <c r="H65" s="440"/>
      <c r="I65" s="439"/>
      <c r="J65" s="476">
        <v>57</v>
      </c>
    </row>
    <row r="66" spans="1:10" ht="13.35" customHeight="1">
      <c r="A66" s="424"/>
      <c r="B66" s="922" t="s">
        <v>1248</v>
      </c>
      <c r="D66" s="439" t="s">
        <v>1274</v>
      </c>
      <c r="E66" s="439"/>
      <c r="F66" s="439"/>
      <c r="G66" s="439"/>
      <c r="H66" s="440"/>
      <c r="I66" s="439"/>
      <c r="J66" s="476">
        <v>58</v>
      </c>
    </row>
    <row r="67" spans="1:10" ht="13.35" customHeight="1">
      <c r="A67" s="424"/>
      <c r="B67" s="447"/>
      <c r="D67" s="437"/>
      <c r="E67" s="437"/>
      <c r="F67" s="437"/>
      <c r="G67" s="437"/>
      <c r="H67" s="437"/>
      <c r="I67" s="437"/>
      <c r="J67" s="438"/>
    </row>
    <row r="68" spans="1:10" ht="13.35" customHeight="1">
      <c r="A68" s="424"/>
      <c r="B68" s="447"/>
      <c r="D68" s="437"/>
      <c r="E68" s="437"/>
      <c r="F68" s="437"/>
      <c r="G68" s="437"/>
      <c r="H68" s="437"/>
      <c r="I68" s="437"/>
      <c r="J68" s="438"/>
    </row>
    <row r="69" spans="1:10" ht="13.35" customHeight="1">
      <c r="A69" s="424"/>
      <c r="B69" s="447"/>
      <c r="D69" s="437"/>
      <c r="E69" s="437"/>
      <c r="F69" s="437"/>
      <c r="G69" s="437"/>
      <c r="H69" s="437"/>
      <c r="I69" s="437"/>
      <c r="J69" s="438"/>
    </row>
    <row r="70" spans="1:10" ht="13.35" customHeight="1">
      <c r="A70" s="424"/>
      <c r="B70" s="447"/>
      <c r="D70" s="437"/>
      <c r="E70" s="437"/>
      <c r="F70" s="437"/>
      <c r="G70" s="437"/>
      <c r="H70" s="437"/>
      <c r="I70" s="437"/>
      <c r="J70" s="438"/>
    </row>
    <row r="71" spans="1:10" ht="13.35" customHeight="1">
      <c r="A71" s="424"/>
      <c r="B71" s="447"/>
      <c r="D71" s="437"/>
      <c r="E71" s="437"/>
      <c r="F71" s="437"/>
      <c r="G71" s="437"/>
      <c r="H71" s="437"/>
      <c r="I71" s="437"/>
      <c r="J71" s="438"/>
    </row>
    <row r="72" spans="1:10" ht="13.35" customHeight="1">
      <c r="A72" s="424"/>
      <c r="B72" s="447"/>
      <c r="D72" s="437"/>
      <c r="E72" s="437"/>
      <c r="F72" s="437"/>
      <c r="G72" s="437"/>
      <c r="H72" s="437"/>
      <c r="I72" s="437"/>
      <c r="J72" s="438"/>
    </row>
    <row r="73" spans="1:10" ht="13.35" customHeight="1">
      <c r="A73" s="424"/>
      <c r="B73" s="447"/>
      <c r="D73" s="437"/>
      <c r="E73" s="437"/>
      <c r="F73" s="437"/>
      <c r="G73" s="437"/>
      <c r="H73" s="437"/>
      <c r="I73" s="437"/>
      <c r="J73" s="438"/>
    </row>
    <row r="74" spans="1:10" ht="13.35" customHeight="1">
      <c r="A74" s="424"/>
      <c r="B74" s="447"/>
      <c r="D74" s="437"/>
      <c r="E74" s="437"/>
      <c r="F74" s="437"/>
      <c r="G74" s="437"/>
      <c r="H74" s="437"/>
      <c r="I74" s="437"/>
      <c r="J74" s="438"/>
    </row>
    <row r="75" spans="1:10" ht="13.35" customHeight="1">
      <c r="A75" s="424"/>
      <c r="B75" s="447"/>
      <c r="D75" s="437"/>
      <c r="E75" s="437"/>
      <c r="F75" s="437"/>
      <c r="G75" s="437"/>
      <c r="H75" s="437"/>
      <c r="I75" s="437"/>
      <c r="J75" s="438"/>
    </row>
    <row r="76" spans="1:10" ht="13.35" customHeight="1">
      <c r="A76" s="424"/>
      <c r="B76" s="447"/>
      <c r="D76" s="437"/>
      <c r="E76" s="437"/>
      <c r="F76" s="437"/>
      <c r="G76" s="437"/>
      <c r="H76" s="437"/>
      <c r="I76" s="437"/>
      <c r="J76" s="438"/>
    </row>
    <row r="77" spans="1:10" ht="13.35" customHeight="1">
      <c r="A77" s="424"/>
      <c r="B77" s="447"/>
      <c r="D77" s="437"/>
      <c r="E77" s="437"/>
      <c r="F77" s="437"/>
      <c r="G77" s="437"/>
      <c r="H77" s="437"/>
      <c r="I77" s="437"/>
      <c r="J77" s="438"/>
    </row>
    <row r="78" spans="1:10" ht="13.35" customHeight="1">
      <c r="A78" s="424"/>
      <c r="B78" s="447"/>
      <c r="D78" s="437"/>
      <c r="E78" s="437"/>
      <c r="F78" s="437"/>
      <c r="G78" s="437"/>
      <c r="H78" s="437"/>
      <c r="I78" s="437"/>
      <c r="J78" s="438"/>
    </row>
    <row r="79" spans="1:10" ht="13.35" customHeight="1">
      <c r="A79" s="424"/>
      <c r="B79" s="447"/>
      <c r="D79" s="437"/>
      <c r="E79" s="437"/>
      <c r="F79" s="437"/>
      <c r="G79" s="437"/>
      <c r="H79" s="437"/>
      <c r="I79" s="437"/>
      <c r="J79" s="438"/>
    </row>
    <row r="80" spans="1:10" ht="13.35" customHeight="1">
      <c r="A80" s="424"/>
      <c r="B80" s="447"/>
      <c r="D80" s="437"/>
      <c r="E80" s="437"/>
      <c r="F80" s="437"/>
      <c r="G80" s="437"/>
      <c r="H80" s="437"/>
      <c r="I80" s="437"/>
      <c r="J80" s="438"/>
    </row>
    <row r="81" spans="1:10" ht="13.35" customHeight="1">
      <c r="A81" s="424"/>
      <c r="B81" s="447"/>
      <c r="D81" s="437"/>
      <c r="E81" s="437"/>
      <c r="F81" s="437"/>
      <c r="G81" s="437"/>
      <c r="H81" s="437"/>
      <c r="I81" s="437"/>
      <c r="J81" s="438"/>
    </row>
    <row r="82" spans="1:10" ht="13.35" customHeight="1">
      <c r="A82" s="424"/>
      <c r="B82" s="447"/>
      <c r="D82" s="437"/>
      <c r="E82" s="437"/>
      <c r="F82" s="437"/>
      <c r="G82" s="437"/>
      <c r="H82" s="437"/>
      <c r="I82" s="437"/>
      <c r="J82" s="438"/>
    </row>
    <row r="83" spans="1:10" ht="13.35" customHeight="1">
      <c r="A83" s="424"/>
      <c r="B83" s="447"/>
      <c r="D83" s="437"/>
      <c r="E83" s="437"/>
      <c r="F83" s="437"/>
      <c r="G83" s="437"/>
      <c r="H83" s="437"/>
      <c r="I83" s="437"/>
      <c r="J83" s="438"/>
    </row>
    <row r="84" spans="1:10" ht="13.35" customHeight="1">
      <c r="A84" s="424"/>
      <c r="B84" s="447"/>
      <c r="D84" s="437"/>
      <c r="E84" s="437"/>
      <c r="F84" s="437"/>
      <c r="G84" s="437"/>
      <c r="H84" s="437"/>
      <c r="I84" s="437"/>
      <c r="J84" s="438"/>
    </row>
    <row r="85" spans="1:10" ht="13.35" customHeight="1">
      <c r="A85" s="424"/>
      <c r="B85" s="447"/>
      <c r="D85" s="437"/>
      <c r="E85" s="437"/>
      <c r="F85" s="437"/>
      <c r="G85" s="437"/>
      <c r="H85" s="437"/>
      <c r="I85" s="437"/>
      <c r="J85" s="438"/>
    </row>
    <row r="86" spans="1:10" ht="13.35" customHeight="1">
      <c r="A86" s="424"/>
      <c r="B86" s="447"/>
      <c r="D86" s="437"/>
      <c r="E86" s="437"/>
      <c r="F86" s="437"/>
      <c r="G86" s="437"/>
      <c r="H86" s="437"/>
      <c r="I86" s="437"/>
      <c r="J86" s="438"/>
    </row>
    <row r="87" spans="1:10" ht="13.35" customHeight="1">
      <c r="A87" s="424"/>
      <c r="B87" s="447"/>
      <c r="D87" s="437"/>
      <c r="E87" s="437"/>
      <c r="F87" s="437"/>
      <c r="G87" s="437"/>
      <c r="H87" s="437"/>
      <c r="I87" s="437"/>
      <c r="J87" s="438"/>
    </row>
    <row r="88" spans="1:10" ht="13.35" customHeight="1">
      <c r="A88" s="424"/>
      <c r="B88" s="447"/>
      <c r="D88" s="437"/>
      <c r="E88" s="437"/>
      <c r="F88" s="437"/>
      <c r="G88" s="437"/>
      <c r="H88" s="437"/>
      <c r="I88" s="437"/>
      <c r="J88" s="438"/>
    </row>
    <row r="89" spans="1:10" ht="13.35" customHeight="1">
      <c r="A89" s="424"/>
      <c r="B89" s="447"/>
      <c r="D89" s="437"/>
      <c r="E89" s="437"/>
      <c r="F89" s="437"/>
      <c r="G89" s="437"/>
      <c r="H89" s="437"/>
      <c r="I89" s="437"/>
      <c r="J89" s="438"/>
    </row>
    <row r="90" spans="1:10" ht="13.35" customHeight="1">
      <c r="A90" s="424"/>
      <c r="B90" s="447"/>
      <c r="D90" s="437"/>
      <c r="E90" s="437"/>
      <c r="F90" s="437"/>
      <c r="G90" s="437"/>
      <c r="H90" s="437"/>
      <c r="I90" s="437"/>
      <c r="J90" s="438"/>
    </row>
    <row r="91" spans="1:10" ht="13.35" customHeight="1">
      <c r="A91" s="424"/>
      <c r="B91" s="447"/>
      <c r="D91" s="437"/>
      <c r="E91" s="437"/>
      <c r="F91" s="437"/>
      <c r="G91" s="437"/>
      <c r="H91" s="437"/>
      <c r="I91" s="437"/>
      <c r="J91" s="438"/>
    </row>
    <row r="92" spans="1:10" ht="13.35" customHeight="1">
      <c r="A92" s="424"/>
      <c r="B92" s="447"/>
      <c r="D92" s="437"/>
      <c r="E92" s="437"/>
      <c r="F92" s="437"/>
      <c r="G92" s="437"/>
      <c r="H92" s="437"/>
      <c r="I92" s="437"/>
      <c r="J92" s="438"/>
    </row>
    <row r="93" spans="1:10" ht="13.35" customHeight="1">
      <c r="A93" s="424"/>
      <c r="B93" s="447"/>
      <c r="D93" s="437"/>
      <c r="E93" s="437"/>
      <c r="F93" s="437"/>
      <c r="G93" s="437"/>
      <c r="H93" s="437"/>
      <c r="I93" s="437"/>
      <c r="J93" s="438"/>
    </row>
    <row r="94" spans="1:10" ht="13.35" customHeight="1">
      <c r="A94" s="424"/>
      <c r="B94" s="447"/>
      <c r="D94" s="437"/>
      <c r="E94" s="437"/>
      <c r="F94" s="437"/>
      <c r="G94" s="437"/>
      <c r="H94" s="437"/>
      <c r="I94" s="437"/>
      <c r="J94" s="438"/>
    </row>
    <row r="95" spans="1:10" ht="13.35" customHeight="1">
      <c r="A95" s="424"/>
      <c r="B95" s="447"/>
      <c r="D95" s="437"/>
      <c r="E95" s="437"/>
      <c r="F95" s="437"/>
      <c r="G95" s="437"/>
      <c r="H95" s="437"/>
      <c r="I95" s="437"/>
      <c r="J95" s="438"/>
    </row>
    <row r="96" spans="1:10" ht="13.35" customHeight="1">
      <c r="A96" s="424"/>
      <c r="B96" s="447"/>
      <c r="D96" s="437"/>
      <c r="E96" s="437"/>
      <c r="F96" s="437"/>
      <c r="G96" s="437"/>
      <c r="H96" s="437"/>
      <c r="I96" s="437"/>
      <c r="J96" s="438"/>
    </row>
    <row r="97" spans="1:10" ht="13.35" customHeight="1">
      <c r="A97" s="424"/>
      <c r="B97" s="447"/>
      <c r="D97" s="437"/>
      <c r="E97" s="437"/>
      <c r="F97" s="437"/>
      <c r="G97" s="437"/>
      <c r="H97" s="437"/>
      <c r="I97" s="437"/>
      <c r="J97" s="438"/>
    </row>
    <row r="98" spans="1:10" ht="13.35" customHeight="1">
      <c r="A98" s="424"/>
      <c r="B98" s="447"/>
      <c r="D98" s="437"/>
      <c r="E98" s="437"/>
      <c r="F98" s="437"/>
      <c r="G98" s="437"/>
      <c r="H98" s="437"/>
      <c r="I98" s="437"/>
      <c r="J98" s="438"/>
    </row>
    <row r="99" spans="1:10" ht="13.35" customHeight="1">
      <c r="A99" s="424"/>
      <c r="B99" s="447"/>
      <c r="D99" s="437"/>
      <c r="E99" s="437"/>
      <c r="F99" s="437"/>
      <c r="G99" s="437"/>
      <c r="H99" s="437"/>
      <c r="I99" s="437"/>
      <c r="J99" s="438"/>
    </row>
    <row r="100" spans="1:10" ht="13.35" customHeight="1">
      <c r="A100" s="424"/>
      <c r="B100" s="447"/>
      <c r="D100" s="437"/>
      <c r="E100" s="437"/>
      <c r="F100" s="437"/>
      <c r="G100" s="437"/>
      <c r="H100" s="437"/>
      <c r="I100" s="437"/>
      <c r="J100" s="438"/>
    </row>
    <row r="101" spans="1:10">
      <c r="B101" s="447"/>
      <c r="J101" s="448"/>
    </row>
    <row r="102" spans="1:10">
      <c r="B102" s="447"/>
      <c r="J102" s="448"/>
    </row>
    <row r="103" spans="1:10">
      <c r="B103" s="447"/>
      <c r="J103" s="448"/>
    </row>
    <row r="104" spans="1:10">
      <c r="B104" s="447"/>
    </row>
    <row r="105" spans="1:10">
      <c r="B105" s="447"/>
    </row>
    <row r="106" spans="1:10">
      <c r="B106" s="447"/>
    </row>
    <row r="107" spans="1:10">
      <c r="B107" s="447"/>
    </row>
    <row r="108" spans="1:10">
      <c r="B108" s="447"/>
    </row>
    <row r="109" spans="1:10">
      <c r="B109" s="447"/>
    </row>
  </sheetData>
  <hyperlinks>
    <hyperlink ref="B16" location="'Exhibit A'!A1" display="Exhibit A" xr:uid="{00000000-0004-0000-0000-000000000000}"/>
    <hyperlink ref="B17" location="'Exh A Supp'!A1" display="Exhibit A Supplemental " xr:uid="{00000000-0004-0000-0000-000001000000}"/>
    <hyperlink ref="B18" location="Footnotes!A1" display="Exhibit A Footnotes" xr:uid="{00000000-0004-0000-0000-000002000000}"/>
    <hyperlink ref="B19" location="'Exh B'!A1" display="Exhibit B" xr:uid="{00000000-0004-0000-0000-000003000000}"/>
    <hyperlink ref="B20" location="'Exh C'!A1" display="Exhibit C" xr:uid="{00000000-0004-0000-0000-000004000000}"/>
    <hyperlink ref="B21" location="'Exh D-Governmental  '!A1" display="Exhibit D    " xr:uid="{00000000-0004-0000-0000-000005000000}"/>
    <hyperlink ref="B22" location="'Exh D State Operating'!A1" display="Exhibit D State Operating" xr:uid="{00000000-0004-0000-0000-000006000000}"/>
    <hyperlink ref="B23" location="'Exh D General Fund'!A1" display="Exhibit D General Fund" xr:uid="{00000000-0004-0000-0000-000007000000}"/>
    <hyperlink ref="B29" location="'EXHIBIT E '!A1" display="Exhibit E" xr:uid="{00000000-0004-0000-0000-000008000000}"/>
    <hyperlink ref="B30" location="'Cashflow Governmental'!A1" display="Cash Flow - Governmental" xr:uid="{00000000-0004-0000-0000-000009000000}"/>
    <hyperlink ref="B36" location="'Exhibit F'!A1" display="Exhibit F" xr:uid="{00000000-0004-0000-0000-00000A000000}"/>
    <hyperlink ref="B37" location="'Exhibit G'!A1" display="Exhibit G" xr:uid="{00000000-0004-0000-0000-00000B000000}"/>
    <hyperlink ref="B38" location="'Exhibit G state'!A1" display="Exhibit G State" xr:uid="{00000000-0004-0000-0000-00000C000000}"/>
    <hyperlink ref="B39" location="'Exhibit G Federal'!A1" display="Exhibit G Federal" xr:uid="{00000000-0004-0000-0000-00000D000000}"/>
    <hyperlink ref="B40" location="'Exhibit H'!A1" display="Exhibit H" xr:uid="{00000000-0004-0000-0000-00000E000000}"/>
    <hyperlink ref="B41" location="'Exhibit I'!A1" display="Exhibit I" xr:uid="{00000000-0004-0000-0000-00000F000000}"/>
    <hyperlink ref="B42" location="'Exhibit I State'!A1" display="Exhibit I State" xr:uid="{00000000-0004-0000-0000-000010000000}"/>
    <hyperlink ref="B43" location="'Exhibit I Federal'!A1" display="Exhibit I Federal" xr:uid="{00000000-0004-0000-0000-000011000000}"/>
    <hyperlink ref="B44" location="'Exhibit J'!A1" display="Exhibit J" xr:uid="{00000000-0004-0000-0000-000012000000}"/>
    <hyperlink ref="B45" location="'Exhibit K'!A1" display="Exhibit K" xr:uid="{00000000-0004-0000-0000-000013000000}"/>
    <hyperlink ref="B46" location="'EXHIBIT L'!A1" display="Exhibit L" xr:uid="{00000000-0004-0000-0000-000014000000}"/>
    <hyperlink ref="B47" location="'EXHIBIT M'!A1" display="Exhibit M" xr:uid="{00000000-0004-0000-0000-000015000000}"/>
    <hyperlink ref="B51" location="'Sch 1 '!A1" display="Schedule 1" xr:uid="{00000000-0004-0000-0000-000016000000}"/>
    <hyperlink ref="B52" location="'Sch 2 '!A1" display="Schedule 2" xr:uid="{00000000-0004-0000-0000-000017000000}"/>
    <hyperlink ref="B53" location="'Sch 3 '!A1" display="Schedule 3" xr:uid="{00000000-0004-0000-0000-000018000000}"/>
    <hyperlink ref="B54" location="'Sch 4'!A1" display="Schedule 4" xr:uid="{00000000-0004-0000-0000-000019000000}"/>
    <hyperlink ref="B55" location="'Sch 5 '!A1" display="Schedule 5" xr:uid="{00000000-0004-0000-0000-00001A000000}"/>
    <hyperlink ref="B56" location="'Sch 5a'!A1" display="Schedule 5a" xr:uid="{00000000-0004-0000-0000-00001B000000}"/>
    <hyperlink ref="B57" location="'Sch 6'!A1" display="Schedule 6" xr:uid="{00000000-0004-0000-0000-00001C000000}"/>
    <hyperlink ref="B58" location="'HCRA '!A1" display="Appendix A " xr:uid="{00000000-0004-0000-0000-00001D000000}"/>
    <hyperlink ref="B59" location="'HCRA PROG DISB'!A1" display="Appendix B" xr:uid="{00000000-0004-0000-0000-00001E000000}"/>
    <hyperlink ref="B60" location="'Public Goods '!A1" display="Appendix D" xr:uid="{00000000-0004-0000-0000-00001F000000}"/>
    <hyperlink ref="B61" location="'Medicaid Disp Share'!B1" display="Appendix E" xr:uid="{00000000-0004-0000-0000-000020000000}"/>
    <hyperlink ref="B62" location="'Appendix E'!A1" display="Appendix E" xr:uid="{00000000-0004-0000-0000-000021000000}"/>
    <hyperlink ref="B63" location="'Appendix F'!D1" display="Appendix F" xr:uid="{00000000-0004-0000-0000-000022000000}"/>
    <hyperlink ref="B31" location="'Cash Flow State Operating'!A1" display="Cash Flow - State Operating" xr:uid="{00000000-0004-0000-0000-000023000000}"/>
    <hyperlink ref="B25" location="'Exh D Special Revenue State Fed'!A1" display="Exhibit D Special Revenue State/Federal" xr:uid="{00000000-0004-0000-0000-000024000000}"/>
    <hyperlink ref="B26" location="'Exh D Debt Service'!A1" display="Exhibit D Debt" xr:uid="{00000000-0004-0000-0000-000025000000}"/>
    <hyperlink ref="B28" location="'Exh D Captl Projects State Fed'!A1" display="Exhibit D Capital Projects State/Federal" xr:uid="{00000000-0004-0000-0000-000026000000}"/>
    <hyperlink ref="B24" location="'Exh D Special Revenue'!A1" display="Exhibit D Special Revenue" xr:uid="{00000000-0004-0000-0000-000027000000}"/>
    <hyperlink ref="B27" location="'Exh D Capital Projects'!A1" display="Exhibit D Capital Projects" xr:uid="{00000000-0004-0000-0000-000028000000}"/>
    <hyperlink ref="B64" location="'Appendix G'!A1" display="Appendix G" xr:uid="{00000000-0004-0000-0000-000029000000}"/>
    <hyperlink ref="B65" location="'Appendix H'!A1" display="Appendix H" xr:uid="{00000000-0004-0000-0000-00002A000000}"/>
    <hyperlink ref="B66" location="'Appendix I'!A1" display="Appendix I" xr:uid="{00000000-0004-0000-0000-00002B000000}"/>
  </hyperlinks>
  <printOptions horizontalCentered="1"/>
  <pageMargins left="1" right="0.5" top="0.45" bottom="0.35" header="0" footer="0"/>
  <pageSetup scale="62" orientation="landscape" r:id="rId1"/>
  <headerFooter alignWithMargins="0"/>
  <rowBreaks count="3" manualBreakCount="3">
    <brk id="103" max="9" man="1"/>
    <brk id="116" max="9" man="1"/>
    <brk id="130" max="10" man="1"/>
  </rowBreaks>
  <customProperties>
    <customPr name="SheetOptions" r:id="rId2"/>
    <customPr name="WORKBKFUNCTIONCACHE" r:id="rId3"/>
  </customPropertie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AN106"/>
  <sheetViews>
    <sheetView showGridLines="0" zoomScale="90" zoomScaleNormal="70" workbookViewId="0"/>
  </sheetViews>
  <sheetFormatPr defaultColWidth="8.88671875" defaultRowHeight="11.25"/>
  <cols>
    <col min="1" max="1" width="35.109375" style="1345" customWidth="1"/>
    <col min="2" max="2" width="9.109375" style="1345" customWidth="1"/>
    <col min="3" max="3" width="5.5546875" style="1345" customWidth="1"/>
    <col min="4" max="4" width="12.88671875" style="1346" bestFit="1" customWidth="1"/>
    <col min="5" max="5" width="1.88671875" style="1345" customWidth="1"/>
    <col min="6" max="6" width="13.44140625" style="1345" customWidth="1"/>
    <col min="7" max="7" width="2.109375" style="1345" customWidth="1"/>
    <col min="8" max="8" width="12.88671875" style="1346" bestFit="1" customWidth="1"/>
    <col min="9" max="9" width="1.88671875" style="1345" customWidth="1"/>
    <col min="10" max="10" width="13.88671875" style="1345" customWidth="1"/>
    <col min="11" max="11" width="1.88671875" style="1345" customWidth="1"/>
    <col min="12" max="12" width="11.88671875" style="1346" customWidth="1"/>
    <col min="13" max="13" width="2" style="1345" customWidth="1"/>
    <col min="14" max="14" width="13.88671875" style="1345" customWidth="1"/>
    <col min="15" max="15" width="1.88671875" style="1345" customWidth="1"/>
    <col min="16" max="16" width="13" style="1345" customWidth="1"/>
    <col min="17" max="17" width="1.88671875" style="1345" customWidth="1"/>
    <col min="18" max="18" width="13.109375" style="1345" customWidth="1"/>
    <col min="19" max="21" width="1.109375" style="1345" customWidth="1"/>
    <col min="22" max="22" width="12.88671875" style="1346" bestFit="1" customWidth="1"/>
    <col min="23" max="23" width="1.88671875" style="1345" customWidth="1"/>
    <col min="24" max="24" width="13.88671875" style="1345" customWidth="1"/>
    <col min="25" max="27" width="1.109375" style="1345" customWidth="1"/>
    <col min="28" max="28" width="12.109375" style="1346" customWidth="1"/>
    <col min="29" max="29" width="1.88671875" style="1345" customWidth="1"/>
    <col min="30" max="30" width="13.88671875" style="1345" customWidth="1"/>
    <col min="31" max="32" width="1" style="1345" customWidth="1"/>
    <col min="33" max="33" width="13.109375" style="1345" bestFit="1" customWidth="1"/>
    <col min="34" max="34" width="1.88671875" style="1345" customWidth="1"/>
    <col min="35" max="35" width="12.88671875" style="1347" customWidth="1"/>
    <col min="36" max="36" width="19.109375" style="1345" customWidth="1"/>
    <col min="37" max="16384" width="8.88671875" style="1345"/>
  </cols>
  <sheetData>
    <row r="1" spans="1:38" ht="15">
      <c r="A1" s="489" t="s">
        <v>841</v>
      </c>
    </row>
    <row r="2" spans="1:38" ht="15">
      <c r="A2" s="489"/>
    </row>
    <row r="3" spans="1:38" ht="20.25">
      <c r="A3" s="1348" t="s">
        <v>0</v>
      </c>
      <c r="B3" s="1349"/>
      <c r="C3" s="1349"/>
      <c r="D3" s="1349"/>
      <c r="E3" s="1349"/>
      <c r="F3" s="1349"/>
      <c r="G3" s="1349"/>
      <c r="H3" s="1349"/>
      <c r="I3" s="1349"/>
      <c r="J3" s="1349"/>
      <c r="K3" s="1349"/>
      <c r="L3" s="1349"/>
      <c r="M3" s="1349"/>
      <c r="N3" s="1349"/>
      <c r="O3" s="1349"/>
      <c r="P3" s="1349"/>
      <c r="Q3" s="1349"/>
      <c r="R3" s="1349"/>
      <c r="S3" s="1349"/>
      <c r="T3" s="1349"/>
      <c r="U3" s="1349"/>
      <c r="V3" s="1349"/>
      <c r="W3" s="1349"/>
      <c r="X3" s="1349"/>
      <c r="Y3" s="1349"/>
      <c r="Z3" s="1349"/>
      <c r="AA3" s="1349"/>
      <c r="AB3" s="1349"/>
      <c r="AC3" s="1349"/>
      <c r="AD3" s="1349"/>
      <c r="AE3" s="1349"/>
      <c r="AF3" s="1349"/>
      <c r="AG3" s="1349"/>
      <c r="AH3" s="1349"/>
      <c r="AI3" s="1350" t="s">
        <v>1384</v>
      </c>
      <c r="AJ3" s="951"/>
    </row>
    <row r="4" spans="1:38" ht="20.25" customHeight="1">
      <c r="A4" s="2310" t="s">
        <v>1</v>
      </c>
      <c r="B4" s="2311"/>
      <c r="C4" s="2311"/>
      <c r="D4" s="2311"/>
      <c r="E4" s="2311"/>
      <c r="F4" s="2311"/>
      <c r="G4" s="2311"/>
      <c r="H4" s="2311"/>
      <c r="I4" s="2311"/>
      <c r="J4" s="2311"/>
      <c r="K4" s="2311"/>
      <c r="L4" s="2311"/>
      <c r="M4" s="2311"/>
      <c r="N4" s="2311"/>
      <c r="O4" s="2311"/>
      <c r="P4" s="2311"/>
      <c r="Q4" s="2311"/>
      <c r="R4" s="2311"/>
      <c r="S4" s="2311"/>
      <c r="T4" s="2311"/>
      <c r="U4" s="2311"/>
      <c r="V4" s="2311"/>
      <c r="W4" s="2311"/>
      <c r="X4" s="2311"/>
      <c r="Y4" s="2311"/>
      <c r="Z4" s="2311"/>
      <c r="AA4" s="2311"/>
      <c r="AB4" s="2311"/>
      <c r="AC4" s="2311"/>
      <c r="AD4" s="2311"/>
      <c r="AE4" s="2311"/>
      <c r="AF4" s="2311"/>
      <c r="AG4" s="2311"/>
      <c r="AH4" s="2311"/>
      <c r="AI4" s="2311"/>
      <c r="AJ4" s="951"/>
    </row>
    <row r="5" spans="1:38" ht="20.25">
      <c r="A5" s="2310" t="s">
        <v>757</v>
      </c>
      <c r="B5" s="2312"/>
      <c r="C5" s="2312"/>
      <c r="D5" s="2312"/>
      <c r="E5" s="2312"/>
      <c r="F5" s="2312"/>
      <c r="G5" s="2312"/>
      <c r="H5" s="2312"/>
      <c r="I5" s="2312"/>
      <c r="J5" s="2312"/>
      <c r="K5" s="2312"/>
      <c r="L5" s="2312"/>
      <c r="M5" s="2312"/>
      <c r="N5" s="2312"/>
      <c r="O5" s="2312"/>
      <c r="P5" s="2312"/>
      <c r="Q5" s="2312"/>
      <c r="R5" s="2312"/>
      <c r="S5" s="2312"/>
      <c r="T5" s="2312"/>
      <c r="U5" s="2312"/>
      <c r="V5" s="2312"/>
      <c r="W5" s="2312"/>
      <c r="X5" s="2312"/>
      <c r="Y5" s="2312"/>
      <c r="Z5" s="2312"/>
      <c r="AA5" s="2312"/>
      <c r="AB5" s="2312"/>
      <c r="AC5" s="2312"/>
      <c r="AD5" s="2312"/>
      <c r="AE5" s="2311"/>
      <c r="AF5" s="2311"/>
      <c r="AG5" s="2311"/>
      <c r="AH5" s="2311"/>
      <c r="AI5" s="2311"/>
      <c r="AJ5" s="951"/>
    </row>
    <row r="6" spans="1:38" ht="21" customHeight="1">
      <c r="A6" s="2310" t="s">
        <v>1199</v>
      </c>
      <c r="B6" s="2311"/>
      <c r="C6" s="2311"/>
      <c r="D6" s="2311"/>
      <c r="E6" s="2311"/>
      <c r="F6" s="2311"/>
      <c r="G6" s="2311"/>
      <c r="H6" s="2311"/>
      <c r="I6" s="2311"/>
      <c r="J6" s="2311"/>
      <c r="K6" s="2311"/>
      <c r="L6" s="2311"/>
      <c r="M6" s="2311"/>
      <c r="N6" s="2311"/>
      <c r="O6" s="2311"/>
      <c r="P6" s="2311"/>
      <c r="Q6" s="2311"/>
      <c r="R6" s="2311"/>
      <c r="S6" s="2311"/>
      <c r="T6" s="2311"/>
      <c r="U6" s="2311"/>
      <c r="V6" s="2311"/>
      <c r="W6" s="2311"/>
      <c r="X6" s="2311"/>
      <c r="Y6" s="2311"/>
      <c r="Z6" s="2311"/>
      <c r="AA6" s="2311"/>
      <c r="AB6" s="2311"/>
      <c r="AC6" s="2311"/>
      <c r="AD6" s="2311"/>
      <c r="AE6" s="2311"/>
      <c r="AF6" s="2311"/>
      <c r="AG6" s="2311"/>
      <c r="AH6" s="2311"/>
      <c r="AI6" s="2311"/>
      <c r="AJ6" s="951"/>
    </row>
    <row r="7" spans="1:38" ht="15.75">
      <c r="A7" s="1"/>
      <c r="B7" s="1"/>
      <c r="C7" s="1"/>
      <c r="D7" s="1841"/>
      <c r="E7" s="1"/>
      <c r="F7" s="1"/>
      <c r="G7" s="1"/>
      <c r="H7" s="1351"/>
      <c r="I7" s="2"/>
      <c r="J7" s="2"/>
      <c r="K7" s="2"/>
      <c r="L7" s="1351"/>
      <c r="M7" s="1"/>
      <c r="N7" s="2"/>
      <c r="O7" s="2"/>
      <c r="P7" s="2"/>
      <c r="Q7" s="2"/>
      <c r="R7" s="2"/>
      <c r="S7" s="1"/>
      <c r="T7" s="1"/>
      <c r="U7" s="1"/>
      <c r="V7" s="1841"/>
      <c r="W7" s="1"/>
      <c r="X7" s="1" t="s">
        <v>14</v>
      </c>
      <c r="Y7" s="1"/>
      <c r="Z7" s="1"/>
      <c r="AA7" s="1"/>
      <c r="AB7" s="1841"/>
      <c r="AC7" s="1"/>
      <c r="AD7" s="1352"/>
      <c r="AE7" s="1352"/>
      <c r="AF7" s="1352"/>
      <c r="AG7" s="1352"/>
      <c r="AJ7" s="951"/>
      <c r="AK7" s="951"/>
      <c r="AL7" s="951"/>
    </row>
    <row r="8" spans="1:38" ht="16.350000000000001" customHeight="1">
      <c r="A8" s="2"/>
      <c r="B8" s="1"/>
      <c r="C8" s="1"/>
      <c r="D8" s="1351"/>
      <c r="E8" s="1"/>
      <c r="F8" s="1"/>
      <c r="G8" s="1"/>
      <c r="H8" s="1351"/>
      <c r="I8" s="2"/>
      <c r="J8" s="2"/>
      <c r="K8" s="2"/>
      <c r="L8" s="1351"/>
      <c r="M8" s="1"/>
      <c r="N8" s="2"/>
      <c r="O8" s="2"/>
      <c r="P8" s="2"/>
      <c r="Q8" s="2"/>
      <c r="R8" s="2"/>
      <c r="S8" s="1"/>
      <c r="T8" s="1"/>
      <c r="U8" s="1"/>
      <c r="V8" s="1841"/>
      <c r="W8" s="1"/>
      <c r="X8" s="1" t="s">
        <v>14</v>
      </c>
      <c r="Y8" s="1"/>
      <c r="Z8" s="1"/>
      <c r="AA8" s="1"/>
      <c r="AB8" s="1841"/>
      <c r="AC8" s="1"/>
      <c r="AD8" s="1353"/>
      <c r="AE8" s="1353"/>
      <c r="AF8" s="5"/>
      <c r="AG8" s="5"/>
      <c r="AI8" s="951"/>
      <c r="AJ8" s="951"/>
      <c r="AK8" s="951"/>
      <c r="AL8" s="951"/>
    </row>
    <row r="9" spans="1:38" ht="16.350000000000001" customHeight="1">
      <c r="A9" s="1"/>
      <c r="B9" s="1"/>
      <c r="C9" s="1"/>
      <c r="D9" s="1"/>
      <c r="E9" s="1"/>
      <c r="F9" s="1"/>
      <c r="G9" s="1"/>
      <c r="H9" s="2"/>
      <c r="I9" s="2"/>
      <c r="J9" s="2"/>
      <c r="K9" s="2"/>
      <c r="L9" s="2"/>
      <c r="M9" s="1"/>
      <c r="N9" s="2"/>
      <c r="O9" s="2"/>
      <c r="P9" s="2"/>
      <c r="Q9" s="2"/>
      <c r="R9" s="2"/>
      <c r="S9" s="1"/>
      <c r="T9" s="1"/>
      <c r="U9" s="1"/>
      <c r="V9" s="1"/>
      <c r="W9" s="1"/>
      <c r="X9" s="1"/>
      <c r="Y9" s="1"/>
      <c r="Z9" s="1"/>
      <c r="AA9" s="1"/>
      <c r="AB9" s="1"/>
      <c r="AC9" s="1"/>
      <c r="AD9" s="1354"/>
      <c r="AE9" s="1354"/>
      <c r="AF9" s="1354"/>
      <c r="AG9" s="1354"/>
      <c r="AI9" s="489"/>
      <c r="AJ9" s="951"/>
      <c r="AK9" s="951"/>
      <c r="AL9" s="951"/>
    </row>
    <row r="10" spans="1:38" ht="16.350000000000001" customHeight="1">
      <c r="A10" s="7"/>
      <c r="B10" s="7"/>
      <c r="C10" s="7"/>
      <c r="D10" s="3" t="s">
        <v>2</v>
      </c>
      <c r="E10" s="3"/>
      <c r="F10" s="3"/>
      <c r="G10" s="1354"/>
      <c r="H10" s="3" t="s">
        <v>3</v>
      </c>
      <c r="I10" s="3"/>
      <c r="J10" s="3"/>
      <c r="K10" s="1354"/>
      <c r="L10" s="3" t="s">
        <v>4</v>
      </c>
      <c r="M10" s="3"/>
      <c r="N10" s="3"/>
      <c r="O10" s="1354"/>
      <c r="P10" s="3" t="s">
        <v>5</v>
      </c>
      <c r="Q10" s="3"/>
      <c r="R10" s="3"/>
      <c r="S10" s="1354"/>
      <c r="T10" s="1354"/>
      <c r="U10" s="1354"/>
      <c r="V10" s="2313" t="s">
        <v>1297</v>
      </c>
      <c r="W10" s="2314"/>
      <c r="X10" s="2314"/>
      <c r="Y10" s="2314"/>
      <c r="Z10" s="2314"/>
      <c r="AA10" s="2314"/>
      <c r="AB10" s="2314"/>
      <c r="AC10" s="2314"/>
      <c r="AD10" s="2314"/>
      <c r="AE10" s="2314"/>
      <c r="AF10" s="2314"/>
      <c r="AG10" s="2314"/>
      <c r="AH10" s="2314"/>
      <c r="AI10" s="2314"/>
      <c r="AJ10" s="951"/>
      <c r="AK10" s="951"/>
      <c r="AL10" s="951"/>
    </row>
    <row r="11" spans="1:38" ht="16.350000000000001" customHeight="1">
      <c r="A11" s="7"/>
      <c r="B11" s="7"/>
      <c r="C11" s="7"/>
      <c r="D11" s="5" t="s">
        <v>6</v>
      </c>
      <c r="E11" s="5"/>
      <c r="F11" s="4" t="s">
        <v>1507</v>
      </c>
      <c r="G11" s="5"/>
      <c r="H11" s="5" t="s">
        <v>6</v>
      </c>
      <c r="I11" s="5"/>
      <c r="J11" s="5" t="str">
        <f>F11</f>
        <v>6 MOS. ENDED</v>
      </c>
      <c r="K11" s="5"/>
      <c r="L11" s="5" t="s">
        <v>6</v>
      </c>
      <c r="M11" s="5"/>
      <c r="N11" s="5" t="str">
        <f>F11</f>
        <v>6 MOS. ENDED</v>
      </c>
      <c r="O11" s="5"/>
      <c r="P11" s="5" t="s">
        <v>6</v>
      </c>
      <c r="Q11" s="5"/>
      <c r="R11" s="5" t="str">
        <f>J11</f>
        <v>6 MOS. ENDED</v>
      </c>
      <c r="S11" s="5"/>
      <c r="T11" s="5"/>
      <c r="U11" s="1355"/>
      <c r="V11" s="5" t="s">
        <v>6</v>
      </c>
      <c r="W11" s="5"/>
      <c r="X11" s="5" t="str">
        <f>F11</f>
        <v>6 MOS. ENDED</v>
      </c>
      <c r="Y11" s="5"/>
      <c r="Z11" s="5"/>
      <c r="AA11" s="5"/>
      <c r="AB11" s="5" t="s">
        <v>6</v>
      </c>
      <c r="AC11" s="5"/>
      <c r="AD11" s="5" t="str">
        <f>F11</f>
        <v>6 MOS. ENDED</v>
      </c>
      <c r="AE11" s="5"/>
      <c r="AF11" s="5"/>
      <c r="AG11" s="5" t="s">
        <v>7</v>
      </c>
      <c r="AH11" s="489"/>
      <c r="AI11" s="5" t="s">
        <v>8</v>
      </c>
      <c r="AJ11" s="951"/>
      <c r="AK11" s="951"/>
      <c r="AL11" s="951"/>
    </row>
    <row r="12" spans="1:38" ht="16.350000000000001" customHeight="1">
      <c r="A12" s="7"/>
      <c r="B12" s="7"/>
      <c r="C12" s="7"/>
      <c r="D12" s="655" t="s">
        <v>1508</v>
      </c>
      <c r="E12" s="5"/>
      <c r="F12" s="655" t="s">
        <v>1509</v>
      </c>
      <c r="G12" s="5"/>
      <c r="H12" s="6" t="str">
        <f>D12</f>
        <v>SEP. 2023</v>
      </c>
      <c r="I12" s="5"/>
      <c r="J12" s="6" t="str">
        <f>F12</f>
        <v>SEP. 30, 2023</v>
      </c>
      <c r="K12" s="5"/>
      <c r="L12" s="6" t="str">
        <f>D12</f>
        <v>SEP. 2023</v>
      </c>
      <c r="M12" s="5"/>
      <c r="N12" s="6" t="str">
        <f>F12</f>
        <v>SEP. 30, 2023</v>
      </c>
      <c r="O12" s="5"/>
      <c r="P12" s="6" t="str">
        <f>D12</f>
        <v>SEP. 2023</v>
      </c>
      <c r="Q12" s="5"/>
      <c r="R12" s="6" t="str">
        <f>J12</f>
        <v>SEP. 30, 2023</v>
      </c>
      <c r="S12" s="5"/>
      <c r="T12" s="5"/>
      <c r="U12" s="1355"/>
      <c r="V12" s="6" t="str">
        <f>D12</f>
        <v>SEP. 2023</v>
      </c>
      <c r="W12" s="5"/>
      <c r="X12" s="6" t="str">
        <f>F12</f>
        <v>SEP. 30, 2023</v>
      </c>
      <c r="Y12" s="5"/>
      <c r="Z12" s="5"/>
      <c r="AA12" s="5"/>
      <c r="AB12" s="655" t="s">
        <v>1510</v>
      </c>
      <c r="AC12" s="5"/>
      <c r="AD12" s="655" t="s">
        <v>1511</v>
      </c>
      <c r="AE12" s="4"/>
      <c r="AF12" s="4"/>
      <c r="AG12" s="6" t="s">
        <v>11</v>
      </c>
      <c r="AH12" s="489"/>
      <c r="AI12" s="655" t="s">
        <v>12</v>
      </c>
      <c r="AJ12" s="951"/>
      <c r="AK12" s="951"/>
      <c r="AL12" s="951"/>
    </row>
    <row r="13" spans="1:38" ht="16.350000000000001" customHeight="1">
      <c r="A13" s="1354" t="s">
        <v>13</v>
      </c>
      <c r="B13" s="7"/>
      <c r="C13" s="7"/>
      <c r="D13" s="1842" t="s">
        <v>14</v>
      </c>
      <c r="E13" s="7"/>
      <c r="F13" s="7"/>
      <c r="G13" s="7"/>
      <c r="H13" s="1842" t="s">
        <v>14</v>
      </c>
      <c r="I13" s="7"/>
      <c r="J13" s="7"/>
      <c r="K13" s="7"/>
      <c r="L13" s="1842" t="s">
        <v>14</v>
      </c>
      <c r="M13" s="7"/>
      <c r="N13" s="7"/>
      <c r="O13" s="7"/>
      <c r="P13" s="451" t="s">
        <v>14</v>
      </c>
      <c r="Q13" s="451"/>
      <c r="R13" s="451"/>
      <c r="S13" s="2150"/>
      <c r="T13" s="2150"/>
      <c r="U13" s="7"/>
      <c r="V13" s="1842"/>
      <c r="W13" s="7"/>
      <c r="X13" s="7"/>
      <c r="Y13" s="2150"/>
      <c r="Z13" s="1404"/>
      <c r="AA13" s="7"/>
      <c r="AB13" s="1842"/>
      <c r="AC13" s="7"/>
      <c r="AD13" s="7"/>
      <c r="AE13" s="7"/>
      <c r="AF13" s="2151"/>
      <c r="AG13" s="7"/>
      <c r="AI13" s="951"/>
      <c r="AJ13" s="951"/>
      <c r="AK13" s="951"/>
      <c r="AL13" s="951"/>
    </row>
    <row r="14" spans="1:38" ht="18" customHeight="1">
      <c r="A14" s="451" t="s">
        <v>1382</v>
      </c>
      <c r="B14" s="1361"/>
      <c r="C14" s="7"/>
      <c r="D14" s="911">
        <f>+'Exhibit F'!N26</f>
        <v>2158.6</v>
      </c>
      <c r="E14" s="1125" t="s">
        <v>14</v>
      </c>
      <c r="F14" s="478">
        <f>+'Exhibit F'!AC26</f>
        <v>12990.5</v>
      </c>
      <c r="G14" s="1125"/>
      <c r="H14" s="911">
        <f>'Exhibit G'!N17</f>
        <v>0</v>
      </c>
      <c r="I14" s="2152"/>
      <c r="J14" s="478">
        <f>'Exhibit G'!AD17</f>
        <v>0</v>
      </c>
      <c r="K14" s="1125"/>
      <c r="L14" s="2100">
        <f>+'Exhibit H'!L16</f>
        <v>2158.6000000000004</v>
      </c>
      <c r="M14" s="478"/>
      <c r="N14" s="478">
        <f>+'Exhibit H'!AA16</f>
        <v>12990.5</v>
      </c>
      <c r="O14" s="478"/>
      <c r="P14" s="1120">
        <v>0</v>
      </c>
      <c r="Q14" s="911"/>
      <c r="R14" s="1120">
        <v>0</v>
      </c>
      <c r="S14" s="2153"/>
      <c r="T14" s="2153"/>
      <c r="U14" s="478"/>
      <c r="V14" s="911">
        <f>ROUND(SUM(D14)+SUM(H14)+SUM(L14)+SUM(P14),1)</f>
        <v>4317.2</v>
      </c>
      <c r="W14" s="478" t="s">
        <v>14</v>
      </c>
      <c r="X14" s="478">
        <f>ROUND(SUM(F14)+SUM(J14)+SUM(N14)+SUM(R14),1)</f>
        <v>25981</v>
      </c>
      <c r="Y14" s="2077"/>
      <c r="Z14" s="2154"/>
      <c r="AA14" s="1125"/>
      <c r="AB14" s="479">
        <v>4859.2000000000007</v>
      </c>
      <c r="AC14" s="1125"/>
      <c r="AD14" s="1125">
        <f>'Exhibit F'!AF26+'Exhibit G'!AG17+'Exhibit H'!AD16</f>
        <v>33178.6</v>
      </c>
      <c r="AE14" s="1125"/>
      <c r="AF14" s="2155"/>
      <c r="AG14" s="1125">
        <f t="shared" ref="AG14:AG19" si="0">ROUND(SUM(X14-AD14),1)</f>
        <v>-7197.6</v>
      </c>
      <c r="AH14" s="1356"/>
      <c r="AI14" s="948">
        <f t="shared" ref="AI14:AI19" si="1">ROUND(SUM((+X14-AD14)/ABS(AD14)),3)</f>
        <v>-0.217</v>
      </c>
      <c r="AJ14" s="2076"/>
      <c r="AK14" s="951"/>
      <c r="AL14" s="951"/>
    </row>
    <row r="15" spans="1:38" ht="18" customHeight="1">
      <c r="A15" s="7" t="s">
        <v>16</v>
      </c>
      <c r="B15" s="2156" t="s">
        <v>14</v>
      </c>
      <c r="C15" s="7"/>
      <c r="D15" s="449">
        <f>+'Exhibit F'!N37</f>
        <v>970.1</v>
      </c>
      <c r="E15" s="9"/>
      <c r="F15" s="9">
        <f>+'Exhibit F'!AC37</f>
        <v>4957.7</v>
      </c>
      <c r="G15" s="9"/>
      <c r="H15" s="449">
        <f>'Exhibit G'!N29</f>
        <v>203.4</v>
      </c>
      <c r="I15" s="9"/>
      <c r="J15" s="9">
        <f>+'Exhibit G'!AD29</f>
        <v>1094.4000000000001</v>
      </c>
      <c r="K15" s="9"/>
      <c r="L15" s="947">
        <f>'Exhibit H'!L20</f>
        <v>917.2</v>
      </c>
      <c r="M15" s="9"/>
      <c r="N15" s="9">
        <f>+'Exhibit H'!AA20</f>
        <v>4659.8999999999996</v>
      </c>
      <c r="O15" s="9"/>
      <c r="P15" s="947">
        <f>'Exhibit I'!O23</f>
        <v>76</v>
      </c>
      <c r="Q15" s="449"/>
      <c r="R15" s="947">
        <f>+'Exhibit I'!AF23</f>
        <v>325.3</v>
      </c>
      <c r="S15" s="1368"/>
      <c r="T15" s="1368"/>
      <c r="U15" s="9"/>
      <c r="V15" s="449">
        <f>ROUND(SUM(D15)+SUM(H15)+SUM(L15)+SUM(P15),1)</f>
        <v>2166.6999999999998</v>
      </c>
      <c r="W15" s="9" t="s">
        <v>14</v>
      </c>
      <c r="X15" s="9">
        <f t="shared" ref="X15:X19" si="2">ROUND(SUM(F15)+SUM(J15)+SUM(N15)+SUM(R15),1)</f>
        <v>11037.3</v>
      </c>
      <c r="Y15" s="1368"/>
      <c r="Z15" s="1369"/>
      <c r="AA15" s="9"/>
      <c r="AB15" s="467">
        <v>2051.1999999999998</v>
      </c>
      <c r="AC15" s="9"/>
      <c r="AD15" s="7">
        <f>'Exhibit F'!AF37+'Exhibit G'!AG29+'Exhibit H'!AD20+'Exhibit I'!AI23</f>
        <v>10338.9</v>
      </c>
      <c r="AE15" s="9"/>
      <c r="AF15" s="1727"/>
      <c r="AG15" s="9">
        <f t="shared" si="0"/>
        <v>698.4</v>
      </c>
      <c r="AI15" s="948">
        <f t="shared" si="1"/>
        <v>6.8000000000000005E-2</v>
      </c>
      <c r="AJ15" s="2076"/>
      <c r="AK15" s="951"/>
      <c r="AL15" s="951"/>
    </row>
    <row r="16" spans="1:38" ht="18" customHeight="1">
      <c r="A16" s="7" t="s">
        <v>17</v>
      </c>
      <c r="B16" s="1359"/>
      <c r="C16" s="7"/>
      <c r="D16" s="449">
        <f>+'Exhibit F'!N45</f>
        <v>3398.3</v>
      </c>
      <c r="E16" s="9"/>
      <c r="F16" s="9">
        <f>+'Exhibit F'!AC45</f>
        <v>8120.3</v>
      </c>
      <c r="G16" s="9"/>
      <c r="H16" s="449">
        <f>'Exhibit G'!N36</f>
        <v>423</v>
      </c>
      <c r="I16" s="9"/>
      <c r="J16" s="9">
        <f>'Exhibit G'!AD36</f>
        <v>1380.9</v>
      </c>
      <c r="K16" s="9"/>
      <c r="L16" s="947">
        <f>'Exhibit H'!L23</f>
        <v>1486.6</v>
      </c>
      <c r="M16" s="9"/>
      <c r="N16" s="9">
        <f>+'Exhibit H'!AA23</f>
        <v>2957.7</v>
      </c>
      <c r="O16" s="9"/>
      <c r="P16" s="947">
        <f>'Exhibit I'!O28</f>
        <v>66.5</v>
      </c>
      <c r="Q16" s="449"/>
      <c r="R16" s="947">
        <f>'Exhibit I'!AF28</f>
        <v>332.6</v>
      </c>
      <c r="S16" s="1368"/>
      <c r="T16" s="1368"/>
      <c r="U16" s="9"/>
      <c r="V16" s="449">
        <f t="shared" ref="V16:V19" si="3">ROUND(SUM(D16)+SUM(H16)+SUM(L16)+SUM(P16),1)</f>
        <v>5374.4</v>
      </c>
      <c r="W16" s="9" t="s">
        <v>14</v>
      </c>
      <c r="X16" s="9">
        <f t="shared" si="2"/>
        <v>12791.5</v>
      </c>
      <c r="Y16" s="1368"/>
      <c r="Z16" s="1369"/>
      <c r="AA16" s="9"/>
      <c r="AB16" s="467">
        <v>5565.2999999999993</v>
      </c>
      <c r="AC16" s="9"/>
      <c r="AD16" s="7">
        <f>'Exhibit F'!AF45+'Exhibit G'!AG36+'Exhibit I'!AI28+'Exhibit H'!AD22</f>
        <v>12920.800000000001</v>
      </c>
      <c r="AE16" s="9"/>
      <c r="AF16" s="1727"/>
      <c r="AG16" s="9">
        <f t="shared" si="0"/>
        <v>-129.30000000000001</v>
      </c>
      <c r="AI16" s="948">
        <f t="shared" si="1"/>
        <v>-0.01</v>
      </c>
      <c r="AJ16" s="1357"/>
      <c r="AK16" s="951"/>
      <c r="AL16" s="951"/>
    </row>
    <row r="17" spans="1:38" ht="18" customHeight="1">
      <c r="A17" s="7" t="s">
        <v>18</v>
      </c>
      <c r="B17" s="2156" t="s">
        <v>14</v>
      </c>
      <c r="C17" s="7"/>
      <c r="D17" s="449">
        <f>+'Exhibit F'!N53</f>
        <v>169.5</v>
      </c>
      <c r="E17" s="9"/>
      <c r="F17" s="9">
        <f>+'Exhibit F'!AC53</f>
        <v>1067</v>
      </c>
      <c r="G17" s="9"/>
      <c r="H17" s="449">
        <v>0</v>
      </c>
      <c r="I17" s="9"/>
      <c r="J17" s="9">
        <v>0</v>
      </c>
      <c r="K17" s="9"/>
      <c r="L17" s="947">
        <f>'Exhibit H'!L27</f>
        <v>90.3</v>
      </c>
      <c r="M17" s="9"/>
      <c r="N17" s="9">
        <f>+'Exhibit H'!AA27</f>
        <v>509.3</v>
      </c>
      <c r="O17" s="9"/>
      <c r="P17" s="947">
        <f>'Exhibit I'!O31</f>
        <v>25.7</v>
      </c>
      <c r="Q17" s="449"/>
      <c r="R17" s="947">
        <f>'Exhibit I'!AF31</f>
        <v>102.9</v>
      </c>
      <c r="S17" s="1368"/>
      <c r="T17" s="1368"/>
      <c r="U17" s="9"/>
      <c r="V17" s="449">
        <f t="shared" si="3"/>
        <v>285.5</v>
      </c>
      <c r="W17" s="9" t="s">
        <v>14</v>
      </c>
      <c r="X17" s="9">
        <f t="shared" si="2"/>
        <v>1679.2</v>
      </c>
      <c r="Y17" s="1368"/>
      <c r="Z17" s="1369"/>
      <c r="AA17" s="9"/>
      <c r="AB17" s="467">
        <v>538.1</v>
      </c>
      <c r="AC17" s="9"/>
      <c r="AD17" s="9">
        <f>'Exhibit F'!AF53+'Exhibit H'!AD27+'Exhibit I'!AI31</f>
        <v>1951.9</v>
      </c>
      <c r="AE17" s="9"/>
      <c r="AF17" s="1727"/>
      <c r="AG17" s="9">
        <f t="shared" si="0"/>
        <v>-272.7</v>
      </c>
      <c r="AI17" s="948">
        <f t="shared" si="1"/>
        <v>-0.14000000000000001</v>
      </c>
      <c r="AJ17" s="2076" t="s">
        <v>14</v>
      </c>
      <c r="AK17" s="951"/>
      <c r="AL17" s="951"/>
    </row>
    <row r="18" spans="1:38" ht="18" customHeight="1">
      <c r="A18" s="7" t="s">
        <v>19</v>
      </c>
      <c r="B18" s="2156" t="s">
        <v>14</v>
      </c>
      <c r="C18" s="7"/>
      <c r="D18" s="449">
        <f>+'Exhibit F'!N96</f>
        <v>452.8</v>
      </c>
      <c r="E18" s="9"/>
      <c r="F18" s="9">
        <f>+'Exhibit F'!AC96</f>
        <v>2066.1999999999998</v>
      </c>
      <c r="G18" s="9"/>
      <c r="H18" s="449">
        <f>'Exhibit G'!N82</f>
        <v>2198.6</v>
      </c>
      <c r="I18" s="9"/>
      <c r="J18" s="9">
        <f>+'Exhibit G'!AD82</f>
        <v>11192.3</v>
      </c>
      <c r="K18" s="9"/>
      <c r="L18" s="947">
        <f>+'Exhibit H'!L50</f>
        <v>28</v>
      </c>
      <c r="M18" s="9"/>
      <c r="N18" s="9">
        <f>+'Exhibit H'!AA50</f>
        <v>336.1</v>
      </c>
      <c r="O18" s="9"/>
      <c r="P18" s="947">
        <f>+'Exhibit I'!O61</f>
        <v>789.5</v>
      </c>
      <c r="Q18" s="449"/>
      <c r="R18" s="449">
        <f>+'Exhibit I'!AF61</f>
        <v>3439.5</v>
      </c>
      <c r="S18" s="1368"/>
      <c r="T18" s="1368"/>
      <c r="U18" s="9"/>
      <c r="V18" s="449">
        <f>ROUND(SUM(D18)+SUM(H18)+SUM(L18)+SUM(P18),1)</f>
        <v>3468.9</v>
      </c>
      <c r="W18" s="9" t="s">
        <v>14</v>
      </c>
      <c r="X18" s="9">
        <f t="shared" si="2"/>
        <v>17034.099999999999</v>
      </c>
      <c r="Y18" s="1368"/>
      <c r="Z18" s="1369"/>
      <c r="AA18" s="9"/>
      <c r="AB18" s="467">
        <v>3346</v>
      </c>
      <c r="AC18" s="9"/>
      <c r="AD18" s="9">
        <f>'Exhibit F'!AF96+'Exhibit G'!AG82+'Exhibit H'!AD50+'Exhibit I'!AI61</f>
        <v>15264.6</v>
      </c>
      <c r="AE18" s="9"/>
      <c r="AF18" s="1727"/>
      <c r="AG18" s="9">
        <f t="shared" si="0"/>
        <v>1769.5</v>
      </c>
      <c r="AI18" s="948">
        <f t="shared" si="1"/>
        <v>0.11600000000000001</v>
      </c>
      <c r="AJ18" s="2076"/>
      <c r="AK18" s="489"/>
      <c r="AL18" s="951"/>
    </row>
    <row r="19" spans="1:38" ht="18" customHeight="1">
      <c r="A19" s="7" t="s">
        <v>20</v>
      </c>
      <c r="B19" s="1361"/>
      <c r="C19" s="7"/>
      <c r="D19" s="449">
        <f>+'Exhibit F'!N98</f>
        <v>0</v>
      </c>
      <c r="E19" s="9"/>
      <c r="F19" s="9">
        <f>+'Exhibit F'!AC98</f>
        <v>0.1</v>
      </c>
      <c r="G19" s="9"/>
      <c r="H19" s="449">
        <f>'Exhibit G'!N84</f>
        <v>5991.9000000000015</v>
      </c>
      <c r="I19" s="9"/>
      <c r="J19" s="9">
        <f>+'Exhibit G'!AD84</f>
        <v>47662.1</v>
      </c>
      <c r="K19" s="9"/>
      <c r="L19" s="947">
        <f>+'Exhibit H'!L52</f>
        <v>0</v>
      </c>
      <c r="M19" s="9"/>
      <c r="N19" s="9">
        <f>+'Exhibit H'!AA52</f>
        <v>34.9</v>
      </c>
      <c r="O19" s="9"/>
      <c r="P19" s="947">
        <f>+'Exhibit I'!O63</f>
        <v>191.70000000000005</v>
      </c>
      <c r="Q19" s="449"/>
      <c r="R19" s="449">
        <f>+'Exhibit I'!AF63</f>
        <v>1433</v>
      </c>
      <c r="S19" s="1368"/>
      <c r="T19" s="1368"/>
      <c r="U19" s="9"/>
      <c r="V19" s="449">
        <f t="shared" si="3"/>
        <v>6183.6</v>
      </c>
      <c r="W19" s="9" t="s">
        <v>14</v>
      </c>
      <c r="X19" s="9">
        <f t="shared" si="2"/>
        <v>49130.1</v>
      </c>
      <c r="Y19" s="1368"/>
      <c r="Z19" s="1369"/>
      <c r="AA19" s="9"/>
      <c r="AB19" s="467">
        <v>8820.7000000000007</v>
      </c>
      <c r="AC19" s="9"/>
      <c r="AD19" s="9">
        <f>'Exhibit F'!AF98+'Exhibit G'!AG84+'Exhibit H'!AD52+'Exhibit I'!AI63</f>
        <v>43187</v>
      </c>
      <c r="AE19" s="9"/>
      <c r="AF19" s="1727"/>
      <c r="AG19" s="9">
        <f t="shared" si="0"/>
        <v>5943.1</v>
      </c>
      <c r="AI19" s="948">
        <f t="shared" si="1"/>
        <v>0.13800000000000001</v>
      </c>
      <c r="AJ19" s="1357"/>
      <c r="AK19" s="951"/>
      <c r="AL19" s="951"/>
    </row>
    <row r="20" spans="1:38" ht="18" customHeight="1">
      <c r="A20" s="1354" t="s">
        <v>21</v>
      </c>
      <c r="B20" s="7"/>
      <c r="C20" s="7"/>
      <c r="D20" s="11">
        <f>ROUND(SUM(D14:D19),1)</f>
        <v>7149.3</v>
      </c>
      <c r="E20" s="2157"/>
      <c r="F20" s="11">
        <f>ROUND(SUM(F14:F19),1)</f>
        <v>29201.8</v>
      </c>
      <c r="G20" s="16"/>
      <c r="H20" s="12">
        <f>ROUND(SUM(H14:H19),1)</f>
        <v>8816.9</v>
      </c>
      <c r="I20" s="16"/>
      <c r="J20" s="12">
        <f>ROUND(SUM(J14:J19),1)</f>
        <v>61329.7</v>
      </c>
      <c r="K20" s="16"/>
      <c r="L20" s="11">
        <f>ROUND(SUM(L14:L19),1)</f>
        <v>4680.7</v>
      </c>
      <c r="M20" s="16"/>
      <c r="N20" s="12">
        <f>ROUND(SUM(N14:N19),1)</f>
        <v>21488.400000000001</v>
      </c>
      <c r="O20" s="16"/>
      <c r="P20" s="12">
        <f>ROUND(SUM(P14:P19),1)</f>
        <v>1149.4000000000001</v>
      </c>
      <c r="Q20" s="16"/>
      <c r="R20" s="12">
        <f>ROUND(SUM(R14:R19),1)</f>
        <v>5633.3</v>
      </c>
      <c r="S20" s="1371"/>
      <c r="T20" s="1371"/>
      <c r="U20" s="16"/>
      <c r="V20" s="12">
        <f>ROUND(SUM(V14:V19),1)</f>
        <v>21796.3</v>
      </c>
      <c r="W20" s="16"/>
      <c r="X20" s="12">
        <f>ROUND(SUM(X14:X19),1)</f>
        <v>117653.2</v>
      </c>
      <c r="Y20" s="1371"/>
      <c r="Z20" s="1372"/>
      <c r="AA20" s="16"/>
      <c r="AB20" s="12">
        <f>ROUND(SUM(AB14:AB19),1)</f>
        <v>25180.5</v>
      </c>
      <c r="AC20" s="16"/>
      <c r="AD20" s="12">
        <f>ROUND(SUM(AD14:AD19),1)</f>
        <v>116841.8</v>
      </c>
      <c r="AE20" s="16"/>
      <c r="AF20" s="1728"/>
      <c r="AG20" s="12">
        <f>ROUND(SUM(AG14:AG19),1)</f>
        <v>811.4</v>
      </c>
      <c r="AH20" s="1360"/>
      <c r="AI20" s="955">
        <f>(+X20-AD20)/ABS(AD20)</f>
        <v>6.9444325575264516E-3</v>
      </c>
      <c r="AJ20" s="1352" t="s">
        <v>14</v>
      </c>
      <c r="AK20" s="951"/>
      <c r="AL20" s="951"/>
    </row>
    <row r="21" spans="1:38" ht="16.350000000000001" customHeight="1">
      <c r="A21" s="1354"/>
      <c r="B21" s="7"/>
      <c r="C21" s="7"/>
      <c r="D21" s="449"/>
      <c r="E21" s="9"/>
      <c r="F21" s="9"/>
      <c r="G21" s="9"/>
      <c r="H21" s="449"/>
      <c r="I21" s="9"/>
      <c r="J21" s="9"/>
      <c r="K21" s="9"/>
      <c r="L21" s="449"/>
      <c r="M21" s="9"/>
      <c r="N21" s="9"/>
      <c r="O21" s="9"/>
      <c r="P21" s="449"/>
      <c r="Q21" s="449"/>
      <c r="R21" s="449" t="s">
        <v>14</v>
      </c>
      <c r="S21" s="1368"/>
      <c r="T21" s="1368"/>
      <c r="U21" s="9"/>
      <c r="V21" s="449"/>
      <c r="W21" s="9"/>
      <c r="X21" s="449"/>
      <c r="Y21" s="1368"/>
      <c r="Z21" s="1369"/>
      <c r="AA21" s="9"/>
      <c r="AB21" s="449"/>
      <c r="AC21" s="9"/>
      <c r="AD21" s="9"/>
      <c r="AE21" s="9"/>
      <c r="AF21" s="1727"/>
      <c r="AG21" s="9"/>
      <c r="AI21" s="951"/>
      <c r="AJ21" s="7"/>
      <c r="AK21" s="951"/>
      <c r="AL21" s="951"/>
    </row>
    <row r="22" spans="1:38" ht="16.350000000000001" customHeight="1">
      <c r="A22" s="1354" t="s">
        <v>22</v>
      </c>
      <c r="B22" s="7"/>
      <c r="C22" s="7"/>
      <c r="D22" s="449"/>
      <c r="E22" s="9"/>
      <c r="F22" s="9"/>
      <c r="G22" s="9"/>
      <c r="H22" s="449"/>
      <c r="I22" s="9"/>
      <c r="J22" s="9"/>
      <c r="K22" s="9"/>
      <c r="L22" s="449"/>
      <c r="M22" s="9"/>
      <c r="N22" s="9"/>
      <c r="O22" s="9"/>
      <c r="P22" s="449"/>
      <c r="Q22" s="449"/>
      <c r="R22" s="449" t="s">
        <v>14</v>
      </c>
      <c r="S22" s="1368"/>
      <c r="T22" s="1368"/>
      <c r="U22" s="9"/>
      <c r="V22" s="449"/>
      <c r="W22" s="9"/>
      <c r="X22" s="449" t="s">
        <v>14</v>
      </c>
      <c r="Y22" s="1368"/>
      <c r="Z22" s="1369"/>
      <c r="AA22" s="9"/>
      <c r="AB22" s="449"/>
      <c r="AC22" s="9"/>
      <c r="AD22" s="9"/>
      <c r="AE22" s="9"/>
      <c r="AF22" s="1727"/>
      <c r="AG22" s="9"/>
      <c r="AI22" s="951"/>
      <c r="AJ22" s="7"/>
      <c r="AK22" s="951"/>
      <c r="AL22" s="951"/>
    </row>
    <row r="23" spans="1:38" ht="16.350000000000001" customHeight="1">
      <c r="A23" s="7" t="s">
        <v>23</v>
      </c>
      <c r="B23" s="1361" t="s">
        <v>14</v>
      </c>
      <c r="C23" s="7"/>
      <c r="D23" s="453" t="s">
        <v>14</v>
      </c>
      <c r="E23" s="9"/>
      <c r="F23" s="10" t="s">
        <v>14</v>
      </c>
      <c r="G23" s="9"/>
      <c r="H23" s="452"/>
      <c r="I23" s="9"/>
      <c r="J23" s="14"/>
      <c r="K23" s="9"/>
      <c r="L23" s="452"/>
      <c r="M23" s="9"/>
      <c r="N23" s="14"/>
      <c r="O23" s="9"/>
      <c r="P23" s="452"/>
      <c r="Q23" s="449"/>
      <c r="R23" s="452"/>
      <c r="S23" s="1368"/>
      <c r="T23" s="1368"/>
      <c r="U23" s="9"/>
      <c r="V23" s="452"/>
      <c r="W23" s="9"/>
      <c r="X23" s="14"/>
      <c r="Y23" s="1368"/>
      <c r="Z23" s="1369"/>
      <c r="AA23" s="9"/>
      <c r="AB23" s="452"/>
      <c r="AC23" s="9"/>
      <c r="AD23" s="14"/>
      <c r="AE23" s="9"/>
      <c r="AF23" s="1727"/>
      <c r="AG23" s="14"/>
      <c r="AI23" s="1362"/>
      <c r="AJ23" s="7"/>
      <c r="AK23" s="951"/>
      <c r="AL23" s="951"/>
    </row>
    <row r="24" spans="1:38" ht="18" customHeight="1">
      <c r="A24" s="1363" t="s">
        <v>24</v>
      </c>
      <c r="B24" s="7"/>
      <c r="C24" s="7"/>
      <c r="D24" s="1118">
        <f>+'Exhibit F'!N104</f>
        <v>1966.5</v>
      </c>
      <c r="E24" s="9"/>
      <c r="F24" s="9">
        <f>+'Exhibit F'!AC104</f>
        <v>13071.3</v>
      </c>
      <c r="G24" s="9"/>
      <c r="H24" s="947">
        <f>'Exhibit G'!N90</f>
        <v>3516.9000000000015</v>
      </c>
      <c r="I24" s="9"/>
      <c r="J24" s="9">
        <f>+'Exhibit G'!AD90</f>
        <v>6845.3</v>
      </c>
      <c r="K24" s="9"/>
      <c r="L24" s="452">
        <v>0</v>
      </c>
      <c r="M24" s="9"/>
      <c r="N24" s="14">
        <v>0</v>
      </c>
      <c r="O24" s="9"/>
      <c r="P24" s="947">
        <f>'Exhibit I'!O69</f>
        <v>39.199999999999982</v>
      </c>
      <c r="Q24" s="947"/>
      <c r="R24" s="449">
        <f>+'Exhibit I'!AF69</f>
        <v>105.1</v>
      </c>
      <c r="S24" s="1368"/>
      <c r="T24" s="1368"/>
      <c r="U24" s="9"/>
      <c r="V24" s="449">
        <f>ROUND(SUM(D24)+SUM(H24)+SUM(L24)+SUM(P24),1)</f>
        <v>5522.6</v>
      </c>
      <c r="W24" s="9" t="s">
        <v>14</v>
      </c>
      <c r="X24" s="9">
        <f>ROUND(SUM(F24)+SUM(J24)+SUM(N24)+SUM(R24),1)</f>
        <v>20021.7</v>
      </c>
      <c r="Y24" s="1368"/>
      <c r="Z24" s="1369"/>
      <c r="AA24" s="9"/>
      <c r="AB24" s="467">
        <v>5109.7</v>
      </c>
      <c r="AC24" s="9"/>
      <c r="AD24" s="9">
        <f>'Exhibit F'!AF104+'Exhibit G'!AG90+'Exhibit I'!AI69</f>
        <v>18106.5</v>
      </c>
      <c r="AE24" s="1825"/>
      <c r="AF24" s="2158"/>
      <c r="AG24" s="9">
        <f>ROUND(SUM(X24-AD24),1)</f>
        <v>1915.2</v>
      </c>
      <c r="AI24" s="948">
        <f>ROUND(SUM((+X24-AD24)/ABS(AD24)),3)</f>
        <v>0.106</v>
      </c>
      <c r="AJ24" s="451"/>
      <c r="AK24" s="951"/>
      <c r="AL24" s="951"/>
    </row>
    <row r="25" spans="1:38" ht="18" customHeight="1">
      <c r="A25" s="1363" t="s">
        <v>25</v>
      </c>
      <c r="B25" s="1364"/>
      <c r="C25" s="7"/>
      <c r="D25" s="1118">
        <f>+'Exhibit F'!N105</f>
        <v>0.8999999999999998</v>
      </c>
      <c r="E25" s="9"/>
      <c r="F25" s="9">
        <f>+'Exhibit F'!AC105</f>
        <v>1.7</v>
      </c>
      <c r="G25" s="9"/>
      <c r="H25" s="947">
        <f>'Exhibit G'!N91</f>
        <v>0.40000000000000013</v>
      </c>
      <c r="I25" s="9"/>
      <c r="J25" s="9">
        <f>+'Exhibit G'!AD91</f>
        <v>2.1</v>
      </c>
      <c r="K25" s="9"/>
      <c r="L25" s="452">
        <v>0</v>
      </c>
      <c r="M25" s="9"/>
      <c r="N25" s="14">
        <v>0</v>
      </c>
      <c r="O25" s="9"/>
      <c r="P25" s="947">
        <f>'Exhibit I'!O70</f>
        <v>12.600000000000009</v>
      </c>
      <c r="Q25" s="947"/>
      <c r="R25" s="449">
        <f>+'Exhibit I'!AF70</f>
        <v>379.9</v>
      </c>
      <c r="S25" s="1368"/>
      <c r="T25" s="1368"/>
      <c r="U25" s="9"/>
      <c r="V25" s="449">
        <f t="shared" ref="V25:V32" si="4">ROUND(SUM(D25)+SUM(H25)+SUM(L25)+SUM(P25),1)</f>
        <v>13.9</v>
      </c>
      <c r="W25" s="9" t="s">
        <v>14</v>
      </c>
      <c r="X25" s="9">
        <f t="shared" ref="X25:X32" si="5">ROUND(SUM(F25)+SUM(J25)+SUM(N25)+SUM(R25),1)</f>
        <v>383.7</v>
      </c>
      <c r="Y25" s="1368"/>
      <c r="Z25" s="1369"/>
      <c r="AA25" s="9"/>
      <c r="AB25" s="467">
        <v>8.1999999999999993</v>
      </c>
      <c r="AC25" s="1825"/>
      <c r="AD25" s="9">
        <f>'Exhibit F'!AF105+'Exhibit G'!AG91+'Exhibit I'!AI70</f>
        <v>196.29999999999998</v>
      </c>
      <c r="AE25" s="9"/>
      <c r="AF25" s="1727"/>
      <c r="AG25" s="9">
        <f t="shared" ref="AG25:AG33" si="6">ROUND(SUM(X25-AD25),1)</f>
        <v>187.4</v>
      </c>
      <c r="AI25" s="964">
        <f t="shared" ref="AI25:AI32" si="7">ROUND(SUM((+X25-AD25)/ABS(AD25)),3)</f>
        <v>0.95499999999999996</v>
      </c>
      <c r="AJ25" s="7"/>
      <c r="AK25" s="951"/>
      <c r="AL25" s="951"/>
    </row>
    <row r="26" spans="1:38" ht="18" customHeight="1">
      <c r="A26" s="1363" t="s">
        <v>26</v>
      </c>
      <c r="B26" s="1365"/>
      <c r="C26" s="7"/>
      <c r="D26" s="1118">
        <f>+'Exhibit F'!N106</f>
        <v>127.60000000000002</v>
      </c>
      <c r="E26" s="9"/>
      <c r="F26" s="9">
        <f>+'Exhibit F'!AC106</f>
        <v>711</v>
      </c>
      <c r="G26" s="9"/>
      <c r="H26" s="947">
        <f>'Exhibit G'!N92</f>
        <v>6.6999999999999957</v>
      </c>
      <c r="I26" s="9"/>
      <c r="J26" s="9">
        <f>+'Exhibit G'!AD92</f>
        <v>124.5</v>
      </c>
      <c r="K26" s="9"/>
      <c r="L26" s="452">
        <v>0</v>
      </c>
      <c r="M26" s="9"/>
      <c r="N26" s="14">
        <v>0</v>
      </c>
      <c r="O26" s="9"/>
      <c r="P26" s="947">
        <f>'Exhibit I'!O71</f>
        <v>93.899999999999963</v>
      </c>
      <c r="Q26" s="947"/>
      <c r="R26" s="449">
        <f>+'Exhibit I'!AF71</f>
        <v>270</v>
      </c>
      <c r="S26" s="1368"/>
      <c r="T26" s="1368"/>
      <c r="U26" s="9"/>
      <c r="V26" s="449">
        <f t="shared" si="4"/>
        <v>228.2</v>
      </c>
      <c r="W26" s="9" t="s">
        <v>14</v>
      </c>
      <c r="X26" s="9">
        <f t="shared" si="5"/>
        <v>1105.5</v>
      </c>
      <c r="Y26" s="1368"/>
      <c r="Z26" s="1369"/>
      <c r="AA26" s="9"/>
      <c r="AB26" s="467">
        <v>220</v>
      </c>
      <c r="AC26" s="9"/>
      <c r="AD26" s="9">
        <f>'Exhibit F'!AF106+'Exhibit G'!AG92+'Exhibit I'!AI71</f>
        <v>1662.7</v>
      </c>
      <c r="AE26" s="9"/>
      <c r="AF26" s="1727"/>
      <c r="AG26" s="9">
        <f t="shared" si="6"/>
        <v>-557.20000000000005</v>
      </c>
      <c r="AI26" s="948">
        <f t="shared" si="7"/>
        <v>-0.33500000000000002</v>
      </c>
      <c r="AJ26" s="451"/>
      <c r="AK26" s="951"/>
      <c r="AL26" s="951"/>
    </row>
    <row r="27" spans="1:38" ht="18" customHeight="1">
      <c r="A27" s="1363" t="s">
        <v>27</v>
      </c>
      <c r="B27" s="1366"/>
      <c r="C27" s="7"/>
      <c r="D27" s="449"/>
      <c r="E27" s="9"/>
      <c r="F27" s="9"/>
      <c r="G27" s="9"/>
      <c r="H27" s="947"/>
      <c r="I27" s="9"/>
      <c r="J27" s="9" t="s">
        <v>14</v>
      </c>
      <c r="K27" s="9"/>
      <c r="L27" s="453" t="s">
        <v>14</v>
      </c>
      <c r="M27" s="9"/>
      <c r="N27" s="10" t="s">
        <v>14</v>
      </c>
      <c r="O27" s="9"/>
      <c r="P27" s="947"/>
      <c r="Q27" s="947"/>
      <c r="R27" s="449"/>
      <c r="S27" s="1368"/>
      <c r="T27" s="1368"/>
      <c r="U27" s="9"/>
      <c r="V27" s="449" t="s">
        <v>14</v>
      </c>
      <c r="W27" s="9"/>
      <c r="X27" s="449" t="s">
        <v>14</v>
      </c>
      <c r="Y27" s="1368"/>
      <c r="Z27" s="1369"/>
      <c r="AA27" s="9"/>
      <c r="AB27" s="449"/>
      <c r="AC27" s="9"/>
      <c r="AD27" s="9"/>
      <c r="AE27" s="9"/>
      <c r="AF27" s="1727"/>
      <c r="AG27" s="9"/>
      <c r="AI27" s="469" t="s">
        <v>14</v>
      </c>
      <c r="AJ27" s="7"/>
      <c r="AK27" s="951"/>
      <c r="AL27" s="951"/>
    </row>
    <row r="28" spans="1:38" ht="18" customHeight="1">
      <c r="A28" s="2159" t="s">
        <v>28</v>
      </c>
      <c r="B28" s="1358"/>
      <c r="C28" s="7"/>
      <c r="D28" s="1118">
        <f>+'Exhibit F'!N108</f>
        <v>2469.2999999999997</v>
      </c>
      <c r="E28" s="9"/>
      <c r="F28" s="9">
        <f>+'Exhibit F'!AC108</f>
        <v>16651.099999999999</v>
      </c>
      <c r="G28" s="9"/>
      <c r="H28" s="947">
        <f>'Exhibit G'!N94</f>
        <v>2424.1000000000004</v>
      </c>
      <c r="I28" s="9"/>
      <c r="J28" s="9">
        <f>+'Exhibit G'!AD94</f>
        <v>30859.1</v>
      </c>
      <c r="K28" s="9"/>
      <c r="L28" s="452">
        <v>0</v>
      </c>
      <c r="M28" s="9"/>
      <c r="N28" s="14">
        <v>0</v>
      </c>
      <c r="O28" s="9"/>
      <c r="P28" s="947">
        <f>'Exhibit I'!O73</f>
        <v>0</v>
      </c>
      <c r="Q28" s="947"/>
      <c r="R28" s="452">
        <f>+'Exhibit I'!AF73</f>
        <v>0</v>
      </c>
      <c r="S28" s="1368"/>
      <c r="T28" s="1368"/>
      <c r="U28" s="9"/>
      <c r="V28" s="449">
        <f t="shared" si="4"/>
        <v>4893.3999999999996</v>
      </c>
      <c r="W28" s="9" t="s">
        <v>14</v>
      </c>
      <c r="X28" s="9">
        <f t="shared" si="5"/>
        <v>47510.2</v>
      </c>
      <c r="Y28" s="1368"/>
      <c r="Z28" s="1369"/>
      <c r="AA28" s="9"/>
      <c r="AB28" s="467">
        <v>5742.9</v>
      </c>
      <c r="AC28" s="9"/>
      <c r="AD28" s="9">
        <f>'Exhibit F'!AF108+'Exhibit G'!AG94+'Exhibit I'!AI73</f>
        <v>38885.800000000003</v>
      </c>
      <c r="AE28" s="9"/>
      <c r="AF28" s="1727"/>
      <c r="AG28" s="9">
        <f t="shared" si="6"/>
        <v>8624.4</v>
      </c>
      <c r="AI28" s="948">
        <f t="shared" si="7"/>
        <v>0.222</v>
      </c>
      <c r="AJ28" s="451"/>
      <c r="AK28" s="952"/>
      <c r="AL28" s="951"/>
    </row>
    <row r="29" spans="1:38" ht="18" customHeight="1">
      <c r="A29" s="1363" t="s">
        <v>29</v>
      </c>
      <c r="B29" s="1358"/>
      <c r="C29" s="7"/>
      <c r="D29" s="1118">
        <f>+'Exhibit F'!N109</f>
        <v>332.79999999999995</v>
      </c>
      <c r="E29" s="9"/>
      <c r="F29" s="9">
        <f>+'Exhibit F'!AC109</f>
        <v>1319</v>
      </c>
      <c r="G29" s="9"/>
      <c r="H29" s="947">
        <f>'Exhibit G'!N95</f>
        <v>1566.9</v>
      </c>
      <c r="I29" s="9"/>
      <c r="J29" s="9">
        <f>+'Exhibit G'!AD95</f>
        <v>6491.7</v>
      </c>
      <c r="K29" s="9"/>
      <c r="L29" s="452">
        <v>0</v>
      </c>
      <c r="M29" s="9"/>
      <c r="N29" s="14">
        <v>0</v>
      </c>
      <c r="O29" s="9"/>
      <c r="P29" s="947">
        <f>'Exhibit I'!O74</f>
        <v>17.600000000000023</v>
      </c>
      <c r="Q29" s="947"/>
      <c r="R29" s="449">
        <f>+'Exhibit I'!AF74</f>
        <v>236.5</v>
      </c>
      <c r="S29" s="1368"/>
      <c r="T29" s="1368"/>
      <c r="U29" s="9"/>
      <c r="V29" s="449">
        <f t="shared" si="4"/>
        <v>1917.3</v>
      </c>
      <c r="W29" s="9" t="s">
        <v>14</v>
      </c>
      <c r="X29" s="9">
        <f t="shared" si="5"/>
        <v>8047.2</v>
      </c>
      <c r="Y29" s="1368"/>
      <c r="Z29" s="1369"/>
      <c r="AA29" s="9"/>
      <c r="AB29" s="467">
        <v>1284.3999999999999</v>
      </c>
      <c r="AC29" s="9"/>
      <c r="AD29" s="9">
        <f>'Exhibit F'!AF109+'Exhibit G'!AG95+'Exhibit I'!AI74</f>
        <v>6005.0999999999995</v>
      </c>
      <c r="AE29" s="9"/>
      <c r="AF29" s="1727"/>
      <c r="AG29" s="9">
        <f t="shared" si="6"/>
        <v>2042.1</v>
      </c>
      <c r="AI29" s="948">
        <f t="shared" si="7"/>
        <v>0.34</v>
      </c>
      <c r="AJ29" s="7"/>
      <c r="AK29" s="951"/>
      <c r="AL29" s="951"/>
    </row>
    <row r="30" spans="1:38" ht="18" customHeight="1">
      <c r="A30" s="1363" t="s">
        <v>30</v>
      </c>
      <c r="B30" s="1366"/>
      <c r="C30" s="7"/>
      <c r="D30" s="1118">
        <f>+'Exhibit F'!N110</f>
        <v>70.900000000000006</v>
      </c>
      <c r="E30" s="9"/>
      <c r="F30" s="9">
        <f>+'Exhibit F'!AC110</f>
        <v>122</v>
      </c>
      <c r="G30" s="9"/>
      <c r="H30" s="947">
        <f>'Exhibit G'!N96</f>
        <v>188.99999999999997</v>
      </c>
      <c r="I30" s="9"/>
      <c r="J30" s="9">
        <f>+'Exhibit G'!AD96</f>
        <v>2958.5</v>
      </c>
      <c r="K30" s="9"/>
      <c r="L30" s="452">
        <v>0</v>
      </c>
      <c r="M30" s="9"/>
      <c r="N30" s="14">
        <v>0</v>
      </c>
      <c r="O30" s="9"/>
      <c r="P30" s="947">
        <f>'Exhibit I'!O75</f>
        <v>1</v>
      </c>
      <c r="Q30" s="947"/>
      <c r="R30" s="452">
        <f>+'Exhibit I'!AF75</f>
        <v>10.4</v>
      </c>
      <c r="S30" s="1368"/>
      <c r="T30" s="1368"/>
      <c r="U30" s="9"/>
      <c r="V30" s="449">
        <f t="shared" si="4"/>
        <v>260.89999999999998</v>
      </c>
      <c r="W30" s="9" t="s">
        <v>14</v>
      </c>
      <c r="X30" s="9">
        <f t="shared" si="5"/>
        <v>3090.9</v>
      </c>
      <c r="Y30" s="1368"/>
      <c r="Z30" s="1369"/>
      <c r="AA30" s="9"/>
      <c r="AB30" s="467">
        <v>149.19999999999999</v>
      </c>
      <c r="AC30" s="9"/>
      <c r="AD30" s="9">
        <f>'Exhibit F'!AF110+'Exhibit G'!AG96+'Exhibit I'!AI75</f>
        <v>987.80000000000007</v>
      </c>
      <c r="AE30" s="9"/>
      <c r="AF30" s="1727"/>
      <c r="AG30" s="9">
        <f t="shared" si="6"/>
        <v>2103.1</v>
      </c>
      <c r="AI30" s="964">
        <f t="shared" si="7"/>
        <v>2.129</v>
      </c>
      <c r="AJ30" s="7"/>
      <c r="AK30" s="951"/>
      <c r="AL30" s="951"/>
    </row>
    <row r="31" spans="1:38" ht="18" customHeight="1">
      <c r="A31" s="1363" t="s">
        <v>31</v>
      </c>
      <c r="B31" s="7"/>
      <c r="C31" s="7"/>
      <c r="D31" s="1118">
        <f>+'Exhibit F'!N111</f>
        <v>382.49999999999994</v>
      </c>
      <c r="E31" s="9"/>
      <c r="F31" s="9">
        <f>+'Exhibit F'!AC111</f>
        <v>1838.8</v>
      </c>
      <c r="G31" s="9"/>
      <c r="H31" s="947">
        <f>'Exhibit G'!N97</f>
        <v>611.79999999999984</v>
      </c>
      <c r="I31" s="9"/>
      <c r="J31" s="9">
        <f>+'Exhibit G'!AD97</f>
        <v>2582.9</v>
      </c>
      <c r="K31" s="9"/>
      <c r="L31" s="452">
        <v>0</v>
      </c>
      <c r="M31" s="9"/>
      <c r="N31" s="14">
        <v>0</v>
      </c>
      <c r="O31" s="9"/>
      <c r="P31" s="947">
        <f>'Exhibit I'!O76</f>
        <v>59.799999999999955</v>
      </c>
      <c r="Q31" s="947"/>
      <c r="R31" s="449">
        <f>+'Exhibit I'!AF76</f>
        <v>470.5</v>
      </c>
      <c r="S31" s="1368"/>
      <c r="T31" s="1368"/>
      <c r="U31" s="9"/>
      <c r="V31" s="449">
        <f t="shared" si="4"/>
        <v>1054.0999999999999</v>
      </c>
      <c r="W31" s="9" t="s">
        <v>14</v>
      </c>
      <c r="X31" s="9">
        <f t="shared" si="5"/>
        <v>4892.2</v>
      </c>
      <c r="Y31" s="1368"/>
      <c r="Z31" s="1369"/>
      <c r="AA31" s="9"/>
      <c r="AB31" s="467">
        <v>885</v>
      </c>
      <c r="AC31" s="9"/>
      <c r="AD31" s="9">
        <f>'Exhibit F'!AF111+'Exhibit G'!AG97+'Exhibit I'!AI76</f>
        <v>5291.2</v>
      </c>
      <c r="AE31" s="9"/>
      <c r="AF31" s="1727"/>
      <c r="AG31" s="9">
        <f t="shared" si="6"/>
        <v>-399</v>
      </c>
      <c r="AI31" s="948">
        <f t="shared" si="7"/>
        <v>-7.4999999999999997E-2</v>
      </c>
      <c r="AJ31" s="7"/>
      <c r="AK31" s="951"/>
      <c r="AL31" s="951"/>
    </row>
    <row r="32" spans="1:38" ht="18" customHeight="1">
      <c r="A32" s="1363" t="s">
        <v>32</v>
      </c>
      <c r="B32" s="1366"/>
      <c r="C32" s="7"/>
      <c r="D32" s="1118">
        <f>+'Exhibit F'!N112</f>
        <v>12.600000000000001</v>
      </c>
      <c r="E32" s="9"/>
      <c r="F32" s="9">
        <f>+'Exhibit F'!AC112</f>
        <v>88.4</v>
      </c>
      <c r="G32" s="9"/>
      <c r="H32" s="947">
        <f>'Exhibit G'!N98</f>
        <v>5.9999999999999947</v>
      </c>
      <c r="I32" s="9"/>
      <c r="J32" s="9">
        <f>+'Exhibit G'!AD98</f>
        <v>180.5</v>
      </c>
      <c r="K32" s="9"/>
      <c r="L32" s="452">
        <v>0</v>
      </c>
      <c r="M32" s="9" t="s">
        <v>14</v>
      </c>
      <c r="N32" s="14">
        <v>0</v>
      </c>
      <c r="O32" s="9"/>
      <c r="P32" s="947">
        <f>'Exhibit I'!O77</f>
        <v>70.300000000000068</v>
      </c>
      <c r="Q32" s="947"/>
      <c r="R32" s="449">
        <f>+'Exhibit I'!AF77</f>
        <v>409.4</v>
      </c>
      <c r="S32" s="1368"/>
      <c r="T32" s="1368"/>
      <c r="U32" s="9"/>
      <c r="V32" s="449">
        <f t="shared" si="4"/>
        <v>88.9</v>
      </c>
      <c r="W32" s="9" t="s">
        <v>14</v>
      </c>
      <c r="X32" s="9">
        <f t="shared" si="5"/>
        <v>678.3</v>
      </c>
      <c r="Y32" s="1368"/>
      <c r="Z32" s="1369"/>
      <c r="AA32" s="9"/>
      <c r="AB32" s="467">
        <v>28.5</v>
      </c>
      <c r="AC32" s="9"/>
      <c r="AD32" s="9">
        <f>'Exhibit F'!AF112+'Exhibit G'!AG98+'Exhibit I'!AI77</f>
        <v>706.59999999999991</v>
      </c>
      <c r="AE32" s="9"/>
      <c r="AF32" s="1727"/>
      <c r="AG32" s="9">
        <f t="shared" si="6"/>
        <v>-28.3</v>
      </c>
      <c r="AI32" s="948">
        <f t="shared" si="7"/>
        <v>-0.04</v>
      </c>
      <c r="AJ32" s="451"/>
      <c r="AK32" s="951"/>
      <c r="AL32" s="951"/>
    </row>
    <row r="33" spans="1:38" ht="18" customHeight="1">
      <c r="A33" s="1363" t="s">
        <v>33</v>
      </c>
      <c r="B33" s="7"/>
      <c r="C33" s="7"/>
      <c r="D33" s="1118">
        <f>+'Exhibit F'!N113</f>
        <v>0.30000000000001137</v>
      </c>
      <c r="E33" s="9"/>
      <c r="F33" s="9">
        <f>+'Exhibit F'!AC113</f>
        <v>112.5</v>
      </c>
      <c r="G33" s="9"/>
      <c r="H33" s="947">
        <f>'Exhibit G'!N99</f>
        <v>364.70000000000044</v>
      </c>
      <c r="I33" s="9"/>
      <c r="J33" s="9">
        <f>+'Exhibit G'!AD99</f>
        <v>2304.6</v>
      </c>
      <c r="K33" s="9"/>
      <c r="L33" s="452">
        <v>0</v>
      </c>
      <c r="M33" s="9"/>
      <c r="N33" s="14">
        <v>0</v>
      </c>
      <c r="O33" s="9"/>
      <c r="P33" s="947">
        <f>'Exhibit I'!O78</f>
        <v>167.39999999999995</v>
      </c>
      <c r="Q33" s="947"/>
      <c r="R33" s="449">
        <f>+'Exhibit I'!AF78</f>
        <v>458.4</v>
      </c>
      <c r="S33" s="1368"/>
      <c r="T33" s="1368"/>
      <c r="U33" s="9"/>
      <c r="V33" s="449">
        <f>ROUND(SUM(D33)+SUM(H33)+SUM(L33)+SUM(P33),1)</f>
        <v>532.4</v>
      </c>
      <c r="W33" s="9" t="s">
        <v>14</v>
      </c>
      <c r="X33" s="9">
        <f>ROUND(SUM(F33)+SUM(J33)+SUM(N33)+SUM(R33),1)</f>
        <v>2875.5</v>
      </c>
      <c r="Y33" s="1368"/>
      <c r="Z33" s="1369"/>
      <c r="AA33" s="9"/>
      <c r="AB33" s="467">
        <v>510</v>
      </c>
      <c r="AC33" s="9"/>
      <c r="AD33" s="9">
        <f>'Exhibit F'!AF113+'Exhibit G'!AG99+'Exhibit I'!AI78</f>
        <v>2682.4</v>
      </c>
      <c r="AE33" s="9"/>
      <c r="AF33" s="1727"/>
      <c r="AG33" s="9">
        <f t="shared" si="6"/>
        <v>193.1</v>
      </c>
      <c r="AI33" s="948">
        <f>ROUND(SUM((+X33-AD33)/ABS(AD33)),3)</f>
        <v>7.1999999999999995E-2</v>
      </c>
      <c r="AJ33" s="451"/>
      <c r="AK33" s="951"/>
      <c r="AL33" s="951"/>
    </row>
    <row r="34" spans="1:38" ht="18" customHeight="1">
      <c r="A34" s="1354" t="s">
        <v>34</v>
      </c>
      <c r="B34" s="7"/>
      <c r="C34" s="7"/>
      <c r="D34" s="12">
        <f>ROUND(SUM(D24:D33),1)</f>
        <v>5363.4</v>
      </c>
      <c r="E34" s="16"/>
      <c r="F34" s="12">
        <f>ROUND(SUM(F24:F33),1)</f>
        <v>33915.800000000003</v>
      </c>
      <c r="G34" s="16"/>
      <c r="H34" s="12">
        <f>ROUND(SUM(H24:H33),1)</f>
        <v>8686.5</v>
      </c>
      <c r="I34" s="16"/>
      <c r="J34" s="12">
        <f>ROUND(SUM(J24:J33),1)</f>
        <v>52349.2</v>
      </c>
      <c r="K34" s="16"/>
      <c r="L34" s="12">
        <f>ROUND(SUM(L24:L33),1)</f>
        <v>0</v>
      </c>
      <c r="M34" s="16"/>
      <c r="N34" s="2078">
        <f>ROUND(SUM(N24:N33),1)</f>
        <v>0</v>
      </c>
      <c r="O34" s="16"/>
      <c r="P34" s="11">
        <f>ROUND(SUM(P24:P33),1)</f>
        <v>461.8</v>
      </c>
      <c r="Q34" s="16"/>
      <c r="R34" s="11">
        <f>ROUND(SUM(R24:R33),1)</f>
        <v>2340.1999999999998</v>
      </c>
      <c r="S34" s="1371"/>
      <c r="T34" s="1371"/>
      <c r="U34" s="16"/>
      <c r="V34" s="12">
        <f>ROUND(SUM(V24:V33),1)</f>
        <v>14511.7</v>
      </c>
      <c r="W34" s="16"/>
      <c r="X34" s="12">
        <f>ROUND(SUM(X24:X33),1)</f>
        <v>88605.2</v>
      </c>
      <c r="Y34" s="1371"/>
      <c r="Z34" s="1372"/>
      <c r="AA34" s="16"/>
      <c r="AB34" s="12">
        <f>ROUND(SUM(AB23:AB33),1)</f>
        <v>13937.9</v>
      </c>
      <c r="AC34" s="16"/>
      <c r="AD34" s="12">
        <f>ROUND(SUM(AD23:AD33),1)</f>
        <v>74524.399999999994</v>
      </c>
      <c r="AE34" s="16"/>
      <c r="AF34" s="1728"/>
      <c r="AG34" s="12">
        <f>ROUND(SUM(AG24:AG33),1)</f>
        <v>14080.8</v>
      </c>
      <c r="AH34" s="1360"/>
      <c r="AI34" s="955">
        <f>ROUND(SUM((+X34-AD34)/ABS(AD34)),3)</f>
        <v>0.189</v>
      </c>
      <c r="AJ34" s="1354"/>
      <c r="AK34" s="951"/>
      <c r="AL34" s="951"/>
    </row>
    <row r="35" spans="1:38" ht="18" customHeight="1">
      <c r="A35" s="7" t="s">
        <v>35</v>
      </c>
      <c r="B35" s="1365"/>
      <c r="C35" s="7"/>
      <c r="D35" s="449"/>
      <c r="E35" s="9"/>
      <c r="F35" s="9"/>
      <c r="G35" s="9"/>
      <c r="H35" s="449"/>
      <c r="I35" s="9"/>
      <c r="J35" s="9"/>
      <c r="K35" s="9"/>
      <c r="L35" s="449"/>
      <c r="M35" s="9"/>
      <c r="N35" s="9"/>
      <c r="O35" s="9"/>
      <c r="P35" s="449"/>
      <c r="Q35" s="449"/>
      <c r="R35" s="449"/>
      <c r="S35" s="1368"/>
      <c r="T35" s="1368"/>
      <c r="U35" s="9"/>
      <c r="V35" s="449"/>
      <c r="W35" s="9"/>
      <c r="X35" s="449" t="s">
        <v>14</v>
      </c>
      <c r="Y35" s="1368"/>
      <c r="Z35" s="1369"/>
      <c r="AA35" s="9"/>
      <c r="AB35" s="449"/>
      <c r="AC35" s="9"/>
      <c r="AD35" s="9"/>
      <c r="AE35" s="9"/>
      <c r="AF35" s="1727"/>
      <c r="AG35" s="9"/>
      <c r="AI35" s="951"/>
      <c r="AJ35" s="7"/>
      <c r="AK35" s="951"/>
      <c r="AL35" s="951"/>
    </row>
    <row r="36" spans="1:38" ht="18" customHeight="1">
      <c r="A36" s="7" t="s">
        <v>36</v>
      </c>
      <c r="B36" s="1364"/>
      <c r="C36" s="7"/>
      <c r="D36" s="449">
        <f>+'Exhibit F'!N116</f>
        <v>769.59999999999911</v>
      </c>
      <c r="E36" s="9"/>
      <c r="F36" s="9">
        <f>+'Exhibit F'!AC116</f>
        <v>4992.3999999999996</v>
      </c>
      <c r="G36" s="9"/>
      <c r="H36" s="947">
        <f>'Exhibit G'!N102</f>
        <v>459.2000000000001</v>
      </c>
      <c r="I36" s="9"/>
      <c r="J36" s="9">
        <f>+'Exhibit G'!AD102</f>
        <v>3121.8</v>
      </c>
      <c r="K36" s="9"/>
      <c r="L36" s="453">
        <v>0</v>
      </c>
      <c r="M36" s="9"/>
      <c r="N36" s="10">
        <v>0</v>
      </c>
      <c r="O36" s="9"/>
      <c r="P36" s="453">
        <f>'Exhibit I'!O81</f>
        <v>0</v>
      </c>
      <c r="Q36" s="449"/>
      <c r="R36" s="453">
        <f>+'Exhibit I'!AF81</f>
        <v>0</v>
      </c>
      <c r="S36" s="1368"/>
      <c r="T36" s="1368"/>
      <c r="U36" s="9"/>
      <c r="V36" s="449">
        <f>ROUND(SUM(D36)+SUM(H36)+SUM(L36)+SUM(P36),1)</f>
        <v>1228.8</v>
      </c>
      <c r="W36" s="9" t="s">
        <v>14</v>
      </c>
      <c r="X36" s="9">
        <f>ROUND(SUM(F36)+SUM(J36)+SUM(N36)+SUM(R36),1)</f>
        <v>8114.2</v>
      </c>
      <c r="Y36" s="1368"/>
      <c r="Z36" s="1369"/>
      <c r="AA36" s="9"/>
      <c r="AB36" s="467">
        <v>1151.2</v>
      </c>
      <c r="AC36" s="1826"/>
      <c r="AD36" s="9">
        <f>'Exhibit F'!AF116+'Exhibit G'!AG102+'Exhibit I'!AI81</f>
        <v>7580</v>
      </c>
      <c r="AE36" s="9"/>
      <c r="AF36" s="1727"/>
      <c r="AG36" s="9">
        <f>ROUND(SUM(X36-AD36),1)</f>
        <v>534.20000000000005</v>
      </c>
      <c r="AI36" s="948">
        <f>ROUND(SUM((+X36-AD36)/ABS(AD36)),3)</f>
        <v>7.0000000000000007E-2</v>
      </c>
      <c r="AJ36" s="7"/>
      <c r="AK36" s="951"/>
      <c r="AL36" s="951"/>
    </row>
    <row r="37" spans="1:38" ht="18" customHeight="1">
      <c r="A37" s="7" t="s">
        <v>37</v>
      </c>
      <c r="B37" s="1365"/>
      <c r="C37" s="7"/>
      <c r="D37" s="449">
        <f>+'Exhibit F'!N117</f>
        <v>182.60000000000002</v>
      </c>
      <c r="E37" s="9"/>
      <c r="F37" s="9">
        <f>+'Exhibit F'!AC117</f>
        <v>572.5</v>
      </c>
      <c r="G37" s="9"/>
      <c r="H37" s="947">
        <f>'Exhibit G'!N103</f>
        <v>693.00000000000011</v>
      </c>
      <c r="I37" s="9"/>
      <c r="J37" s="9">
        <f>+'Exhibit G'!AD103</f>
        <v>3247.2</v>
      </c>
      <c r="K37" s="9"/>
      <c r="L37" s="947">
        <f>+'Exhibit H'!L58</f>
        <v>0.60000000000000142</v>
      </c>
      <c r="M37" s="9"/>
      <c r="N37" s="9">
        <f>+'Exhibit H'!AA58</f>
        <v>36.700000000000003</v>
      </c>
      <c r="O37" s="9" t="s">
        <v>14</v>
      </c>
      <c r="P37" s="453">
        <f>'Exhibit I'!O82</f>
        <v>0</v>
      </c>
      <c r="Q37" s="449"/>
      <c r="R37" s="453">
        <f>+'Exhibit I'!AF82</f>
        <v>0</v>
      </c>
      <c r="S37" s="1368"/>
      <c r="T37" s="1368"/>
      <c r="U37" s="9"/>
      <c r="V37" s="449">
        <f>ROUND(SUM(D37)+SUM(H37)+SUM(L37)+SUM(P37),1)</f>
        <v>876.2</v>
      </c>
      <c r="W37" s="9" t="s">
        <v>14</v>
      </c>
      <c r="X37" s="9">
        <f>ROUND(SUM(F37)+SUM(J37)+SUM(N37)+SUM(R37),1)</f>
        <v>3856.4</v>
      </c>
      <c r="Y37" s="1368"/>
      <c r="Z37" s="1369"/>
      <c r="AA37" s="9"/>
      <c r="AB37" s="467">
        <v>687.69999999999993</v>
      </c>
      <c r="AC37" s="1826"/>
      <c r="AD37" s="9">
        <f>'Exhibit F'!AF117+'Exhibit G'!AG103+'Exhibit I'!AI82+'Exhibit H'!AD58</f>
        <v>3556.9</v>
      </c>
      <c r="AE37" s="9"/>
      <c r="AF37" s="1727"/>
      <c r="AG37" s="9">
        <f>ROUND(SUM(X37-AD37),1)</f>
        <v>299.5</v>
      </c>
      <c r="AI37" s="948">
        <f>ROUND(SUM((+X37-AD37)/ABS(AD37)),3)</f>
        <v>8.4000000000000005E-2</v>
      </c>
      <c r="AJ37" s="451"/>
      <c r="AK37" s="489"/>
      <c r="AL37" s="951"/>
    </row>
    <row r="38" spans="1:38" ht="18" customHeight="1">
      <c r="A38" s="7" t="s">
        <v>38</v>
      </c>
      <c r="B38" s="1366"/>
      <c r="C38" s="7"/>
      <c r="D38" s="449">
        <f>+'Exhibit F'!N118</f>
        <v>489.09999999999945</v>
      </c>
      <c r="E38" s="9"/>
      <c r="F38" s="9">
        <f>+'Exhibit F'!AC118</f>
        <v>4386.7999999999993</v>
      </c>
      <c r="G38" s="2160"/>
      <c r="H38" s="947">
        <f>'Exhibit G'!N104</f>
        <v>97.600000000000094</v>
      </c>
      <c r="I38" s="9"/>
      <c r="J38" s="9">
        <f>+'Exhibit G'!AD104</f>
        <v>673.5</v>
      </c>
      <c r="K38" s="9"/>
      <c r="L38" s="453">
        <v>0</v>
      </c>
      <c r="M38" s="9"/>
      <c r="N38" s="10">
        <v>0</v>
      </c>
      <c r="O38" s="9"/>
      <c r="P38" s="453">
        <f>'Exhibit I'!O83</f>
        <v>0</v>
      </c>
      <c r="Q38" s="449"/>
      <c r="R38" s="453">
        <f>+'Exhibit I'!AF83</f>
        <v>0</v>
      </c>
      <c r="S38" s="1368"/>
      <c r="T38" s="1368"/>
      <c r="U38" s="9"/>
      <c r="V38" s="449">
        <f>ROUND(SUM(D38)+SUM(H38)+SUM(L38)+SUM(P38),1)</f>
        <v>586.70000000000005</v>
      </c>
      <c r="W38" s="9" t="s">
        <v>14</v>
      </c>
      <c r="X38" s="9">
        <f>ROUND(SUM(F38)+SUM(J38)+SUM(N38)+SUM(R38),1)</f>
        <v>5060.3</v>
      </c>
      <c r="Y38" s="1368"/>
      <c r="Z38" s="1369"/>
      <c r="AA38" s="9"/>
      <c r="AB38" s="467">
        <v>555.29999999999995</v>
      </c>
      <c r="AC38" s="9"/>
      <c r="AD38" s="9">
        <f>'Exhibit F'!AF118+'Exhibit G'!AG104+'Exhibit I'!AI83</f>
        <v>5233.2000000000007</v>
      </c>
      <c r="AE38" s="9"/>
      <c r="AF38" s="1727"/>
      <c r="AG38" s="9">
        <f>ROUND(SUM(X38-AD38),1)</f>
        <v>-172.9</v>
      </c>
      <c r="AI38" s="948">
        <f>ROUND(SUM((+X38-AD38)/ABS(AD38)),3)</f>
        <v>-3.3000000000000002E-2</v>
      </c>
      <c r="AJ38" s="7"/>
      <c r="AK38" s="951"/>
      <c r="AL38" s="951"/>
    </row>
    <row r="39" spans="1:38" ht="18" customHeight="1">
      <c r="A39" s="7" t="s">
        <v>39</v>
      </c>
      <c r="B39" s="7"/>
      <c r="C39" s="7"/>
      <c r="D39" s="449"/>
      <c r="E39" s="9"/>
      <c r="F39" s="9"/>
      <c r="G39" s="9"/>
      <c r="H39" s="449"/>
      <c r="I39" s="9"/>
      <c r="J39" s="2079"/>
      <c r="K39" s="9"/>
      <c r="L39" s="449"/>
      <c r="M39" s="9"/>
      <c r="N39" s="9"/>
      <c r="O39" s="9"/>
      <c r="P39" s="453"/>
      <c r="Q39" s="449"/>
      <c r="R39" s="449"/>
      <c r="S39" s="1368"/>
      <c r="T39" s="1368"/>
      <c r="U39" s="9"/>
      <c r="V39" s="449"/>
      <c r="W39" s="9"/>
      <c r="X39" s="9"/>
      <c r="Y39" s="1368"/>
      <c r="Z39" s="1369"/>
      <c r="AA39" s="9"/>
      <c r="AB39" s="449"/>
      <c r="AC39" s="9"/>
      <c r="AD39" s="9"/>
      <c r="AE39" s="9"/>
      <c r="AF39" s="1727"/>
      <c r="AG39" s="9"/>
      <c r="AI39" s="948"/>
      <c r="AJ39" s="7"/>
      <c r="AK39" s="951"/>
      <c r="AL39" s="951"/>
    </row>
    <row r="40" spans="1:38" ht="18" customHeight="1">
      <c r="A40" s="7" t="s">
        <v>40</v>
      </c>
      <c r="B40" s="1361"/>
      <c r="C40" s="7"/>
      <c r="D40" s="453">
        <v>0</v>
      </c>
      <c r="E40" s="9"/>
      <c r="F40" s="10">
        <v>0</v>
      </c>
      <c r="G40" s="9"/>
      <c r="H40" s="947">
        <f>'Exhibit G'!N106</f>
        <v>0</v>
      </c>
      <c r="I40" s="9"/>
      <c r="J40" s="10">
        <f>'Exhibit G'!AD106</f>
        <v>0</v>
      </c>
      <c r="K40" s="9"/>
      <c r="L40" s="449">
        <f>+'Exhibit H'!L60</f>
        <v>426.9</v>
      </c>
      <c r="M40" s="9"/>
      <c r="N40" s="9">
        <f>+'Exhibit H'!AA60</f>
        <v>561.4</v>
      </c>
      <c r="O40" s="9" t="s">
        <v>14</v>
      </c>
      <c r="P40" s="453">
        <v>0</v>
      </c>
      <c r="Q40" s="449"/>
      <c r="R40" s="453">
        <v>0</v>
      </c>
      <c r="S40" s="1368"/>
      <c r="T40" s="1368"/>
      <c r="U40" s="9"/>
      <c r="V40" s="449">
        <f>ROUND(SUM(D40)+SUM(H40)+SUM(L40)+SUM(P40),1)</f>
        <v>426.9</v>
      </c>
      <c r="W40" s="9" t="s">
        <v>14</v>
      </c>
      <c r="X40" s="9">
        <f>ROUND(SUM(F40)+SUM(J40)+SUM(N40)+SUM(R40),1)</f>
        <v>561.4</v>
      </c>
      <c r="Y40" s="1368"/>
      <c r="Z40" s="1369"/>
      <c r="AA40" s="9"/>
      <c r="AB40" s="467">
        <v>1061.0999999999999</v>
      </c>
      <c r="AC40" s="9"/>
      <c r="AD40" s="9">
        <f>'Exhibit H'!AD60+'Exhibit G Federal'!AG76</f>
        <v>1425.4</v>
      </c>
      <c r="AE40" s="9"/>
      <c r="AF40" s="1727"/>
      <c r="AG40" s="9">
        <f>ROUND(SUM(X40-AD40),1)</f>
        <v>-864</v>
      </c>
      <c r="AI40" s="948">
        <f>ROUND(SUM((+X40-AD40)/ABS(AD40)),3)</f>
        <v>-0.60599999999999998</v>
      </c>
      <c r="AJ40" s="1367"/>
      <c r="AK40" s="951"/>
      <c r="AL40" s="951"/>
    </row>
    <row r="41" spans="1:38" ht="18" customHeight="1">
      <c r="A41" s="7" t="s">
        <v>41</v>
      </c>
      <c r="B41" s="1366" t="s">
        <v>827</v>
      </c>
      <c r="C41" s="7"/>
      <c r="D41" s="453">
        <v>0</v>
      </c>
      <c r="E41" s="9"/>
      <c r="F41" s="10">
        <v>0</v>
      </c>
      <c r="G41" s="9"/>
      <c r="H41" s="947">
        <f>'Exhibit G'!N107</f>
        <v>0</v>
      </c>
      <c r="I41" s="9"/>
      <c r="J41" s="9">
        <f>+'Exhibit G'!AD107</f>
        <v>0</v>
      </c>
      <c r="K41" s="9"/>
      <c r="L41" s="453">
        <v>0</v>
      </c>
      <c r="M41" s="9"/>
      <c r="N41" s="10">
        <v>0</v>
      </c>
      <c r="O41" s="9"/>
      <c r="P41" s="947">
        <f>'Exhibit I'!O84</f>
        <v>732.3</v>
      </c>
      <c r="Q41" s="449"/>
      <c r="R41" s="2080">
        <f>+'Exhibit I'!AF84</f>
        <v>4196.8999999999996</v>
      </c>
      <c r="S41" s="1368"/>
      <c r="T41" s="1368"/>
      <c r="U41" s="9"/>
      <c r="V41" s="449">
        <f>ROUND(SUM(D41)+SUM(H41)+SUM(L41)+SUM(P41),1)</f>
        <v>732.3</v>
      </c>
      <c r="W41" s="9" t="s">
        <v>14</v>
      </c>
      <c r="X41" s="9">
        <f>ROUND(SUM(F41)+SUM(J41)+SUM(N41)+SUM(R41),1)</f>
        <v>4196.8999999999996</v>
      </c>
      <c r="Y41" s="1368"/>
      <c r="Z41" s="1369"/>
      <c r="AA41" s="9"/>
      <c r="AB41" s="467">
        <v>762.7</v>
      </c>
      <c r="AC41" s="9"/>
      <c r="AD41" s="9">
        <f>'Exhibit G'!AG107+'Exhibit I'!AI84</f>
        <v>3922.2</v>
      </c>
      <c r="AE41" s="9"/>
      <c r="AF41" s="1727"/>
      <c r="AG41" s="9">
        <f>ROUND(SUM(X41-AD41),1)</f>
        <v>274.7</v>
      </c>
      <c r="AI41" s="948">
        <f>ROUND(SUM((+X41-AD41)/ABS(AD41)),3)</f>
        <v>7.0000000000000007E-2</v>
      </c>
      <c r="AJ41" s="1355"/>
      <c r="AK41" s="489" t="s">
        <v>14</v>
      </c>
      <c r="AL41" s="951"/>
    </row>
    <row r="42" spans="1:38" ht="18" customHeight="1">
      <c r="A42" s="1354" t="s">
        <v>42</v>
      </c>
      <c r="B42" s="7"/>
      <c r="C42" s="7"/>
      <c r="D42" s="12">
        <f>ROUND(SUM(D34:D41),1)</f>
        <v>6804.7</v>
      </c>
      <c r="E42" s="16"/>
      <c r="F42" s="12">
        <f>ROUND(SUM(F34:F41),1)</f>
        <v>43867.5</v>
      </c>
      <c r="G42" s="16"/>
      <c r="H42" s="12">
        <f>ROUND(SUM(H34:H41),1)</f>
        <v>9936.2999999999993</v>
      </c>
      <c r="I42" s="16"/>
      <c r="J42" s="12">
        <f>ROUND(SUM(J34:J41),1)</f>
        <v>59391.7</v>
      </c>
      <c r="K42" s="16"/>
      <c r="L42" s="12">
        <f>ROUND(SUM(L34:L41),1)</f>
        <v>427.5</v>
      </c>
      <c r="M42" s="16"/>
      <c r="N42" s="12">
        <f>ROUND(SUM(N34:N41),1)</f>
        <v>598.1</v>
      </c>
      <c r="O42" s="16"/>
      <c r="P42" s="12">
        <f>ROUND(SUM(P34:P41),1)</f>
        <v>1194.0999999999999</v>
      </c>
      <c r="Q42" s="16"/>
      <c r="R42" s="12">
        <f>ROUND(SUM(R34:R41),1)</f>
        <v>6537.1</v>
      </c>
      <c r="S42" s="1371"/>
      <c r="T42" s="1371"/>
      <c r="U42" s="16"/>
      <c r="V42" s="12">
        <f>ROUND(SUM(V34:V41),1)</f>
        <v>18362.599999999999</v>
      </c>
      <c r="W42" s="16"/>
      <c r="X42" s="12">
        <f>ROUND(SUM(X34:X41),1)</f>
        <v>110394.4</v>
      </c>
      <c r="Y42" s="1371"/>
      <c r="Z42" s="1372"/>
      <c r="AA42" s="16"/>
      <c r="AB42" s="12">
        <f>ROUND(SUM(AB34:AB41),1)</f>
        <v>18155.900000000001</v>
      </c>
      <c r="AC42" s="16"/>
      <c r="AD42" s="12">
        <f>ROUND(SUM(AD34:AD41),1)</f>
        <v>96242.1</v>
      </c>
      <c r="AE42" s="16"/>
      <c r="AF42" s="1728"/>
      <c r="AG42" s="12">
        <f>ROUND(SUM(AG34:AG41),1)</f>
        <v>14152.3</v>
      </c>
      <c r="AH42" s="1360"/>
      <c r="AI42" s="955">
        <f>ROUND(SUM((+X42-AD42)/ABS(AD42)),3)</f>
        <v>0.14699999999999999</v>
      </c>
      <c r="AJ42" s="1354"/>
      <c r="AK42" s="951"/>
      <c r="AL42" s="951"/>
    </row>
    <row r="43" spans="1:38" ht="16.350000000000001" customHeight="1">
      <c r="A43" s="1354"/>
      <c r="B43" s="7"/>
      <c r="C43" s="7"/>
      <c r="D43" s="449"/>
      <c r="E43" s="9"/>
      <c r="F43" s="9"/>
      <c r="G43" s="9"/>
      <c r="H43" s="449"/>
      <c r="I43" s="9"/>
      <c r="J43" s="9"/>
      <c r="K43" s="9"/>
      <c r="L43" s="449"/>
      <c r="M43" s="9"/>
      <c r="N43" s="9"/>
      <c r="O43" s="9"/>
      <c r="P43" s="947"/>
      <c r="Q43" s="449"/>
      <c r="R43" s="449"/>
      <c r="S43" s="1368"/>
      <c r="T43" s="1368"/>
      <c r="U43" s="9"/>
      <c r="V43" s="449"/>
      <c r="W43" s="9"/>
      <c r="X43" s="9"/>
      <c r="Y43" s="1368"/>
      <c r="Z43" s="1369"/>
      <c r="AA43" s="9"/>
      <c r="AB43" s="449" t="s">
        <v>14</v>
      </c>
      <c r="AC43" s="9"/>
      <c r="AD43" s="9"/>
      <c r="AE43" s="9"/>
      <c r="AF43" s="1727"/>
      <c r="AG43" s="9"/>
      <c r="AI43" s="951"/>
      <c r="AJ43" s="7"/>
      <c r="AK43" s="951"/>
      <c r="AL43" s="951"/>
    </row>
    <row r="44" spans="1:38" ht="16.350000000000001" customHeight="1">
      <c r="A44" s="1354" t="s">
        <v>43</v>
      </c>
      <c r="B44" s="1354"/>
      <c r="C44" s="7"/>
      <c r="D44" s="449"/>
      <c r="E44" s="9"/>
      <c r="F44" s="9"/>
      <c r="G44" s="9"/>
      <c r="H44" s="449"/>
      <c r="I44" s="9"/>
      <c r="J44" s="9"/>
      <c r="K44" s="9"/>
      <c r="L44" s="449" t="s">
        <v>14</v>
      </c>
      <c r="M44" s="9"/>
      <c r="N44" s="9"/>
      <c r="O44" s="9"/>
      <c r="P44" s="947"/>
      <c r="Q44" s="449"/>
      <c r="R44" s="449"/>
      <c r="S44" s="1368"/>
      <c r="T44" s="1368"/>
      <c r="U44" s="9"/>
      <c r="V44" s="449"/>
      <c r="W44" s="9"/>
      <c r="X44" s="9"/>
      <c r="Y44" s="1368"/>
      <c r="Z44" s="1369"/>
      <c r="AA44" s="9"/>
      <c r="AB44" s="449"/>
      <c r="AC44" s="9"/>
      <c r="AD44" s="9"/>
      <c r="AE44" s="9"/>
      <c r="AF44" s="1727"/>
      <c r="AG44" s="9"/>
      <c r="AI44" s="951"/>
      <c r="AJ44" s="7"/>
      <c r="AK44" s="951"/>
      <c r="AL44" s="951"/>
    </row>
    <row r="45" spans="1:38" ht="16.350000000000001" customHeight="1">
      <c r="A45" s="1354" t="s">
        <v>44</v>
      </c>
      <c r="B45" s="1354"/>
      <c r="C45" s="7"/>
      <c r="D45" s="15">
        <f>ROUND(SUM(D20-D42),1)</f>
        <v>344.6</v>
      </c>
      <c r="E45" s="16"/>
      <c r="F45" s="15">
        <f>ROUND(SUM(F20-F42),1)</f>
        <v>-14665.7</v>
      </c>
      <c r="G45" s="16"/>
      <c r="H45" s="15">
        <f>ROUND(SUM(H20-H42),1)</f>
        <v>-1119.4000000000001</v>
      </c>
      <c r="I45" s="16"/>
      <c r="J45" s="15">
        <f>ROUND(SUM(J20-J42),1)</f>
        <v>1938</v>
      </c>
      <c r="K45" s="16"/>
      <c r="L45" s="15">
        <f>ROUND(SUM(L20-L42),1)</f>
        <v>4253.2</v>
      </c>
      <c r="M45" s="16" t="s">
        <v>14</v>
      </c>
      <c r="N45" s="15">
        <f>ROUND(SUM(N20-N42),1)</f>
        <v>20890.3</v>
      </c>
      <c r="O45" s="16" t="s">
        <v>14</v>
      </c>
      <c r="P45" s="2081">
        <f>ROUND(SUM(P20-P42),1)</f>
        <v>-44.7</v>
      </c>
      <c r="Q45" s="16" t="s">
        <v>14</v>
      </c>
      <c r="R45" s="2081">
        <f>ROUND(SUM(R20-R42),1)</f>
        <v>-903.8</v>
      </c>
      <c r="S45" s="1371"/>
      <c r="T45" s="1371"/>
      <c r="U45" s="16"/>
      <c r="V45" s="15">
        <f>ROUND(SUM(V20-V42),1)</f>
        <v>3433.7</v>
      </c>
      <c r="W45" s="16" t="s">
        <v>14</v>
      </c>
      <c r="X45" s="15">
        <f>ROUND(SUM(X20-X42),1)</f>
        <v>7258.8</v>
      </c>
      <c r="Y45" s="1371"/>
      <c r="Z45" s="1372"/>
      <c r="AA45" s="16"/>
      <c r="AB45" s="15">
        <f>ROUND(SUM(AB20-AB42),1)</f>
        <v>7024.6</v>
      </c>
      <c r="AC45" s="16"/>
      <c r="AD45" s="15">
        <f>ROUND(SUM(AD20-AD42),1)</f>
        <v>20599.7</v>
      </c>
      <c r="AE45" s="16"/>
      <c r="AF45" s="1728"/>
      <c r="AG45" s="15">
        <f>ROUND(SUM(X45-AD45),1)</f>
        <v>-13340.9</v>
      </c>
      <c r="AH45" s="1360"/>
      <c r="AI45" s="950">
        <f>ROUND(SUM((+X45-AD45)/ABS(AD45)),3)</f>
        <v>-0.64800000000000002</v>
      </c>
      <c r="AJ45" s="1354"/>
      <c r="AK45" s="951"/>
      <c r="AL45" s="951"/>
    </row>
    <row r="46" spans="1:38" ht="16.350000000000001" customHeight="1">
      <c r="A46" s="7"/>
      <c r="B46" s="7"/>
      <c r="C46" s="7"/>
      <c r="D46" s="449"/>
      <c r="E46" s="9"/>
      <c r="F46" s="9"/>
      <c r="G46" s="9"/>
      <c r="H46" s="449"/>
      <c r="I46" s="9"/>
      <c r="J46" s="9"/>
      <c r="K46" s="9"/>
      <c r="L46" s="449"/>
      <c r="M46" s="9"/>
      <c r="N46" s="9"/>
      <c r="O46" s="9"/>
      <c r="P46" s="947"/>
      <c r="Q46" s="449"/>
      <c r="R46" s="449"/>
      <c r="S46" s="1368"/>
      <c r="T46" s="1368"/>
      <c r="U46" s="9"/>
      <c r="V46" s="449"/>
      <c r="W46" s="9"/>
      <c r="X46" s="9"/>
      <c r="Y46" s="1368"/>
      <c r="Z46" s="1369"/>
      <c r="AA46" s="9"/>
      <c r="AB46" s="449"/>
      <c r="AC46" s="9"/>
      <c r="AD46" s="9"/>
      <c r="AE46" s="9"/>
      <c r="AF46" s="1727"/>
      <c r="AG46" s="9"/>
      <c r="AI46" s="951"/>
      <c r="AJ46" s="7"/>
      <c r="AK46" s="951"/>
      <c r="AL46" s="951"/>
    </row>
    <row r="47" spans="1:38" ht="16.350000000000001" customHeight="1">
      <c r="A47" s="1354" t="s">
        <v>45</v>
      </c>
      <c r="B47" s="1354"/>
      <c r="C47" s="7"/>
      <c r="D47" s="449"/>
      <c r="E47" s="9"/>
      <c r="F47" s="9"/>
      <c r="G47" s="9"/>
      <c r="H47" s="449"/>
      <c r="I47" s="9"/>
      <c r="J47" s="9"/>
      <c r="K47" s="9"/>
      <c r="L47" s="449"/>
      <c r="M47" s="9"/>
      <c r="N47" s="9"/>
      <c r="O47" s="9"/>
      <c r="P47" s="947"/>
      <c r="Q47" s="449"/>
      <c r="R47" s="449"/>
      <c r="S47" s="1368"/>
      <c r="T47" s="1368"/>
      <c r="U47" s="9"/>
      <c r="V47" s="449"/>
      <c r="W47" s="9"/>
      <c r="X47" s="9"/>
      <c r="Y47" s="1368"/>
      <c r="Z47" s="1369"/>
      <c r="AA47" s="9"/>
      <c r="AB47" s="449"/>
      <c r="AC47" s="9"/>
      <c r="AD47" s="9"/>
      <c r="AE47" s="9"/>
      <c r="AF47" s="1727"/>
      <c r="AG47" s="9"/>
      <c r="AI47" s="951"/>
      <c r="AJ47" s="7"/>
      <c r="AK47" s="951"/>
      <c r="AL47" s="951"/>
    </row>
    <row r="48" spans="1:38" ht="18" customHeight="1">
      <c r="A48" s="451" t="s">
        <v>1287</v>
      </c>
      <c r="B48" s="7"/>
      <c r="C48" s="7"/>
      <c r="D48" s="453">
        <v>0</v>
      </c>
      <c r="E48" s="9"/>
      <c r="F48" s="10">
        <v>0</v>
      </c>
      <c r="G48" s="9"/>
      <c r="H48" s="453">
        <v>0</v>
      </c>
      <c r="I48" s="9"/>
      <c r="J48" s="10">
        <v>0</v>
      </c>
      <c r="K48" s="9"/>
      <c r="L48" s="453">
        <v>0</v>
      </c>
      <c r="M48" s="9"/>
      <c r="N48" s="10">
        <v>0</v>
      </c>
      <c r="O48" s="9"/>
      <c r="P48" s="453">
        <f>+'Exhibit I'!O92</f>
        <v>0</v>
      </c>
      <c r="Q48" s="449"/>
      <c r="R48" s="453">
        <f>'Exhibit I'!AF92</f>
        <v>0</v>
      </c>
      <c r="S48" s="1368"/>
      <c r="T48" s="1368"/>
      <c r="U48" s="9"/>
      <c r="V48" s="449">
        <f>ROUND(SUM(D48)+SUM(H48)+SUM(L48)+SUM(P48),1)</f>
        <v>0</v>
      </c>
      <c r="W48" s="10"/>
      <c r="X48" s="9">
        <f>ROUND(SUM(F48)+SUM(J48)+SUM(N48)+SUM(R48),1)</f>
        <v>0</v>
      </c>
      <c r="Y48" s="1368"/>
      <c r="Z48" s="1369"/>
      <c r="AA48" s="9"/>
      <c r="AB48" s="467">
        <v>0</v>
      </c>
      <c r="AC48" s="10"/>
      <c r="AD48" s="14">
        <f>'Exhibit I'!AI92</f>
        <v>0</v>
      </c>
      <c r="AE48" s="10"/>
      <c r="AF48" s="2161"/>
      <c r="AG48" s="9">
        <f>X48-AD48</f>
        <v>0</v>
      </c>
      <c r="AI48" s="948">
        <f>ROUND(IF(AD48=0,0,AG48/ABS(AD48)),3)</f>
        <v>0</v>
      </c>
      <c r="AJ48" s="1367"/>
      <c r="AK48" s="951"/>
      <c r="AL48" s="951"/>
    </row>
    <row r="49" spans="1:40" ht="18" customHeight="1">
      <c r="A49" s="7" t="s">
        <v>46</v>
      </c>
      <c r="B49" s="1361" t="s">
        <v>1098</v>
      </c>
      <c r="C49" s="7"/>
      <c r="D49" s="449">
        <f>+'Exhibit F'!N127+'Exhibit F'!N128+'Exhibit F'!N129+'Exhibit F'!N130</f>
        <v>5215.3999999999987</v>
      </c>
      <c r="E49" s="9"/>
      <c r="F49" s="9">
        <f>+'Exhibit F'!AC127+'Exhibit F'!AC128+'Exhibit F'!AC129+'Exhibit F'!AC130</f>
        <v>21577.599999999999</v>
      </c>
      <c r="G49" s="9"/>
      <c r="H49" s="449">
        <f>'Exhibit G'!N115-13.9</f>
        <v>80.599999999999994</v>
      </c>
      <c r="I49" s="9"/>
      <c r="J49" s="9">
        <f>+'Exhibit G'!AD115</f>
        <v>1810.4</v>
      </c>
      <c r="K49" s="9"/>
      <c r="L49" s="449">
        <f>+'Exhibit H'!L68</f>
        <v>81.500000000000028</v>
      </c>
      <c r="M49" s="9"/>
      <c r="N49" s="9">
        <f>+'Exhibit H'!AA68</f>
        <v>644.1</v>
      </c>
      <c r="O49" s="9"/>
      <c r="P49" s="453">
        <f>'Exhibit I'!O93</f>
        <v>40.599999999999909</v>
      </c>
      <c r="Q49" s="449"/>
      <c r="R49" s="449">
        <f>+'Exhibit I'!AF93</f>
        <v>583.79999999999995</v>
      </c>
      <c r="S49" s="1368"/>
      <c r="T49" s="1368"/>
      <c r="U49" s="9"/>
      <c r="V49" s="449">
        <f>ROUND(SUM(D49)+SUM(H49)+SUM(L49)+SUM(P49),1)</f>
        <v>5418.1</v>
      </c>
      <c r="W49" s="9" t="s">
        <v>14</v>
      </c>
      <c r="X49" s="9">
        <f>ROUND(SUM(F49)+SUM(J49)+SUM(N49)+SUM(R49),1)</f>
        <v>24615.9</v>
      </c>
      <c r="Y49" s="1368"/>
      <c r="Z49" s="1369"/>
      <c r="AA49" s="9"/>
      <c r="AB49" s="467">
        <v>6148</v>
      </c>
      <c r="AC49" s="9"/>
      <c r="AD49" s="9">
        <f>'Exhibit F'!AF127+'Exhibit F'!AF128+'Exhibit F'!AF129+'Exhibit F'!AF130+'Exhibit G'!AG115+'Exhibit H'!AD68+'Exhibit I'!AI93</f>
        <v>29427.199999999997</v>
      </c>
      <c r="AE49" s="9"/>
      <c r="AF49" s="1727"/>
      <c r="AG49" s="9">
        <f>ROUND(SUM(X49-AD49),1)</f>
        <v>-4811.3</v>
      </c>
      <c r="AI49" s="948">
        <f>ROUND(SUM((+X49-AD49)/ABS(AD49)),3)</f>
        <v>-0.16300000000000001</v>
      </c>
      <c r="AJ49" s="451"/>
      <c r="AK49" s="951"/>
      <c r="AL49" s="951"/>
    </row>
    <row r="50" spans="1:40" ht="18" customHeight="1">
      <c r="A50" s="7" t="s">
        <v>47</v>
      </c>
      <c r="B50" s="1361" t="s">
        <v>1098</v>
      </c>
      <c r="C50" s="7"/>
      <c r="D50" s="449">
        <f>+'Exhibit F'!N131+'Exhibit F'!N133+'Exhibit F'!N134+'Exhibit F'!N132</f>
        <v>-108.40000000000006</v>
      </c>
      <c r="E50" s="9"/>
      <c r="F50" s="9">
        <f>+'Exhibit F'!AC131+'Exhibit F'!AC133+'Exhibit F'!AC134+'Exhibit F'!AC132</f>
        <v>-2390.6</v>
      </c>
      <c r="G50" s="9"/>
      <c r="H50" s="449">
        <f>'Exhibit G'!N116+13.9</f>
        <v>-104.39999999999998</v>
      </c>
      <c r="I50" s="9"/>
      <c r="J50" s="9">
        <f>+'Exhibit G'!AD116</f>
        <v>-679</v>
      </c>
      <c r="K50" s="9"/>
      <c r="L50" s="449">
        <f>+'Exhibit H'!L69</f>
        <v>-5203.899999999996</v>
      </c>
      <c r="M50" s="9"/>
      <c r="N50" s="9">
        <f>+'Exhibit H'!AA69</f>
        <v>-21500.6</v>
      </c>
      <c r="O50" s="9"/>
      <c r="P50" s="453">
        <f>'Exhibit I'!O94</f>
        <v>-4.6000000000000014</v>
      </c>
      <c r="Q50" s="449"/>
      <c r="R50" s="449">
        <f>+'Exhibit I'!AF94</f>
        <v>-55.2</v>
      </c>
      <c r="S50" s="1368"/>
      <c r="T50" s="1368"/>
      <c r="U50" s="9"/>
      <c r="V50" s="449">
        <f>ROUND(SUM(D50)+SUM(H50)+SUM(L50)+SUM(P50),1)</f>
        <v>-5421.3</v>
      </c>
      <c r="W50" s="9" t="s">
        <v>14</v>
      </c>
      <c r="X50" s="9">
        <f>ROUND(SUM(F50)+SUM(J50)+SUM(N50)+SUM(R50),1)</f>
        <v>-24625.4</v>
      </c>
      <c r="Y50" s="1368"/>
      <c r="Z50" s="1369"/>
      <c r="AA50" s="9"/>
      <c r="AB50" s="467">
        <v>-6152.5</v>
      </c>
      <c r="AC50" s="9"/>
      <c r="AD50" s="9">
        <f>'Exhibit F'!AF131+'Exhibit F'!AF132+'Exhibit F'!AF133+'Exhibit F'!AF134+'Exhibit G'!AG116+'Exhibit H'!AD69+'Exhibit I'!AI94</f>
        <v>-29487.200000000001</v>
      </c>
      <c r="AE50" s="9"/>
      <c r="AF50" s="1727"/>
      <c r="AG50" s="2162">
        <f>ROUND(SUM(X50-AD50),1)*-1</f>
        <v>-4861.8</v>
      </c>
      <c r="AI50" s="949">
        <f>-ROUND(SUM((+X50-AD50)/ABS(AD50)),3)</f>
        <v>-0.16500000000000001</v>
      </c>
      <c r="AJ50" s="451"/>
      <c r="AK50" s="951"/>
      <c r="AL50" s="951"/>
    </row>
    <row r="51" spans="1:40" ht="18" customHeight="1">
      <c r="A51" s="1354" t="s">
        <v>48</v>
      </c>
      <c r="B51" s="1354"/>
      <c r="C51" s="7"/>
      <c r="D51" s="12">
        <f>ROUND(SUM(D48:D50),1)</f>
        <v>5107</v>
      </c>
      <c r="E51" s="9"/>
      <c r="F51" s="12">
        <f>ROUND(SUM(F48:F50),1)</f>
        <v>19187</v>
      </c>
      <c r="G51" s="16"/>
      <c r="H51" s="12">
        <f>ROUND(SUM(H48:H50),1)</f>
        <v>-23.8</v>
      </c>
      <c r="I51" s="16"/>
      <c r="J51" s="12">
        <f>ROUND(SUM(J48:J50),1)</f>
        <v>1131.4000000000001</v>
      </c>
      <c r="K51" s="16"/>
      <c r="L51" s="12">
        <f>ROUND(SUM(L48:L50),1)</f>
        <v>-5122.3999999999996</v>
      </c>
      <c r="M51" s="16"/>
      <c r="N51" s="12">
        <f>ROUND(SUM(N48:N50),1)</f>
        <v>-20856.5</v>
      </c>
      <c r="O51" s="16"/>
      <c r="P51" s="12">
        <f>ROUND(SUM(P48:P50),1)</f>
        <v>36</v>
      </c>
      <c r="Q51" s="16"/>
      <c r="R51" s="12">
        <f>ROUND(SUM(R48:R50),1)</f>
        <v>528.6</v>
      </c>
      <c r="S51" s="1371"/>
      <c r="T51" s="1371"/>
      <c r="U51" s="16"/>
      <c r="V51" s="1370">
        <f>ROUND(SUM(V48+V49+V50),1)</f>
        <v>-3.2</v>
      </c>
      <c r="W51" s="16"/>
      <c r="X51" s="1370">
        <f>ROUND(SUM(+X48+X49+X50),1)</f>
        <v>-9.5</v>
      </c>
      <c r="Y51" s="1371"/>
      <c r="Z51" s="1372"/>
      <c r="AA51" s="16"/>
      <c r="AB51" s="1370">
        <f>ROUND(SUM(+AB48+AB49+AB50),1)</f>
        <v>-4.5</v>
      </c>
      <c r="AC51" s="16"/>
      <c r="AD51" s="1370">
        <f>ROUND(SUM(+AD48+AD49+AD50),1)</f>
        <v>-60</v>
      </c>
      <c r="AE51" s="2082"/>
      <c r="AF51" s="1728"/>
      <c r="AG51" s="11">
        <f>ROUND(SUM(+AG49-AG50+AG48),1)</f>
        <v>50.5</v>
      </c>
      <c r="AH51" s="1360"/>
      <c r="AI51" s="950">
        <f>-ROUND(SUM(AG51/AD51),3)</f>
        <v>0.84199999999999997</v>
      </c>
      <c r="AJ51" s="1354" t="s">
        <v>14</v>
      </c>
      <c r="AK51" s="951"/>
      <c r="AL51" s="951"/>
    </row>
    <row r="52" spans="1:40" ht="16.350000000000001" customHeight="1">
      <c r="A52" s="7"/>
      <c r="B52" s="7"/>
      <c r="C52" s="7"/>
      <c r="D52" s="449"/>
      <c r="E52" s="9"/>
      <c r="F52" s="449" t="s">
        <v>14</v>
      </c>
      <c r="G52" s="9"/>
      <c r="H52" s="449" t="s">
        <v>14</v>
      </c>
      <c r="I52" s="9"/>
      <c r="J52" s="9"/>
      <c r="K52" s="9"/>
      <c r="L52" s="449" t="s">
        <v>14</v>
      </c>
      <c r="M52" s="9"/>
      <c r="N52" s="9"/>
      <c r="O52" s="9"/>
      <c r="P52" s="449" t="s">
        <v>14</v>
      </c>
      <c r="Q52" s="449"/>
      <c r="R52" s="449" t="s">
        <v>14</v>
      </c>
      <c r="S52" s="1368"/>
      <c r="T52" s="1368"/>
      <c r="U52" s="9"/>
      <c r="V52" s="449"/>
      <c r="W52" s="9"/>
      <c r="X52" s="9"/>
      <c r="Y52" s="1368"/>
      <c r="Z52" s="1369"/>
      <c r="AA52" s="9"/>
      <c r="AB52" s="449"/>
      <c r="AC52" s="9"/>
      <c r="AD52" s="9"/>
      <c r="AE52" s="9"/>
      <c r="AF52" s="1727"/>
      <c r="AG52" s="9"/>
      <c r="AI52" s="951"/>
      <c r="AJ52" s="7"/>
      <c r="AK52" s="951"/>
      <c r="AL52" s="951"/>
    </row>
    <row r="53" spans="1:40" ht="18" customHeight="1">
      <c r="A53" s="1354" t="s">
        <v>43</v>
      </c>
      <c r="B53" s="1354"/>
      <c r="C53" s="7"/>
      <c r="D53" s="449" t="s">
        <v>14</v>
      </c>
      <c r="E53" s="9"/>
      <c r="F53" s="449" t="s">
        <v>14</v>
      </c>
      <c r="G53" s="9"/>
      <c r="H53" s="449" t="s">
        <v>14</v>
      </c>
      <c r="I53" s="9"/>
      <c r="J53" s="9"/>
      <c r="K53" s="9"/>
      <c r="L53" s="449" t="s">
        <v>14</v>
      </c>
      <c r="M53" s="9"/>
      <c r="N53" s="9"/>
      <c r="O53" s="9"/>
      <c r="P53" s="449" t="s">
        <v>14</v>
      </c>
      <c r="Q53" s="449"/>
      <c r="R53" s="449"/>
      <c r="S53" s="1368"/>
      <c r="T53" s="1368"/>
      <c r="U53" s="9"/>
      <c r="V53" s="449" t="s">
        <v>14</v>
      </c>
      <c r="W53" s="9"/>
      <c r="X53" s="9"/>
      <c r="Y53" s="1368"/>
      <c r="Z53" s="1369"/>
      <c r="AA53" s="9"/>
      <c r="AB53" s="449"/>
      <c r="AC53" s="9"/>
      <c r="AD53" s="9"/>
      <c r="AE53" s="9"/>
      <c r="AF53" s="1727"/>
      <c r="AG53" s="9"/>
      <c r="AI53" s="952"/>
      <c r="AJ53" s="7"/>
      <c r="AK53" s="951"/>
      <c r="AL53" s="951"/>
    </row>
    <row r="54" spans="1:40" ht="18" customHeight="1">
      <c r="A54" s="1354" t="s">
        <v>49</v>
      </c>
      <c r="B54" s="1354"/>
      <c r="C54" s="7"/>
      <c r="D54" s="449"/>
      <c r="E54" s="9"/>
      <c r="F54" s="9"/>
      <c r="G54" s="9"/>
      <c r="H54" s="449"/>
      <c r="I54" s="9"/>
      <c r="J54" s="9"/>
      <c r="K54" s="9"/>
      <c r="L54" s="449"/>
      <c r="M54" s="9"/>
      <c r="N54" s="9"/>
      <c r="O54" s="9"/>
      <c r="P54" s="449"/>
      <c r="Q54" s="449"/>
      <c r="R54" s="449"/>
      <c r="S54" s="1368"/>
      <c r="T54" s="1368"/>
      <c r="U54" s="9"/>
      <c r="V54" s="449" t="s">
        <v>14</v>
      </c>
      <c r="W54" s="9"/>
      <c r="X54" s="9"/>
      <c r="Y54" s="1368"/>
      <c r="Z54" s="1369"/>
      <c r="AA54" s="9"/>
      <c r="AB54" s="449"/>
      <c r="AC54" s="9"/>
      <c r="AD54" s="9"/>
      <c r="AE54" s="9"/>
      <c r="AF54" s="1727"/>
      <c r="AG54" s="9"/>
      <c r="AI54" s="951"/>
      <c r="AJ54" s="7"/>
      <c r="AK54" s="951"/>
      <c r="AL54" s="951"/>
    </row>
    <row r="55" spans="1:40" ht="18" customHeight="1">
      <c r="A55" s="1354" t="s">
        <v>50</v>
      </c>
      <c r="B55" s="1354"/>
      <c r="C55" s="7"/>
      <c r="D55" s="16">
        <f>ROUND(SUM(D45+D51),1)</f>
        <v>5451.6</v>
      </c>
      <c r="E55" s="16"/>
      <c r="F55" s="16">
        <f>ROUND(SUM(F45)+SUM(F51),1)</f>
        <v>4521.3</v>
      </c>
      <c r="G55" s="16"/>
      <c r="H55" s="16">
        <f>ROUND(SUM(H45+H51),1)</f>
        <v>-1143.2</v>
      </c>
      <c r="I55" s="16"/>
      <c r="J55" s="16">
        <f>ROUND(SUM(J45)+SUM(J51),1)</f>
        <v>3069.4</v>
      </c>
      <c r="K55" s="16"/>
      <c r="L55" s="16">
        <f>ROUND(SUM(L45+L51),1)</f>
        <v>-869.2</v>
      </c>
      <c r="M55" s="16"/>
      <c r="N55" s="16">
        <f>ROUND(SUM(N45+N51),1)</f>
        <v>33.799999999999997</v>
      </c>
      <c r="O55" s="16"/>
      <c r="P55" s="16">
        <f>ROUND(SUM(P45+P51),1)</f>
        <v>-8.6999999999999993</v>
      </c>
      <c r="Q55" s="16"/>
      <c r="R55" s="16">
        <f>ROUND(SUM(R45+R51),1)</f>
        <v>-375.2</v>
      </c>
      <c r="S55" s="1371"/>
      <c r="T55" s="1371"/>
      <c r="U55" s="16"/>
      <c r="V55" s="16">
        <f>ROUND(SUM(V45)+SUM(V51),1)</f>
        <v>3430.5</v>
      </c>
      <c r="W55" s="16"/>
      <c r="X55" s="16">
        <f>ROUND(SUM(X45)+SUM(X51),1)</f>
        <v>7249.3</v>
      </c>
      <c r="Y55" s="1371"/>
      <c r="Z55" s="1372"/>
      <c r="AA55" s="16"/>
      <c r="AB55" s="16">
        <f>ROUND(SUM(AB45)+SUM(AB51),1)</f>
        <v>7020.1</v>
      </c>
      <c r="AC55" s="16"/>
      <c r="AD55" s="16">
        <f>ROUND(SUM(AD45)+SUM(AD51),1)</f>
        <v>20539.7</v>
      </c>
      <c r="AE55" s="16"/>
      <c r="AF55" s="1728"/>
      <c r="AG55" s="16">
        <f>ROUND(SUM(+AG45+AG51),1)</f>
        <v>-13290.4</v>
      </c>
      <c r="AH55" s="1360"/>
      <c r="AI55" s="974">
        <f>ROUND(SUM((+X55-AD55)/ABS(AD55)),3)</f>
        <v>-0.64700000000000002</v>
      </c>
      <c r="AJ55" s="1354"/>
      <c r="AK55" s="490"/>
      <c r="AL55" s="951"/>
    </row>
    <row r="56" spans="1:40" ht="16.350000000000001" customHeight="1">
      <c r="A56" s="1354"/>
      <c r="B56" s="1354"/>
      <c r="C56" s="7"/>
      <c r="D56" s="449"/>
      <c r="E56" s="9"/>
      <c r="F56" s="9"/>
      <c r="G56" s="9"/>
      <c r="H56" s="449"/>
      <c r="I56" s="9"/>
      <c r="J56" s="9"/>
      <c r="K56" s="9"/>
      <c r="L56" s="449"/>
      <c r="M56" s="9"/>
      <c r="N56" s="9"/>
      <c r="O56" s="9"/>
      <c r="P56" s="449"/>
      <c r="Q56" s="449"/>
      <c r="R56" s="449"/>
      <c r="S56" s="1368"/>
      <c r="T56" s="1368"/>
      <c r="U56" s="9"/>
      <c r="V56" s="449"/>
      <c r="W56" s="9"/>
      <c r="X56" s="9"/>
      <c r="Y56" s="1368"/>
      <c r="Z56" s="1369"/>
      <c r="AA56" s="9"/>
      <c r="AB56" s="449"/>
      <c r="AC56" s="9"/>
      <c r="AD56" s="9"/>
      <c r="AE56" s="9"/>
      <c r="AF56" s="1727"/>
      <c r="AG56" s="9"/>
      <c r="AI56" s="951"/>
      <c r="AJ56" s="7"/>
      <c r="AK56" s="951"/>
      <c r="AL56" s="951"/>
    </row>
    <row r="57" spans="1:40" ht="18" customHeight="1">
      <c r="A57" s="1374" t="s">
        <v>51</v>
      </c>
      <c r="B57" s="1366"/>
      <c r="C57" s="7"/>
      <c r="D57" s="15">
        <f>+'Exhibit F'!N12</f>
        <v>42520.3</v>
      </c>
      <c r="E57" s="16"/>
      <c r="F57" s="15">
        <f>'Exhibit F'!D12</f>
        <v>43450.6</v>
      </c>
      <c r="G57" s="16"/>
      <c r="H57" s="15">
        <f>+'Exhibit G'!N13</f>
        <v>28152.799999999999</v>
      </c>
      <c r="I57" s="16"/>
      <c r="J57" s="15">
        <f>'Exhibit G'!D13</f>
        <v>23940.199999999997</v>
      </c>
      <c r="K57" s="16"/>
      <c r="L57" s="15">
        <f>'Exhibit H'!L12</f>
        <v>1062.4000000000001</v>
      </c>
      <c r="M57" s="16"/>
      <c r="N57" s="15">
        <f>'Exhibit H'!B12</f>
        <v>159.4</v>
      </c>
      <c r="O57" s="16"/>
      <c r="P57" s="15">
        <f>+'Exhibit I'!O15</f>
        <v>-1961</v>
      </c>
      <c r="Q57" s="16"/>
      <c r="R57" s="15">
        <f>'Exhibit I'!E15</f>
        <v>-1594.5</v>
      </c>
      <c r="S57" s="1371"/>
      <c r="T57" s="1371"/>
      <c r="U57" s="16"/>
      <c r="V57" s="15">
        <f>D57+H57+L57+P57</f>
        <v>69774.5</v>
      </c>
      <c r="W57" s="16"/>
      <c r="X57" s="15">
        <f>F57+J57+N57+R57</f>
        <v>65955.699999999983</v>
      </c>
      <c r="Y57" s="1371"/>
      <c r="Z57" s="1372"/>
      <c r="AA57" s="16"/>
      <c r="AB57" s="77">
        <v>67068.599999999991</v>
      </c>
      <c r="AC57" s="16"/>
      <c r="AD57" s="15">
        <f>'Exhibit F'!AF12+'Exhibit G'!AG13+'Exhibit H'!AD12+'Exhibit I'!AI15</f>
        <v>53548.999999999993</v>
      </c>
      <c r="AE57" s="16"/>
      <c r="AF57" s="1728"/>
      <c r="AG57" s="15">
        <f>ROUND(SUM(X57-AD57),1)</f>
        <v>12406.7</v>
      </c>
      <c r="AH57" s="1360"/>
      <c r="AI57" s="1373">
        <f>ROUND(SUM((+X57-AD57)/ABS(AD57)),3)</f>
        <v>0.23200000000000001</v>
      </c>
      <c r="AJ57" s="1354"/>
      <c r="AK57" s="951"/>
      <c r="AL57" s="951"/>
    </row>
    <row r="58" spans="1:40" ht="16.350000000000001" customHeight="1">
      <c r="A58" s="7"/>
      <c r="B58" s="7"/>
      <c r="C58" s="7"/>
      <c r="D58" s="449"/>
      <c r="E58" s="9"/>
      <c r="F58" s="9"/>
      <c r="G58" s="9"/>
      <c r="H58" s="449"/>
      <c r="I58" s="9"/>
      <c r="J58" s="9"/>
      <c r="K58" s="9"/>
      <c r="L58" s="449"/>
      <c r="M58" s="9"/>
      <c r="N58" s="9"/>
      <c r="O58" s="9"/>
      <c r="P58" s="449"/>
      <c r="Q58" s="449"/>
      <c r="R58" s="449"/>
      <c r="S58" s="1368"/>
      <c r="T58" s="1368"/>
      <c r="U58" s="9"/>
      <c r="V58" s="449"/>
      <c r="W58" s="9"/>
      <c r="X58" s="9"/>
      <c r="Y58" s="1368"/>
      <c r="Z58" s="1369"/>
      <c r="AA58" s="9"/>
      <c r="AB58" s="449"/>
      <c r="AC58" s="9"/>
      <c r="AD58" s="9"/>
      <c r="AE58" s="9"/>
      <c r="AF58" s="1727"/>
      <c r="AG58" s="9"/>
      <c r="AI58" s="951"/>
      <c r="AJ58" s="7"/>
      <c r="AK58" s="951"/>
      <c r="AL58" s="951"/>
    </row>
    <row r="59" spans="1:40" ht="18" customHeight="1" thickBot="1">
      <c r="A59" s="1374" t="s">
        <v>52</v>
      </c>
      <c r="B59" s="1364"/>
      <c r="C59" s="948"/>
      <c r="D59" s="18">
        <f>ROUND(SUM(D55+D57),1)</f>
        <v>47971.9</v>
      </c>
      <c r="E59" s="1375"/>
      <c r="F59" s="18">
        <f>ROUND(SUM(F55+F57),1)</f>
        <v>47971.9</v>
      </c>
      <c r="G59" s="1375"/>
      <c r="H59" s="18">
        <f>ROUND(SUM(H55+H57),1)</f>
        <v>27009.599999999999</v>
      </c>
      <c r="I59" s="1375"/>
      <c r="J59" s="18">
        <f>ROUND(SUM(J55)+SUM(J57),1)</f>
        <v>27009.599999999999</v>
      </c>
      <c r="K59" s="1375"/>
      <c r="L59" s="18">
        <f>ROUND(SUM(L55+L57),1)</f>
        <v>193.2</v>
      </c>
      <c r="M59" s="1375"/>
      <c r="N59" s="18">
        <f>ROUND(SUM(N55+N57),1)</f>
        <v>193.2</v>
      </c>
      <c r="O59" s="1375"/>
      <c r="P59" s="18">
        <f>ROUND(SUM(P55+P57),1)</f>
        <v>-1969.7</v>
      </c>
      <c r="Q59" s="1375"/>
      <c r="R59" s="18">
        <f>ROUND(SUM(R55+R57),1)</f>
        <v>-1969.7</v>
      </c>
      <c r="S59" s="1376"/>
      <c r="T59" s="1376"/>
      <c r="U59" s="1375"/>
      <c r="V59" s="18">
        <f>ROUND(SUM(V55+V57),1)</f>
        <v>73205</v>
      </c>
      <c r="W59" s="1375"/>
      <c r="X59" s="18">
        <f>ROUND(SUM(X55+X57),1)</f>
        <v>73205</v>
      </c>
      <c r="Y59" s="1376"/>
      <c r="Z59" s="1377"/>
      <c r="AA59" s="1375"/>
      <c r="AB59" s="18">
        <f>ROUND(SUM(AB55+AB57),1)</f>
        <v>74088.7</v>
      </c>
      <c r="AC59" s="1375"/>
      <c r="AD59" s="18">
        <f>ROUND(SUM(AD55+AD57),1)</f>
        <v>74088.7</v>
      </c>
      <c r="AE59" s="1375"/>
      <c r="AF59" s="1725"/>
      <c r="AG59" s="18">
        <f>ROUND(SUM(AG55+AG57),1)</f>
        <v>-883.7</v>
      </c>
      <c r="AH59" s="1360"/>
      <c r="AI59" s="1378">
        <f>ROUND(SUM((+X59-AD59)/ABS(AD59)),3)</f>
        <v>-1.2E-2</v>
      </c>
      <c r="AJ59" s="1379"/>
      <c r="AK59" s="490"/>
      <c r="AL59" s="490"/>
      <c r="AM59" s="1726"/>
      <c r="AN59" s="1360"/>
    </row>
    <row r="60" spans="1:40" ht="15.75" thickTop="1">
      <c r="A60" s="1380"/>
      <c r="B60" s="1380"/>
      <c r="C60" s="1380"/>
      <c r="D60" s="1842"/>
      <c r="E60" s="451"/>
      <c r="F60" s="451"/>
      <c r="G60" s="451"/>
      <c r="H60" s="1842"/>
      <c r="I60" s="451"/>
      <c r="J60" s="451"/>
      <c r="K60" s="451"/>
      <c r="L60" s="1842"/>
      <c r="M60" s="451"/>
      <c r="N60" s="451"/>
      <c r="O60" s="451"/>
      <c r="P60" s="451"/>
      <c r="Q60" s="451"/>
      <c r="R60" s="451"/>
      <c r="S60" s="1381"/>
      <c r="T60" s="1381"/>
      <c r="U60" s="1381"/>
      <c r="V60" s="1382"/>
      <c r="W60" s="1381"/>
      <c r="X60" s="451"/>
      <c r="Y60" s="1381"/>
      <c r="Z60" s="1381"/>
      <c r="AA60" s="1381"/>
      <c r="AB60" s="1382"/>
      <c r="AC60" s="1381"/>
      <c r="AD60" s="1381"/>
      <c r="AE60" s="1381"/>
      <c r="AF60" s="1381"/>
      <c r="AG60" s="1381"/>
      <c r="AI60" s="1383"/>
      <c r="AJ60" s="951"/>
      <c r="AK60" s="951"/>
      <c r="AL60" s="951"/>
    </row>
    <row r="61" spans="1:40" ht="15.75">
      <c r="A61" s="490"/>
      <c r="B61" s="1360"/>
      <c r="C61" s="1360"/>
      <c r="F61" s="1345" t="s">
        <v>14</v>
      </c>
      <c r="P61" s="490"/>
      <c r="T61" s="1345" t="s">
        <v>14</v>
      </c>
      <c r="V61" s="1346" t="s">
        <v>14</v>
      </c>
      <c r="X61" s="489"/>
      <c r="AI61" s="1383"/>
      <c r="AJ61" s="951"/>
      <c r="AK61" s="951"/>
      <c r="AL61" s="951"/>
    </row>
    <row r="62" spans="1:40" ht="15">
      <c r="V62" s="1346" t="s">
        <v>14</v>
      </c>
      <c r="AB62" s="1843"/>
      <c r="AD62" s="489"/>
      <c r="AI62" s="1383"/>
      <c r="AJ62" s="951"/>
      <c r="AK62" s="951"/>
      <c r="AL62" s="951"/>
    </row>
    <row r="63" spans="1:40" ht="15">
      <c r="V63" s="1346" t="s">
        <v>14</v>
      </c>
      <c r="AB63" s="1843"/>
      <c r="AI63" s="1383"/>
      <c r="AJ63" s="951"/>
      <c r="AK63" s="951"/>
      <c r="AL63" s="951"/>
    </row>
    <row r="64" spans="1:40" ht="15.75">
      <c r="A64" s="2163"/>
      <c r="AI64" s="1383"/>
      <c r="AJ64" s="951"/>
      <c r="AK64" s="951"/>
      <c r="AL64" s="951"/>
    </row>
    <row r="65" spans="1:38" ht="15.75">
      <c r="A65" s="2163"/>
      <c r="AB65" s="1843"/>
      <c r="AI65" s="1383"/>
      <c r="AJ65" s="951"/>
      <c r="AK65" s="951"/>
      <c r="AL65" s="951"/>
    </row>
    <row r="66" spans="1:38" ht="15.75">
      <c r="A66" s="1384"/>
      <c r="B66" s="1385"/>
      <c r="C66" s="490"/>
      <c r="D66" s="1386"/>
      <c r="E66" s="1387"/>
      <c r="F66" s="1387"/>
      <c r="G66" s="1387"/>
      <c r="H66" s="1386"/>
      <c r="I66" s="1387"/>
      <c r="J66" s="1387"/>
      <c r="K66" s="1387"/>
      <c r="L66" s="1386"/>
      <c r="AI66" s="1383"/>
      <c r="AJ66" s="951"/>
      <c r="AK66" s="951"/>
      <c r="AL66" s="951"/>
    </row>
    <row r="67" spans="1:38" ht="15">
      <c r="A67" s="951"/>
      <c r="B67" s="951"/>
      <c r="C67" s="951"/>
      <c r="D67" s="1388"/>
      <c r="E67" s="951"/>
      <c r="F67" s="951"/>
      <c r="G67" s="951"/>
      <c r="H67" s="1388"/>
      <c r="I67" s="951"/>
      <c r="J67" s="951"/>
      <c r="K67" s="951"/>
      <c r="L67" s="1388"/>
      <c r="N67" s="1345" t="s">
        <v>14</v>
      </c>
      <c r="AI67" s="1383"/>
      <c r="AJ67" s="951"/>
      <c r="AK67" s="951"/>
      <c r="AL67" s="951"/>
    </row>
    <row r="68" spans="1:38" ht="15">
      <c r="A68" s="951"/>
      <c r="B68" s="951"/>
      <c r="C68" s="951"/>
      <c r="D68" s="1388"/>
      <c r="E68" s="951"/>
      <c r="F68" s="951"/>
      <c r="G68" s="951"/>
      <c r="H68" s="1388"/>
      <c r="I68" s="951"/>
      <c r="J68" s="951"/>
      <c r="K68" s="951"/>
      <c r="L68" s="1388"/>
      <c r="N68" s="1345" t="s">
        <v>14</v>
      </c>
      <c r="AI68" s="1383"/>
      <c r="AJ68" s="951"/>
      <c r="AK68" s="951"/>
      <c r="AL68" s="951"/>
    </row>
    <row r="69" spans="1:38" ht="15">
      <c r="A69" s="951"/>
      <c r="B69" s="951"/>
      <c r="C69" s="951"/>
      <c r="D69" s="1388"/>
      <c r="E69" s="951"/>
      <c r="F69" s="951"/>
      <c r="G69" s="951"/>
      <c r="H69" s="1388"/>
      <c r="I69" s="951"/>
      <c r="J69" s="951"/>
      <c r="K69" s="951"/>
      <c r="L69" s="1388"/>
      <c r="AI69" s="1383"/>
      <c r="AJ69" s="951"/>
      <c r="AK69" s="951"/>
      <c r="AL69" s="951"/>
    </row>
    <row r="70" spans="1:38" ht="15">
      <c r="AI70" s="1383"/>
      <c r="AJ70" s="951"/>
      <c r="AK70" s="951"/>
      <c r="AL70" s="951"/>
    </row>
    <row r="71" spans="1:38" ht="15">
      <c r="AI71" s="1383"/>
      <c r="AJ71" s="951"/>
      <c r="AK71" s="951"/>
      <c r="AL71" s="951"/>
    </row>
    <row r="72" spans="1:38" ht="15">
      <c r="AI72" s="1383"/>
      <c r="AJ72" s="951"/>
      <c r="AK72" s="951"/>
      <c r="AL72" s="951"/>
    </row>
    <row r="73" spans="1:38" ht="15">
      <c r="AI73" s="1383"/>
      <c r="AJ73" s="951"/>
      <c r="AK73" s="951"/>
      <c r="AL73" s="951"/>
    </row>
    <row r="74" spans="1:38" ht="15">
      <c r="AI74" s="1383"/>
      <c r="AJ74" s="951"/>
      <c r="AK74" s="951"/>
      <c r="AL74" s="951"/>
    </row>
    <row r="75" spans="1:38" ht="15">
      <c r="AI75" s="1383"/>
      <c r="AJ75" s="951"/>
      <c r="AK75" s="951"/>
      <c r="AL75" s="951"/>
    </row>
    <row r="76" spans="1:38" ht="15">
      <c r="AI76" s="1383"/>
      <c r="AJ76" s="951"/>
      <c r="AK76" s="951"/>
      <c r="AL76" s="951"/>
    </row>
    <row r="77" spans="1:38" ht="15">
      <c r="AI77" s="1383"/>
      <c r="AJ77" s="951"/>
      <c r="AK77" s="951"/>
      <c r="AL77" s="951"/>
    </row>
    <row r="78" spans="1:38" ht="15">
      <c r="AI78" s="1383"/>
      <c r="AJ78" s="951"/>
      <c r="AK78" s="951"/>
      <c r="AL78" s="951"/>
    </row>
    <row r="79" spans="1:38" ht="15">
      <c r="AI79" s="1383"/>
      <c r="AJ79" s="951"/>
      <c r="AK79" s="951"/>
      <c r="AL79" s="951"/>
    </row>
    <row r="80" spans="1:38" ht="15">
      <c r="AI80" s="1383"/>
      <c r="AJ80" s="951"/>
      <c r="AK80" s="951"/>
      <c r="AL80" s="951"/>
    </row>
    <row r="81" spans="35:38" ht="15">
      <c r="AI81" s="1383"/>
      <c r="AJ81" s="951"/>
      <c r="AK81" s="951"/>
      <c r="AL81" s="951"/>
    </row>
    <row r="82" spans="35:38" ht="15">
      <c r="AI82" s="1383"/>
      <c r="AJ82" s="951"/>
      <c r="AK82" s="951"/>
      <c r="AL82" s="951"/>
    </row>
    <row r="83" spans="35:38" ht="15">
      <c r="AI83" s="1383"/>
      <c r="AJ83" s="951"/>
      <c r="AK83" s="951"/>
      <c r="AL83" s="951"/>
    </row>
    <row r="84" spans="35:38" ht="15">
      <c r="AI84" s="1383"/>
      <c r="AJ84" s="951"/>
      <c r="AK84" s="951"/>
      <c r="AL84" s="951"/>
    </row>
    <row r="85" spans="35:38" ht="15">
      <c r="AI85" s="1383"/>
      <c r="AJ85" s="951"/>
      <c r="AK85" s="951"/>
      <c r="AL85" s="951"/>
    </row>
    <row r="86" spans="35:38" ht="15">
      <c r="AI86" s="1383"/>
      <c r="AJ86" s="951"/>
      <c r="AK86" s="951"/>
      <c r="AL86" s="951"/>
    </row>
    <row r="87" spans="35:38" ht="15">
      <c r="AI87" s="1383"/>
      <c r="AJ87" s="951"/>
      <c r="AK87" s="951"/>
      <c r="AL87" s="951"/>
    </row>
    <row r="88" spans="35:38" ht="15">
      <c r="AI88" s="1383"/>
      <c r="AJ88" s="951"/>
      <c r="AK88" s="951"/>
      <c r="AL88" s="951"/>
    </row>
    <row r="89" spans="35:38" ht="15">
      <c r="AI89" s="1383"/>
      <c r="AJ89" s="951"/>
      <c r="AK89" s="951"/>
      <c r="AL89" s="951"/>
    </row>
    <row r="90" spans="35:38" ht="15">
      <c r="AI90" s="1383"/>
      <c r="AJ90" s="951"/>
      <c r="AK90" s="951"/>
      <c r="AL90" s="951"/>
    </row>
    <row r="91" spans="35:38" ht="15">
      <c r="AI91" s="1383"/>
      <c r="AJ91" s="951"/>
      <c r="AK91" s="951"/>
      <c r="AL91" s="951"/>
    </row>
    <row r="92" spans="35:38" ht="15">
      <c r="AI92" s="1383"/>
      <c r="AJ92" s="951"/>
      <c r="AK92" s="951"/>
      <c r="AL92" s="951"/>
    </row>
    <row r="93" spans="35:38" ht="15">
      <c r="AI93" s="1383"/>
      <c r="AJ93" s="951"/>
      <c r="AK93" s="951"/>
      <c r="AL93" s="951"/>
    </row>
    <row r="94" spans="35:38" ht="15">
      <c r="AI94" s="1383"/>
      <c r="AJ94" s="951"/>
      <c r="AK94" s="951"/>
      <c r="AL94" s="951"/>
    </row>
    <row r="95" spans="35:38" ht="15">
      <c r="AI95" s="1383"/>
      <c r="AJ95" s="951"/>
      <c r="AK95" s="951"/>
      <c r="AL95" s="951"/>
    </row>
    <row r="96" spans="35:38" ht="15">
      <c r="AI96" s="1383"/>
      <c r="AJ96" s="951"/>
      <c r="AK96" s="951"/>
      <c r="AL96" s="951"/>
    </row>
    <row r="97" spans="35:38" ht="15">
      <c r="AI97" s="1383"/>
      <c r="AJ97" s="951"/>
      <c r="AK97" s="951"/>
      <c r="AL97" s="951"/>
    </row>
    <row r="98" spans="35:38" ht="15">
      <c r="AI98" s="1383"/>
      <c r="AJ98" s="951"/>
      <c r="AK98" s="951"/>
      <c r="AL98" s="951"/>
    </row>
    <row r="99" spans="35:38" ht="15">
      <c r="AI99" s="1383"/>
      <c r="AJ99" s="951"/>
      <c r="AK99" s="951"/>
      <c r="AL99" s="951"/>
    </row>
    <row r="100" spans="35:38" ht="15">
      <c r="AI100" s="1383"/>
      <c r="AJ100" s="951"/>
      <c r="AK100" s="951"/>
      <c r="AL100" s="951"/>
    </row>
    <row r="101" spans="35:38" ht="15">
      <c r="AI101" s="1383"/>
      <c r="AJ101" s="951"/>
      <c r="AK101" s="951"/>
      <c r="AL101" s="951"/>
    </row>
    <row r="102" spans="35:38" ht="15">
      <c r="AI102" s="1383"/>
      <c r="AJ102" s="951"/>
      <c r="AK102" s="951"/>
      <c r="AL102" s="951"/>
    </row>
    <row r="103" spans="35:38" ht="15">
      <c r="AI103" s="1383"/>
      <c r="AJ103" s="951"/>
      <c r="AK103" s="951"/>
      <c r="AL103" s="951"/>
    </row>
    <row r="104" spans="35:38" ht="15">
      <c r="AI104" s="1383"/>
      <c r="AJ104" s="951"/>
      <c r="AK104" s="951"/>
      <c r="AL104" s="951"/>
    </row>
    <row r="105" spans="35:38" ht="15">
      <c r="AI105" s="1383"/>
      <c r="AJ105" s="951"/>
      <c r="AK105" s="951"/>
      <c r="AL105" s="951"/>
    </row>
    <row r="106" spans="35:38" ht="15">
      <c r="AI106" s="1383"/>
      <c r="AJ106" s="951"/>
      <c r="AK106" s="951"/>
      <c r="AL106" s="951"/>
    </row>
  </sheetData>
  <mergeCells count="4">
    <mergeCell ref="A4:AI4"/>
    <mergeCell ref="A5:AI5"/>
    <mergeCell ref="A6:AI6"/>
    <mergeCell ref="V10:AI10"/>
  </mergeCells>
  <pageMargins left="0.25" right="0.25" top="0.5" bottom="0.25" header="0" footer="0.25"/>
  <pageSetup scale="43" firstPageNumber="2" orientation="landscape" useFirstPageNumber="1" r:id="rId1"/>
  <headerFooter scaleWithDoc="0" alignWithMargins="0">
    <oddFooter>&amp;C&amp;8&amp;P</oddFooter>
  </headerFooter>
  <customProperties>
    <customPr name="SheetOptions" r:id="rId2"/>
  </customProperties>
  <ignoredErrors>
    <ignoredError sqref="E12 I12 M12 AG20:AH20 S59:AA59 S55:U55 S51:U51 S45:AG45 S42:AD42 S34:W34 S20:AF20 S56:AI56 S52:U52 S46:AI47 S44:AI44 S23:AI23 S35:W35 G12 AE14:AG14 AE19:AH19 AE24:AH24 AE25:AH25 AE26:AH26 AE28:AH28 AE29:AH29 AE30:AH30 AE31:AH31 AE32:AH32 S39:AA39 AE36:AH36 AE37:AH37 AE38:AH38 AE40:AH40 W14 S58:AI58 AE49:AF49 S14:U14 S40:AA40 S15:U15 S16:AA16 S18:U18 S19:AA19 S24:AA24 S25:AA25 S26:AA26 S29:AA29 S31:AA31 S32:AA32 S33:W33 S41:AA41 S49:U49 S50:U50 S57:U57 S27:AA27 S28:AA28 S30:AA30 S36:AA36 S38:AA38 S37:AA37 S48:AA48 R17:AA17 E17:G17 E16:G16 E15:G15 E27:G27 E34 E14 E19:G19 E18 E28 I19:K19 I14 O45 M45 O42 M42 O34 M34 O20 M20 K45 I45 H46:P46 E45 D46:F47 K42 I42 H43:K44 K34 I34 K20 I20 I21:P23 E42 D43:F44 E35:F35 I27:P27 I24:O24 I25:O25 I35:P35 D20:G20 E25:G25 E26:G26 E24:G24 G35:G41 F34:G34 G43:G44 F42:G42 D21:G23 J20 J34 J42 G46:G49 F45:H45 J45 N20 N34 P34 N42 N45 P45 I50 H48:O48 I15 I16 I17 I18:K18 I26:O26 I33:O33 I28:O28 I29:O29 I30:O30 I31:O31 I32 I39:K39 I36:O36 I37:K37 I38:K38 I41:K41 I40 I49:K49 D39:F40 E36:F36 E37:F37 E38:F38 E50 E49 M14 M15 M17 M18:O18 M19:O19 M37:O37 M40:O40 M49:O49 M50 Q17 Q48:R48 Q37:R37 Q38:R38 Q36:R36 Q30:R30 Q28:R28 Q27:R27 Q50 Q49:R49 Q41:R41 Q33:R33 Q32:R32 Q31:R31 Q29:R29 Q26:R26 Q25:R25 Q24:R24 Q19:R19 Q18:R18 Q16 Q15 O57 Q40:R40 Q14:R14 D58:F58 H58:R58 Q39:R39 R59 R34 P59 N59 P55 N51 L59 J59 J55 J51 G59:H59 G55 G56:G58 F51:G51 G52:G54 Q35:R35 D54:F54 E51 D56:F56 E55 E59 Q23:R23 Q43:R44 Q46:R47 H54:R54 I51 K51 H56:R56 I55 K55 I59 K59 M51 O51 M55 O55 M59 O59 Q20 Q34 Q42 Q45 Q51 Q55 Q59 E30 E32:G33 F59 E29:G29 E31:G31 G50 G18 AE18:AH18 H39 H34 H20 H27 H35 H21:H23 D35 C26 C38 C35 C32 C27 C34 C33 M39:P39 M38:O38 L39 O16 AE50:AH50 K14 K15 K16 K17 AE15:AI17 O14:P14 O15 O17 R15:R16 C24 C25 C28 C29 C30 C31 C36 C37 AE27:AH27 AE39:AI39 AE33:AH33 AE41:AH41 W51 Y51:AA51 AH51 AE57:AF57 AH45:AI45 K57 AE42:AH42 AI14 AI18:AI20 AI24:AI34 AI36:AI38 AI40:AI42 AI57 AE48:AH48 Y57:AA57 M43:P44 W49 G28 G30 M41:O41 AH49 W15:AA15 Y14:AA14 S43:U43 AC43:AI43 Y49:AA49 AH57 W50:AA50 K12 O12 Q12 S12:U12 W12 W18:AA18 AC51 AE51:AF51 E48 E41:F41 I52:K52 M52:O52 I53:K53 M53:O53 AC59:AH59 W55:AA55 K40 D52:E52 E53 Q52 Q53:R53 S54:AI54 S53:U53 W53:AI53 K32:O32 Q21 Q22 K50 O50 AC55 AE55:AH55 Y52:AI52 S21:U21 Y21:AI21 S22:W22 Y22:AI22 Y43:AA43 Y33:AA33 Y35:AI35 Y34:AA34 AC34:AH34 G14 W21 W43 W52 H47:I47 K47:P47" unlockedFormula="1"/>
    <ignoredError sqref="B41:B48 B51:B56 B49:B50"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autoPageBreaks="0" fitToPage="1"/>
  </sheetPr>
  <dimension ref="A1:AG73"/>
  <sheetViews>
    <sheetView showGridLines="0" zoomScale="90" zoomScaleNormal="80" workbookViewId="0"/>
  </sheetViews>
  <sheetFormatPr defaultColWidth="8.88671875" defaultRowHeight="11.25"/>
  <cols>
    <col min="1" max="1" width="38.44140625" style="1345" customWidth="1"/>
    <col min="2" max="2" width="6.88671875" style="1345" customWidth="1"/>
    <col min="3" max="3" width="4.109375" style="1345" customWidth="1"/>
    <col min="4" max="4" width="14" style="1345" customWidth="1"/>
    <col min="5" max="5" width="1.109375" style="1345" customWidth="1"/>
    <col min="6" max="6" width="13.44140625" style="1345" customWidth="1"/>
    <col min="7" max="7" width="1.109375" style="1345" customWidth="1"/>
    <col min="8" max="8" width="13.44140625" style="1346" customWidth="1"/>
    <col min="9" max="9" width="1.88671875" style="1345" customWidth="1"/>
    <col min="10" max="10" width="13.44140625" style="1345" customWidth="1"/>
    <col min="11" max="11" width="1.109375" style="1345" customWidth="1"/>
    <col min="12" max="12" width="11.88671875" style="1345" customWidth="1"/>
    <col min="13" max="13" width="1.109375" style="1345" customWidth="1"/>
    <col min="14" max="14" width="13.5546875" style="1345" customWidth="1"/>
    <col min="15" max="15" width="1.109375" style="1345" customWidth="1"/>
    <col min="16" max="16" width="0.88671875" style="1345" customWidth="1"/>
    <col min="17" max="17" width="1.109375" style="1345" customWidth="1"/>
    <col min="18" max="18" width="14.44140625" style="1345" customWidth="1"/>
    <col min="19" max="19" width="1.109375" style="1345" customWidth="1"/>
    <col min="20" max="20" width="14.44140625" style="1345" customWidth="1"/>
    <col min="21" max="21" width="1.109375" style="1345" customWidth="1"/>
    <col min="22" max="22" width="0.88671875" style="1345" customWidth="1"/>
    <col min="23" max="24" width="1.109375" style="1345" customWidth="1"/>
    <col min="25" max="25" width="12.88671875" style="1345" customWidth="1"/>
    <col min="26" max="26" width="1.109375" style="1345" customWidth="1"/>
    <col min="27" max="27" width="14.44140625" style="1345" customWidth="1"/>
    <col min="28" max="28" width="1.88671875" style="1345" customWidth="1"/>
    <col min="29" max="29" width="1.109375" style="1345" customWidth="1"/>
    <col min="30" max="30" width="13.109375" style="1345" customWidth="1"/>
    <col min="31" max="31" width="3" style="1345" customWidth="1"/>
    <col min="32" max="32" width="12" style="1345" customWidth="1"/>
    <col min="33" max="16384" width="8.88671875" style="1345"/>
  </cols>
  <sheetData>
    <row r="1" spans="1:32" ht="15">
      <c r="A1" s="489" t="s">
        <v>841</v>
      </c>
    </row>
    <row r="2" spans="1:32" ht="15" customHeight="1">
      <c r="A2" s="489"/>
    </row>
    <row r="3" spans="1:32" ht="21" customHeight="1">
      <c r="A3" s="2318" t="s">
        <v>0</v>
      </c>
      <c r="B3" s="2312"/>
      <c r="C3" s="2312"/>
      <c r="D3" s="2312"/>
      <c r="E3" s="2312"/>
      <c r="F3" s="2312"/>
      <c r="G3" s="2312"/>
      <c r="H3" s="2312"/>
      <c r="I3" s="2312"/>
      <c r="J3" s="2312"/>
      <c r="K3" s="2312"/>
      <c r="L3" s="2312"/>
      <c r="M3" s="2312"/>
      <c r="N3" s="2312"/>
      <c r="O3" s="2312"/>
      <c r="P3" s="2312"/>
      <c r="Q3" s="2312"/>
      <c r="R3" s="2312"/>
      <c r="S3" s="2312"/>
      <c r="T3" s="2312"/>
      <c r="U3" s="2312"/>
      <c r="V3" s="2312"/>
      <c r="W3" s="2312"/>
      <c r="X3" s="2312"/>
      <c r="Y3" s="2312"/>
      <c r="Z3" s="2312"/>
      <c r="AA3" s="2312"/>
      <c r="AB3" s="2312"/>
      <c r="AC3" s="948"/>
      <c r="AF3" s="1350" t="s">
        <v>53</v>
      </c>
    </row>
    <row r="4" spans="1:32" ht="20.25">
      <c r="A4" s="2310" t="s">
        <v>1440</v>
      </c>
      <c r="B4" s="2312"/>
      <c r="C4" s="2312"/>
      <c r="D4" s="2312"/>
      <c r="E4" s="2312"/>
      <c r="F4" s="2312"/>
      <c r="G4" s="2312"/>
      <c r="H4" s="2312"/>
      <c r="I4" s="2312"/>
      <c r="J4" s="2312"/>
      <c r="K4" s="2312"/>
      <c r="L4" s="2312"/>
      <c r="M4" s="2312"/>
      <c r="N4" s="2312"/>
      <c r="O4" s="2312"/>
      <c r="P4" s="2312"/>
      <c r="Q4" s="2312"/>
      <c r="R4" s="2312"/>
      <c r="S4" s="2312"/>
      <c r="T4" s="2312"/>
      <c r="U4" s="2312"/>
      <c r="V4" s="2312"/>
      <c r="W4" s="2312"/>
      <c r="X4" s="2312"/>
      <c r="Y4" s="2312"/>
      <c r="Z4" s="2312"/>
      <c r="AA4" s="2312"/>
      <c r="AB4" s="2312"/>
      <c r="AC4" s="948"/>
      <c r="AF4" s="1350" t="s">
        <v>54</v>
      </c>
    </row>
    <row r="5" spans="1:32" ht="21" customHeight="1">
      <c r="A5" s="2310" t="s">
        <v>755</v>
      </c>
      <c r="B5" s="2312"/>
      <c r="C5" s="2312"/>
      <c r="D5" s="2312"/>
      <c r="E5" s="2312"/>
      <c r="F5" s="2312"/>
      <c r="G5" s="2312"/>
      <c r="H5" s="2312"/>
      <c r="I5" s="2312"/>
      <c r="J5" s="2312"/>
      <c r="K5" s="2312"/>
      <c r="L5" s="2312"/>
      <c r="M5" s="2312"/>
      <c r="N5" s="2312"/>
      <c r="O5" s="2312"/>
      <c r="P5" s="2312"/>
      <c r="Q5" s="2312"/>
      <c r="R5" s="2312"/>
      <c r="S5" s="2312"/>
      <c r="T5" s="2312"/>
      <c r="U5" s="2312"/>
      <c r="V5" s="2312"/>
      <c r="W5" s="2312"/>
      <c r="X5" s="2312"/>
      <c r="Y5" s="2312"/>
      <c r="Z5" s="2312"/>
      <c r="AA5" s="2312"/>
      <c r="AB5" s="2312"/>
      <c r="AC5" s="948"/>
    </row>
    <row r="6" spans="1:32" ht="21" customHeight="1">
      <c r="A6" s="1389" t="s">
        <v>1199</v>
      </c>
      <c r="B6" s="1390"/>
      <c r="C6" s="1390"/>
      <c r="D6" s="1390"/>
      <c r="E6" s="1390"/>
      <c r="F6" s="1390"/>
      <c r="G6" s="1390"/>
      <c r="H6" s="1390"/>
      <c r="I6" s="1390"/>
      <c r="J6" s="1390"/>
      <c r="K6" s="1390"/>
      <c r="L6" s="1390"/>
      <c r="M6" s="1390"/>
      <c r="N6" s="1390"/>
      <c r="O6" s="1390"/>
      <c r="P6" s="1390"/>
      <c r="Q6" s="1390"/>
      <c r="R6" s="1390"/>
      <c r="S6" s="1390"/>
      <c r="T6" s="1390"/>
      <c r="U6" s="1390"/>
      <c r="V6" s="1390"/>
      <c r="W6" s="1390"/>
      <c r="X6" s="1390"/>
      <c r="Y6" s="1390"/>
      <c r="Z6" s="1390"/>
      <c r="AA6" s="1390"/>
      <c r="AB6" s="1390"/>
      <c r="AC6" s="948"/>
    </row>
    <row r="7" spans="1:32" ht="15.75" customHeight="1">
      <c r="A7" s="2310"/>
      <c r="B7" s="2312"/>
      <c r="C7" s="2312"/>
      <c r="D7" s="2312"/>
      <c r="E7" s="2312"/>
      <c r="F7" s="2312"/>
      <c r="G7" s="2312"/>
      <c r="H7" s="2312"/>
      <c r="I7" s="2312"/>
      <c r="J7" s="2312"/>
      <c r="K7" s="2312"/>
      <c r="L7" s="2312"/>
      <c r="M7" s="2312"/>
      <c r="N7" s="2312"/>
      <c r="O7" s="2312"/>
      <c r="P7" s="2312"/>
      <c r="Q7" s="2312"/>
      <c r="R7" s="2312"/>
      <c r="S7" s="2312"/>
      <c r="T7" s="2312"/>
      <c r="U7" s="2312"/>
      <c r="V7" s="2312"/>
      <c r="W7" s="2312"/>
      <c r="X7" s="2312"/>
      <c r="Y7" s="2312"/>
      <c r="Z7" s="2312"/>
      <c r="AA7" s="2312"/>
      <c r="AB7" s="2312"/>
      <c r="AC7" s="948"/>
    </row>
    <row r="8" spans="1:32" ht="15.75" customHeight="1">
      <c r="A8" s="1"/>
      <c r="B8" s="1"/>
      <c r="C8" s="1"/>
      <c r="D8" s="1"/>
      <c r="E8" s="1"/>
      <c r="F8" s="1"/>
      <c r="G8" s="1"/>
      <c r="H8" s="1351"/>
      <c r="I8" s="2"/>
      <c r="J8" s="2"/>
      <c r="K8" s="2"/>
      <c r="L8" s="2"/>
      <c r="M8" s="1"/>
      <c r="N8" s="2"/>
      <c r="O8" s="2"/>
      <c r="P8" s="2"/>
      <c r="Q8" s="2"/>
      <c r="R8" s="2"/>
      <c r="S8" s="2"/>
      <c r="T8" s="2"/>
      <c r="U8" s="2"/>
      <c r="V8" s="2"/>
      <c r="W8" s="2"/>
      <c r="X8" s="2"/>
      <c r="Y8" s="1391"/>
      <c r="Z8" s="1391"/>
      <c r="AA8" s="1350"/>
      <c r="AB8" s="1391"/>
      <c r="AC8" s="1392"/>
    </row>
    <row r="9" spans="1:32" ht="15.75" customHeight="1">
      <c r="A9" s="1"/>
      <c r="B9" s="1"/>
      <c r="C9" s="1"/>
      <c r="D9" s="1"/>
      <c r="E9" s="1"/>
      <c r="F9" s="1"/>
      <c r="G9" s="1"/>
      <c r="H9" s="1351"/>
      <c r="I9" s="2"/>
      <c r="J9" s="2"/>
      <c r="K9" s="2"/>
      <c r="L9" s="2"/>
      <c r="M9" s="1"/>
      <c r="N9" s="2"/>
      <c r="O9" s="2"/>
      <c r="P9" s="2"/>
      <c r="Q9" s="2"/>
      <c r="R9" s="2"/>
      <c r="X9" s="2"/>
      <c r="Y9" s="1391"/>
      <c r="Z9" s="1391"/>
      <c r="AA9" s="1350"/>
      <c r="AB9" s="1391"/>
      <c r="AC9" s="1392"/>
    </row>
    <row r="10" spans="1:32" ht="16.350000000000001" customHeight="1">
      <c r="A10" s="1"/>
      <c r="B10" s="1"/>
      <c r="C10" s="1"/>
      <c r="D10" s="2315"/>
      <c r="E10" s="2316"/>
      <c r="F10" s="2316"/>
      <c r="G10" s="2316"/>
      <c r="H10" s="2316"/>
      <c r="I10" s="2316"/>
      <c r="J10" s="2316"/>
      <c r="K10" s="2316"/>
      <c r="L10" s="2316"/>
      <c r="M10" s="2316"/>
      <c r="N10" s="2316"/>
      <c r="O10" s="2"/>
      <c r="P10" s="1393"/>
      <c r="Q10" s="2"/>
      <c r="R10" s="2315"/>
      <c r="S10" s="2315"/>
      <c r="T10" s="2315"/>
      <c r="U10" s="2315"/>
      <c r="V10" s="2315"/>
      <c r="W10" s="2315"/>
      <c r="X10" s="2315"/>
      <c r="Y10" s="2315"/>
      <c r="Z10" s="2315"/>
      <c r="AA10" s="2315"/>
      <c r="AB10" s="2315"/>
      <c r="AC10" s="1394"/>
    </row>
    <row r="11" spans="1:32" ht="16.350000000000001" customHeight="1">
      <c r="A11" s="451"/>
      <c r="B11" s="451"/>
      <c r="C11" s="451"/>
      <c r="D11" s="3" t="s">
        <v>2</v>
      </c>
      <c r="E11" s="3"/>
      <c r="F11" s="3"/>
      <c r="G11" s="1354"/>
      <c r="H11" s="1395" t="s">
        <v>1011</v>
      </c>
      <c r="I11" s="3"/>
      <c r="J11" s="3"/>
      <c r="L11" s="2317" t="s">
        <v>4</v>
      </c>
      <c r="M11" s="2317"/>
      <c r="N11" s="2317"/>
      <c r="O11" s="5"/>
      <c r="P11" s="5"/>
      <c r="Q11" s="5"/>
      <c r="R11" s="1396" t="s">
        <v>1298</v>
      </c>
      <c r="S11" s="1396"/>
      <c r="T11" s="1396"/>
      <c r="U11" s="1396"/>
      <c r="V11" s="1396"/>
      <c r="W11" s="1396"/>
      <c r="X11" s="1396"/>
      <c r="Y11" s="1396"/>
      <c r="Z11" s="1396"/>
      <c r="AA11" s="1396"/>
      <c r="AB11" s="1396"/>
      <c r="AC11" s="1397"/>
      <c r="AD11" s="1398"/>
      <c r="AE11" s="1398"/>
      <c r="AF11" s="1398"/>
    </row>
    <row r="12" spans="1:32" ht="15.75" customHeight="1">
      <c r="A12" s="7"/>
      <c r="B12" s="7"/>
      <c r="C12" s="7"/>
      <c r="D12" s="5" t="s">
        <v>6</v>
      </c>
      <c r="E12" s="5"/>
      <c r="F12" s="4" t="str">
        <f>'Exhibit A'!F11</f>
        <v>6 MOS. ENDED</v>
      </c>
      <c r="G12" s="5"/>
      <c r="H12" s="5" t="s">
        <v>6</v>
      </c>
      <c r="I12" s="5"/>
      <c r="J12" s="5" t="str">
        <f>F12</f>
        <v>6 MOS. ENDED</v>
      </c>
      <c r="K12" s="5"/>
      <c r="L12" s="5" t="s">
        <v>6</v>
      </c>
      <c r="M12" s="5"/>
      <c r="N12" s="5" t="str">
        <f>F12</f>
        <v>6 MOS. ENDED</v>
      </c>
      <c r="O12" s="5"/>
      <c r="P12" s="1399"/>
      <c r="Q12" s="5"/>
      <c r="R12" s="5" t="s">
        <v>6</v>
      </c>
      <c r="S12" s="5"/>
      <c r="T12" s="5" t="str">
        <f>F12</f>
        <v>6 MOS. ENDED</v>
      </c>
      <c r="U12" s="5"/>
      <c r="V12" s="5"/>
      <c r="W12" s="5"/>
      <c r="X12" s="5"/>
      <c r="Y12" s="5" t="s">
        <v>6</v>
      </c>
      <c r="Z12" s="5"/>
      <c r="AA12" s="5" t="str">
        <f>'Exhibit A'!AD11</f>
        <v>6 MOS. ENDED</v>
      </c>
      <c r="AB12" s="5"/>
      <c r="AC12" s="1400"/>
      <c r="AD12" s="5" t="s">
        <v>7</v>
      </c>
      <c r="AE12" s="489"/>
      <c r="AF12" s="5" t="s">
        <v>8</v>
      </c>
    </row>
    <row r="13" spans="1:32" ht="16.350000000000001" customHeight="1">
      <c r="A13" s="7"/>
      <c r="B13" s="7"/>
      <c r="C13" s="7"/>
      <c r="D13" s="655" t="str">
        <f>'Exhibit A'!D12</f>
        <v>SEP. 2023</v>
      </c>
      <c r="E13" s="5"/>
      <c r="F13" s="655" t="str">
        <f>'Exhibit A'!F12</f>
        <v>SEP. 30, 2023</v>
      </c>
      <c r="G13" s="5"/>
      <c r="H13" s="6" t="str">
        <f>D13</f>
        <v>SEP. 2023</v>
      </c>
      <c r="I13" s="5"/>
      <c r="J13" s="6" t="str">
        <f>F13</f>
        <v>SEP. 30, 2023</v>
      </c>
      <c r="K13" s="5"/>
      <c r="L13" s="6" t="str">
        <f>D13</f>
        <v>SEP. 2023</v>
      </c>
      <c r="M13" s="5"/>
      <c r="N13" s="6" t="str">
        <f>F13</f>
        <v>SEP. 30, 2023</v>
      </c>
      <c r="O13" s="5"/>
      <c r="P13" s="1399"/>
      <c r="Q13" s="5"/>
      <c r="R13" s="6" t="str">
        <f>D13</f>
        <v>SEP. 2023</v>
      </c>
      <c r="S13" s="5"/>
      <c r="T13" s="6" t="str">
        <f>F13</f>
        <v>SEP. 30, 2023</v>
      </c>
      <c r="U13" s="5"/>
      <c r="V13" s="5"/>
      <c r="W13" s="5"/>
      <c r="X13" s="5"/>
      <c r="Y13" s="655" t="str">
        <f>'Exhibit A'!AB12</f>
        <v>SEP. 2022</v>
      </c>
      <c r="Z13" s="5"/>
      <c r="AA13" s="655" t="str">
        <f>'Exhibit A'!AD12</f>
        <v>SEP. 30, 2022</v>
      </c>
      <c r="AB13" s="5"/>
      <c r="AC13" s="1400"/>
      <c r="AD13" s="6" t="s">
        <v>11</v>
      </c>
      <c r="AE13" s="489"/>
      <c r="AF13" s="655" t="s">
        <v>12</v>
      </c>
    </row>
    <row r="14" spans="1:32" ht="16.350000000000001" customHeight="1">
      <c r="A14" s="1354" t="s">
        <v>13</v>
      </c>
      <c r="B14" s="7"/>
      <c r="C14" s="7"/>
      <c r="D14" s="1401" t="s">
        <v>14</v>
      </c>
      <c r="E14" s="7"/>
      <c r="F14" s="7"/>
      <c r="G14" s="7"/>
      <c r="H14" s="451" t="s">
        <v>14</v>
      </c>
      <c r="I14" s="7"/>
      <c r="J14" s="7"/>
      <c r="K14" s="7"/>
      <c r="L14" s="451" t="s">
        <v>14</v>
      </c>
      <c r="M14" s="7"/>
      <c r="N14" s="7"/>
      <c r="O14" s="7"/>
      <c r="P14" s="1402"/>
      <c r="Q14" s="1403"/>
      <c r="R14" s="7"/>
      <c r="S14" s="7"/>
      <c r="T14" s="7"/>
      <c r="U14" s="7"/>
      <c r="V14" s="7"/>
      <c r="W14" s="1404"/>
      <c r="X14" s="7"/>
      <c r="Y14" s="7"/>
      <c r="Z14" s="7"/>
      <c r="AA14" s="7"/>
      <c r="AB14" s="7"/>
      <c r="AC14" s="1405"/>
      <c r="AD14" s="7"/>
      <c r="AF14" s="951"/>
    </row>
    <row r="15" spans="1:32" ht="18" customHeight="1">
      <c r="A15" s="7" t="s">
        <v>15</v>
      </c>
      <c r="B15" s="1361"/>
      <c r="C15" s="7"/>
      <c r="D15" s="911">
        <f>+'Exhibit A'!D14</f>
        <v>2158.6</v>
      </c>
      <c r="E15" s="478" t="s">
        <v>14</v>
      </c>
      <c r="F15" s="478">
        <f>+'Exhibit A'!F14</f>
        <v>12990.5</v>
      </c>
      <c r="G15" s="478"/>
      <c r="H15" s="2098">
        <f>+'Exhibit G State'!N17</f>
        <v>0</v>
      </c>
      <c r="I15" s="478"/>
      <c r="J15" s="2099">
        <f>'Exhibit G State'!AD17</f>
        <v>0</v>
      </c>
      <c r="K15" s="478"/>
      <c r="L15" s="2100">
        <f>+'Exhibit A'!L14</f>
        <v>2158.6000000000004</v>
      </c>
      <c r="M15" s="478"/>
      <c r="N15" s="478">
        <f>+'Exhibit A'!N14</f>
        <v>12990.5</v>
      </c>
      <c r="O15" s="478"/>
      <c r="P15" s="1406"/>
      <c r="Q15" s="2101"/>
      <c r="R15" s="478">
        <f t="shared" ref="R15:R20" si="0">ROUND(SUM(D15+H15+L15),1)</f>
        <v>4317.2</v>
      </c>
      <c r="S15" s="478"/>
      <c r="T15" s="2297">
        <f t="shared" ref="T15:T20" si="1">ROUND(SUM(F15+J15+N15),1)</f>
        <v>25981</v>
      </c>
      <c r="U15" s="478"/>
      <c r="V15" s="478"/>
      <c r="W15" s="1407"/>
      <c r="X15" s="478"/>
      <c r="Y15" s="478">
        <v>4859.2000000000007</v>
      </c>
      <c r="Z15" s="478" t="s">
        <v>14</v>
      </c>
      <c r="AA15" s="478">
        <f>'Exhibit F'!AF26+'Exhibit G State'!AG17+'Exhibit H'!AD16</f>
        <v>33178.6</v>
      </c>
      <c r="AB15" s="1408"/>
      <c r="AC15" s="1409"/>
      <c r="AD15" s="478">
        <f t="shared" ref="AD15:AD20" si="2">ROUND(SUM(T15-AA15),1)</f>
        <v>-7197.6</v>
      </c>
      <c r="AE15" s="1356"/>
      <c r="AF15" s="948">
        <f>ROUND(+AD15/AA15,3)</f>
        <v>-0.217</v>
      </c>
    </row>
    <row r="16" spans="1:32" ht="18" customHeight="1">
      <c r="A16" s="7" t="s">
        <v>16</v>
      </c>
      <c r="B16" s="1358" t="s">
        <v>14</v>
      </c>
      <c r="C16" s="7"/>
      <c r="D16" s="449">
        <f>+'Exhibit A'!D15</f>
        <v>970.1</v>
      </c>
      <c r="E16" s="9"/>
      <c r="F16" s="9">
        <f>+'Exhibit A'!F15</f>
        <v>4957.7</v>
      </c>
      <c r="G16" s="9"/>
      <c r="H16" s="1470">
        <f>+'Exhibit G State'!N29</f>
        <v>203.4</v>
      </c>
      <c r="I16" s="9"/>
      <c r="J16" s="2102">
        <f>'Exhibit G State'!AD29</f>
        <v>1094.4000000000001</v>
      </c>
      <c r="K16" s="9"/>
      <c r="L16" s="449">
        <f>+'Exhibit A'!L15</f>
        <v>917.2</v>
      </c>
      <c r="M16" s="9"/>
      <c r="N16" s="9">
        <f>+'Exhibit A'!N15</f>
        <v>4659.8999999999996</v>
      </c>
      <c r="O16" s="9"/>
      <c r="P16" s="1410"/>
      <c r="Q16" s="1420"/>
      <c r="R16" s="9">
        <f t="shared" si="0"/>
        <v>2090.6999999999998</v>
      </c>
      <c r="S16" s="9"/>
      <c r="T16" s="1825">
        <f t="shared" si="1"/>
        <v>10712</v>
      </c>
      <c r="U16" s="9"/>
      <c r="V16" s="9"/>
      <c r="W16" s="1369"/>
      <c r="X16" s="9"/>
      <c r="Y16" s="9">
        <v>2012.8000000000002</v>
      </c>
      <c r="Z16" s="9" t="s">
        <v>14</v>
      </c>
      <c r="AA16" s="9">
        <f>'Exhibit F'!AF37+'Exhibit G State'!AG29+'Exhibit H'!AD20</f>
        <v>10150.299999999999</v>
      </c>
      <c r="AB16" s="7"/>
      <c r="AC16" s="1405"/>
      <c r="AD16" s="9">
        <f t="shared" si="2"/>
        <v>561.70000000000005</v>
      </c>
      <c r="AF16" s="948">
        <f t="shared" ref="AF16:AF21" si="3">ROUND(+AD16/AA16,3)</f>
        <v>5.5E-2</v>
      </c>
    </row>
    <row r="17" spans="1:32" ht="18" customHeight="1">
      <c r="A17" s="7" t="s">
        <v>17</v>
      </c>
      <c r="B17" s="1359"/>
      <c r="C17" s="7"/>
      <c r="D17" s="449">
        <f>+'Exhibit A'!D16</f>
        <v>3398.3</v>
      </c>
      <c r="E17" s="9"/>
      <c r="F17" s="9">
        <f>+'Exhibit A'!F16</f>
        <v>8120.3</v>
      </c>
      <c r="G17" s="9"/>
      <c r="H17" s="1470">
        <f>+'Exhibit G State'!N36</f>
        <v>423</v>
      </c>
      <c r="I17" s="9"/>
      <c r="J17" s="2102">
        <f>'Exhibit G State'!AD36</f>
        <v>1380.9</v>
      </c>
      <c r="K17" s="9"/>
      <c r="L17" s="449">
        <f>+'Exhibit A'!L16</f>
        <v>1486.6</v>
      </c>
      <c r="M17" s="9"/>
      <c r="N17" s="9">
        <f>+'Exhibit A'!N16</f>
        <v>2957.7</v>
      </c>
      <c r="O17" s="10"/>
      <c r="P17" s="1411"/>
      <c r="Q17" s="2103"/>
      <c r="R17" s="9">
        <f t="shared" si="0"/>
        <v>5307.9</v>
      </c>
      <c r="S17" s="9"/>
      <c r="T17" s="1825">
        <f t="shared" si="1"/>
        <v>12458.9</v>
      </c>
      <c r="U17" s="9"/>
      <c r="V17" s="9"/>
      <c r="W17" s="1412"/>
      <c r="X17" s="10"/>
      <c r="Y17" s="9">
        <v>5506.2</v>
      </c>
      <c r="Z17" s="9" t="s">
        <v>14</v>
      </c>
      <c r="AA17" s="9">
        <f>'Exhibit F'!AF45+'Exhibit G State'!AG36+'Exhibit H'!AD22</f>
        <v>12604.1</v>
      </c>
      <c r="AB17" s="7"/>
      <c r="AC17" s="1405"/>
      <c r="AD17" s="9">
        <f t="shared" si="2"/>
        <v>-145.19999999999999</v>
      </c>
      <c r="AF17" s="948">
        <f t="shared" si="3"/>
        <v>-1.2E-2</v>
      </c>
    </row>
    <row r="18" spans="1:32" ht="18" customHeight="1">
      <c r="A18" s="7" t="s">
        <v>18</v>
      </c>
      <c r="B18" s="1358" t="s">
        <v>14</v>
      </c>
      <c r="C18" s="7"/>
      <c r="D18" s="449">
        <f>+'Exhibit A'!D17</f>
        <v>169.5</v>
      </c>
      <c r="E18" s="9"/>
      <c r="F18" s="9">
        <f>+'Exhibit A'!F17</f>
        <v>1067</v>
      </c>
      <c r="G18" s="9"/>
      <c r="H18" s="1470">
        <v>0</v>
      </c>
      <c r="I18" s="9"/>
      <c r="J18" s="2102">
        <v>0</v>
      </c>
      <c r="K18" s="9"/>
      <c r="L18" s="449">
        <f>+'Exhibit A'!L17</f>
        <v>90.3</v>
      </c>
      <c r="M18" s="9"/>
      <c r="N18" s="9">
        <f>+'Exhibit A'!N17</f>
        <v>509.3</v>
      </c>
      <c r="O18" s="9"/>
      <c r="P18" s="1410"/>
      <c r="Q18" s="1420"/>
      <c r="R18" s="9">
        <f t="shared" si="0"/>
        <v>259.8</v>
      </c>
      <c r="S18" s="9"/>
      <c r="T18" s="1825">
        <f t="shared" si="1"/>
        <v>1576.3</v>
      </c>
      <c r="U18" s="9"/>
      <c r="V18" s="9"/>
      <c r="W18" s="1369"/>
      <c r="X18" s="9"/>
      <c r="Y18" s="9">
        <v>512.29999999999995</v>
      </c>
      <c r="Z18" s="9" t="s">
        <v>14</v>
      </c>
      <c r="AA18" s="9">
        <f>'Exhibit F'!AF53+'Exhibit H'!AD27</f>
        <v>1848.9</v>
      </c>
      <c r="AB18" s="7"/>
      <c r="AC18" s="1405"/>
      <c r="AD18" s="9">
        <f t="shared" si="2"/>
        <v>-272.60000000000002</v>
      </c>
      <c r="AF18" s="948">
        <f t="shared" si="3"/>
        <v>-0.14699999999999999</v>
      </c>
    </row>
    <row r="19" spans="1:32" ht="18" customHeight="1">
      <c r="A19" s="7" t="s">
        <v>19</v>
      </c>
      <c r="B19" s="1358" t="s">
        <v>14</v>
      </c>
      <c r="C19" s="7"/>
      <c r="D19" s="449">
        <f>+'Exhibit A'!D18</f>
        <v>452.8</v>
      </c>
      <c r="E19" s="449"/>
      <c r="F19" s="9">
        <f>+'Exhibit A'!F18</f>
        <v>2066.1999999999998</v>
      </c>
      <c r="G19" s="9"/>
      <c r="H19" s="1470">
        <f>+'Exhibit G State'!N82</f>
        <v>2111.1</v>
      </c>
      <c r="I19" s="9"/>
      <c r="J19" s="2102">
        <f>'Exhibit G State'!AD82</f>
        <v>10629.1</v>
      </c>
      <c r="K19" s="9"/>
      <c r="L19" s="449">
        <f>+'Exhibit A'!L18</f>
        <v>28</v>
      </c>
      <c r="M19" s="9"/>
      <c r="N19" s="9">
        <f>+'Exhibit A'!N18</f>
        <v>336.1</v>
      </c>
      <c r="O19" s="9"/>
      <c r="P19" s="1410"/>
      <c r="Q19" s="1420"/>
      <c r="R19" s="9">
        <f t="shared" si="0"/>
        <v>2591.9</v>
      </c>
      <c r="S19" s="9"/>
      <c r="T19" s="1825">
        <f t="shared" si="1"/>
        <v>13031.4</v>
      </c>
      <c r="U19" s="9"/>
      <c r="V19" s="9"/>
      <c r="W19" s="1369"/>
      <c r="X19" s="9"/>
      <c r="Y19" s="9">
        <v>2547.8000000000002</v>
      </c>
      <c r="Z19" s="9" t="s">
        <v>14</v>
      </c>
      <c r="AA19" s="9">
        <f>+'Exhibit F'!AF96+'Exhibit G State'!AG82+'Exhibit H'!AD50</f>
        <v>11156.1</v>
      </c>
      <c r="AB19" s="7"/>
      <c r="AC19" s="1405"/>
      <c r="AD19" s="9">
        <f t="shared" si="2"/>
        <v>1875.3</v>
      </c>
      <c r="AF19" s="948">
        <f t="shared" si="3"/>
        <v>0.16800000000000001</v>
      </c>
    </row>
    <row r="20" spans="1:32" ht="18" customHeight="1">
      <c r="A20" s="7" t="s">
        <v>20</v>
      </c>
      <c r="B20" s="1361"/>
      <c r="C20" s="7"/>
      <c r="D20" s="449">
        <f>+'Exhibit A'!D19</f>
        <v>0</v>
      </c>
      <c r="E20" s="9"/>
      <c r="F20" s="9">
        <f>+'Exhibit A'!F19</f>
        <v>0.1</v>
      </c>
      <c r="G20" s="9"/>
      <c r="H20" s="1470">
        <f>+'Exhibit G State'!N84</f>
        <v>0</v>
      </c>
      <c r="I20" s="9"/>
      <c r="J20" s="2102">
        <f>'Exhibit G State'!AD84</f>
        <v>0</v>
      </c>
      <c r="K20" s="9"/>
      <c r="L20" s="449">
        <f>+'Exhibit A'!L19</f>
        <v>0</v>
      </c>
      <c r="M20" s="10"/>
      <c r="N20" s="9">
        <f>+'Exhibit A'!N19</f>
        <v>34.9</v>
      </c>
      <c r="O20" s="10"/>
      <c r="P20" s="1411"/>
      <c r="Q20" s="2103"/>
      <c r="R20" s="10">
        <f t="shared" si="0"/>
        <v>0</v>
      </c>
      <c r="S20" s="10"/>
      <c r="T20" s="1825">
        <f t="shared" si="1"/>
        <v>35</v>
      </c>
      <c r="U20" s="9"/>
      <c r="V20" s="9"/>
      <c r="W20" s="1412"/>
      <c r="X20" s="10"/>
      <c r="Y20" s="9">
        <v>0.2</v>
      </c>
      <c r="Z20" s="9" t="s">
        <v>14</v>
      </c>
      <c r="AA20" s="9">
        <f>+'Exhibit F'!AF98+'Exhibit G State'!AG84+'Exhibit H'!AD52</f>
        <v>52.199999999999996</v>
      </c>
      <c r="AB20" s="7"/>
      <c r="AC20" s="1405"/>
      <c r="AD20" s="9">
        <f t="shared" si="2"/>
        <v>-17.2</v>
      </c>
      <c r="AF20" s="948">
        <f t="shared" si="3"/>
        <v>-0.33</v>
      </c>
    </row>
    <row r="21" spans="1:32" ht="18" customHeight="1">
      <c r="A21" s="1354" t="s">
        <v>21</v>
      </c>
      <c r="B21" s="7"/>
      <c r="C21" s="7"/>
      <c r="D21" s="12">
        <f>ROUND(SUM(D15:D20),1)</f>
        <v>7149.3</v>
      </c>
      <c r="E21" s="16"/>
      <c r="F21" s="11">
        <f>ROUND(SUM(F15:F20),1)</f>
        <v>29201.8</v>
      </c>
      <c r="G21" s="16"/>
      <c r="H21" s="12">
        <f>ROUND(SUM(H15:H20),1)</f>
        <v>2737.5</v>
      </c>
      <c r="I21" s="16"/>
      <c r="J21" s="12">
        <f>ROUND(SUM(J15:J20),1)</f>
        <v>13104.4</v>
      </c>
      <c r="K21" s="16"/>
      <c r="L21" s="12">
        <f>ROUND(SUM(L15:L20),1)</f>
        <v>4680.7</v>
      </c>
      <c r="M21" s="16"/>
      <c r="N21" s="12">
        <f>ROUND(SUM(N15:N20),1)</f>
        <v>21488.400000000001</v>
      </c>
      <c r="O21" s="16"/>
      <c r="P21" s="1413"/>
      <c r="Q21" s="2024"/>
      <c r="R21" s="12">
        <f>ROUND(SUM(R15:R20),1)</f>
        <v>14567.5</v>
      </c>
      <c r="S21" s="16"/>
      <c r="T21" s="12">
        <f>ROUND(SUM(T15:T20),1)</f>
        <v>63794.6</v>
      </c>
      <c r="U21" s="16"/>
      <c r="V21" s="16"/>
      <c r="W21" s="1372"/>
      <c r="X21" s="16"/>
      <c r="Y21" s="12">
        <f>ROUND(SUM(Y15:Y20),1)</f>
        <v>15438.5</v>
      </c>
      <c r="Z21" s="16"/>
      <c r="AA21" s="12">
        <f>ROUND(SUM(AA15:AA20),1)</f>
        <v>68990.2</v>
      </c>
      <c r="AB21" s="1354"/>
      <c r="AC21" s="1414"/>
      <c r="AD21" s="12">
        <f>ROUND(SUM(AD15:AD20),1)</f>
        <v>-5195.6000000000004</v>
      </c>
      <c r="AE21" s="1360"/>
      <c r="AF21" s="955">
        <f t="shared" si="3"/>
        <v>-7.4999999999999997E-2</v>
      </c>
    </row>
    <row r="22" spans="1:32" ht="16.350000000000001" customHeight="1">
      <c r="A22" s="1354"/>
      <c r="B22" s="7"/>
      <c r="C22" s="7"/>
      <c r="D22" s="449"/>
      <c r="E22" s="9"/>
      <c r="F22" s="9"/>
      <c r="G22" s="9"/>
      <c r="H22" s="449"/>
      <c r="I22" s="9"/>
      <c r="J22" s="9"/>
      <c r="K22" s="9"/>
      <c r="L22" s="449"/>
      <c r="M22" s="9"/>
      <c r="N22" s="9"/>
      <c r="O22" s="9"/>
      <c r="P22" s="1410"/>
      <c r="Q22" s="1420"/>
      <c r="R22" s="9"/>
      <c r="S22" s="9"/>
      <c r="T22" s="9"/>
      <c r="U22" s="9"/>
      <c r="V22" s="9"/>
      <c r="W22" s="1369"/>
      <c r="X22" s="9"/>
      <c r="Y22" s="9"/>
      <c r="Z22" s="9"/>
      <c r="AA22" s="9"/>
      <c r="AB22" s="7"/>
      <c r="AC22" s="1405"/>
      <c r="AD22" s="9"/>
      <c r="AF22" s="951"/>
    </row>
    <row r="23" spans="1:32" ht="16.350000000000001" customHeight="1">
      <c r="A23" s="1354" t="s">
        <v>22</v>
      </c>
      <c r="B23" s="7"/>
      <c r="C23" s="7"/>
      <c r="D23" s="449"/>
      <c r="E23" s="9"/>
      <c r="F23" s="9"/>
      <c r="G23" s="9"/>
      <c r="H23" s="449"/>
      <c r="I23" s="9"/>
      <c r="J23" s="9"/>
      <c r="K23" s="9"/>
      <c r="L23" s="449"/>
      <c r="M23" s="9"/>
      <c r="N23" s="9"/>
      <c r="O23" s="9"/>
      <c r="P23" s="1410"/>
      <c r="Q23" s="1420"/>
      <c r="R23" s="9"/>
      <c r="S23" s="9"/>
      <c r="T23" s="9"/>
      <c r="U23" s="9"/>
      <c r="V23" s="9"/>
      <c r="W23" s="1369"/>
      <c r="X23" s="9"/>
      <c r="Y23" s="9"/>
      <c r="Z23" s="9"/>
      <c r="AA23" s="9"/>
      <c r="AB23" s="7"/>
      <c r="AC23" s="1405"/>
      <c r="AD23" s="9"/>
      <c r="AF23" s="951"/>
    </row>
    <row r="24" spans="1:32" ht="16.350000000000001" customHeight="1">
      <c r="A24" s="7" t="s">
        <v>23</v>
      </c>
      <c r="B24" s="1401" t="s">
        <v>14</v>
      </c>
      <c r="C24" s="7"/>
      <c r="D24" s="452"/>
      <c r="E24" s="10"/>
      <c r="F24" s="14"/>
      <c r="G24" s="9"/>
      <c r="H24" s="452"/>
      <c r="I24" s="10"/>
      <c r="J24" s="14"/>
      <c r="K24" s="9"/>
      <c r="L24" s="452"/>
      <c r="M24" s="9"/>
      <c r="N24" s="10"/>
      <c r="O24" s="9"/>
      <c r="P24" s="1410"/>
      <c r="Q24" s="1420"/>
      <c r="R24" s="10"/>
      <c r="S24" s="10"/>
      <c r="T24" s="10"/>
      <c r="U24" s="9"/>
      <c r="V24" s="9"/>
      <c r="W24" s="1369"/>
      <c r="X24" s="10"/>
      <c r="Y24" s="9"/>
      <c r="Z24" s="9"/>
      <c r="AA24" s="9"/>
      <c r="AB24" s="7"/>
      <c r="AC24" s="1405"/>
      <c r="AD24" s="14"/>
      <c r="AF24" s="1362"/>
    </row>
    <row r="25" spans="1:32" ht="18" customHeight="1">
      <c r="A25" s="1363" t="s">
        <v>24</v>
      </c>
      <c r="B25" s="7"/>
      <c r="C25" s="7"/>
      <c r="D25" s="912">
        <f>+'Exhibit A'!D24</f>
        <v>1966.5</v>
      </c>
      <c r="E25" s="9"/>
      <c r="F25" s="1415">
        <f>+'Exhibit A'!F24</f>
        <v>13071.3</v>
      </c>
      <c r="G25" s="9"/>
      <c r="H25" s="912">
        <f>+'Exhibit G State'!N90</f>
        <v>3156.0000000000005</v>
      </c>
      <c r="I25" s="9"/>
      <c r="J25" s="1415">
        <f>+'Exhibit G State'!AD90</f>
        <v>3473.8</v>
      </c>
      <c r="K25" s="9"/>
      <c r="L25" s="452">
        <f>+'Exhibit A'!L24</f>
        <v>0</v>
      </c>
      <c r="M25" s="9"/>
      <c r="N25" s="10">
        <f>+'Exhibit A'!N24</f>
        <v>0</v>
      </c>
      <c r="O25" s="10"/>
      <c r="P25" s="1411"/>
      <c r="Q25" s="2103"/>
      <c r="R25" s="1825">
        <f>ROUND(SUM(D25+H25+L25),1)</f>
        <v>5122.5</v>
      </c>
      <c r="S25" s="1825"/>
      <c r="T25" s="1825">
        <f>ROUND(SUM(F25+J25+N25),1)</f>
        <v>16545.099999999999</v>
      </c>
      <c r="U25" s="9"/>
      <c r="V25" s="9"/>
      <c r="W25" s="1412"/>
      <c r="X25" s="10"/>
      <c r="Y25" s="9">
        <v>4933.1000000000004</v>
      </c>
      <c r="Z25" s="9" t="s">
        <v>14</v>
      </c>
      <c r="AA25" s="9">
        <f>+'Exhibit F'!AF104+'Exhibit G State'!AG90</f>
        <v>15046</v>
      </c>
      <c r="AB25" s="7"/>
      <c r="AC25" s="1405"/>
      <c r="AD25" s="9">
        <f>ROUND(SUM(T25-AA25),1)</f>
        <v>1499.1</v>
      </c>
      <c r="AF25" s="948">
        <f>ROUND(+AD25/AA25,3)</f>
        <v>0.1</v>
      </c>
    </row>
    <row r="26" spans="1:32" ht="18" customHeight="1">
      <c r="A26" s="1363" t="s">
        <v>25</v>
      </c>
      <c r="B26" s="1364"/>
      <c r="C26" s="7"/>
      <c r="D26" s="912">
        <f>+'Exhibit A'!D25</f>
        <v>0.8999999999999998</v>
      </c>
      <c r="E26" s="9"/>
      <c r="F26" s="1415">
        <f>+'Exhibit A'!F25</f>
        <v>1.7</v>
      </c>
      <c r="G26" s="9"/>
      <c r="H26" s="912">
        <f>+'Exhibit G State'!N91</f>
        <v>0.40000000000000013</v>
      </c>
      <c r="I26" s="1825"/>
      <c r="J26" s="1415">
        <f>+'Exhibit G State'!AD91</f>
        <v>2</v>
      </c>
      <c r="K26" s="9"/>
      <c r="L26" s="452">
        <f>+'Exhibit A'!L25</f>
        <v>0</v>
      </c>
      <c r="M26" s="9"/>
      <c r="N26" s="10">
        <f>+'Exhibit A'!N25</f>
        <v>0</v>
      </c>
      <c r="O26" s="10"/>
      <c r="P26" s="1411"/>
      <c r="Q26" s="2103"/>
      <c r="R26" s="1825">
        <f t="shared" ref="R26:R33" si="4">ROUND(SUM(D26+H26+L26),1)</f>
        <v>1.3</v>
      </c>
      <c r="S26" s="1825"/>
      <c r="T26" s="1825">
        <f t="shared" ref="T26:T33" si="5">ROUND(SUM(F26+J26+N26),1)</f>
        <v>3.7</v>
      </c>
      <c r="U26" s="9"/>
      <c r="V26" s="9"/>
      <c r="W26" s="1412"/>
      <c r="X26" s="10"/>
      <c r="Y26" s="9">
        <v>0</v>
      </c>
      <c r="Z26" s="9" t="s">
        <v>14</v>
      </c>
      <c r="AA26" s="9">
        <f>+'Exhibit F'!AF105+'Exhibit G State'!AG91</f>
        <v>2.2999999999999998</v>
      </c>
      <c r="AB26" s="7"/>
      <c r="AC26" s="1405"/>
      <c r="AD26" s="9">
        <f>ROUND(SUM(T26-AA26),1)</f>
        <v>1.4</v>
      </c>
      <c r="AF26" s="948">
        <f>ROUND(+AD26/AA26,3)</f>
        <v>0.60899999999999999</v>
      </c>
    </row>
    <row r="27" spans="1:32" ht="18" customHeight="1">
      <c r="A27" s="1363" t="s">
        <v>26</v>
      </c>
      <c r="B27" s="1365"/>
      <c r="C27" s="7"/>
      <c r="D27" s="912">
        <f>+'Exhibit A'!D26</f>
        <v>127.60000000000002</v>
      </c>
      <c r="E27" s="9"/>
      <c r="F27" s="1415">
        <f>+'Exhibit A'!F26</f>
        <v>711</v>
      </c>
      <c r="G27" s="9"/>
      <c r="H27" s="912">
        <f>+'Exhibit G State'!N92</f>
        <v>3.7999999999999972</v>
      </c>
      <c r="I27" s="9"/>
      <c r="J27" s="1415">
        <f>+'Exhibit G State'!AD92</f>
        <v>102.5</v>
      </c>
      <c r="K27" s="9"/>
      <c r="L27" s="452">
        <f>+'Exhibit A'!L26</f>
        <v>0</v>
      </c>
      <c r="M27" s="9"/>
      <c r="N27" s="10">
        <f>+'Exhibit A'!N26</f>
        <v>0</v>
      </c>
      <c r="O27" s="10"/>
      <c r="P27" s="1411"/>
      <c r="Q27" s="2103"/>
      <c r="R27" s="1825">
        <f t="shared" si="4"/>
        <v>131.4</v>
      </c>
      <c r="S27" s="1825"/>
      <c r="T27" s="1825">
        <f t="shared" si="5"/>
        <v>813.5</v>
      </c>
      <c r="U27" s="9"/>
      <c r="V27" s="9"/>
      <c r="W27" s="1412"/>
      <c r="X27" s="10"/>
      <c r="Y27" s="9">
        <v>136.1</v>
      </c>
      <c r="Z27" s="9" t="s">
        <v>14</v>
      </c>
      <c r="AA27" s="9">
        <f>+'Exhibit F'!AF106+'Exhibit G State'!AG92</f>
        <v>912.6</v>
      </c>
      <c r="AB27" s="7"/>
      <c r="AC27" s="1405"/>
      <c r="AD27" s="9">
        <f>ROUND(SUM(T27-AA27),1)</f>
        <v>-99.1</v>
      </c>
      <c r="AF27" s="948">
        <f>ROUND(+AD27/AA27,3)</f>
        <v>-0.109</v>
      </c>
    </row>
    <row r="28" spans="1:32" ht="18" customHeight="1">
      <c r="A28" s="1363" t="s">
        <v>27</v>
      </c>
      <c r="B28" s="1365"/>
      <c r="C28" s="7"/>
      <c r="D28" s="912"/>
      <c r="E28" s="9"/>
      <c r="F28" s="1415"/>
      <c r="G28" s="9"/>
      <c r="H28" s="912"/>
      <c r="I28" s="9"/>
      <c r="J28" s="1415"/>
      <c r="K28" s="9"/>
      <c r="L28" s="452"/>
      <c r="M28" s="9"/>
      <c r="N28" s="10"/>
      <c r="O28" s="10"/>
      <c r="P28" s="1411"/>
      <c r="Q28" s="2103"/>
      <c r="R28" s="947" t="s">
        <v>14</v>
      </c>
      <c r="S28" s="1825"/>
      <c r="T28" s="947" t="s">
        <v>14</v>
      </c>
      <c r="U28" s="9"/>
      <c r="V28" s="9"/>
      <c r="W28" s="1412"/>
      <c r="X28" s="10"/>
      <c r="Y28" s="449"/>
      <c r="Z28" s="9" t="s">
        <v>14</v>
      </c>
      <c r="AA28" s="449" t="s">
        <v>14</v>
      </c>
      <c r="AB28" s="7"/>
      <c r="AC28" s="1405"/>
      <c r="AD28" s="9"/>
      <c r="AF28" s="948"/>
    </row>
    <row r="29" spans="1:32" ht="18" customHeight="1">
      <c r="A29" s="1416" t="s">
        <v>28</v>
      </c>
      <c r="B29" s="1366"/>
      <c r="C29" s="7"/>
      <c r="D29" s="912">
        <f>+'Exhibit A'!D28</f>
        <v>2469.2999999999997</v>
      </c>
      <c r="E29" s="9"/>
      <c r="F29" s="1415">
        <f>+'Exhibit A'!F28</f>
        <v>16651.099999999999</v>
      </c>
      <c r="G29" s="9"/>
      <c r="H29" s="912">
        <f>+'Exhibit G State'!N94</f>
        <v>653.39999999999964</v>
      </c>
      <c r="I29" s="9"/>
      <c r="J29" s="1415">
        <f>+'Exhibit G State'!AD94</f>
        <v>3073.6</v>
      </c>
      <c r="K29" s="9"/>
      <c r="L29" s="452">
        <f>+'Exhibit A'!L28</f>
        <v>0</v>
      </c>
      <c r="M29" s="9"/>
      <c r="N29" s="10">
        <f>+'Exhibit A'!N28</f>
        <v>0</v>
      </c>
      <c r="O29" s="10"/>
      <c r="P29" s="1411"/>
      <c r="Q29" s="2103"/>
      <c r="R29" s="1825">
        <f t="shared" si="4"/>
        <v>3122.7</v>
      </c>
      <c r="S29" s="1825"/>
      <c r="T29" s="1825">
        <f t="shared" si="5"/>
        <v>19724.7</v>
      </c>
      <c r="U29" s="9"/>
      <c r="V29" s="9"/>
      <c r="W29" s="1412"/>
      <c r="X29" s="10"/>
      <c r="Y29" s="9">
        <v>2120.3000000000002</v>
      </c>
      <c r="Z29" s="9" t="s">
        <v>14</v>
      </c>
      <c r="AA29" s="9">
        <f>+'Exhibit F'!AF108+'Exhibit G State'!AG94</f>
        <v>13792.1</v>
      </c>
      <c r="AB29" s="7"/>
      <c r="AC29" s="1405"/>
      <c r="AD29" s="9">
        <f t="shared" ref="AD29:AD34" si="6">ROUND(SUM(T29-AA29),1)</f>
        <v>5932.6</v>
      </c>
      <c r="AF29" s="948">
        <f t="shared" ref="AF29:AF34" si="7">ROUND(+AD29/AA29,3)</f>
        <v>0.43</v>
      </c>
    </row>
    <row r="30" spans="1:32" ht="18" customHeight="1">
      <c r="A30" s="1363" t="s">
        <v>29</v>
      </c>
      <c r="B30" s="1365"/>
      <c r="C30" s="7"/>
      <c r="D30" s="912">
        <f>+'Exhibit A'!D29</f>
        <v>332.79999999999995</v>
      </c>
      <c r="E30" s="9"/>
      <c r="F30" s="1415">
        <f>+'Exhibit A'!F29</f>
        <v>1319</v>
      </c>
      <c r="G30" s="9"/>
      <c r="H30" s="912">
        <f>+'Exhibit G State'!N95</f>
        <v>209.39999999999992</v>
      </c>
      <c r="I30" s="9"/>
      <c r="J30" s="1415">
        <f>+'Exhibit G State'!AD95</f>
        <v>605.5</v>
      </c>
      <c r="K30" s="9"/>
      <c r="L30" s="452">
        <f>+'Exhibit A'!L29</f>
        <v>0</v>
      </c>
      <c r="M30" s="9"/>
      <c r="N30" s="10">
        <f>+'Exhibit A'!N29</f>
        <v>0</v>
      </c>
      <c r="O30" s="10"/>
      <c r="P30" s="1411"/>
      <c r="Q30" s="2103"/>
      <c r="R30" s="1825">
        <f t="shared" si="4"/>
        <v>542.20000000000005</v>
      </c>
      <c r="S30" s="1825"/>
      <c r="T30" s="1825">
        <f t="shared" si="5"/>
        <v>1924.5</v>
      </c>
      <c r="U30" s="9"/>
      <c r="V30" s="9"/>
      <c r="W30" s="1412"/>
      <c r="X30" s="10"/>
      <c r="Y30" s="9">
        <v>468.9</v>
      </c>
      <c r="Z30" s="9" t="s">
        <v>14</v>
      </c>
      <c r="AA30" s="9">
        <f>+'Exhibit F'!AF109+'Exhibit G State'!AG95</f>
        <v>1758</v>
      </c>
      <c r="AB30" s="7"/>
      <c r="AC30" s="1405"/>
      <c r="AD30" s="9">
        <f t="shared" si="6"/>
        <v>166.5</v>
      </c>
      <c r="AF30" s="948">
        <f t="shared" si="7"/>
        <v>9.5000000000000001E-2</v>
      </c>
    </row>
    <row r="31" spans="1:32" ht="18" customHeight="1">
      <c r="A31" s="1363" t="s">
        <v>30</v>
      </c>
      <c r="B31" s="7"/>
      <c r="C31" s="7"/>
      <c r="D31" s="912">
        <f>+'Exhibit A'!D30</f>
        <v>70.900000000000006</v>
      </c>
      <c r="E31" s="9"/>
      <c r="F31" s="1415">
        <f>+'Exhibit A'!F30</f>
        <v>122</v>
      </c>
      <c r="G31" s="9"/>
      <c r="H31" s="912">
        <f>+'Exhibit G State'!N96</f>
        <v>39.499999999999972</v>
      </c>
      <c r="I31" s="9"/>
      <c r="J31" s="1415">
        <f>+'Exhibit G State'!AD96</f>
        <v>145.69999999999999</v>
      </c>
      <c r="K31" s="9"/>
      <c r="L31" s="452">
        <f>+'Exhibit A'!L30</f>
        <v>0</v>
      </c>
      <c r="M31" s="9"/>
      <c r="N31" s="10">
        <f>+'Exhibit A'!N30</f>
        <v>0</v>
      </c>
      <c r="O31" s="10"/>
      <c r="P31" s="1411"/>
      <c r="Q31" s="2103"/>
      <c r="R31" s="1825">
        <f t="shared" si="4"/>
        <v>110.4</v>
      </c>
      <c r="S31" s="1825"/>
      <c r="T31" s="1825">
        <f t="shared" si="5"/>
        <v>267.7</v>
      </c>
      <c r="U31" s="9"/>
      <c r="V31" s="9"/>
      <c r="W31" s="1412"/>
      <c r="X31" s="10"/>
      <c r="Y31" s="9">
        <v>47.7</v>
      </c>
      <c r="Z31" s="9" t="s">
        <v>14</v>
      </c>
      <c r="AA31" s="9">
        <f>+'Exhibit F'!AF110+'Exhibit G State'!AG96</f>
        <v>201.7</v>
      </c>
      <c r="AB31" s="7"/>
      <c r="AC31" s="1405"/>
      <c r="AD31" s="9">
        <f t="shared" si="6"/>
        <v>66</v>
      </c>
      <c r="AF31" s="948">
        <f t="shared" si="7"/>
        <v>0.32700000000000001</v>
      </c>
    </row>
    <row r="32" spans="1:32" ht="18" customHeight="1">
      <c r="A32" s="1363" t="s">
        <v>31</v>
      </c>
      <c r="B32" s="7"/>
      <c r="C32" s="7"/>
      <c r="D32" s="912">
        <f>+'Exhibit A'!D31</f>
        <v>382.49999999999994</v>
      </c>
      <c r="E32" s="9"/>
      <c r="F32" s="1415">
        <f>+'Exhibit A'!F31</f>
        <v>1838.8</v>
      </c>
      <c r="G32" s="9"/>
      <c r="H32" s="912">
        <f>+'Exhibit G State'!N97</f>
        <v>1.5999999999999999</v>
      </c>
      <c r="I32" s="9"/>
      <c r="J32" s="1415">
        <f>+'Exhibit G State'!AD97</f>
        <v>4.3</v>
      </c>
      <c r="K32" s="9"/>
      <c r="L32" s="452">
        <f>+'Exhibit A'!L31</f>
        <v>0</v>
      </c>
      <c r="M32" s="9"/>
      <c r="N32" s="10">
        <f>+'Exhibit A'!N31</f>
        <v>0</v>
      </c>
      <c r="O32" s="10"/>
      <c r="P32" s="1411"/>
      <c r="Q32" s="2103"/>
      <c r="R32" s="1825">
        <f t="shared" si="4"/>
        <v>384.1</v>
      </c>
      <c r="S32" s="1825"/>
      <c r="T32" s="1825">
        <f t="shared" si="5"/>
        <v>1843.1</v>
      </c>
      <c r="U32" s="9"/>
      <c r="V32" s="9"/>
      <c r="W32" s="1412"/>
      <c r="X32" s="10"/>
      <c r="Y32" s="9">
        <v>331.9</v>
      </c>
      <c r="Z32" s="9" t="s">
        <v>14</v>
      </c>
      <c r="AA32" s="449">
        <f>+'Exhibit F'!AF111+'Exhibit G State'!AG97</f>
        <v>1761.9</v>
      </c>
      <c r="AB32" s="7"/>
      <c r="AC32" s="1405"/>
      <c r="AD32" s="9">
        <f t="shared" si="6"/>
        <v>81.2</v>
      </c>
      <c r="AF32" s="948">
        <f t="shared" si="7"/>
        <v>4.5999999999999999E-2</v>
      </c>
    </row>
    <row r="33" spans="1:32" ht="18" customHeight="1">
      <c r="A33" s="1363" t="s">
        <v>32</v>
      </c>
      <c r="B33" s="7"/>
      <c r="C33" s="7"/>
      <c r="D33" s="912">
        <f>+'Exhibit A'!D32</f>
        <v>12.600000000000001</v>
      </c>
      <c r="E33" s="9"/>
      <c r="F33" s="1415">
        <f>+'Exhibit A'!F32</f>
        <v>88.4</v>
      </c>
      <c r="G33" s="9"/>
      <c r="H33" s="912">
        <f>+'Exhibit G State'!N98</f>
        <v>5.9</v>
      </c>
      <c r="I33" s="9"/>
      <c r="J33" s="1415">
        <f>+'Exhibit G State'!AD98</f>
        <v>24.4</v>
      </c>
      <c r="K33" s="9"/>
      <c r="L33" s="452">
        <f>+'Exhibit A'!L32</f>
        <v>0</v>
      </c>
      <c r="M33" s="9"/>
      <c r="N33" s="10">
        <f>+'Exhibit A'!N32</f>
        <v>0</v>
      </c>
      <c r="O33" s="10"/>
      <c r="P33" s="1411"/>
      <c r="Q33" s="2103"/>
      <c r="R33" s="1825">
        <f t="shared" si="4"/>
        <v>18.5</v>
      </c>
      <c r="S33" s="1825"/>
      <c r="T33" s="1825">
        <f t="shared" si="5"/>
        <v>112.8</v>
      </c>
      <c r="U33" s="9"/>
      <c r="V33" s="9"/>
      <c r="W33" s="1412"/>
      <c r="X33" s="10"/>
      <c r="Y33" s="9">
        <v>18.600000000000001</v>
      </c>
      <c r="Z33" s="9" t="s">
        <v>14</v>
      </c>
      <c r="AA33" s="449">
        <f>+'Exhibit F'!AF112+'Exhibit G State'!AG98</f>
        <v>446.59999999999997</v>
      </c>
      <c r="AB33" s="7"/>
      <c r="AC33" s="1405"/>
      <c r="AD33" s="9">
        <f t="shared" si="6"/>
        <v>-333.8</v>
      </c>
      <c r="AF33" s="948">
        <f t="shared" si="7"/>
        <v>-0.747</v>
      </c>
    </row>
    <row r="34" spans="1:32" ht="18" customHeight="1">
      <c r="A34" s="1363" t="s">
        <v>33</v>
      </c>
      <c r="B34" s="7"/>
      <c r="C34" s="7"/>
      <c r="D34" s="912">
        <f>+'Exhibit A'!D33</f>
        <v>0.30000000000001137</v>
      </c>
      <c r="E34" s="9"/>
      <c r="F34" s="1415">
        <f>+'Exhibit A'!F33</f>
        <v>112.5</v>
      </c>
      <c r="G34" s="9"/>
      <c r="H34" s="912">
        <f>+'Exhibit G State'!N99</f>
        <v>359.90000000000043</v>
      </c>
      <c r="I34" s="9"/>
      <c r="J34" s="1415">
        <f>+'Exhibit G State'!AD99</f>
        <v>2278.5</v>
      </c>
      <c r="K34" s="9"/>
      <c r="L34" s="452">
        <f>+'Exhibit A'!L33</f>
        <v>0</v>
      </c>
      <c r="M34" s="9"/>
      <c r="N34" s="10">
        <f>+'Exhibit A'!N33</f>
        <v>0</v>
      </c>
      <c r="O34" s="10"/>
      <c r="P34" s="1411"/>
      <c r="Q34" s="2103"/>
      <c r="R34" s="2104">
        <f>ROUND(SUM(D34+H34+L34),1)</f>
        <v>360.2</v>
      </c>
      <c r="S34" s="1825"/>
      <c r="T34" s="2104">
        <f>ROUND(SUM(F34+J34+N34),1)</f>
        <v>2391</v>
      </c>
      <c r="U34" s="9"/>
      <c r="V34" s="9"/>
      <c r="W34" s="1412"/>
      <c r="X34" s="10"/>
      <c r="Y34" s="9">
        <v>335</v>
      </c>
      <c r="Z34" s="9" t="s">
        <v>14</v>
      </c>
      <c r="AA34" s="9">
        <f>+'Exhibit F'!AF113+'Exhibit G State'!AG99</f>
        <v>2208.6</v>
      </c>
      <c r="AB34" s="7"/>
      <c r="AC34" s="1405"/>
      <c r="AD34" s="9">
        <f t="shared" si="6"/>
        <v>182.4</v>
      </c>
      <c r="AF34" s="948">
        <f t="shared" si="7"/>
        <v>8.3000000000000004E-2</v>
      </c>
    </row>
    <row r="35" spans="1:32" ht="18" customHeight="1">
      <c r="A35" s="1354" t="s">
        <v>34</v>
      </c>
      <c r="B35" s="7"/>
      <c r="C35" s="7"/>
      <c r="D35" s="12">
        <f>ROUND(SUM(D25:D34),1)</f>
        <v>5363.4</v>
      </c>
      <c r="E35" s="16"/>
      <c r="F35" s="12">
        <f>ROUND(SUM(F25:F34),1)</f>
        <v>33915.800000000003</v>
      </c>
      <c r="G35" s="16"/>
      <c r="H35" s="12">
        <f>ROUND(SUM(H25:H34),1)</f>
        <v>4429.8999999999996</v>
      </c>
      <c r="I35" s="16"/>
      <c r="J35" s="12">
        <f>ROUND(SUM(J25:J34),1)</f>
        <v>9710.2999999999993</v>
      </c>
      <c r="K35" s="16"/>
      <c r="L35" s="1840">
        <f>ROUND(SUM(L25:L34),1)</f>
        <v>0</v>
      </c>
      <c r="M35" s="16"/>
      <c r="N35" s="2078">
        <f>ROUND(SUM(N25:N34),1)</f>
        <v>0</v>
      </c>
      <c r="O35" s="1419"/>
      <c r="P35" s="1417"/>
      <c r="Q35" s="2105"/>
      <c r="R35" s="12">
        <f>ROUND(SUM(R25:R34),1)</f>
        <v>9793.2999999999993</v>
      </c>
      <c r="S35" s="1419"/>
      <c r="T35" s="12">
        <f>ROUND(SUM(T25:T34),1)</f>
        <v>43626.1</v>
      </c>
      <c r="U35" s="16"/>
      <c r="V35" s="16"/>
      <c r="W35" s="1418"/>
      <c r="X35" s="1419"/>
      <c r="Y35" s="12">
        <f>ROUND(SUM(Y25:Y34),1)</f>
        <v>8391.6</v>
      </c>
      <c r="Z35" s="16"/>
      <c r="AA35" s="12">
        <f>ROUND(SUM(AA25:AA34),1)</f>
        <v>36129.800000000003</v>
      </c>
      <c r="AB35" s="1354"/>
      <c r="AC35" s="1414"/>
      <c r="AD35" s="12">
        <f>ROUND(SUM(AD25:AD34),1)</f>
        <v>7496.3</v>
      </c>
      <c r="AE35" s="1360"/>
      <c r="AF35" s="955">
        <f>ROUND(+AD35/AA35,3)</f>
        <v>0.20699999999999999</v>
      </c>
    </row>
    <row r="36" spans="1:32" ht="18" customHeight="1">
      <c r="A36" s="7" t="s">
        <v>35</v>
      </c>
      <c r="B36" s="1365"/>
      <c r="C36" s="7"/>
      <c r="D36" s="449"/>
      <c r="E36" s="9"/>
      <c r="F36" s="9"/>
      <c r="G36" s="9"/>
      <c r="H36" s="449"/>
      <c r="I36" s="9"/>
      <c r="J36" s="9"/>
      <c r="K36" s="9"/>
      <c r="L36" s="449"/>
      <c r="M36" s="9"/>
      <c r="N36" s="9"/>
      <c r="O36" s="9"/>
      <c r="P36" s="1410"/>
      <c r="Q36" s="1420"/>
      <c r="R36" s="9"/>
      <c r="S36" s="9"/>
      <c r="T36" s="9"/>
      <c r="U36" s="9"/>
      <c r="V36" s="9"/>
      <c r="W36" s="1369"/>
      <c r="X36" s="9"/>
      <c r="Y36" s="9"/>
      <c r="Z36" s="9"/>
      <c r="AA36" s="9"/>
      <c r="AB36" s="7"/>
      <c r="AC36" s="1405"/>
      <c r="AD36" s="9"/>
      <c r="AF36" s="951"/>
    </row>
    <row r="37" spans="1:32" ht="18" customHeight="1">
      <c r="A37" s="7" t="s">
        <v>36</v>
      </c>
      <c r="B37" s="1364"/>
      <c r="C37" s="7"/>
      <c r="D37" s="449">
        <f>+'Exhibit A'!D36</f>
        <v>769.59999999999911</v>
      </c>
      <c r="E37" s="9"/>
      <c r="F37" s="1415">
        <f>+'Exhibit A'!F36</f>
        <v>4992.3999999999996</v>
      </c>
      <c r="G37" s="9"/>
      <c r="H37" s="449">
        <f>+'Exhibit G State'!N102</f>
        <v>402.80000000000007</v>
      </c>
      <c r="I37" s="9"/>
      <c r="J37" s="1415">
        <f>+'Exhibit G State'!AD102</f>
        <v>2750.5</v>
      </c>
      <c r="K37" s="9"/>
      <c r="L37" s="453">
        <f>+'Exhibit A'!L36</f>
        <v>0</v>
      </c>
      <c r="M37" s="1825"/>
      <c r="N37" s="10">
        <f>+'Exhibit A'!N36</f>
        <v>0</v>
      </c>
      <c r="O37" s="10"/>
      <c r="P37" s="1411"/>
      <c r="Q37" s="2103"/>
      <c r="R37" s="1825">
        <f>ROUND(SUM(D37+H37+L37),1)</f>
        <v>1172.4000000000001</v>
      </c>
      <c r="S37" s="10"/>
      <c r="T37" s="9">
        <f>ROUND(SUM(F37+J37+N37),1)</f>
        <v>7742.9</v>
      </c>
      <c r="U37" s="9"/>
      <c r="V37" s="9"/>
      <c r="W37" s="1412"/>
      <c r="X37" s="10"/>
      <c r="Y37" s="9">
        <v>1096.0999999999999</v>
      </c>
      <c r="Z37" s="9" t="s">
        <v>14</v>
      </c>
      <c r="AA37" s="9">
        <f>+'Exhibit F'!AF116+'Exhibit G State'!AG102</f>
        <v>7228.0999999999995</v>
      </c>
      <c r="AB37" s="7"/>
      <c r="AC37" s="1405"/>
      <c r="AD37" s="9">
        <f t="shared" ref="AD37:AD41" si="8">ROUND(SUM(T37-AA37),1)</f>
        <v>514.79999999999995</v>
      </c>
      <c r="AF37" s="948">
        <f>ROUND(+AD37/AA37,3)</f>
        <v>7.0999999999999994E-2</v>
      </c>
    </row>
    <row r="38" spans="1:32" ht="18" customHeight="1">
      <c r="A38" s="7" t="s">
        <v>37</v>
      </c>
      <c r="B38" s="1365"/>
      <c r="C38" s="7"/>
      <c r="D38" s="449">
        <f>+'Exhibit A'!D37</f>
        <v>182.60000000000002</v>
      </c>
      <c r="E38" s="9"/>
      <c r="F38" s="1415">
        <f>+'Exhibit A'!F37</f>
        <v>572.5</v>
      </c>
      <c r="G38" s="9"/>
      <c r="H38" s="449">
        <f>+'Exhibit G State'!N103</f>
        <v>278.00000000000011</v>
      </c>
      <c r="I38" s="9"/>
      <c r="J38" s="1415">
        <f>+'Exhibit G State'!AD103</f>
        <v>1652.9</v>
      </c>
      <c r="K38" s="9"/>
      <c r="L38" s="453">
        <f>+'Exhibit A'!L37</f>
        <v>0.60000000000000142</v>
      </c>
      <c r="M38" s="1825"/>
      <c r="N38" s="10">
        <f>+'Exhibit A'!N37</f>
        <v>36.700000000000003</v>
      </c>
      <c r="O38" s="9"/>
      <c r="P38" s="1410"/>
      <c r="Q38" s="1420"/>
      <c r="R38" s="1825">
        <f>ROUND(SUM(D38+H38+L38),1)</f>
        <v>461.2</v>
      </c>
      <c r="S38" s="10"/>
      <c r="T38" s="9">
        <f>ROUND(SUM(F38+J38+N38),1)</f>
        <v>2262.1</v>
      </c>
      <c r="U38" s="9"/>
      <c r="V38" s="9"/>
      <c r="W38" s="1369"/>
      <c r="X38" s="9"/>
      <c r="Y38" s="9">
        <v>498.7</v>
      </c>
      <c r="Z38" s="9" t="s">
        <v>14</v>
      </c>
      <c r="AA38" s="9">
        <f>+'Exhibit F'!AF117+'Exhibit G State'!AG103+'Exhibit H'!AD58</f>
        <v>2749.1</v>
      </c>
      <c r="AB38" s="7"/>
      <c r="AC38" s="1405"/>
      <c r="AD38" s="9">
        <f t="shared" si="8"/>
        <v>-487</v>
      </c>
      <c r="AF38" s="948">
        <f>ROUND(+AD38/AA38,3)</f>
        <v>-0.17699999999999999</v>
      </c>
    </row>
    <row r="39" spans="1:32" ht="18" customHeight="1">
      <c r="A39" s="7" t="s">
        <v>38</v>
      </c>
      <c r="B39" s="1358"/>
      <c r="C39" s="7"/>
      <c r="D39" s="449">
        <f>+'Exhibit A'!D38</f>
        <v>489.09999999999945</v>
      </c>
      <c r="E39" s="9"/>
      <c r="F39" s="1415">
        <f>+'Exhibit A'!F38</f>
        <v>4386.7999999999993</v>
      </c>
      <c r="G39" s="9"/>
      <c r="H39" s="449">
        <f>+'Exhibit G State'!N104</f>
        <v>66.300000000000068</v>
      </c>
      <c r="I39" s="9"/>
      <c r="J39" s="1415">
        <f>+'Exhibit G State'!AD104</f>
        <v>474.1</v>
      </c>
      <c r="K39" s="9"/>
      <c r="L39" s="453">
        <f>+'Exhibit A'!L38</f>
        <v>0</v>
      </c>
      <c r="M39" s="9"/>
      <c r="N39" s="10">
        <f>+'Exhibit A'!N38</f>
        <v>0</v>
      </c>
      <c r="O39" s="10"/>
      <c r="P39" s="1411"/>
      <c r="Q39" s="2103"/>
      <c r="R39" s="1825">
        <f>ROUND(SUM(D39+H39+L39),1)</f>
        <v>555.4</v>
      </c>
      <c r="S39" s="10"/>
      <c r="T39" s="9">
        <f>ROUND(SUM(F39+J39+N39),1)</f>
        <v>4860.8999999999996</v>
      </c>
      <c r="U39" s="9"/>
      <c r="V39" s="9"/>
      <c r="W39" s="1412"/>
      <c r="X39" s="10"/>
      <c r="Y39" s="9">
        <v>518.69999999999993</v>
      </c>
      <c r="Z39" s="9" t="s">
        <v>14</v>
      </c>
      <c r="AA39" s="9">
        <f>+'Exhibit F'!AF118+'Exhibit G State'!AG104</f>
        <v>5040</v>
      </c>
      <c r="AB39" s="7"/>
      <c r="AC39" s="1405"/>
      <c r="AD39" s="9">
        <f t="shared" si="8"/>
        <v>-179.1</v>
      </c>
      <c r="AF39" s="948">
        <f>ROUND(+AD39/AA39,3)</f>
        <v>-3.5999999999999997E-2</v>
      </c>
    </row>
    <row r="40" spans="1:32" ht="18" customHeight="1">
      <c r="A40" s="7" t="s">
        <v>39</v>
      </c>
      <c r="B40" s="7"/>
      <c r="C40" s="7"/>
      <c r="D40" s="449"/>
      <c r="E40" s="9"/>
      <c r="F40" s="9"/>
      <c r="G40" s="9"/>
      <c r="H40" s="449"/>
      <c r="I40" s="9"/>
      <c r="J40" s="9"/>
      <c r="K40" s="9"/>
      <c r="L40" s="449"/>
      <c r="M40" s="9"/>
      <c r="N40" s="9"/>
      <c r="O40" s="9"/>
      <c r="P40" s="1410"/>
      <c r="Q40" s="1420"/>
      <c r="R40" s="947" t="s">
        <v>14</v>
      </c>
      <c r="S40" s="9"/>
      <c r="T40" s="449" t="s">
        <v>14</v>
      </c>
      <c r="U40" s="9"/>
      <c r="V40" s="9"/>
      <c r="W40" s="1369"/>
      <c r="X40" s="9"/>
      <c r="Y40" s="449" t="s">
        <v>14</v>
      </c>
      <c r="Z40" s="9"/>
      <c r="AA40" s="449" t="s">
        <v>14</v>
      </c>
      <c r="AB40" s="7"/>
      <c r="AC40" s="1405"/>
      <c r="AD40" s="9"/>
      <c r="AF40" s="948"/>
    </row>
    <row r="41" spans="1:32" ht="18" customHeight="1">
      <c r="A41" s="7" t="s">
        <v>40</v>
      </c>
      <c r="B41" s="1401"/>
      <c r="C41" s="7"/>
      <c r="D41" s="453">
        <v>0</v>
      </c>
      <c r="E41" s="9"/>
      <c r="F41" s="10">
        <v>0</v>
      </c>
      <c r="G41" s="9"/>
      <c r="H41" s="453">
        <v>0</v>
      </c>
      <c r="I41" s="9"/>
      <c r="J41" s="10">
        <v>0</v>
      </c>
      <c r="K41" s="9"/>
      <c r="L41" s="453">
        <f>+'Exhibit A'!L40</f>
        <v>426.9</v>
      </c>
      <c r="M41" s="1825"/>
      <c r="N41" s="10">
        <f>+'Exhibit A'!N40</f>
        <v>561.4</v>
      </c>
      <c r="O41" s="9"/>
      <c r="P41" s="1410"/>
      <c r="Q41" s="1420"/>
      <c r="R41" s="1825">
        <f>ROUND(SUM(D41+H41+L41),1)</f>
        <v>426.9</v>
      </c>
      <c r="S41" s="9"/>
      <c r="T41" s="9">
        <f>ROUND(SUM(F41+J41+N41),1)</f>
        <v>561.4</v>
      </c>
      <c r="U41" s="9"/>
      <c r="V41" s="9"/>
      <c r="W41" s="1369"/>
      <c r="X41" s="9"/>
      <c r="Y41" s="9">
        <v>1061.0999999999999</v>
      </c>
      <c r="Z41" s="9" t="s">
        <v>14</v>
      </c>
      <c r="AA41" s="9">
        <f>+'Exhibit H'!AD60</f>
        <v>1425.4</v>
      </c>
      <c r="AB41" s="7"/>
      <c r="AC41" s="1405"/>
      <c r="AD41" s="9">
        <f t="shared" si="8"/>
        <v>-864</v>
      </c>
      <c r="AF41" s="948">
        <f>ROUND(+AD41/AA41,3)</f>
        <v>-0.60599999999999998</v>
      </c>
    </row>
    <row r="42" spans="1:32" ht="18" customHeight="1">
      <c r="A42" s="7" t="s">
        <v>41</v>
      </c>
      <c r="B42" s="1364"/>
      <c r="C42" s="7"/>
      <c r="D42" s="453">
        <v>0</v>
      </c>
      <c r="E42" s="9"/>
      <c r="F42" s="10">
        <v>0</v>
      </c>
      <c r="G42" s="9"/>
      <c r="H42" s="453">
        <f>'Exhibit G State'!N105</f>
        <v>0</v>
      </c>
      <c r="I42" s="9"/>
      <c r="J42" s="453">
        <f>'Exhibit G State'!AD105</f>
        <v>0</v>
      </c>
      <c r="K42" s="9"/>
      <c r="L42" s="453">
        <v>0</v>
      </c>
      <c r="M42" s="1825"/>
      <c r="N42" s="10">
        <v>0</v>
      </c>
      <c r="O42" s="9"/>
      <c r="P42" s="1410"/>
      <c r="Q42" s="2106"/>
      <c r="R42" s="1825">
        <f>ROUND(SUM(D42+H42+L42),1)</f>
        <v>0</v>
      </c>
      <c r="S42" s="9"/>
      <c r="T42" s="9">
        <f>ROUND(SUM(F42+J42+N42),1)</f>
        <v>0</v>
      </c>
      <c r="U42" s="9"/>
      <c r="V42" s="9"/>
      <c r="W42" s="1908"/>
      <c r="X42" s="9"/>
      <c r="Y42" s="9">
        <v>0</v>
      </c>
      <c r="Z42" s="9"/>
      <c r="AA42" s="9">
        <f>'Exhibit G State'!AG105</f>
        <v>0</v>
      </c>
      <c r="AB42" s="7"/>
      <c r="AC42" s="1405"/>
      <c r="AD42" s="9">
        <f>ROUND(SUM(T42-AA42),1)</f>
        <v>0</v>
      </c>
      <c r="AF42" s="948">
        <f>IF(AA42=0,0,AD42/AA42)</f>
        <v>0</v>
      </c>
    </row>
    <row r="43" spans="1:32" ht="18" customHeight="1">
      <c r="A43" s="1354" t="s">
        <v>56</v>
      </c>
      <c r="B43" s="7"/>
      <c r="C43" s="7"/>
      <c r="D43" s="12">
        <f>SUM(D35:D42)</f>
        <v>6804.6999999999989</v>
      </c>
      <c r="E43" s="16"/>
      <c r="F43" s="12">
        <f>SUM(F35:F42)</f>
        <v>43867.5</v>
      </c>
      <c r="G43" s="16"/>
      <c r="H43" s="12">
        <f>SUM(H35:H42)</f>
        <v>5177</v>
      </c>
      <c r="I43" s="16"/>
      <c r="J43" s="12">
        <f>SUM(J35:J42)</f>
        <v>14587.8</v>
      </c>
      <c r="K43" s="16"/>
      <c r="L43" s="12">
        <f>SUM(L35:L42)</f>
        <v>427.5</v>
      </c>
      <c r="M43" s="16"/>
      <c r="N43" s="12">
        <f>SUM(N35:N42)</f>
        <v>598.1</v>
      </c>
      <c r="O43" s="16"/>
      <c r="P43" s="1413"/>
      <c r="Q43" s="2024"/>
      <c r="R43" s="12">
        <f>ROUND(SUM(R35:R42),1)</f>
        <v>12409.2</v>
      </c>
      <c r="S43" s="16"/>
      <c r="T43" s="12">
        <f>ROUND(SUM(T35:T42),1)</f>
        <v>59053.4</v>
      </c>
      <c r="U43" s="16"/>
      <c r="V43" s="16"/>
      <c r="W43" s="1372"/>
      <c r="X43" s="16"/>
      <c r="Y43" s="12">
        <f>ROUND(SUM(Y35:Y42),1)</f>
        <v>11566.2</v>
      </c>
      <c r="Z43" s="16"/>
      <c r="AA43" s="12">
        <f>ROUND(SUM(AA35:AA42),1)</f>
        <v>52572.4</v>
      </c>
      <c r="AB43" s="1354"/>
      <c r="AC43" s="1414"/>
      <c r="AD43" s="12">
        <f>ROUND(SUM(AD35:AD42),1)</f>
        <v>6481</v>
      </c>
      <c r="AE43" s="1360"/>
      <c r="AF43" s="955">
        <f>ROUND(+AD43/AA43,3)</f>
        <v>0.123</v>
      </c>
    </row>
    <row r="44" spans="1:32" ht="16.350000000000001" customHeight="1">
      <c r="A44" s="1354"/>
      <c r="B44" s="7"/>
      <c r="C44" s="7"/>
      <c r="D44" s="449"/>
      <c r="E44" s="9"/>
      <c r="F44" s="9"/>
      <c r="G44" s="9"/>
      <c r="H44" s="449"/>
      <c r="I44" s="9"/>
      <c r="J44" s="9"/>
      <c r="K44" s="9"/>
      <c r="L44" s="449"/>
      <c r="M44" s="9"/>
      <c r="N44" s="9"/>
      <c r="O44" s="9"/>
      <c r="P44" s="1410"/>
      <c r="Q44" s="1420"/>
      <c r="R44" s="9"/>
      <c r="S44" s="9"/>
      <c r="T44" s="9"/>
      <c r="U44" s="9"/>
      <c r="V44" s="9"/>
      <c r="W44" s="1369"/>
      <c r="X44" s="9"/>
      <c r="Y44" s="9"/>
      <c r="Z44" s="9"/>
      <c r="AA44" s="9"/>
      <c r="AB44" s="7"/>
      <c r="AC44" s="1405"/>
      <c r="AD44" s="9"/>
      <c r="AF44" s="951"/>
    </row>
    <row r="45" spans="1:32" ht="16.350000000000001" customHeight="1">
      <c r="A45" s="1354" t="s">
        <v>43</v>
      </c>
      <c r="B45" s="1354"/>
      <c r="C45" s="7"/>
      <c r="D45" s="449"/>
      <c r="E45" s="9"/>
      <c r="F45" s="9"/>
      <c r="G45" s="9"/>
      <c r="H45" s="449"/>
      <c r="I45" s="9"/>
      <c r="J45" s="9"/>
      <c r="K45" s="9"/>
      <c r="L45" s="449"/>
      <c r="M45" s="9"/>
      <c r="N45" s="9"/>
      <c r="O45" s="9"/>
      <c r="P45" s="1410"/>
      <c r="Q45" s="1420"/>
      <c r="R45" s="9"/>
      <c r="S45" s="9"/>
      <c r="T45" s="9"/>
      <c r="U45" s="9"/>
      <c r="V45" s="9"/>
      <c r="W45" s="1369"/>
      <c r="X45" s="9"/>
      <c r="Y45" s="9"/>
      <c r="Z45" s="9"/>
      <c r="AA45" s="9"/>
      <c r="AB45" s="7"/>
      <c r="AC45" s="1405"/>
      <c r="AD45" s="9"/>
      <c r="AF45" s="951"/>
    </row>
    <row r="46" spans="1:32" ht="16.350000000000001" customHeight="1">
      <c r="A46" s="1354" t="s">
        <v>44</v>
      </c>
      <c r="B46" s="1354"/>
      <c r="C46" s="7"/>
      <c r="D46" s="15">
        <f>ROUND(SUM(D21-D43),1)</f>
        <v>344.6</v>
      </c>
      <c r="E46" s="16"/>
      <c r="F46" s="15">
        <f>ROUND(SUM(F21-F43),1)</f>
        <v>-14665.7</v>
      </c>
      <c r="G46" s="16"/>
      <c r="H46" s="15">
        <f>ROUND(SUM(H21-H43),1)</f>
        <v>-2439.5</v>
      </c>
      <c r="I46" s="16"/>
      <c r="J46" s="15">
        <f>ROUND(SUM(J21-J43),1)</f>
        <v>-1483.4</v>
      </c>
      <c r="K46" s="16"/>
      <c r="L46" s="15">
        <f>ROUND(SUM(L21-L43),1)</f>
        <v>4253.2</v>
      </c>
      <c r="M46" s="16" t="s">
        <v>14</v>
      </c>
      <c r="N46" s="15">
        <f>ROUND(SUM(N21-N43),1)</f>
        <v>20890.3</v>
      </c>
      <c r="O46" s="16"/>
      <c r="P46" s="1413"/>
      <c r="Q46" s="2024"/>
      <c r="R46" s="15">
        <f>ROUND(SUM(+R21-R43),1)</f>
        <v>2158.3000000000002</v>
      </c>
      <c r="S46" s="16"/>
      <c r="T46" s="15">
        <f>ROUND(SUM(+T21-T43),1)</f>
        <v>4741.2</v>
      </c>
      <c r="U46" s="16"/>
      <c r="V46" s="16"/>
      <c r="W46" s="1372"/>
      <c r="X46" s="16"/>
      <c r="Y46" s="15">
        <f>ROUND(SUM(Y21-Y43),1)</f>
        <v>3872.3</v>
      </c>
      <c r="Z46" s="16" t="s">
        <v>14</v>
      </c>
      <c r="AA46" s="15">
        <f>ROUND(SUM(AA21-AA43),1)</f>
        <v>16417.8</v>
      </c>
      <c r="AB46" s="1354"/>
      <c r="AC46" s="1414"/>
      <c r="AD46" s="15">
        <f>ROUND(SUM(AD21-AD43),1)</f>
        <v>-11676.6</v>
      </c>
      <c r="AE46" s="1360"/>
      <c r="AF46" s="965">
        <f>ROUND(AD46/ABS(AA46),3)</f>
        <v>-0.71099999999999997</v>
      </c>
    </row>
    <row r="47" spans="1:32" ht="16.350000000000001" customHeight="1">
      <c r="A47" s="7"/>
      <c r="B47" s="7"/>
      <c r="C47" s="7"/>
      <c r="D47" s="449"/>
      <c r="E47" s="9"/>
      <c r="F47" s="9"/>
      <c r="G47" s="9"/>
      <c r="H47" s="449"/>
      <c r="I47" s="9"/>
      <c r="J47" s="9"/>
      <c r="K47" s="9"/>
      <c r="L47" s="449"/>
      <c r="M47" s="9"/>
      <c r="N47" s="9"/>
      <c r="O47" s="9"/>
      <c r="P47" s="1410"/>
      <c r="Q47" s="1420"/>
      <c r="R47" s="9"/>
      <c r="S47" s="9"/>
      <c r="T47" s="9"/>
      <c r="U47" s="9"/>
      <c r="V47" s="9"/>
      <c r="W47" s="1369"/>
      <c r="X47" s="9"/>
      <c r="Y47" s="9"/>
      <c r="Z47" s="9"/>
      <c r="AA47" s="9"/>
      <c r="AB47" s="7"/>
      <c r="AC47" s="1405"/>
      <c r="AD47" s="9"/>
      <c r="AF47" s="951"/>
    </row>
    <row r="48" spans="1:32" ht="16.350000000000001" customHeight="1">
      <c r="A48" s="1354" t="s">
        <v>45</v>
      </c>
      <c r="B48" s="1354"/>
      <c r="C48" s="7"/>
      <c r="D48" s="449"/>
      <c r="E48" s="9"/>
      <c r="F48" s="9"/>
      <c r="G48" s="9"/>
      <c r="H48" s="449"/>
      <c r="I48" s="9"/>
      <c r="J48" s="9"/>
      <c r="K48" s="9"/>
      <c r="L48" s="449"/>
      <c r="M48" s="9"/>
      <c r="N48" s="9"/>
      <c r="O48" s="9"/>
      <c r="P48" s="1410"/>
      <c r="Q48" s="1420"/>
      <c r="R48" s="9"/>
      <c r="S48" s="9"/>
      <c r="T48" s="9"/>
      <c r="U48" s="9"/>
      <c r="V48" s="9"/>
      <c r="W48" s="1369"/>
      <c r="X48" s="9"/>
      <c r="Y48" s="9"/>
      <c r="Z48" s="9"/>
      <c r="AA48" s="9"/>
      <c r="AB48" s="7"/>
      <c r="AC48" s="1405"/>
      <c r="AD48" s="9"/>
      <c r="AF48" s="951"/>
    </row>
    <row r="49" spans="1:33" ht="18" customHeight="1">
      <c r="A49" s="7" t="s">
        <v>46</v>
      </c>
      <c r="B49" s="1401" t="s">
        <v>1098</v>
      </c>
      <c r="C49" s="7"/>
      <c r="D49" s="449">
        <f>+'Exhibit A'!D49</f>
        <v>5215.3999999999987</v>
      </c>
      <c r="E49" s="9"/>
      <c r="F49" s="9">
        <f>+'Exhibit A'!F49</f>
        <v>21577.599999999999</v>
      </c>
      <c r="G49" s="9"/>
      <c r="H49" s="449">
        <f>+'Exhibit G State'!N113</f>
        <v>94.5</v>
      </c>
      <c r="I49" s="9"/>
      <c r="J49" s="9">
        <f>+'Exhibit G State'!AD113</f>
        <v>2191</v>
      </c>
      <c r="K49" s="9"/>
      <c r="L49" s="449">
        <f>+'Exhibit A'!L49</f>
        <v>81.500000000000028</v>
      </c>
      <c r="M49" s="9"/>
      <c r="N49" s="10">
        <f>+'Exhibit A'!N49</f>
        <v>644.1</v>
      </c>
      <c r="O49" s="9"/>
      <c r="P49" s="1410"/>
      <c r="Q49" s="1420"/>
      <c r="R49" s="10">
        <f>ROUND(SUM(L49+H49+D49),1)</f>
        <v>5391.4</v>
      </c>
      <c r="S49" s="9"/>
      <c r="T49" s="10">
        <f>ROUND(SUM(F49+J49+N49),1)</f>
        <v>24412.7</v>
      </c>
      <c r="U49" s="9"/>
      <c r="V49" s="9"/>
      <c r="W49" s="1369"/>
      <c r="X49" s="9"/>
      <c r="Y49" s="9">
        <v>6167.6</v>
      </c>
      <c r="Z49" s="9" t="s">
        <v>14</v>
      </c>
      <c r="AA49" s="9">
        <f>'Exhibit F'!AF127+'Exhibit F'!AF128+'Exhibit F'!AF129+'Exhibit F'!AF130+'Exhibit G State'!AG113+'Exhibit H'!AD68</f>
        <v>29795.1</v>
      </c>
      <c r="AB49" s="7"/>
      <c r="AC49" s="1405"/>
      <c r="AD49" s="9">
        <f>ROUND(SUM(T49-AA49),1)</f>
        <v>-5382.4</v>
      </c>
      <c r="AF49" s="948">
        <f>ROUND(SUM(+AD49/AA49),3)</f>
        <v>-0.18099999999999999</v>
      </c>
      <c r="AG49" s="1345" t="s">
        <v>14</v>
      </c>
    </row>
    <row r="50" spans="1:33" ht="18" customHeight="1">
      <c r="A50" s="7" t="s">
        <v>47</v>
      </c>
      <c r="B50" s="1401" t="s">
        <v>1098</v>
      </c>
      <c r="C50" s="7"/>
      <c r="D50" s="449">
        <f>+'Exhibit A'!D50</f>
        <v>-108.40000000000006</v>
      </c>
      <c r="E50" s="9"/>
      <c r="F50" s="9">
        <f>+'Exhibit A'!F50</f>
        <v>-2390.6</v>
      </c>
      <c r="G50" s="9"/>
      <c r="H50" s="449">
        <f>+'Exhibit G State'!N114</f>
        <v>-6.4000000000000057</v>
      </c>
      <c r="I50" s="9"/>
      <c r="J50" s="1825">
        <f>'Exhibit G State'!AD114</f>
        <v>-91.2</v>
      </c>
      <c r="K50" s="9"/>
      <c r="L50" s="449">
        <f>+'Exhibit A'!L50</f>
        <v>-5203.899999999996</v>
      </c>
      <c r="M50" s="9"/>
      <c r="N50" s="10">
        <f>+'Exhibit A'!N50</f>
        <v>-21500.6</v>
      </c>
      <c r="O50" s="9"/>
      <c r="P50" s="1410"/>
      <c r="Q50" s="1420"/>
      <c r="R50" s="1825">
        <f>ROUND(SUM(D50+H50+L50),1)</f>
        <v>-5318.7</v>
      </c>
      <c r="S50" s="9"/>
      <c r="T50" s="9">
        <f>ROUND(SUM(F50+J50+N50),1)</f>
        <v>-23982.400000000001</v>
      </c>
      <c r="U50" s="9"/>
      <c r="V50" s="9"/>
      <c r="W50" s="1369"/>
      <c r="X50" s="9"/>
      <c r="Y50" s="9">
        <v>-5754.4</v>
      </c>
      <c r="Z50" s="9" t="s">
        <v>14</v>
      </c>
      <c r="AA50" s="9">
        <f>'Exhibit F'!AF131+'Exhibit F'!AF132+'Exhibit F'!AF133+'Exhibit F'!AF134+'Exhibit G State'!AG114+'Exhibit H'!AD69</f>
        <v>-28480.799999999999</v>
      </c>
      <c r="AB50" s="7"/>
      <c r="AC50" s="1405"/>
      <c r="AD50" s="9">
        <f>-ROUND(SUM(T50-AA50),1)</f>
        <v>-4498.3999999999996</v>
      </c>
      <c r="AF50" s="1421">
        <f>ROUND(SUM(-AD50/AA50),3)</f>
        <v>-0.158</v>
      </c>
      <c r="AG50" s="1345" t="s">
        <v>14</v>
      </c>
    </row>
    <row r="51" spans="1:33" ht="18" customHeight="1">
      <c r="A51" s="1354" t="s">
        <v>48</v>
      </c>
      <c r="B51" s="1354"/>
      <c r="C51" s="7"/>
      <c r="D51" s="12">
        <f>ROUND(SUM(D49:D50),1)</f>
        <v>5107</v>
      </c>
      <c r="E51" s="16"/>
      <c r="F51" s="12">
        <f>ROUND(SUM(F49:F50),1)</f>
        <v>19187</v>
      </c>
      <c r="G51" s="16"/>
      <c r="H51" s="12">
        <f>ROUND(SUM(H49:H50),1)</f>
        <v>88.1</v>
      </c>
      <c r="I51" s="16"/>
      <c r="J51" s="12">
        <f>ROUND(SUM(J49:J50),1)</f>
        <v>2099.8000000000002</v>
      </c>
      <c r="K51" s="16"/>
      <c r="L51" s="12">
        <f>ROUND(SUM(L49:L50),1)</f>
        <v>-5122.3999999999996</v>
      </c>
      <c r="M51" s="16"/>
      <c r="N51" s="12">
        <f>ROUND(SUM(N49:N50),1)</f>
        <v>-20856.5</v>
      </c>
      <c r="O51" s="16"/>
      <c r="P51" s="1413"/>
      <c r="Q51" s="2024"/>
      <c r="R51" s="12">
        <f>ROUND(SUM(R49:R50),1)</f>
        <v>72.7</v>
      </c>
      <c r="S51" s="16"/>
      <c r="T51" s="12">
        <f>ROUND(SUM(T49:T50),1)</f>
        <v>430.3</v>
      </c>
      <c r="U51" s="16"/>
      <c r="V51" s="16"/>
      <c r="W51" s="1372"/>
      <c r="X51" s="16"/>
      <c r="Y51" s="1840">
        <f>ROUND(SUM(+Y49+Y50),1)</f>
        <v>413.2</v>
      </c>
      <c r="Z51" s="16"/>
      <c r="AA51" s="1370">
        <f>ROUND(SUM(+AA49+AA50),1)</f>
        <v>1314.3</v>
      </c>
      <c r="AB51" s="1354"/>
      <c r="AC51" s="1414"/>
      <c r="AD51" s="1370">
        <f>ROUND(SUM(AD49-AD50),1)</f>
        <v>-884</v>
      </c>
      <c r="AE51" s="1360"/>
      <c r="AF51" s="950">
        <f>ROUND(SUM(AD51/ABS(AA51)),3)</f>
        <v>-0.67300000000000004</v>
      </c>
      <c r="AG51" s="1345" t="s">
        <v>14</v>
      </c>
    </row>
    <row r="52" spans="1:33" ht="16.350000000000001" customHeight="1">
      <c r="A52" s="7"/>
      <c r="B52" s="7"/>
      <c r="C52" s="7"/>
      <c r="D52" s="449"/>
      <c r="E52" s="9"/>
      <c r="F52" s="9"/>
      <c r="G52" s="9"/>
      <c r="H52" s="449"/>
      <c r="I52" s="9"/>
      <c r="J52" s="9"/>
      <c r="K52" s="9"/>
      <c r="L52" s="449"/>
      <c r="M52" s="9"/>
      <c r="N52" s="9"/>
      <c r="O52" s="9"/>
      <c r="P52" s="1410"/>
      <c r="Q52" s="1420"/>
      <c r="R52" s="9"/>
      <c r="S52" s="9"/>
      <c r="T52" s="9"/>
      <c r="U52" s="9"/>
      <c r="V52" s="9"/>
      <c r="W52" s="1369"/>
      <c r="X52" s="9"/>
      <c r="Y52" s="9"/>
      <c r="Z52" s="9"/>
      <c r="AA52" s="9"/>
      <c r="AB52" s="7"/>
      <c r="AC52" s="1405"/>
      <c r="AD52" s="9"/>
      <c r="AF52" s="951"/>
    </row>
    <row r="53" spans="1:33" ht="18" customHeight="1">
      <c r="A53" s="1354" t="s">
        <v>43</v>
      </c>
      <c r="B53" s="1354"/>
      <c r="C53" s="7"/>
      <c r="D53" s="449"/>
      <c r="E53" s="9"/>
      <c r="F53" s="9"/>
      <c r="G53" s="9"/>
      <c r="H53" s="449"/>
      <c r="I53" s="9"/>
      <c r="J53" s="9"/>
      <c r="K53" s="9"/>
      <c r="L53" s="449"/>
      <c r="M53" s="9"/>
      <c r="N53" s="9"/>
      <c r="O53" s="9"/>
      <c r="P53" s="1410"/>
      <c r="Q53" s="1420"/>
      <c r="R53" s="9"/>
      <c r="S53" s="9"/>
      <c r="T53" s="9"/>
      <c r="U53" s="9"/>
      <c r="V53" s="9"/>
      <c r="W53" s="1369"/>
      <c r="X53" s="9"/>
      <c r="Y53" s="9"/>
      <c r="Z53" s="9"/>
      <c r="AA53" s="9"/>
      <c r="AB53" s="7"/>
      <c r="AC53" s="1405"/>
      <c r="AD53" s="9"/>
      <c r="AF53" s="952"/>
    </row>
    <row r="54" spans="1:33" ht="18" customHeight="1">
      <c r="A54" s="1354" t="s">
        <v>57</v>
      </c>
      <c r="B54" s="1354"/>
      <c r="C54" s="7"/>
      <c r="D54" s="449"/>
      <c r="E54" s="9"/>
      <c r="F54" s="9"/>
      <c r="G54" s="9"/>
      <c r="H54" s="449"/>
      <c r="I54" s="9"/>
      <c r="J54" s="9"/>
      <c r="K54" s="9"/>
      <c r="L54" s="449"/>
      <c r="M54" s="9"/>
      <c r="N54" s="9"/>
      <c r="O54" s="9"/>
      <c r="P54" s="1410"/>
      <c r="Q54" s="1420"/>
      <c r="R54" s="9"/>
      <c r="S54" s="9"/>
      <c r="T54" s="9"/>
      <c r="U54" s="9"/>
      <c r="V54" s="9"/>
      <c r="W54" s="1369"/>
      <c r="X54" s="9"/>
      <c r="Y54" s="9" t="s">
        <v>14</v>
      </c>
      <c r="Z54" s="9"/>
      <c r="AA54" s="9"/>
      <c r="AB54" s="7"/>
      <c r="AC54" s="1405"/>
      <c r="AD54" s="9"/>
      <c r="AF54" s="951"/>
    </row>
    <row r="55" spans="1:33" ht="18" customHeight="1">
      <c r="A55" s="1354" t="s">
        <v>58</v>
      </c>
      <c r="B55" s="1354"/>
      <c r="C55" s="7"/>
      <c r="D55" s="16">
        <f>ROUND(SUM(D46+D51),1)</f>
        <v>5451.6</v>
      </c>
      <c r="E55" s="16"/>
      <c r="F55" s="16">
        <f>ROUND(SUM(F46)+SUM(F51),1)</f>
        <v>4521.3</v>
      </c>
      <c r="G55" s="16"/>
      <c r="H55" s="16">
        <f>ROUND(SUM(H46+H51),1)</f>
        <v>-2351.4</v>
      </c>
      <c r="I55" s="16"/>
      <c r="J55" s="16">
        <f>ROUND(SUM(J46)+SUM(J51),1)</f>
        <v>616.4</v>
      </c>
      <c r="K55" s="16"/>
      <c r="L55" s="16">
        <f>ROUND(SUM(L46+L51),1)</f>
        <v>-869.2</v>
      </c>
      <c r="M55" s="1413"/>
      <c r="N55" s="1413">
        <f>ROUND(SUM(N46+N51),1)</f>
        <v>33.799999999999997</v>
      </c>
      <c r="O55" s="1413"/>
      <c r="P55" s="1413"/>
      <c r="Q55" s="1422"/>
      <c r="R55" s="1413">
        <f>ROUND(SUM(+R46+R51),1)</f>
        <v>2231</v>
      </c>
      <c r="S55" s="1413"/>
      <c r="T55" s="1413">
        <f>ROUND(SUM(T46+T51),1)</f>
        <v>5171.5</v>
      </c>
      <c r="U55" s="1413"/>
      <c r="V55" s="1413"/>
      <c r="W55" s="1423"/>
      <c r="X55" s="1413"/>
      <c r="Y55" s="16">
        <f>ROUND(SUM(Y46)+SUM(Y51),1)</f>
        <v>4285.5</v>
      </c>
      <c r="Z55" s="16"/>
      <c r="AA55" s="16">
        <f>ROUND(SUM(AA46)+SUM(AA51),1)</f>
        <v>17732.099999999999</v>
      </c>
      <c r="AB55" s="1354"/>
      <c r="AC55" s="1414"/>
      <c r="AD55" s="16">
        <f>ROUND(SUM(+AD46+AD51),1)</f>
        <v>-12560.6</v>
      </c>
      <c r="AE55" s="1360"/>
      <c r="AF55" s="974">
        <f>ROUND(SUM(AD55/AA55),3)</f>
        <v>-0.70799999999999996</v>
      </c>
    </row>
    <row r="56" spans="1:33" ht="16.350000000000001" customHeight="1">
      <c r="A56" s="1354"/>
      <c r="B56" s="1354"/>
      <c r="C56" s="7"/>
      <c r="D56" s="449"/>
      <c r="E56" s="9"/>
      <c r="F56" s="9"/>
      <c r="G56" s="9"/>
      <c r="H56" s="449"/>
      <c r="I56" s="9"/>
      <c r="J56" s="9"/>
      <c r="K56" s="9"/>
      <c r="L56" s="449"/>
      <c r="M56" s="9"/>
      <c r="N56" s="9"/>
      <c r="O56" s="9"/>
      <c r="P56" s="1410"/>
      <c r="Q56" s="1420"/>
      <c r="R56" s="9"/>
      <c r="S56" s="9"/>
      <c r="T56" s="9"/>
      <c r="U56" s="9"/>
      <c r="V56" s="9"/>
      <c r="W56" s="1369"/>
      <c r="X56" s="9"/>
      <c r="Y56" s="9"/>
      <c r="Z56" s="9"/>
      <c r="AA56" s="9"/>
      <c r="AB56" s="7"/>
      <c r="AC56" s="1405"/>
      <c r="AD56" s="9"/>
      <c r="AF56" s="951"/>
    </row>
    <row r="57" spans="1:33" ht="18" customHeight="1">
      <c r="A57" s="1424" t="s">
        <v>51</v>
      </c>
      <c r="B57" s="1364"/>
      <c r="C57" s="7"/>
      <c r="D57" s="15">
        <f>+'Exhibit A'!D57</f>
        <v>42520.3</v>
      </c>
      <c r="E57" s="16"/>
      <c r="F57" s="15">
        <f>'Exhibit A'!F57</f>
        <v>43450.6</v>
      </c>
      <c r="G57" s="16"/>
      <c r="H57" s="15">
        <f>+'Exhibit G State'!N13</f>
        <v>12081.6</v>
      </c>
      <c r="I57" s="16"/>
      <c r="J57" s="15">
        <f>'Exhibit G State'!D13</f>
        <v>9113.7999999999993</v>
      </c>
      <c r="K57" s="16"/>
      <c r="L57" s="15">
        <f>+'Exhibit A'!L57</f>
        <v>1062.4000000000001</v>
      </c>
      <c r="M57" s="16"/>
      <c r="N57" s="2023">
        <f>+'Exhibit A'!N57</f>
        <v>159.4</v>
      </c>
      <c r="O57" s="16"/>
      <c r="P57" s="1413"/>
      <c r="Q57" s="2024"/>
      <c r="R57" s="15">
        <f>ROUND(SUM(D57+H57+L57),1)</f>
        <v>55664.3</v>
      </c>
      <c r="S57" s="16"/>
      <c r="T57" s="15">
        <f>ROUND(SUM(F57+J57+N57),1)</f>
        <v>52723.8</v>
      </c>
      <c r="U57" s="16"/>
      <c r="V57" s="16"/>
      <c r="W57" s="1372"/>
      <c r="X57" s="16"/>
      <c r="Y57" s="15">
        <v>54213.8</v>
      </c>
      <c r="Z57" s="16" t="s">
        <v>14</v>
      </c>
      <c r="AA57" s="15">
        <f>'Exhibit F'!AF12+'Exhibit G State'!AG13+'Exhibit H'!AD12</f>
        <v>40767.199999999997</v>
      </c>
      <c r="AB57" s="1354"/>
      <c r="AC57" s="1414"/>
      <c r="AD57" s="15">
        <f>ROUND(SUM(T57-AA57),1)</f>
        <v>11956.6</v>
      </c>
      <c r="AE57" s="1360"/>
      <c r="AF57" s="1373">
        <f>ROUND(+AD57/AA57,3)</f>
        <v>0.29299999999999998</v>
      </c>
    </row>
    <row r="58" spans="1:33" ht="16.350000000000001" customHeight="1">
      <c r="A58" s="7"/>
      <c r="B58" s="7"/>
      <c r="C58" s="7"/>
      <c r="D58" s="451"/>
      <c r="E58" s="7"/>
      <c r="F58" s="7"/>
      <c r="G58" s="7"/>
      <c r="H58" s="451"/>
      <c r="I58" s="7"/>
      <c r="J58" s="7"/>
      <c r="K58" s="7"/>
      <c r="L58" s="451"/>
      <c r="M58" s="7"/>
      <c r="N58" s="7"/>
      <c r="O58" s="7"/>
      <c r="P58" s="1402"/>
      <c r="Q58" s="1403"/>
      <c r="R58" s="7"/>
      <c r="S58" s="7"/>
      <c r="T58" s="7"/>
      <c r="U58" s="7"/>
      <c r="V58" s="7"/>
      <c r="W58" s="1404"/>
      <c r="X58" s="7"/>
      <c r="Y58" s="7"/>
      <c r="Z58" s="7"/>
      <c r="AA58" s="7"/>
      <c r="AB58" s="7"/>
      <c r="AC58" s="1405"/>
      <c r="AD58" s="9"/>
      <c r="AF58" s="951"/>
    </row>
    <row r="59" spans="1:33" ht="18" customHeight="1" thickBot="1">
      <c r="A59" s="1424" t="s">
        <v>59</v>
      </c>
      <c r="B59" s="1358" t="s">
        <v>14</v>
      </c>
      <c r="C59" s="7"/>
      <c r="D59" s="18">
        <f>ROUND(SUM(D55+D57),1)</f>
        <v>47971.9</v>
      </c>
      <c r="E59" s="1375"/>
      <c r="F59" s="18">
        <f>ROUND(SUM(F55+F57),1)</f>
        <v>47971.9</v>
      </c>
      <c r="G59" s="1375"/>
      <c r="H59" s="18">
        <f>ROUND(SUM(H55+H57),1)</f>
        <v>9730.2000000000007</v>
      </c>
      <c r="I59" s="1375"/>
      <c r="J59" s="18">
        <f>ROUND(SUM(J55)+SUM(J57),1)</f>
        <v>9730.2000000000007</v>
      </c>
      <c r="K59" s="1375"/>
      <c r="L59" s="18">
        <f>ROUND(SUM(L55+L57),1)</f>
        <v>193.2</v>
      </c>
      <c r="M59" s="1425"/>
      <c r="N59" s="1426">
        <f>ROUND(SUM(N55+N57),1)</f>
        <v>193.2</v>
      </c>
      <c r="O59" s="1425"/>
      <c r="P59" s="1425"/>
      <c r="Q59" s="1427"/>
      <c r="R59" s="1426">
        <f>ROUND(SUM(R55+R57),1)</f>
        <v>57895.3</v>
      </c>
      <c r="S59" s="1425"/>
      <c r="T59" s="1426">
        <f>ROUND(SUM(T55+T57),1)</f>
        <v>57895.3</v>
      </c>
      <c r="U59" s="1425"/>
      <c r="V59" s="1425"/>
      <c r="W59" s="1428"/>
      <c r="X59" s="1425"/>
      <c r="Y59" s="18">
        <f>ROUND(SUM(Y55+Y57),1)</f>
        <v>58499.3</v>
      </c>
      <c r="Z59" s="1375"/>
      <c r="AA59" s="18">
        <f>ROUND(SUM(AA55+AA57),1)</f>
        <v>58499.3</v>
      </c>
      <c r="AB59" s="1379"/>
      <c r="AC59" s="1429"/>
      <c r="AD59" s="18">
        <f>ROUND(SUM(AD55+AD57),1)</f>
        <v>-604</v>
      </c>
      <c r="AE59" s="1360"/>
      <c r="AF59" s="1378">
        <f>ROUND(+AD59/AA59,3)</f>
        <v>-0.01</v>
      </c>
      <c r="AG59" s="1345" t="s">
        <v>14</v>
      </c>
    </row>
    <row r="60" spans="1:33" ht="15.75" thickTop="1">
      <c r="A60" s="1380"/>
      <c r="B60" s="1380"/>
      <c r="C60" s="1380"/>
      <c r="D60" s="1381"/>
      <c r="E60" s="1381"/>
      <c r="F60" s="1381"/>
      <c r="G60" s="1381"/>
      <c r="H60" s="1382"/>
      <c r="I60" s="1381"/>
      <c r="J60" s="1381"/>
      <c r="K60" s="1381"/>
      <c r="L60" s="1381"/>
      <c r="M60" s="1381"/>
      <c r="N60" s="1381"/>
      <c r="O60" s="1381"/>
      <c r="P60" s="1430"/>
      <c r="Q60" s="1381"/>
      <c r="R60" s="1381"/>
      <c r="S60" s="1381"/>
      <c r="T60" s="1381"/>
      <c r="U60" s="1381"/>
      <c r="V60" s="1381"/>
      <c r="W60" s="1381"/>
      <c r="X60" s="1381"/>
      <c r="Y60" s="1381"/>
      <c r="Z60" s="1381"/>
      <c r="AA60" s="1381"/>
      <c r="AB60" s="1381"/>
      <c r="AC60" s="1381"/>
      <c r="AD60" s="1381"/>
      <c r="AF60" s="1383"/>
    </row>
    <row r="61" spans="1:33">
      <c r="H61" s="1346" t="s">
        <v>14</v>
      </c>
      <c r="Q61" s="1345" t="s">
        <v>14</v>
      </c>
      <c r="R61" s="1345" t="s">
        <v>14</v>
      </c>
    </row>
    <row r="62" spans="1:33" ht="18" customHeight="1">
      <c r="A62" s="489" t="s">
        <v>1053</v>
      </c>
      <c r="AA62" s="1345" t="s">
        <v>14</v>
      </c>
    </row>
    <row r="63" spans="1:33" ht="18" customHeight="1">
      <c r="A63" s="1431" t="s">
        <v>1052</v>
      </c>
    </row>
    <row r="64" spans="1:33" ht="15">
      <c r="A64" s="1401"/>
      <c r="Y64" s="449" t="s">
        <v>14</v>
      </c>
      <c r="AA64" s="1345" t="s">
        <v>14</v>
      </c>
    </row>
    <row r="65" spans="1:25" ht="15.75">
      <c r="A65" s="1384"/>
      <c r="B65" s="1385"/>
      <c r="C65" s="490"/>
      <c r="D65" s="1387"/>
      <c r="E65" s="1387"/>
      <c r="F65" s="1387"/>
      <c r="G65" s="1387"/>
      <c r="H65" s="1386"/>
      <c r="I65" s="1387"/>
      <c r="J65" s="1387"/>
      <c r="K65" s="1387"/>
      <c r="L65" s="1387"/>
      <c r="Y65" s="449" t="s">
        <v>14</v>
      </c>
    </row>
    <row r="66" spans="1:25" ht="15">
      <c r="A66" s="951"/>
      <c r="B66" s="951"/>
      <c r="C66" s="951"/>
      <c r="D66" s="489"/>
      <c r="E66" s="951"/>
      <c r="F66" s="951"/>
      <c r="G66" s="951"/>
      <c r="H66" s="1388"/>
      <c r="I66" s="951"/>
      <c r="J66" s="951"/>
      <c r="K66" s="951"/>
      <c r="L66" s="489"/>
    </row>
    <row r="67" spans="1:25" ht="15">
      <c r="A67" s="951"/>
      <c r="B67" s="951"/>
      <c r="C67" s="951"/>
      <c r="D67" s="489"/>
      <c r="E67" s="951"/>
      <c r="F67" s="951"/>
      <c r="G67" s="951"/>
      <c r="H67" s="1388"/>
      <c r="I67" s="951"/>
      <c r="J67" s="951"/>
      <c r="K67" s="951"/>
      <c r="L67" s="489"/>
    </row>
    <row r="68" spans="1:25" ht="15">
      <c r="A68" s="951"/>
      <c r="B68" s="951"/>
      <c r="C68" s="951"/>
      <c r="D68" s="489"/>
      <c r="E68" s="951"/>
      <c r="F68" s="951"/>
      <c r="G68" s="951"/>
      <c r="H68" s="1388"/>
      <c r="I68" s="951"/>
      <c r="J68" s="951"/>
      <c r="K68" s="951"/>
      <c r="L68" s="489"/>
    </row>
    <row r="69" spans="1:25" ht="19.5" customHeight="1">
      <c r="A69" s="951"/>
      <c r="I69" s="951"/>
    </row>
    <row r="73" spans="1:25">
      <c r="F73" s="1345" t="s">
        <v>14</v>
      </c>
    </row>
  </sheetData>
  <mergeCells count="7">
    <mergeCell ref="R10:AB10"/>
    <mergeCell ref="D10:N10"/>
    <mergeCell ref="L11:N11"/>
    <mergeCell ref="A3:AB3"/>
    <mergeCell ref="A4:AB4"/>
    <mergeCell ref="A5:AB5"/>
    <mergeCell ref="A7:AB7"/>
  </mergeCells>
  <pageMargins left="0.25" right="0.25" top="0.5" bottom="0.25" header="0" footer="0.25"/>
  <pageSetup scale="48" firstPageNumber="3" orientation="landscape" useFirstPageNumber="1" r:id="rId1"/>
  <headerFooter scaleWithDoc="0" alignWithMargins="0">
    <oddFooter>&amp;C&amp;8&amp;P</oddFooter>
  </headerFooter>
  <customProperties>
    <customPr name="SheetOptions" r:id="rId2"/>
  </customProperties>
  <ignoredErrors>
    <ignoredError sqref="AE15:AF15 AD52:AF54 AE16:AE17 AD36:AF36 AE32:AE34 AD15:AD17 AD32:AD34 AD44:AF45 AE37:AE41 AD37:AD41 AE49:AF50 AD49 AD58:AF58 AD48:AF48 AE46 AF16:AF17 AF32:AF35 AD35:AE35 AF37:AF41 AE43 AD57:AF57 AD59:AF59 AE51 AD56:AF56 AE55 AE47:AF47" unlockedFormula="1"/>
    <ignoredError sqref="B49:B50" numberStoredAsText="1"/>
    <ignoredError sqref="AF42"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pageSetUpPr autoPageBreaks="0"/>
  </sheetPr>
  <dimension ref="A1:U131"/>
  <sheetViews>
    <sheetView showGridLines="0" topLeftCell="B1" zoomScaleNormal="90" workbookViewId="0"/>
  </sheetViews>
  <sheetFormatPr defaultColWidth="8.88671875" defaultRowHeight="15.75"/>
  <cols>
    <col min="1" max="1" width="3.5546875" style="976" customWidth="1"/>
    <col min="2" max="2" width="8.44140625" style="976" customWidth="1"/>
    <col min="3" max="3" width="12.109375" style="976" customWidth="1"/>
    <col min="4" max="4" width="15" style="975" customWidth="1"/>
    <col min="5" max="5" width="15.109375" style="975" customWidth="1"/>
    <col min="6" max="6" width="12.109375" style="976" customWidth="1"/>
    <col min="7" max="7" width="10.109375" style="976" customWidth="1"/>
    <col min="8" max="8" width="9.109375" style="401" customWidth="1"/>
    <col min="9" max="9" width="5.5546875" style="487" customWidth="1"/>
    <col min="10" max="10" width="9.109375" style="487" customWidth="1"/>
    <col min="11" max="11" width="8.109375" style="975" customWidth="1"/>
    <col min="12" max="12" width="16" style="975" customWidth="1"/>
    <col min="13" max="13" width="12.109375" style="975" customWidth="1"/>
    <col min="14" max="14" width="7.88671875" style="975" customWidth="1"/>
    <col min="15" max="15" width="18.88671875" style="1017" customWidth="1"/>
    <col min="16" max="16" width="4.88671875" style="1017" customWidth="1"/>
    <col min="17" max="17" width="8" style="1017" customWidth="1"/>
    <col min="18" max="18" width="3.88671875" style="1017" customWidth="1"/>
    <col min="19" max="19" width="13.109375" style="1017" customWidth="1"/>
    <col min="20" max="21" width="12.109375" style="1017" customWidth="1"/>
    <col min="22" max="16384" width="8.88671875" style="1017"/>
  </cols>
  <sheetData>
    <row r="1" spans="1:20">
      <c r="A1" s="468" t="s">
        <v>841</v>
      </c>
    </row>
    <row r="2" spans="1:20">
      <c r="A2" s="398" t="s">
        <v>670</v>
      </c>
      <c r="B2" s="399"/>
      <c r="C2" s="400"/>
      <c r="D2" s="401"/>
      <c r="E2" s="401"/>
      <c r="F2" s="401"/>
      <c r="G2" s="401"/>
      <c r="I2" s="402"/>
      <c r="J2" s="402"/>
      <c r="K2" s="401"/>
      <c r="L2" s="401"/>
      <c r="M2" s="401"/>
      <c r="N2" s="403"/>
      <c r="O2" s="642" t="s">
        <v>837</v>
      </c>
      <c r="Q2" s="405"/>
      <c r="R2" s="405"/>
      <c r="S2" s="406"/>
      <c r="T2" s="407"/>
    </row>
    <row r="3" spans="1:20" ht="13.35" customHeight="1">
      <c r="A3" s="399"/>
      <c r="B3" s="399"/>
      <c r="C3" s="400"/>
      <c r="D3" s="401"/>
      <c r="E3" s="401"/>
      <c r="F3" s="401"/>
      <c r="G3" s="401"/>
      <c r="I3" s="976"/>
      <c r="J3" s="976"/>
      <c r="M3" s="976"/>
      <c r="N3" s="976"/>
      <c r="O3" s="2164" t="s">
        <v>1512</v>
      </c>
      <c r="T3" s="407"/>
    </row>
    <row r="4" spans="1:20" ht="9" customHeight="1">
      <c r="T4" s="407"/>
    </row>
    <row r="5" spans="1:20" ht="13.5" customHeight="1">
      <c r="T5" s="407"/>
    </row>
    <row r="6" spans="1:20" ht="13.5" customHeight="1">
      <c r="A6" s="408" t="s">
        <v>671</v>
      </c>
      <c r="B6" s="401" t="s">
        <v>672</v>
      </c>
      <c r="C6" s="401"/>
      <c r="D6" s="401"/>
      <c r="E6" s="401"/>
      <c r="F6" s="401"/>
      <c r="G6" s="401"/>
      <c r="H6" s="410"/>
      <c r="J6" s="2123" t="s">
        <v>1419</v>
      </c>
      <c r="K6" s="2124"/>
      <c r="L6" s="2074"/>
      <c r="M6" s="2074"/>
      <c r="N6" s="2125"/>
    </row>
    <row r="7" spans="1:20" ht="13.5" customHeight="1">
      <c r="A7" s="408"/>
      <c r="B7" s="401" t="s">
        <v>673</v>
      </c>
      <c r="C7" s="401"/>
      <c r="D7" s="401"/>
      <c r="E7" s="401"/>
      <c r="F7" s="401"/>
      <c r="G7" s="401"/>
      <c r="H7" s="976"/>
      <c r="J7" s="2074" t="s">
        <v>1534</v>
      </c>
      <c r="K7" s="2124"/>
      <c r="L7" s="2126"/>
      <c r="M7" s="2126"/>
      <c r="N7" s="2125"/>
    </row>
    <row r="8" spans="1:20" ht="13.35" customHeight="1">
      <c r="A8" s="408"/>
      <c r="B8" s="401" t="s">
        <v>674</v>
      </c>
      <c r="C8" s="401"/>
      <c r="D8" s="401"/>
      <c r="E8" s="401"/>
      <c r="F8" s="401"/>
      <c r="G8" s="401"/>
      <c r="H8" s="976"/>
      <c r="J8" s="401" t="s">
        <v>1468</v>
      </c>
      <c r="K8" s="2127"/>
      <c r="L8" s="2126"/>
      <c r="M8" s="2126"/>
      <c r="N8" s="2126"/>
    </row>
    <row r="9" spans="1:20" ht="12.75" customHeight="1">
      <c r="A9" s="408"/>
      <c r="B9" s="401" t="s">
        <v>675</v>
      </c>
      <c r="C9" s="401"/>
      <c r="D9" s="401"/>
      <c r="E9" s="401"/>
      <c r="F9" s="401"/>
      <c r="G9" s="401"/>
      <c r="H9" s="408"/>
      <c r="J9" s="401" t="s">
        <v>1535</v>
      </c>
      <c r="K9" s="1285"/>
      <c r="L9" s="2121"/>
      <c r="M9" s="401"/>
      <c r="N9" s="1051"/>
    </row>
    <row r="10" spans="1:20" ht="12.75" customHeight="1">
      <c r="F10" s="1053"/>
      <c r="J10" s="402"/>
      <c r="K10" s="401"/>
      <c r="L10" s="401"/>
      <c r="M10" s="401"/>
      <c r="N10" s="401"/>
      <c r="O10" s="410"/>
    </row>
    <row r="11" spans="1:20" ht="12.75" customHeight="1">
      <c r="A11" s="401"/>
      <c r="B11" s="401"/>
      <c r="C11" s="402" t="s">
        <v>720</v>
      </c>
      <c r="D11" s="1050"/>
      <c r="E11" s="401"/>
      <c r="F11" s="1050">
        <v>389.1</v>
      </c>
      <c r="G11" s="401" t="s">
        <v>676</v>
      </c>
      <c r="H11" s="408" t="s">
        <v>14</v>
      </c>
      <c r="J11" s="402" t="s">
        <v>1475</v>
      </c>
      <c r="K11" s="401"/>
      <c r="L11" s="401"/>
      <c r="M11" s="401"/>
      <c r="N11" s="401"/>
      <c r="O11" s="401"/>
    </row>
    <row r="12" spans="1:20" ht="12.75" customHeight="1">
      <c r="A12" s="401"/>
      <c r="B12" s="402"/>
      <c r="C12" s="402" t="s">
        <v>865</v>
      </c>
      <c r="D12" s="1054"/>
      <c r="E12" s="401"/>
      <c r="F12" s="2191">
        <v>24.1</v>
      </c>
      <c r="G12" s="401"/>
      <c r="H12" s="401" t="s">
        <v>14</v>
      </c>
      <c r="J12" s="402"/>
      <c r="K12" s="401"/>
      <c r="L12" s="401"/>
      <c r="M12" s="401"/>
      <c r="N12" s="401"/>
      <c r="O12" s="401"/>
    </row>
    <row r="13" spans="1:20" ht="12.75" customHeight="1">
      <c r="A13" s="401"/>
      <c r="B13" s="402"/>
      <c r="C13" s="402" t="s">
        <v>677</v>
      </c>
      <c r="D13" s="1054"/>
      <c r="E13" s="401"/>
      <c r="F13" s="2084">
        <v>922.5</v>
      </c>
      <c r="G13" s="401"/>
      <c r="H13" s="1017" t="s">
        <v>14</v>
      </c>
      <c r="J13" s="402"/>
      <c r="K13" s="401" t="s">
        <v>1498</v>
      </c>
      <c r="L13" s="401"/>
      <c r="M13" s="401"/>
      <c r="N13" s="2173">
        <v>2.4</v>
      </c>
      <c r="O13" s="401" t="s">
        <v>676</v>
      </c>
      <c r="T13" s="401"/>
    </row>
    <row r="14" spans="1:20" ht="12.75" customHeight="1">
      <c r="A14" s="401"/>
      <c r="B14" s="402"/>
      <c r="C14" s="402" t="s">
        <v>678</v>
      </c>
      <c r="D14" s="1054"/>
      <c r="E14" s="401"/>
      <c r="F14" s="2084">
        <v>12.9</v>
      </c>
      <c r="H14" s="976" t="s">
        <v>14</v>
      </c>
      <c r="K14" s="401" t="s">
        <v>1503</v>
      </c>
      <c r="N14" s="2296">
        <v>1</v>
      </c>
      <c r="T14" s="409"/>
    </row>
    <row r="15" spans="1:20" ht="12.75" customHeight="1">
      <c r="A15" s="401"/>
      <c r="B15" s="402"/>
      <c r="C15" s="402" t="s">
        <v>866</v>
      </c>
      <c r="D15" s="1054"/>
      <c r="E15" s="401"/>
      <c r="F15" s="2084">
        <v>707</v>
      </c>
      <c r="G15" s="401"/>
      <c r="H15" s="408" t="s">
        <v>14</v>
      </c>
      <c r="K15" s="401" t="s">
        <v>1476</v>
      </c>
      <c r="N15" s="2296">
        <v>28.4</v>
      </c>
      <c r="T15" s="409"/>
    </row>
    <row r="16" spans="1:20" ht="12.75" customHeight="1">
      <c r="C16" s="402" t="s">
        <v>1420</v>
      </c>
      <c r="F16" s="1052">
        <v>987.4</v>
      </c>
      <c r="K16" s="401" t="s">
        <v>1504</v>
      </c>
      <c r="N16" s="2296">
        <v>20.5</v>
      </c>
      <c r="P16" s="1050"/>
      <c r="R16" s="401"/>
    </row>
    <row r="17" spans="1:17" ht="12.75" customHeight="1">
      <c r="A17" s="401"/>
      <c r="B17" s="402"/>
      <c r="C17" s="402" t="s">
        <v>679</v>
      </c>
      <c r="D17" s="1055"/>
      <c r="E17" s="401"/>
      <c r="F17" s="2191">
        <v>527.79999999999995</v>
      </c>
      <c r="G17" s="401"/>
      <c r="K17" s="401" t="s">
        <v>1536</v>
      </c>
      <c r="N17" s="2296">
        <v>2.5</v>
      </c>
    </row>
    <row r="18" spans="1:17" ht="12.75" customHeight="1">
      <c r="A18" s="401"/>
      <c r="B18" s="402"/>
      <c r="C18" s="402" t="s">
        <v>1102</v>
      </c>
      <c r="D18" s="1055"/>
      <c r="E18" s="401"/>
      <c r="F18" s="2084">
        <v>478.2</v>
      </c>
      <c r="G18" s="401"/>
      <c r="K18" s="401" t="s">
        <v>1496</v>
      </c>
      <c r="L18" s="401"/>
      <c r="M18" s="401"/>
      <c r="N18" s="2296">
        <v>3.1</v>
      </c>
    </row>
    <row r="19" spans="1:17" ht="12.75" customHeight="1">
      <c r="A19" s="401"/>
      <c r="B19" s="402"/>
      <c r="G19" s="401"/>
      <c r="K19" s="401" t="s">
        <v>1497</v>
      </c>
      <c r="L19" s="401"/>
      <c r="M19" s="401"/>
      <c r="N19" s="2296">
        <v>4.9000000000000004</v>
      </c>
    </row>
    <row r="20" spans="1:17" ht="13.35" customHeight="1">
      <c r="A20" s="408" t="s">
        <v>680</v>
      </c>
      <c r="B20" s="401" t="s">
        <v>848</v>
      </c>
      <c r="C20" s="401"/>
      <c r="D20" s="401"/>
      <c r="E20" s="401"/>
      <c r="F20" s="401"/>
      <c r="G20" s="401"/>
      <c r="H20" s="408"/>
      <c r="K20" s="401" t="s">
        <v>1493</v>
      </c>
      <c r="L20" s="401"/>
      <c r="M20" s="401"/>
      <c r="N20" s="2296">
        <v>5.2</v>
      </c>
      <c r="Q20" s="2174"/>
    </row>
    <row r="21" spans="1:17" ht="12.75" customHeight="1">
      <c r="A21" s="408"/>
      <c r="B21" s="401" t="s">
        <v>1208</v>
      </c>
      <c r="C21" s="401"/>
      <c r="D21" s="401"/>
      <c r="E21" s="401"/>
      <c r="F21" s="401"/>
      <c r="G21" s="401"/>
      <c r="K21" s="401" t="s">
        <v>1501</v>
      </c>
      <c r="L21" s="401"/>
      <c r="M21" s="401"/>
      <c r="N21" s="2296">
        <v>1.5</v>
      </c>
      <c r="Q21" s="2085"/>
    </row>
    <row r="22" spans="1:17" ht="14.1" customHeight="1">
      <c r="A22" s="408"/>
      <c r="B22" s="401"/>
      <c r="C22" s="401"/>
      <c r="D22" s="401"/>
      <c r="E22" s="401"/>
      <c r="F22" s="401"/>
      <c r="G22" s="401"/>
      <c r="K22" s="401" t="s">
        <v>1500</v>
      </c>
      <c r="L22" s="401"/>
      <c r="M22" s="401"/>
      <c r="N22" s="2296">
        <v>2.7</v>
      </c>
      <c r="Q22" s="2174"/>
    </row>
    <row r="23" spans="1:17" ht="12.75" customHeight="1">
      <c r="A23" s="401"/>
      <c r="B23" s="1056" t="s">
        <v>1304</v>
      </c>
      <c r="C23" s="1056"/>
      <c r="D23" s="401"/>
      <c r="E23" s="401"/>
      <c r="F23" s="2173"/>
      <c r="G23" s="401"/>
      <c r="K23" s="401" t="s">
        <v>1502</v>
      </c>
      <c r="L23" s="401"/>
      <c r="M23" s="401"/>
      <c r="N23" s="2296">
        <v>1.7</v>
      </c>
    </row>
    <row r="24" spans="1:17" ht="12.75" customHeight="1">
      <c r="G24" s="401"/>
      <c r="K24" s="401" t="s">
        <v>1505</v>
      </c>
      <c r="L24" s="401"/>
      <c r="M24" s="401"/>
      <c r="N24" s="2296">
        <v>2</v>
      </c>
    </row>
    <row r="25" spans="1:17" ht="13.35" customHeight="1">
      <c r="C25" s="402" t="s">
        <v>1076</v>
      </c>
      <c r="F25" s="1064">
        <v>232.7</v>
      </c>
      <c r="G25" s="401" t="s">
        <v>676</v>
      </c>
      <c r="K25" s="401" t="s">
        <v>1492</v>
      </c>
      <c r="L25" s="401"/>
      <c r="M25" s="401"/>
      <c r="N25" s="2296">
        <v>1.3</v>
      </c>
    </row>
    <row r="26" spans="1:17" ht="12.75" customHeight="1">
      <c r="C26" s="402" t="s">
        <v>681</v>
      </c>
      <c r="D26" s="1050"/>
      <c r="E26" s="401"/>
      <c r="F26" s="1051">
        <v>91.4</v>
      </c>
      <c r="G26" s="1017"/>
      <c r="H26" s="976"/>
      <c r="K26" s="401" t="s">
        <v>1491</v>
      </c>
      <c r="L26" s="401"/>
      <c r="M26" s="401"/>
      <c r="N26" s="2296">
        <v>13.6</v>
      </c>
    </row>
    <row r="27" spans="1:17" ht="12.75" customHeight="1">
      <c r="C27" s="401" t="s">
        <v>1459</v>
      </c>
      <c r="F27" s="2172">
        <v>12.2</v>
      </c>
      <c r="G27" s="401"/>
      <c r="I27" s="976"/>
      <c r="K27" s="401" t="s">
        <v>1533</v>
      </c>
      <c r="L27" s="401"/>
      <c r="M27" s="401"/>
      <c r="N27" s="2296">
        <v>4.2</v>
      </c>
    </row>
    <row r="28" spans="1:17" ht="12.75" customHeight="1">
      <c r="C28" s="401" t="s">
        <v>1532</v>
      </c>
      <c r="F28" s="2172">
        <v>4.8</v>
      </c>
      <c r="H28" s="408"/>
      <c r="I28" s="976"/>
      <c r="J28" s="402"/>
      <c r="K28" s="401" t="s">
        <v>1499</v>
      </c>
      <c r="L28" s="401"/>
      <c r="M28" s="401"/>
      <c r="N28" s="2296">
        <v>6.7</v>
      </c>
      <c r="O28" s="401"/>
    </row>
    <row r="29" spans="1:17" ht="13.35" customHeight="1">
      <c r="C29" s="1285" t="s">
        <v>1205</v>
      </c>
      <c r="D29" s="1050"/>
      <c r="E29" s="401"/>
      <c r="F29" s="1051">
        <v>48.6</v>
      </c>
      <c r="I29" s="976"/>
      <c r="J29" s="402"/>
      <c r="K29" s="401"/>
      <c r="L29" s="401"/>
      <c r="M29" s="401"/>
      <c r="N29" s="401"/>
      <c r="O29" s="401"/>
    </row>
    <row r="30" spans="1:17" ht="13.35" customHeight="1">
      <c r="C30" s="1285" t="s">
        <v>1470</v>
      </c>
      <c r="D30" s="1050"/>
      <c r="E30" s="401"/>
      <c r="F30" s="1051">
        <v>33</v>
      </c>
      <c r="I30" s="976"/>
      <c r="J30" s="399" t="s">
        <v>1303</v>
      </c>
      <c r="K30" s="399"/>
      <c r="L30" s="401"/>
      <c r="M30" s="401"/>
      <c r="N30" s="401"/>
      <c r="O30" s="975"/>
    </row>
    <row r="31" spans="1:17" ht="12.75" customHeight="1">
      <c r="C31" s="402" t="s">
        <v>1426</v>
      </c>
      <c r="D31" s="402"/>
      <c r="F31" s="1052">
        <v>210</v>
      </c>
      <c r="I31" s="976"/>
      <c r="K31" s="487"/>
      <c r="O31" s="976"/>
    </row>
    <row r="32" spans="1:17" ht="12.75" customHeight="1">
      <c r="C32" s="402" t="s">
        <v>1471</v>
      </c>
      <c r="D32" s="402"/>
      <c r="F32" s="1052">
        <v>2.5</v>
      </c>
      <c r="I32" s="976"/>
      <c r="J32" s="402"/>
      <c r="K32" s="402" t="s">
        <v>682</v>
      </c>
      <c r="L32" s="1050"/>
      <c r="M32" s="401"/>
      <c r="N32" s="1064">
        <v>15643.9</v>
      </c>
      <c r="O32" s="401" t="s">
        <v>676</v>
      </c>
    </row>
    <row r="33" spans="2:20" ht="12.75" customHeight="1">
      <c r="C33" s="402" t="s">
        <v>1472</v>
      </c>
      <c r="D33" s="402"/>
      <c r="F33" s="1052">
        <v>4.4000000000000004</v>
      </c>
      <c r="I33" s="976"/>
      <c r="J33" s="402"/>
      <c r="K33" s="402" t="s">
        <v>683</v>
      </c>
      <c r="L33" s="1050"/>
      <c r="M33" s="401"/>
      <c r="N33" s="1051">
        <v>4482.8</v>
      </c>
      <c r="O33" s="975"/>
    </row>
    <row r="34" spans="2:20" ht="12.75" customHeight="1">
      <c r="C34" s="402" t="s">
        <v>1473</v>
      </c>
      <c r="D34" s="402"/>
      <c r="F34" s="1052">
        <v>24.4</v>
      </c>
      <c r="J34" s="402"/>
      <c r="K34" s="402" t="s">
        <v>684</v>
      </c>
      <c r="L34" s="1050"/>
      <c r="M34" s="401"/>
      <c r="N34" s="1051">
        <v>492.8</v>
      </c>
      <c r="O34" s="401"/>
    </row>
    <row r="35" spans="2:20" ht="12.75" customHeight="1">
      <c r="C35" s="1285" t="s">
        <v>1463</v>
      </c>
      <c r="F35" s="1051">
        <v>50</v>
      </c>
      <c r="K35" s="402" t="s">
        <v>1148</v>
      </c>
      <c r="L35" s="1320"/>
      <c r="M35" s="401"/>
      <c r="N35" s="1052">
        <v>820.1</v>
      </c>
    </row>
    <row r="36" spans="2:20" ht="12.75" customHeight="1">
      <c r="C36" s="1285" t="s">
        <v>1474</v>
      </c>
      <c r="F36" s="1051">
        <v>4.8</v>
      </c>
    </row>
    <row r="37" spans="2:20" ht="12.75" customHeight="1">
      <c r="C37" s="1285" t="s">
        <v>1294</v>
      </c>
      <c r="D37" s="1050"/>
      <c r="E37" s="401"/>
      <c r="F37" s="1051">
        <v>146.6</v>
      </c>
      <c r="K37" s="402"/>
    </row>
    <row r="38" spans="2:20" ht="13.35" customHeight="1">
      <c r="C38" s="1285" t="s">
        <v>1465</v>
      </c>
      <c r="D38" s="1050"/>
      <c r="E38" s="401"/>
      <c r="F38" s="1051">
        <v>25.8</v>
      </c>
      <c r="I38" s="976"/>
      <c r="J38" s="401" t="s">
        <v>863</v>
      </c>
      <c r="K38" s="402"/>
      <c r="L38" s="401"/>
      <c r="M38" s="401"/>
      <c r="N38" s="401"/>
      <c r="P38" s="401"/>
    </row>
    <row r="39" spans="2:20" ht="12.75" customHeight="1">
      <c r="C39" s="1285" t="s">
        <v>1292</v>
      </c>
      <c r="D39" s="2121"/>
      <c r="E39" s="401"/>
      <c r="F39" s="1051">
        <v>77.3</v>
      </c>
      <c r="I39" s="976"/>
      <c r="J39" s="401" t="s">
        <v>1210</v>
      </c>
      <c r="K39" s="402"/>
      <c r="L39" s="401"/>
      <c r="M39" s="401"/>
      <c r="N39" s="401"/>
      <c r="O39" s="975"/>
    </row>
    <row r="40" spans="2:20" ht="12.75" customHeight="1">
      <c r="C40" s="1285" t="s">
        <v>1290</v>
      </c>
      <c r="D40" s="1050"/>
      <c r="E40" s="401"/>
      <c r="F40" s="1051">
        <v>2.7</v>
      </c>
      <c r="J40" s="401" t="s">
        <v>1537</v>
      </c>
      <c r="K40" s="402"/>
      <c r="L40" s="401"/>
      <c r="M40" s="401"/>
      <c r="N40" s="401"/>
      <c r="O40" s="401"/>
      <c r="R40" s="401"/>
    </row>
    <row r="41" spans="2:20" ht="12.75" customHeight="1">
      <c r="C41" s="1285" t="s">
        <v>1464</v>
      </c>
      <c r="D41" s="1050"/>
      <c r="E41" s="401"/>
      <c r="F41" s="1051">
        <v>2.6</v>
      </c>
      <c r="I41" s="976"/>
      <c r="J41" s="976"/>
      <c r="K41" s="976"/>
      <c r="N41" s="976"/>
      <c r="O41" s="976"/>
      <c r="R41" s="409"/>
    </row>
    <row r="42" spans="2:20" ht="12.75" customHeight="1">
      <c r="C42" s="1285" t="s">
        <v>1466</v>
      </c>
      <c r="D42" s="1050"/>
      <c r="E42" s="401"/>
      <c r="F42" s="1051">
        <v>2</v>
      </c>
      <c r="J42" s="399" t="s">
        <v>1539</v>
      </c>
      <c r="M42" s="976"/>
      <c r="N42" s="976"/>
      <c r="R42" s="409"/>
      <c r="T42" s="483"/>
    </row>
    <row r="43" spans="2:20" ht="12.75" customHeight="1">
      <c r="C43" s="402" t="s">
        <v>1295</v>
      </c>
      <c r="D43" s="401"/>
      <c r="F43" s="1052">
        <v>1132.9000000000001</v>
      </c>
      <c r="J43" s="401" t="s">
        <v>1538</v>
      </c>
      <c r="M43" s="976"/>
      <c r="N43" s="976"/>
      <c r="T43" s="483"/>
    </row>
    <row r="44" spans="2:20" ht="13.35" customHeight="1">
      <c r="I44" s="1056"/>
      <c r="T44" s="483"/>
    </row>
    <row r="45" spans="2:20" ht="12.75" customHeight="1">
      <c r="C45" s="401"/>
      <c r="F45" s="2172"/>
      <c r="Q45" s="2085"/>
      <c r="T45" s="483"/>
    </row>
    <row r="46" spans="2:20" ht="12.75" customHeight="1">
      <c r="B46" s="402" t="s">
        <v>685</v>
      </c>
      <c r="C46" s="401"/>
      <c r="F46" s="2172"/>
      <c r="G46" s="1017"/>
      <c r="Q46" s="2175"/>
      <c r="T46" s="483"/>
    </row>
    <row r="47" spans="2:20" ht="12.75" customHeight="1">
      <c r="B47" s="401" t="s">
        <v>1528</v>
      </c>
      <c r="G47" s="1017"/>
      <c r="T47" s="483"/>
    </row>
    <row r="48" spans="2:20" ht="12.75" customHeight="1">
      <c r="B48" s="401" t="s">
        <v>1527</v>
      </c>
      <c r="C48" s="401"/>
      <c r="F48" s="2084"/>
      <c r="G48" s="1017"/>
      <c r="T48" s="483"/>
    </row>
    <row r="49" spans="2:21" ht="12.75" customHeight="1">
      <c r="C49" s="401"/>
      <c r="F49" s="2172"/>
      <c r="S49" s="2085"/>
      <c r="T49" s="483"/>
    </row>
    <row r="50" spans="2:21" ht="13.5" customHeight="1">
      <c r="B50" s="401" t="s">
        <v>849</v>
      </c>
      <c r="C50" s="402"/>
      <c r="F50" s="1052"/>
      <c r="G50" s="975"/>
      <c r="S50" s="2085"/>
    </row>
    <row r="51" spans="2:21" ht="12.75" customHeight="1">
      <c r="B51" s="401" t="s">
        <v>850</v>
      </c>
      <c r="G51" s="975"/>
    </row>
    <row r="52" spans="2:21" ht="12.75" customHeight="1">
      <c r="B52" s="401" t="s">
        <v>1529</v>
      </c>
      <c r="C52" s="402"/>
      <c r="D52" s="402"/>
      <c r="E52" s="401"/>
      <c r="F52" s="1052"/>
      <c r="G52" s="975"/>
    </row>
    <row r="53" spans="2:21" ht="13.35" customHeight="1">
      <c r="B53" s="401" t="s">
        <v>1530</v>
      </c>
      <c r="C53" s="402"/>
      <c r="D53" s="402"/>
      <c r="E53" s="401"/>
      <c r="F53" s="1052"/>
      <c r="G53" s="975"/>
    </row>
    <row r="54" spans="2:21" ht="12.75" customHeight="1">
      <c r="B54" s="401" t="s">
        <v>1531</v>
      </c>
      <c r="C54" s="402"/>
      <c r="D54" s="402"/>
      <c r="E54" s="401"/>
      <c r="F54" s="1052"/>
      <c r="G54" s="975"/>
      <c r="K54" s="2074"/>
      <c r="N54" s="1051"/>
      <c r="S54" s="400"/>
      <c r="T54" s="483"/>
      <c r="U54" s="483"/>
    </row>
    <row r="55" spans="2:21" ht="12.75" customHeight="1">
      <c r="G55" s="975"/>
      <c r="M55" s="1017"/>
      <c r="N55" s="1017"/>
      <c r="S55" s="412"/>
      <c r="T55" s="483"/>
      <c r="U55" s="483"/>
    </row>
    <row r="56" spans="2:21" ht="12.75" customHeight="1">
      <c r="C56" s="1285"/>
      <c r="D56" s="1050"/>
      <c r="E56" s="401"/>
      <c r="F56" s="1051"/>
      <c r="G56" s="975"/>
      <c r="S56" s="412"/>
      <c r="T56" s="483"/>
      <c r="U56" s="483"/>
    </row>
    <row r="57" spans="2:21" ht="12.75" customHeight="1">
      <c r="C57" s="1285"/>
      <c r="D57" s="2121"/>
      <c r="E57" s="401"/>
      <c r="F57" s="1051"/>
      <c r="Q57" s="401"/>
      <c r="R57" s="1051"/>
      <c r="S57" s="413"/>
      <c r="T57" s="483"/>
      <c r="U57" s="483"/>
    </row>
    <row r="58" spans="2:21" ht="12.75" customHeight="1">
      <c r="R58" s="404"/>
    </row>
    <row r="59" spans="2:21" ht="12.75" customHeight="1">
      <c r="G59" s="975"/>
      <c r="R59" s="404"/>
    </row>
    <row r="60" spans="2:21" ht="12.75" customHeight="1">
      <c r="C60" s="1285"/>
      <c r="D60" s="1050"/>
      <c r="E60" s="401"/>
      <c r="F60" s="1051"/>
      <c r="G60" s="975"/>
      <c r="R60" s="977"/>
    </row>
    <row r="61" spans="2:21" ht="12.75" customHeight="1">
      <c r="C61" s="1285"/>
      <c r="D61" s="1050"/>
      <c r="E61" s="401"/>
      <c r="F61" s="1051"/>
      <c r="G61" s="975"/>
      <c r="R61" s="977"/>
    </row>
    <row r="62" spans="2:21" ht="12.75" customHeight="1">
      <c r="C62" s="1285"/>
      <c r="D62" s="1050"/>
      <c r="E62" s="401"/>
      <c r="F62" s="1051"/>
      <c r="G62" s="976" t="s">
        <v>14</v>
      </c>
      <c r="R62" s="977"/>
    </row>
    <row r="63" spans="2:21" ht="12.75" customHeight="1">
      <c r="C63" s="2014"/>
      <c r="D63" s="2121"/>
      <c r="E63" s="401"/>
      <c r="F63" s="1052"/>
      <c r="R63" s="977"/>
    </row>
    <row r="64" spans="2:21" ht="12.75" customHeight="1">
      <c r="H64" s="1052"/>
      <c r="R64" s="977"/>
    </row>
    <row r="65" spans="1:19" ht="12.75" customHeight="1">
      <c r="R65" s="977"/>
    </row>
    <row r="66" spans="1:19" ht="12.75" customHeight="1"/>
    <row r="67" spans="1:19" ht="12.75" customHeight="1">
      <c r="M67" s="415"/>
      <c r="N67" s="416"/>
    </row>
    <row r="68" spans="1:19" ht="12.75" customHeight="1">
      <c r="M68" s="415"/>
      <c r="N68" s="416"/>
    </row>
    <row r="69" spans="1:19" ht="12.75" customHeight="1">
      <c r="M69" s="415"/>
      <c r="N69" s="416"/>
      <c r="P69" s="401"/>
      <c r="R69" s="977"/>
    </row>
    <row r="70" spans="1:19" ht="12.75" customHeight="1">
      <c r="H70" s="1017"/>
      <c r="I70" s="401"/>
      <c r="M70" s="415"/>
      <c r="N70" s="416"/>
      <c r="P70" s="401"/>
      <c r="R70" s="977"/>
    </row>
    <row r="71" spans="1:19" ht="12.75" customHeight="1">
      <c r="H71" s="1017"/>
      <c r="I71" s="1017"/>
      <c r="M71" s="415"/>
      <c r="N71" s="416"/>
      <c r="R71" s="977"/>
    </row>
    <row r="72" spans="1:19" s="410" customFormat="1" ht="12.75" customHeight="1">
      <c r="A72" s="976"/>
      <c r="H72" s="1017"/>
      <c r="I72" s="1017"/>
      <c r="J72" s="487"/>
      <c r="K72" s="975"/>
      <c r="L72" s="975"/>
      <c r="M72" s="415"/>
      <c r="N72" s="416"/>
      <c r="O72" s="1017"/>
      <c r="P72" s="1017"/>
      <c r="R72" s="977"/>
    </row>
    <row r="73" spans="1:19" s="410" customFormat="1" ht="12.75" customHeight="1">
      <c r="A73" s="976"/>
      <c r="H73" s="1017"/>
      <c r="I73" s="1017"/>
      <c r="J73" s="487"/>
      <c r="K73" s="975"/>
      <c r="L73" s="975"/>
      <c r="M73" s="415"/>
      <c r="N73" s="416"/>
      <c r="O73" s="1017"/>
      <c r="P73" s="1017"/>
      <c r="R73" s="977"/>
    </row>
    <row r="74" spans="1:19" ht="12.75" customHeight="1">
      <c r="A74" s="487"/>
      <c r="H74" s="1017"/>
      <c r="I74" s="1017"/>
      <c r="M74" s="415"/>
      <c r="N74" s="416"/>
      <c r="R74" s="414"/>
    </row>
    <row r="75" spans="1:19" ht="12.75" customHeight="1">
      <c r="A75" s="487"/>
      <c r="H75" s="2173"/>
      <c r="I75" s="401"/>
      <c r="M75" s="415"/>
      <c r="N75" s="416"/>
      <c r="R75" s="401"/>
      <c r="S75" s="401"/>
    </row>
    <row r="76" spans="1:19" ht="12.75" customHeight="1">
      <c r="A76" s="487"/>
      <c r="H76" s="2173"/>
      <c r="M76" s="415"/>
      <c r="N76" s="416"/>
      <c r="R76" s="401"/>
      <c r="S76" s="401"/>
    </row>
    <row r="77" spans="1:19" ht="12.75" customHeight="1">
      <c r="A77" s="487"/>
      <c r="H77" s="1017"/>
      <c r="I77" s="401"/>
      <c r="M77" s="415"/>
      <c r="N77" s="416"/>
      <c r="R77" s="401"/>
      <c r="S77" s="401"/>
    </row>
    <row r="78" spans="1:19" ht="12.75" customHeight="1">
      <c r="A78" s="487"/>
      <c r="H78" s="1017"/>
      <c r="M78" s="415"/>
      <c r="N78" s="416"/>
      <c r="R78" s="401"/>
      <c r="S78" s="401"/>
    </row>
    <row r="79" spans="1:19" ht="12.75" customHeight="1">
      <c r="H79" s="1017"/>
      <c r="J79" s="402"/>
      <c r="K79" s="401"/>
      <c r="L79" s="411"/>
      <c r="M79" s="415"/>
      <c r="N79" s="415"/>
      <c r="R79" s="401"/>
      <c r="S79" s="401"/>
    </row>
    <row r="80" spans="1:19" ht="12.75" customHeight="1">
      <c r="H80" s="1017"/>
      <c r="J80" s="402"/>
      <c r="K80" s="401"/>
      <c r="L80" s="411"/>
      <c r="M80" s="415"/>
      <c r="N80" s="415"/>
      <c r="R80" s="401"/>
      <c r="S80" s="401"/>
    </row>
    <row r="81" spans="1:19" ht="12.75" customHeight="1">
      <c r="A81" s="487"/>
      <c r="H81" s="1017"/>
      <c r="I81" s="402"/>
      <c r="R81" s="401"/>
      <c r="S81" s="401"/>
    </row>
    <row r="82" spans="1:19" ht="12.75" customHeight="1">
      <c r="A82" s="487"/>
      <c r="H82" s="1017"/>
      <c r="I82" s="402"/>
      <c r="P82" s="416"/>
      <c r="R82" s="401"/>
      <c r="S82" s="418"/>
    </row>
    <row r="83" spans="1:19" ht="12.75" customHeight="1">
      <c r="A83" s="487"/>
      <c r="H83" s="1017"/>
      <c r="I83" s="1017"/>
      <c r="P83" s="405"/>
      <c r="R83" s="418"/>
      <c r="S83" s="418"/>
    </row>
    <row r="84" spans="1:19" ht="12.75" customHeight="1">
      <c r="A84" s="408"/>
      <c r="B84" s="401"/>
      <c r="C84" s="402"/>
      <c r="D84" s="1050"/>
      <c r="E84" s="401"/>
      <c r="F84" s="1051"/>
      <c r="G84" s="1017"/>
      <c r="H84" s="1932"/>
      <c r="I84" s="1017"/>
      <c r="P84" s="405"/>
      <c r="R84" s="418"/>
    </row>
    <row r="85" spans="1:19" ht="12.75" customHeight="1">
      <c r="B85" s="401"/>
      <c r="C85" s="402"/>
      <c r="F85" s="1051"/>
      <c r="G85" s="1017"/>
      <c r="H85" s="1052"/>
      <c r="I85" s="1017"/>
      <c r="P85" s="405"/>
      <c r="R85" s="418"/>
    </row>
    <row r="86" spans="1:19" ht="12.75" customHeight="1">
      <c r="B86" s="401"/>
      <c r="C86" s="2074"/>
      <c r="D86" s="1050"/>
      <c r="E86" s="401"/>
      <c r="F86" s="1051"/>
      <c r="G86" s="1017"/>
      <c r="H86" s="1052"/>
      <c r="I86" s="1017"/>
      <c r="P86" s="405"/>
      <c r="R86" s="418"/>
    </row>
    <row r="87" spans="1:19" ht="12.75" customHeight="1">
      <c r="A87" s="410"/>
      <c r="B87" s="401"/>
      <c r="C87" s="2097"/>
      <c r="F87" s="1052"/>
      <c r="G87" s="1017"/>
      <c r="H87" s="1052"/>
      <c r="I87" s="1017"/>
      <c r="P87" s="405"/>
      <c r="R87" s="401"/>
    </row>
    <row r="88" spans="1:19" ht="12.75" customHeight="1">
      <c r="A88" s="487"/>
      <c r="B88" s="487"/>
      <c r="C88" s="2097"/>
      <c r="F88" s="1051"/>
      <c r="G88" s="1285"/>
      <c r="H88" s="1052"/>
      <c r="I88" s="1017"/>
      <c r="P88" s="405"/>
      <c r="R88" s="401"/>
    </row>
    <row r="89" spans="1:19" ht="12.6" customHeight="1">
      <c r="A89" s="408"/>
      <c r="B89" s="402"/>
      <c r="C89" s="975"/>
      <c r="F89" s="975"/>
      <c r="G89" s="1017"/>
      <c r="H89" s="1052"/>
      <c r="I89" s="1017"/>
      <c r="P89" s="405"/>
      <c r="R89" s="401"/>
    </row>
    <row r="90" spans="1:19" ht="12.75" customHeight="1">
      <c r="B90" s="401"/>
      <c r="H90" s="1052"/>
      <c r="I90" s="402"/>
      <c r="P90" s="405"/>
    </row>
    <row r="91" spans="1:19" ht="12.75" customHeight="1">
      <c r="H91" s="1052"/>
      <c r="I91" s="402"/>
      <c r="P91" s="405"/>
    </row>
    <row r="92" spans="1:19" ht="12.6" customHeight="1">
      <c r="I92" s="402"/>
      <c r="P92" s="405"/>
    </row>
    <row r="93" spans="1:19">
      <c r="I93" s="402"/>
      <c r="Q93" s="401"/>
    </row>
    <row r="94" spans="1:19">
      <c r="I94" s="402"/>
      <c r="P94" s="405"/>
      <c r="Q94" s="401"/>
    </row>
    <row r="95" spans="1:19">
      <c r="A95" s="410"/>
      <c r="B95" s="401"/>
      <c r="E95" s="1017"/>
      <c r="F95" s="1017"/>
      <c r="G95" s="1017"/>
      <c r="I95" s="402"/>
      <c r="J95" s="402"/>
      <c r="K95" s="401"/>
      <c r="L95" s="411"/>
      <c r="M95" s="415"/>
      <c r="N95" s="415"/>
      <c r="P95" s="405"/>
      <c r="Q95" s="401"/>
    </row>
    <row r="96" spans="1:19">
      <c r="A96" s="1017"/>
      <c r="B96" s="1017"/>
      <c r="C96" s="1017"/>
      <c r="D96" s="1017"/>
      <c r="E96" s="1017"/>
      <c r="F96" s="1017"/>
      <c r="G96" s="1017"/>
      <c r="I96" s="402"/>
      <c r="J96" s="402"/>
      <c r="K96" s="401"/>
      <c r="L96" s="411"/>
      <c r="M96" s="415"/>
      <c r="N96" s="415"/>
      <c r="P96" s="405"/>
      <c r="Q96" s="401"/>
    </row>
    <row r="97" spans="1:17">
      <c r="A97" s="1017"/>
      <c r="B97" s="1017"/>
      <c r="C97" s="1017"/>
      <c r="D97" s="1017"/>
      <c r="E97" s="1017"/>
      <c r="F97" s="1017"/>
      <c r="G97" s="1017"/>
      <c r="J97" s="976"/>
      <c r="K97" s="401"/>
      <c r="L97" s="411"/>
      <c r="M97" s="415"/>
      <c r="N97" s="415"/>
      <c r="P97" s="405"/>
      <c r="Q97" s="401"/>
    </row>
    <row r="98" spans="1:17">
      <c r="A98" s="1017"/>
      <c r="B98" s="1017"/>
      <c r="C98" s="1017"/>
      <c r="D98" s="1017"/>
      <c r="E98" s="1017"/>
      <c r="F98" s="1017"/>
      <c r="G98" s="1017"/>
      <c r="J98" s="976"/>
      <c r="K98" s="401"/>
      <c r="L98" s="411"/>
      <c r="M98" s="415"/>
      <c r="N98" s="415"/>
      <c r="P98" s="401"/>
      <c r="Q98" s="401"/>
    </row>
    <row r="99" spans="1:17">
      <c r="A99" s="1017"/>
      <c r="B99" s="1017"/>
      <c r="C99" s="1017"/>
      <c r="D99" s="1017"/>
      <c r="E99" s="1017"/>
      <c r="F99" s="1017"/>
      <c r="G99" s="1017"/>
      <c r="P99" s="401"/>
      <c r="Q99" s="401"/>
    </row>
    <row r="100" spans="1:17">
      <c r="A100" s="1017"/>
      <c r="B100" s="1017"/>
      <c r="C100" s="1017"/>
      <c r="D100" s="1017"/>
      <c r="E100" s="1017"/>
      <c r="F100" s="1017"/>
      <c r="G100" s="1017"/>
      <c r="P100" s="401"/>
      <c r="Q100" s="401"/>
    </row>
    <row r="101" spans="1:17">
      <c r="A101" s="1017"/>
      <c r="B101" s="1017"/>
      <c r="C101" s="1017"/>
      <c r="D101" s="1017"/>
      <c r="E101" s="1017"/>
      <c r="F101" s="1017"/>
      <c r="G101" s="1017"/>
      <c r="P101" s="401"/>
      <c r="Q101" s="401"/>
    </row>
    <row r="102" spans="1:17">
      <c r="A102" s="1017"/>
      <c r="B102" s="1017"/>
      <c r="C102" s="1017"/>
      <c r="D102" s="1017"/>
      <c r="E102" s="1017"/>
      <c r="F102" s="1017"/>
      <c r="G102" s="1017"/>
      <c r="P102" s="401"/>
      <c r="Q102" s="401"/>
    </row>
    <row r="103" spans="1:17">
      <c r="A103" s="1017"/>
      <c r="B103" s="1017"/>
      <c r="C103" s="1017"/>
      <c r="D103" s="1017"/>
      <c r="E103" s="1017"/>
      <c r="F103" s="1017"/>
      <c r="G103" s="1017"/>
      <c r="I103" s="405"/>
      <c r="J103" s="402"/>
      <c r="K103" s="401"/>
      <c r="L103" s="401"/>
      <c r="M103" s="401"/>
      <c r="N103" s="401"/>
      <c r="O103" s="401"/>
      <c r="P103" s="401"/>
      <c r="Q103" s="401"/>
    </row>
    <row r="104" spans="1:17">
      <c r="A104" s="1017"/>
      <c r="B104" s="1017"/>
      <c r="C104" s="1017"/>
      <c r="D104" s="1017"/>
      <c r="E104" s="1017"/>
      <c r="F104" s="1017"/>
      <c r="G104" s="1017"/>
      <c r="I104" s="405"/>
      <c r="J104" s="402"/>
      <c r="K104" s="401"/>
      <c r="L104" s="401"/>
      <c r="M104" s="401"/>
      <c r="N104" s="401"/>
      <c r="O104" s="401"/>
      <c r="P104" s="401"/>
      <c r="Q104" s="401"/>
    </row>
    <row r="105" spans="1:17">
      <c r="A105" s="1017"/>
      <c r="B105" s="1017"/>
      <c r="C105" s="1017"/>
      <c r="D105" s="1017"/>
      <c r="E105" s="1017"/>
      <c r="F105" s="1017"/>
      <c r="I105" s="405"/>
      <c r="J105" s="402"/>
      <c r="K105" s="401"/>
      <c r="L105" s="401"/>
      <c r="M105" s="401"/>
      <c r="N105" s="401"/>
      <c r="O105" s="401"/>
      <c r="P105" s="401"/>
      <c r="Q105" s="401"/>
    </row>
    <row r="106" spans="1:17">
      <c r="A106" s="1017"/>
      <c r="I106" s="405"/>
      <c r="J106" s="402"/>
      <c r="K106" s="401"/>
      <c r="L106" s="401"/>
      <c r="M106" s="401"/>
      <c r="N106" s="401"/>
      <c r="O106" s="401"/>
      <c r="Q106" s="401"/>
    </row>
    <row r="107" spans="1:17">
      <c r="A107" s="1017"/>
      <c r="I107" s="405"/>
      <c r="J107" s="402"/>
      <c r="K107" s="401"/>
      <c r="L107" s="401"/>
      <c r="M107" s="401"/>
      <c r="N107" s="401"/>
      <c r="O107" s="401"/>
      <c r="P107" s="401"/>
      <c r="Q107" s="401"/>
    </row>
    <row r="108" spans="1:17">
      <c r="A108" s="1017"/>
      <c r="G108" s="1017"/>
      <c r="I108" s="405"/>
      <c r="J108" s="402"/>
      <c r="K108" s="401"/>
      <c r="L108" s="401"/>
      <c r="M108" s="401"/>
      <c r="N108" s="401"/>
      <c r="O108" s="401"/>
      <c r="P108" s="417"/>
      <c r="Q108" s="401"/>
    </row>
    <row r="109" spans="1:17">
      <c r="B109" s="1017"/>
      <c r="C109" s="1017"/>
      <c r="D109" s="1017"/>
      <c r="E109" s="1017"/>
      <c r="F109" s="1017"/>
      <c r="G109" s="1017"/>
      <c r="I109" s="1017"/>
      <c r="J109" s="402"/>
      <c r="K109" s="401"/>
      <c r="L109" s="401"/>
      <c r="M109" s="401"/>
      <c r="N109" s="401"/>
      <c r="O109" s="401"/>
      <c r="P109" s="401"/>
      <c r="Q109" s="401"/>
    </row>
    <row r="110" spans="1:17">
      <c r="B110" s="1017"/>
      <c r="C110" s="1017"/>
      <c r="D110" s="1017"/>
      <c r="E110" s="1017"/>
      <c r="F110" s="1017"/>
      <c r="G110" s="1017"/>
      <c r="I110" s="401"/>
      <c r="J110" s="402"/>
      <c r="K110" s="401"/>
      <c r="L110" s="401"/>
      <c r="M110" s="401"/>
      <c r="N110" s="401"/>
      <c r="O110" s="401"/>
      <c r="P110" s="419"/>
      <c r="Q110" s="401"/>
    </row>
    <row r="111" spans="1:17">
      <c r="A111" s="1017"/>
      <c r="B111" s="1017"/>
      <c r="C111" s="1017"/>
      <c r="D111" s="1017"/>
      <c r="E111" s="1017"/>
      <c r="F111" s="1017"/>
      <c r="G111" s="1017"/>
      <c r="I111" s="402"/>
      <c r="J111" s="402"/>
      <c r="K111" s="401"/>
      <c r="L111" s="401"/>
      <c r="M111" s="401"/>
      <c r="N111" s="401"/>
      <c r="O111" s="401"/>
      <c r="P111" s="401"/>
      <c r="Q111" s="401"/>
    </row>
    <row r="112" spans="1:17">
      <c r="A112" s="1017"/>
      <c r="B112" s="1017"/>
      <c r="C112" s="1017"/>
      <c r="D112" s="1017"/>
      <c r="E112" s="1017"/>
      <c r="F112" s="1017"/>
      <c r="G112" s="1017"/>
      <c r="I112" s="402"/>
      <c r="J112" s="402"/>
      <c r="K112" s="401"/>
      <c r="L112" s="401"/>
      <c r="M112" s="401"/>
      <c r="N112" s="401"/>
      <c r="O112" s="401"/>
      <c r="P112" s="401"/>
      <c r="Q112" s="401"/>
    </row>
    <row r="113" spans="1:17">
      <c r="A113" s="1017"/>
      <c r="B113" s="1017"/>
      <c r="C113" s="1017"/>
      <c r="D113" s="1017"/>
      <c r="E113" s="1017"/>
      <c r="F113" s="1017"/>
      <c r="G113" s="1017"/>
      <c r="I113" s="402"/>
      <c r="J113" s="402"/>
      <c r="K113" s="401"/>
      <c r="L113" s="401"/>
      <c r="M113" s="401"/>
      <c r="N113" s="401"/>
      <c r="O113" s="401"/>
      <c r="P113" s="401"/>
    </row>
    <row r="114" spans="1:17">
      <c r="A114" s="1017"/>
      <c r="B114" s="1017"/>
      <c r="C114" s="1017"/>
      <c r="D114" s="1017"/>
      <c r="E114" s="1017"/>
      <c r="F114" s="1017"/>
      <c r="G114" s="1017"/>
      <c r="I114" s="402"/>
      <c r="J114" s="402"/>
      <c r="K114" s="401"/>
      <c r="L114" s="401"/>
      <c r="M114" s="401"/>
      <c r="N114" s="401"/>
      <c r="O114" s="401"/>
      <c r="P114" s="401"/>
      <c r="Q114" s="401"/>
    </row>
    <row r="115" spans="1:17">
      <c r="A115" s="1017"/>
      <c r="B115" s="1017"/>
      <c r="C115" s="1017"/>
      <c r="D115" s="1017"/>
      <c r="E115" s="1017"/>
      <c r="F115" s="1017"/>
      <c r="G115" s="1017"/>
      <c r="I115" s="402"/>
      <c r="J115" s="402"/>
      <c r="K115" s="401"/>
      <c r="L115" s="401"/>
      <c r="M115" s="401"/>
      <c r="N115" s="401"/>
      <c r="P115" s="401"/>
      <c r="Q115" s="417"/>
    </row>
    <row r="116" spans="1:17">
      <c r="A116" s="1017"/>
      <c r="B116" s="1017"/>
      <c r="C116" s="1017"/>
      <c r="D116" s="1017"/>
      <c r="E116" s="1017"/>
      <c r="F116" s="1017"/>
      <c r="G116" s="1017"/>
      <c r="I116" s="402"/>
      <c r="J116" s="402"/>
      <c r="K116" s="401"/>
      <c r="L116" s="401"/>
      <c r="M116" s="401"/>
      <c r="N116" s="401"/>
      <c r="O116" s="401"/>
      <c r="P116" s="401"/>
      <c r="Q116" s="401"/>
    </row>
    <row r="117" spans="1:17">
      <c r="A117" s="1017"/>
      <c r="B117" s="1017"/>
      <c r="C117" s="1017"/>
      <c r="D117" s="1017"/>
      <c r="E117" s="1017"/>
      <c r="F117" s="1017"/>
      <c r="G117" s="1017"/>
      <c r="I117" s="402"/>
      <c r="J117" s="402"/>
      <c r="K117" s="401"/>
      <c r="L117" s="401"/>
      <c r="M117" s="401"/>
      <c r="N117" s="401"/>
      <c r="O117" s="401"/>
      <c r="P117" s="418"/>
      <c r="Q117" s="401"/>
    </row>
    <row r="118" spans="1:17">
      <c r="A118" s="1017"/>
      <c r="B118" s="1017"/>
      <c r="C118" s="1017"/>
      <c r="D118" s="1017"/>
      <c r="E118" s="1017"/>
      <c r="F118" s="1017"/>
      <c r="G118" s="1017"/>
      <c r="I118" s="402"/>
      <c r="J118" s="402"/>
      <c r="K118" s="401"/>
      <c r="L118" s="420"/>
      <c r="O118" s="401"/>
      <c r="Q118" s="401"/>
    </row>
    <row r="119" spans="1:17">
      <c r="A119" s="1017"/>
      <c r="B119" s="1017"/>
      <c r="C119" s="1017"/>
      <c r="D119" s="1017"/>
      <c r="E119" s="1017"/>
      <c r="F119" s="1017"/>
      <c r="G119" s="1017"/>
      <c r="I119" s="402"/>
      <c r="J119" s="402"/>
      <c r="K119" s="401"/>
      <c r="L119" s="420"/>
      <c r="M119" s="401"/>
      <c r="N119" s="411"/>
      <c r="O119" s="401"/>
    </row>
    <row r="120" spans="1:17">
      <c r="A120" s="1017"/>
      <c r="B120" s="1017"/>
      <c r="C120" s="1017"/>
      <c r="D120" s="1017"/>
      <c r="E120" s="1017"/>
      <c r="F120" s="1017"/>
      <c r="G120" s="1017"/>
      <c r="I120" s="401"/>
      <c r="J120" s="401"/>
      <c r="K120" s="420"/>
      <c r="L120" s="1017"/>
      <c r="M120" s="1017"/>
      <c r="N120" s="1017"/>
    </row>
    <row r="121" spans="1:17">
      <c r="A121" s="1017"/>
      <c r="B121" s="1017"/>
      <c r="C121" s="1017"/>
      <c r="D121" s="1017"/>
      <c r="E121" s="1017"/>
      <c r="F121" s="1017"/>
      <c r="I121" s="401"/>
      <c r="J121" s="401"/>
      <c r="K121" s="421"/>
      <c r="L121" s="1017"/>
      <c r="M121" s="1017"/>
      <c r="N121" s="1017"/>
    </row>
    <row r="122" spans="1:17">
      <c r="A122" s="1017"/>
      <c r="I122" s="401"/>
      <c r="J122" s="401"/>
      <c r="K122" s="401"/>
      <c r="L122" s="1017"/>
      <c r="M122" s="1017"/>
      <c r="N122" s="1017"/>
    </row>
    <row r="123" spans="1:17">
      <c r="A123" s="1017"/>
      <c r="I123" s="401"/>
      <c r="J123" s="401"/>
      <c r="K123" s="401"/>
      <c r="L123" s="1017"/>
      <c r="M123" s="1017"/>
      <c r="N123" s="1017"/>
    </row>
    <row r="124" spans="1:17">
      <c r="A124" s="1017"/>
      <c r="G124" s="1017"/>
      <c r="I124" s="401"/>
      <c r="J124" s="401"/>
      <c r="L124" s="1017"/>
      <c r="M124" s="1017"/>
      <c r="N124" s="1017"/>
    </row>
    <row r="125" spans="1:17">
      <c r="B125" s="1017"/>
      <c r="C125" s="1017"/>
      <c r="D125" s="1017"/>
      <c r="E125" s="1017"/>
      <c r="F125" s="1017"/>
      <c r="G125" s="1017"/>
    </row>
    <row r="126" spans="1:17">
      <c r="B126" s="1017"/>
      <c r="C126" s="1017"/>
      <c r="D126" s="1017"/>
      <c r="E126" s="1017"/>
      <c r="F126" s="1017"/>
      <c r="G126" s="1017"/>
    </row>
    <row r="127" spans="1:17">
      <c r="B127" s="1017"/>
      <c r="C127" s="1017"/>
      <c r="D127" s="1017"/>
      <c r="E127" s="1017"/>
      <c r="F127" s="1017"/>
      <c r="G127" s="1017"/>
    </row>
    <row r="128" spans="1:17">
      <c r="A128" s="1017"/>
      <c r="B128" s="1017"/>
      <c r="C128" s="1017"/>
      <c r="D128" s="1017"/>
      <c r="E128" s="1017"/>
      <c r="F128" s="1017"/>
      <c r="J128" s="1017"/>
      <c r="K128" s="1017"/>
      <c r="L128" s="1017"/>
      <c r="M128" s="1017"/>
      <c r="N128" s="1017"/>
    </row>
    <row r="129" spans="1:14">
      <c r="A129" s="1017"/>
      <c r="J129" s="1017"/>
      <c r="K129" s="1017"/>
      <c r="L129" s="1017"/>
      <c r="M129" s="1017"/>
      <c r="N129" s="1017"/>
    </row>
    <row r="130" spans="1:14">
      <c r="A130" s="1017"/>
      <c r="I130" s="1017"/>
      <c r="J130" s="1017"/>
      <c r="K130" s="1017"/>
      <c r="L130" s="1017"/>
      <c r="M130" s="1017"/>
      <c r="N130" s="1017"/>
    </row>
    <row r="131" spans="1:14">
      <c r="A131" s="1017"/>
      <c r="I131" s="1017"/>
      <c r="J131" s="1017"/>
      <c r="K131" s="1017"/>
      <c r="L131" s="1017"/>
      <c r="M131" s="1017"/>
      <c r="N131" s="1017"/>
    </row>
  </sheetData>
  <pageMargins left="0.6" right="0.25" top="0.6" bottom="0" header="0.5" footer="0.25"/>
  <pageSetup scale="66" firstPageNumber="4" orientation="landscape" useFirstPageNumber="1" r:id="rId1"/>
  <headerFooter scaleWithDoc="0" alignWithMargins="0">
    <oddFooter>&amp;C&amp;8&amp;P</oddFooter>
  </headerFooter>
  <rowBreaks count="1" manualBreakCount="1">
    <brk id="61" max="14" man="1"/>
  </rowBreaks>
  <customProperties>
    <customPr name="SheetOptions" r:id="rId2"/>
  </customProperties>
  <ignoredErrors>
    <ignoredError sqref="A6"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autoPageBreaks="0" fitToPage="1"/>
  </sheetPr>
  <dimension ref="A1:V57"/>
  <sheetViews>
    <sheetView showGridLines="0" zoomScale="90" zoomScaleNormal="80" workbookViewId="0"/>
  </sheetViews>
  <sheetFormatPr defaultColWidth="8.88671875" defaultRowHeight="15"/>
  <cols>
    <col min="1" max="1" width="44.88671875" style="27" customWidth="1"/>
    <col min="2" max="2" width="13.88671875" style="27" customWidth="1"/>
    <col min="3" max="3" width="1.88671875" style="27" customWidth="1"/>
    <col min="4" max="4" width="13.88671875" style="27" customWidth="1"/>
    <col min="5" max="5" width="1.5546875" style="27" customWidth="1"/>
    <col min="6" max="6" width="13.88671875" style="27" customWidth="1"/>
    <col min="7" max="7" width="1.88671875" style="27" customWidth="1"/>
    <col min="8" max="8" width="13.88671875" style="27" customWidth="1"/>
    <col min="9" max="9" width="0.88671875" style="27" customWidth="1"/>
    <col min="10" max="10" width="12.88671875" style="27" customWidth="1"/>
    <col min="11" max="11" width="1.5546875" style="27" customWidth="1"/>
    <col min="12" max="12" width="13.88671875" style="27" customWidth="1"/>
    <col min="13" max="13" width="1" style="27" customWidth="1"/>
    <col min="14" max="14" width="13.44140625" style="27" customWidth="1"/>
    <col min="15" max="15" width="1.109375" style="27" customWidth="1"/>
    <col min="16" max="16" width="13.109375" style="27" customWidth="1"/>
    <col min="17" max="17" width="1.5546875" style="27" customWidth="1"/>
    <col min="18" max="18" width="1" style="27" customWidth="1"/>
    <col min="19" max="19" width="11.88671875" style="27" customWidth="1"/>
    <col min="20" max="20" width="0.88671875" style="27" customWidth="1"/>
    <col min="21" max="21" width="10.88671875" style="27" customWidth="1"/>
    <col min="22" max="22" width="3.109375" style="27" customWidth="1"/>
    <col min="23" max="16384" width="8.88671875" style="27"/>
  </cols>
  <sheetData>
    <row r="1" spans="1:22">
      <c r="A1" s="468" t="s">
        <v>841</v>
      </c>
    </row>
    <row r="2" spans="1:22">
      <c r="A2" s="598"/>
    </row>
    <row r="3" spans="1:22" s="21" customFormat="1" ht="18" customHeight="1">
      <c r="A3" s="19" t="s">
        <v>0</v>
      </c>
      <c r="B3" s="19"/>
      <c r="C3" s="19"/>
      <c r="D3" s="19"/>
      <c r="E3" s="19"/>
      <c r="F3" s="20"/>
      <c r="G3" s="20"/>
      <c r="H3" s="19"/>
      <c r="I3" s="19"/>
      <c r="J3" s="19"/>
      <c r="K3" s="19"/>
      <c r="L3" s="19"/>
      <c r="M3" s="19"/>
      <c r="N3" s="1871"/>
      <c r="O3" s="2319"/>
      <c r="P3" s="2319"/>
      <c r="Q3" s="900"/>
      <c r="R3" s="900"/>
      <c r="T3" s="22"/>
      <c r="U3" s="2320" t="s">
        <v>60</v>
      </c>
      <c r="V3" s="2320"/>
    </row>
    <row r="4" spans="1:22" s="21" customFormat="1" ht="15.75">
      <c r="A4" s="19" t="s">
        <v>346</v>
      </c>
      <c r="B4" s="19"/>
      <c r="C4" s="19"/>
      <c r="D4" s="19"/>
      <c r="E4" s="19"/>
      <c r="F4" s="20"/>
      <c r="G4" s="20"/>
      <c r="H4" s="19"/>
      <c r="I4" s="19"/>
      <c r="J4" s="19"/>
      <c r="K4" s="19"/>
      <c r="L4" s="19"/>
      <c r="M4" s="19"/>
      <c r="N4" s="19"/>
      <c r="O4" s="19"/>
      <c r="P4" s="19"/>
      <c r="Q4" s="19"/>
      <c r="R4" s="19"/>
      <c r="T4" s="22"/>
      <c r="U4" s="22"/>
      <c r="V4" s="22"/>
    </row>
    <row r="5" spans="1:22" s="21" customFormat="1" ht="15.75" customHeight="1">
      <c r="A5" s="118" t="s">
        <v>755</v>
      </c>
      <c r="B5" s="19"/>
      <c r="C5" s="19"/>
      <c r="D5" s="19"/>
      <c r="E5" s="19"/>
      <c r="F5" s="20"/>
      <c r="G5" s="20"/>
      <c r="H5" s="19"/>
      <c r="I5" s="19"/>
      <c r="J5" s="19"/>
      <c r="K5" s="19"/>
      <c r="L5" s="19"/>
      <c r="M5" s="19"/>
      <c r="N5" s="19"/>
      <c r="O5" s="19"/>
      <c r="P5" s="19" t="s">
        <v>14</v>
      </c>
      <c r="Q5" s="19"/>
      <c r="R5" s="19"/>
      <c r="T5" s="22"/>
      <c r="U5" s="22"/>
      <c r="V5" s="22"/>
    </row>
    <row r="6" spans="1:22" s="21" customFormat="1" ht="15.75">
      <c r="A6" s="19" t="s">
        <v>1199</v>
      </c>
      <c r="B6" s="19"/>
      <c r="C6" s="19"/>
      <c r="D6" s="19"/>
      <c r="E6" s="19"/>
      <c r="F6" s="20"/>
      <c r="G6" s="20"/>
      <c r="H6" s="19"/>
      <c r="I6" s="19"/>
      <c r="J6" s="19"/>
      <c r="K6" s="19"/>
      <c r="L6" s="19"/>
      <c r="M6" s="19"/>
      <c r="N6" s="19"/>
      <c r="O6" s="19"/>
      <c r="P6" s="19"/>
      <c r="Q6" s="19"/>
      <c r="R6" s="19"/>
      <c r="T6" s="22"/>
      <c r="U6" s="22"/>
      <c r="V6" s="22"/>
    </row>
    <row r="7" spans="1:22" s="21" customFormat="1" ht="15.75">
      <c r="A7" s="23"/>
      <c r="B7" s="19"/>
      <c r="C7" s="19"/>
      <c r="D7" s="19"/>
      <c r="E7" s="19"/>
      <c r="F7" s="20"/>
      <c r="G7" s="20"/>
      <c r="H7" s="19"/>
      <c r="I7" s="19"/>
      <c r="J7" s="19"/>
      <c r="K7" s="19"/>
      <c r="L7" s="19"/>
      <c r="M7" s="19"/>
      <c r="N7" s="19"/>
      <c r="O7" s="19"/>
      <c r="P7" s="19"/>
      <c r="Q7" s="19"/>
      <c r="R7" s="19"/>
      <c r="T7" s="22"/>
      <c r="U7" s="22"/>
      <c r="V7" s="22"/>
    </row>
    <row r="8" spans="1:22" s="21" customFormat="1" ht="15.75">
      <c r="B8" s="19"/>
      <c r="C8" s="19"/>
      <c r="D8" s="19"/>
      <c r="E8" s="19"/>
      <c r="F8" s="20"/>
      <c r="G8" s="20"/>
      <c r="H8" s="19"/>
      <c r="I8" s="19"/>
      <c r="J8" s="19"/>
      <c r="K8" s="19"/>
      <c r="L8" s="19"/>
      <c r="M8" s="19"/>
      <c r="N8" s="19"/>
      <c r="O8" s="19"/>
      <c r="P8" s="19"/>
      <c r="Q8" s="19"/>
      <c r="R8" s="19"/>
      <c r="T8" s="22"/>
      <c r="U8" s="22"/>
      <c r="V8" s="22"/>
    </row>
    <row r="9" spans="1:22" s="21" customFormat="1" ht="8.1" customHeight="1">
      <c r="B9" s="19"/>
      <c r="C9" s="19"/>
      <c r="D9" s="19"/>
      <c r="E9" s="19"/>
      <c r="F9" s="19"/>
      <c r="G9" s="20"/>
      <c r="H9" s="19"/>
      <c r="I9" s="19"/>
      <c r="J9" s="19"/>
      <c r="K9" s="19"/>
      <c r="L9" s="19"/>
      <c r="M9" s="19"/>
      <c r="N9" s="19"/>
      <c r="O9" s="19"/>
      <c r="P9" s="19"/>
      <c r="Q9" s="19"/>
      <c r="R9" s="19"/>
      <c r="V9" s="20"/>
    </row>
    <row r="10" spans="1:22" s="21" customFormat="1" ht="15.75">
      <c r="B10" s="19"/>
      <c r="C10" s="19"/>
      <c r="D10" s="19"/>
      <c r="E10" s="19"/>
      <c r="F10" s="19"/>
      <c r="G10" s="20"/>
      <c r="H10" s="19"/>
      <c r="I10" s="19"/>
      <c r="J10" s="19"/>
      <c r="K10" s="19"/>
      <c r="L10" s="19"/>
      <c r="M10" s="19"/>
      <c r="N10" s="19"/>
      <c r="O10" s="19"/>
      <c r="P10" s="19"/>
      <c r="Q10" s="19"/>
      <c r="R10" s="19"/>
      <c r="T10" s="22"/>
      <c r="U10" s="22"/>
      <c r="V10" s="22"/>
    </row>
    <row r="11" spans="1:22" s="21" customFormat="1" ht="15.75">
      <c r="B11" s="19"/>
      <c r="C11" s="19"/>
      <c r="D11" s="19"/>
      <c r="E11" s="19"/>
      <c r="F11" s="19"/>
      <c r="G11" s="20"/>
      <c r="H11" s="19"/>
      <c r="I11" s="19"/>
      <c r="K11" s="133"/>
      <c r="L11" s="901"/>
      <c r="M11" s="140"/>
      <c r="N11" s="133"/>
      <c r="O11" s="133"/>
      <c r="P11" s="133"/>
      <c r="Q11" s="133"/>
      <c r="R11" s="133"/>
      <c r="T11" s="22"/>
      <c r="U11" s="22"/>
      <c r="V11" s="22"/>
    </row>
    <row r="12" spans="1:22" ht="16.350000000000001" customHeight="1">
      <c r="A12" s="21"/>
      <c r="B12" s="133"/>
      <c r="C12" s="133" t="s">
        <v>61</v>
      </c>
      <c r="D12" s="133"/>
      <c r="E12" s="19"/>
      <c r="F12" s="133"/>
      <c r="G12" s="133" t="s">
        <v>62</v>
      </c>
      <c r="H12" s="133"/>
      <c r="I12" s="19"/>
      <c r="J12" s="133"/>
      <c r="K12" s="133"/>
      <c r="L12" s="901"/>
      <c r="M12" s="133" t="s">
        <v>63</v>
      </c>
      <c r="N12" s="133"/>
      <c r="O12" s="133"/>
      <c r="P12" s="133"/>
      <c r="Q12" s="133"/>
      <c r="R12" s="133"/>
      <c r="S12" s="1341" t="s">
        <v>775</v>
      </c>
      <c r="T12" s="1342"/>
      <c r="U12" s="1342"/>
      <c r="V12" s="25"/>
    </row>
    <row r="13" spans="1:22" ht="13.35" customHeight="1">
      <c r="A13" s="21"/>
      <c r="B13" s="28"/>
      <c r="C13" s="28"/>
      <c r="D13" s="28"/>
      <c r="E13" s="21"/>
      <c r="F13" s="28"/>
      <c r="G13" s="29"/>
      <c r="H13" s="28"/>
      <c r="I13" s="21"/>
      <c r="J13" s="28"/>
      <c r="K13" s="28"/>
      <c r="L13" s="28"/>
      <c r="M13" s="28"/>
      <c r="N13" s="28"/>
      <c r="O13" s="28"/>
      <c r="P13" s="28"/>
      <c r="Q13" s="21"/>
      <c r="R13" s="692"/>
      <c r="S13" s="24"/>
      <c r="T13" s="26"/>
      <c r="U13" s="26"/>
      <c r="V13" s="26"/>
    </row>
    <row r="14" spans="1:22" ht="16.350000000000001" customHeight="1">
      <c r="A14" s="21"/>
      <c r="B14" s="133" t="s">
        <v>6</v>
      </c>
      <c r="C14" s="19"/>
      <c r="D14" s="133" t="str">
        <f>'Exhibit A'!F11</f>
        <v>6 MOS. ENDED</v>
      </c>
      <c r="E14" s="19"/>
      <c r="F14" s="133" t="s">
        <v>6</v>
      </c>
      <c r="G14" s="139"/>
      <c r="H14" s="133" t="str">
        <f>D14</f>
        <v>6 MOS. ENDED</v>
      </c>
      <c r="I14" s="19"/>
      <c r="J14" s="133" t="s">
        <v>6</v>
      </c>
      <c r="K14" s="19"/>
      <c r="L14" s="133" t="str">
        <f>D14</f>
        <v>6 MOS. ENDED</v>
      </c>
      <c r="M14" s="19"/>
      <c r="N14" s="133" t="s">
        <v>6</v>
      </c>
      <c r="O14" s="19"/>
      <c r="P14" s="133" t="str">
        <f>H14</f>
        <v>6 MOS. ENDED</v>
      </c>
      <c r="Q14" s="133"/>
      <c r="R14" s="693"/>
      <c r="S14" s="544" t="s">
        <v>7</v>
      </c>
      <c r="T14" s="139"/>
      <c r="U14" s="545" t="s">
        <v>8</v>
      </c>
      <c r="V14" s="26"/>
    </row>
    <row r="15" spans="1:22" ht="16.350000000000001" customHeight="1">
      <c r="A15" s="21"/>
      <c r="B15" s="538" t="str">
        <f>'Exhibit A'!D12</f>
        <v>SEP. 2023</v>
      </c>
      <c r="C15" s="19"/>
      <c r="D15" s="539" t="str">
        <f>'Exhibit A'!F12</f>
        <v>SEP. 30, 2023</v>
      </c>
      <c r="E15" s="19"/>
      <c r="F15" s="133" t="str">
        <f>B15</f>
        <v>SEP. 2023</v>
      </c>
      <c r="G15" s="19"/>
      <c r="H15" s="133" t="str">
        <f>D15</f>
        <v>SEP. 30, 2023</v>
      </c>
      <c r="I15" s="19"/>
      <c r="J15" s="133" t="str">
        <f>B15</f>
        <v>SEP. 2023</v>
      </c>
      <c r="K15" s="19"/>
      <c r="L15" s="133" t="str">
        <f>'Exhibit A'!X12</f>
        <v>SEP. 30, 2023</v>
      </c>
      <c r="M15" s="19"/>
      <c r="N15" s="1872" t="str">
        <f>'Exhibit A'!AB12</f>
        <v>SEP. 2022</v>
      </c>
      <c r="O15" s="19"/>
      <c r="P15" s="1872" t="str">
        <f>'Exhibit A'!AD12</f>
        <v>SEP. 30, 2022</v>
      </c>
      <c r="Q15" s="537"/>
      <c r="R15" s="694"/>
      <c r="S15" s="546" t="s">
        <v>11</v>
      </c>
      <c r="T15" s="139"/>
      <c r="U15" s="547" t="s">
        <v>12</v>
      </c>
      <c r="V15" s="26"/>
    </row>
    <row r="16" spans="1:22" ht="13.35" customHeight="1">
      <c r="A16" s="21"/>
      <c r="B16" s="28"/>
      <c r="C16" s="21"/>
      <c r="D16" s="28" t="s">
        <v>14</v>
      </c>
      <c r="E16" s="21"/>
      <c r="F16" s="28"/>
      <c r="G16" s="21"/>
      <c r="H16" s="29" t="s">
        <v>14</v>
      </c>
      <c r="I16" s="30"/>
      <c r="J16" s="31"/>
      <c r="K16" s="21"/>
      <c r="L16" s="28"/>
      <c r="M16" s="30"/>
      <c r="N16" s="21"/>
      <c r="O16" s="21"/>
      <c r="P16" s="21"/>
      <c r="Q16" s="21"/>
      <c r="R16" s="692"/>
      <c r="S16" s="24"/>
      <c r="T16" s="21"/>
      <c r="U16" s="26"/>
      <c r="V16" s="21"/>
    </row>
    <row r="17" spans="1:22" ht="16.350000000000001" customHeight="1">
      <c r="A17" s="19" t="s">
        <v>13</v>
      </c>
      <c r="B17" s="21"/>
      <c r="C17" s="21"/>
      <c r="D17" s="21"/>
      <c r="E17" s="21"/>
      <c r="F17" s="21"/>
      <c r="G17" s="21"/>
      <c r="H17" s="21"/>
      <c r="I17" s="30"/>
      <c r="J17" s="30"/>
      <c r="K17" s="21"/>
      <c r="L17" s="21"/>
      <c r="M17" s="30"/>
      <c r="N17" s="21"/>
      <c r="O17" s="21"/>
      <c r="P17" s="21"/>
      <c r="Q17" s="21"/>
      <c r="R17" s="692"/>
      <c r="S17" s="24"/>
      <c r="T17" s="21"/>
      <c r="U17" s="26"/>
      <c r="V17" s="21"/>
    </row>
    <row r="18" spans="1:22" ht="16.350000000000001" customHeight="1">
      <c r="A18" s="21" t="s">
        <v>19</v>
      </c>
      <c r="B18" s="479">
        <f>'Exhibit J'!M19</f>
        <v>180.3</v>
      </c>
      <c r="C18" s="479"/>
      <c r="D18" s="479">
        <f>+'Exhibit J'!AB19</f>
        <v>1703.7</v>
      </c>
      <c r="E18" s="479"/>
      <c r="F18" s="479">
        <f>'Exhibit K'!L17</f>
        <v>37.800000000000011</v>
      </c>
      <c r="G18" s="479"/>
      <c r="H18" s="479">
        <f>+'Exhibit K'!AA17</f>
        <v>227.4</v>
      </c>
      <c r="I18" s="824"/>
      <c r="J18" s="824">
        <f>ROUND(SUM(B18)+SUM(F18),1)</f>
        <v>218.1</v>
      </c>
      <c r="K18" s="479"/>
      <c r="L18" s="929">
        <f>ROUND(SUM(D18)+SUM(H18),1)</f>
        <v>1931.1</v>
      </c>
      <c r="M18" s="824"/>
      <c r="N18" s="479">
        <v>350.40000000000003</v>
      </c>
      <c r="O18" s="479"/>
      <c r="P18" s="479">
        <f>'Exhibit J'!AE19+'Exhibit K'!AD17</f>
        <v>1803.9</v>
      </c>
      <c r="Q18" s="479"/>
      <c r="R18" s="930"/>
      <c r="S18" s="479">
        <f>ROUND(SUM(L18-P18),1)</f>
        <v>127.2</v>
      </c>
      <c r="T18" s="668"/>
      <c r="U18" s="488">
        <f>ROUND(+S18/P18,3)</f>
        <v>7.0999999999999994E-2</v>
      </c>
      <c r="V18" s="33"/>
    </row>
    <row r="19" spans="1:22" ht="16.350000000000001" customHeight="1">
      <c r="A19" s="594" t="s">
        <v>64</v>
      </c>
      <c r="B19" s="467">
        <f>'Exhibit J'!M20</f>
        <v>1.8000000000000003</v>
      </c>
      <c r="C19" s="467"/>
      <c r="D19" s="467">
        <f>+'Exhibit J'!AB20</f>
        <v>14.8</v>
      </c>
      <c r="E19" s="467"/>
      <c r="F19" s="480">
        <v>0</v>
      </c>
      <c r="G19" s="467"/>
      <c r="H19" s="480">
        <v>0</v>
      </c>
      <c r="I19" s="931"/>
      <c r="J19" s="932">
        <f>ROUND(SUM(B19)+SUM(F19),1)</f>
        <v>1.8</v>
      </c>
      <c r="K19" s="467"/>
      <c r="L19" s="467">
        <f>ROUND(SUM(D19)+SUM(H19),1)</f>
        <v>14.8</v>
      </c>
      <c r="M19" s="933"/>
      <c r="N19" s="467">
        <v>5.2</v>
      </c>
      <c r="O19" s="467"/>
      <c r="P19" s="467">
        <f>'Exhibit J'!AE20</f>
        <v>55.3</v>
      </c>
      <c r="Q19" s="467"/>
      <c r="R19" s="934"/>
      <c r="S19" s="467">
        <f>ROUND(SUM(L19-P19),1)</f>
        <v>-40.5</v>
      </c>
      <c r="T19" s="935"/>
      <c r="U19" s="991">
        <f>ROUND(+S19/P19,3)</f>
        <v>-0.73199999999999998</v>
      </c>
      <c r="V19" s="39"/>
    </row>
    <row r="20" spans="1:22" ht="16.350000000000001" customHeight="1">
      <c r="A20" s="21" t="s">
        <v>65</v>
      </c>
      <c r="B20" s="467">
        <f>'Exhibit J'!M21</f>
        <v>232.39999999999986</v>
      </c>
      <c r="C20" s="467"/>
      <c r="D20" s="467">
        <f>+'Exhibit J'!AB21</f>
        <v>1145.0999999999999</v>
      </c>
      <c r="E20" s="467"/>
      <c r="F20" s="480">
        <v>0</v>
      </c>
      <c r="G20" s="467"/>
      <c r="H20" s="480">
        <v>0</v>
      </c>
      <c r="I20" s="931"/>
      <c r="J20" s="936">
        <f>ROUND(SUM(B20+F20),1)</f>
        <v>232.4</v>
      </c>
      <c r="K20" s="467"/>
      <c r="L20" s="467">
        <f>ROUND(SUM(D20)+SUM(H20),1)</f>
        <v>1145.0999999999999</v>
      </c>
      <c r="M20" s="933"/>
      <c r="N20" s="467">
        <v>149.4</v>
      </c>
      <c r="O20" s="647"/>
      <c r="P20" s="467">
        <f>'Exhibit J'!AE21</f>
        <v>623.6</v>
      </c>
      <c r="Q20" s="467"/>
      <c r="R20" s="934"/>
      <c r="S20" s="467">
        <f>ROUND(SUM(L20-P20),1)</f>
        <v>521.5</v>
      </c>
      <c r="T20" s="935"/>
      <c r="U20" s="1133">
        <f>ROUND(+S20/P20,3)</f>
        <v>0.83599999999999997</v>
      </c>
      <c r="V20" s="39"/>
    </row>
    <row r="21" spans="1:22" ht="15.75">
      <c r="A21" s="19" t="s">
        <v>21</v>
      </c>
      <c r="B21" s="41">
        <f>ROUND(SUM(B18:B20),1)</f>
        <v>414.5</v>
      </c>
      <c r="C21" s="42"/>
      <c r="D21" s="41">
        <f>ROUND(SUM(D18:D20),1)</f>
        <v>2863.6</v>
      </c>
      <c r="E21" s="42"/>
      <c r="F21" s="41">
        <f>ROUND(SUM(F18:F20),1)</f>
        <v>37.799999999999997</v>
      </c>
      <c r="G21" s="42"/>
      <c r="H21" s="41">
        <f>ROUND(SUM(H18:H20),1)</f>
        <v>227.4</v>
      </c>
      <c r="I21" s="43"/>
      <c r="J21" s="41">
        <f>SUM(J18:J20)</f>
        <v>452.3</v>
      </c>
      <c r="K21" s="42"/>
      <c r="L21" s="41">
        <f>SUM(L18:L20)</f>
        <v>3091</v>
      </c>
      <c r="M21" s="44"/>
      <c r="N21" s="41">
        <f>ROUND(SUM(N18:N20),1)</f>
        <v>505</v>
      </c>
      <c r="O21" s="42"/>
      <c r="P21" s="41">
        <f>ROUND(SUM(P18:P20),1)</f>
        <v>2482.8000000000002</v>
      </c>
      <c r="Q21" s="42"/>
      <c r="R21" s="238"/>
      <c r="S21" s="41">
        <f>ROUND(SUM(S18:S20),1)</f>
        <v>608.20000000000005</v>
      </c>
      <c r="T21" s="472"/>
      <c r="U21" s="1974">
        <f>ROUND(+S21/P21,3)</f>
        <v>0.245</v>
      </c>
      <c r="V21" s="39"/>
    </row>
    <row r="22" spans="1:22" ht="15.75">
      <c r="A22" s="19"/>
      <c r="B22" s="467"/>
      <c r="C22" s="467"/>
      <c r="D22" s="467"/>
      <c r="E22" s="467"/>
      <c r="F22" s="467"/>
      <c r="G22" s="467"/>
      <c r="H22" s="467"/>
      <c r="I22" s="932"/>
      <c r="J22" s="932"/>
      <c r="K22" s="467"/>
      <c r="L22" s="467"/>
      <c r="M22" s="932"/>
      <c r="N22" s="467"/>
      <c r="O22" s="467"/>
      <c r="P22" s="467"/>
      <c r="Q22" s="467"/>
      <c r="R22" s="934"/>
      <c r="S22" s="644"/>
      <c r="T22" s="499"/>
      <c r="U22" s="644"/>
      <c r="V22" s="21"/>
    </row>
    <row r="23" spans="1:22" ht="16.350000000000001" customHeight="1">
      <c r="A23" s="19" t="s">
        <v>22</v>
      </c>
      <c r="B23" s="467"/>
      <c r="C23" s="467"/>
      <c r="D23" s="467"/>
      <c r="E23" s="467"/>
      <c r="F23" s="467"/>
      <c r="G23" s="467"/>
      <c r="H23" s="467"/>
      <c r="I23" s="932"/>
      <c r="J23" s="932"/>
      <c r="K23" s="467"/>
      <c r="L23" s="467"/>
      <c r="M23" s="932"/>
      <c r="N23" s="467"/>
      <c r="O23" s="467"/>
      <c r="P23" s="467"/>
      <c r="Q23" s="467"/>
      <c r="R23" s="934"/>
      <c r="S23" s="644"/>
      <c r="T23" s="499"/>
      <c r="U23" s="644"/>
      <c r="V23" s="21"/>
    </row>
    <row r="24" spans="1:22" ht="16.350000000000001" customHeight="1">
      <c r="A24" s="21" t="s">
        <v>35</v>
      </c>
      <c r="B24" s="467"/>
      <c r="C24" s="467"/>
      <c r="D24" s="467"/>
      <c r="E24" s="467"/>
      <c r="F24" s="467"/>
      <c r="G24" s="467"/>
      <c r="H24" s="467"/>
      <c r="I24" s="932"/>
      <c r="J24" s="932"/>
      <c r="K24" s="467"/>
      <c r="L24" s="467"/>
      <c r="M24" s="932"/>
      <c r="N24" s="467"/>
      <c r="O24" s="467"/>
      <c r="P24" s="467"/>
      <c r="Q24" s="467"/>
      <c r="R24" s="934"/>
      <c r="S24" s="644"/>
      <c r="T24" s="499"/>
      <c r="U24" s="644"/>
      <c r="V24" s="21"/>
    </row>
    <row r="25" spans="1:22" ht="16.350000000000001" customHeight="1">
      <c r="A25" s="21" t="s">
        <v>66</v>
      </c>
      <c r="B25" s="467">
        <f>'Exhibit J'!M28</f>
        <v>138.19999999999996</v>
      </c>
      <c r="C25" s="467"/>
      <c r="D25" s="467">
        <f>+'Exhibit J'!AB28</f>
        <v>856.3</v>
      </c>
      <c r="E25" s="467"/>
      <c r="F25" s="467">
        <f>'Exhibit K'!L24</f>
        <v>10.999999999999986</v>
      </c>
      <c r="G25" s="467"/>
      <c r="H25" s="467">
        <f>+'Exhibit K'!AA24</f>
        <v>72.099999999999994</v>
      </c>
      <c r="I25" s="932"/>
      <c r="J25" s="932">
        <f>ROUND(SUM(B25)+SUM(F25),1)</f>
        <v>149.19999999999999</v>
      </c>
      <c r="K25" s="467"/>
      <c r="L25" s="467">
        <f>ROUND(SUM(D25)+SUM(H25),1)</f>
        <v>928.4</v>
      </c>
      <c r="M25" s="932"/>
      <c r="N25" s="467">
        <v>148.5</v>
      </c>
      <c r="O25" s="467"/>
      <c r="P25" s="467">
        <f>'Exhibit J'!AE28+'Exhibit K'!AD24</f>
        <v>902.19999999999993</v>
      </c>
      <c r="Q25" s="467"/>
      <c r="R25" s="934"/>
      <c r="S25" s="467">
        <f>ROUND(SUM(L25-P25),1)</f>
        <v>26.2</v>
      </c>
      <c r="T25" s="472"/>
      <c r="U25" s="1133">
        <f>ROUND(+S25/P25,3)</f>
        <v>2.9000000000000001E-2</v>
      </c>
      <c r="V25" s="21"/>
    </row>
    <row r="26" spans="1:22" ht="16.350000000000001" customHeight="1">
      <c r="A26" s="21" t="s">
        <v>67</v>
      </c>
      <c r="B26" s="467">
        <f>'Exhibit J'!M29</f>
        <v>148.20000000000002</v>
      </c>
      <c r="C26" s="467"/>
      <c r="D26" s="467">
        <f>+'Exhibit J'!AB29</f>
        <v>402.2</v>
      </c>
      <c r="E26" s="467"/>
      <c r="F26" s="467">
        <f>'Exhibit K'!L25</f>
        <v>45.299999999999969</v>
      </c>
      <c r="G26" s="467"/>
      <c r="H26" s="467">
        <f>+'Exhibit K'!AA25</f>
        <v>241.1</v>
      </c>
      <c r="I26" s="932"/>
      <c r="J26" s="932">
        <f>ROUND(SUM(B26)+SUM(F26),1)</f>
        <v>193.5</v>
      </c>
      <c r="K26" s="467"/>
      <c r="L26" s="467">
        <f>ROUND(SUM(D26)+SUM(H26),1)</f>
        <v>643.29999999999995</v>
      </c>
      <c r="M26" s="932"/>
      <c r="N26" s="467">
        <v>315.90000000000003</v>
      </c>
      <c r="O26" s="467"/>
      <c r="P26" s="467">
        <f>'Exhibit J'!AE29+'Exhibit K'!AD25</f>
        <v>732</v>
      </c>
      <c r="Q26" s="467"/>
      <c r="R26" s="934"/>
      <c r="S26" s="467">
        <f>ROUND(SUM(L26-P26),1)</f>
        <v>-88.7</v>
      </c>
      <c r="T26" s="472"/>
      <c r="U26" s="1133">
        <f>ROUND(+S26/P26,3)</f>
        <v>-0.121</v>
      </c>
      <c r="V26" s="21"/>
    </row>
    <row r="27" spans="1:22" ht="16.350000000000001" customHeight="1">
      <c r="A27" s="21" t="s">
        <v>68</v>
      </c>
      <c r="B27" s="467">
        <f>'Exhibit J'!M30</f>
        <v>62.199999999999989</v>
      </c>
      <c r="C27" s="467"/>
      <c r="D27" s="467">
        <f>+'Exhibit J'!AB30</f>
        <v>353</v>
      </c>
      <c r="E27" s="467"/>
      <c r="F27" s="467">
        <f>'Exhibit K'!L26</f>
        <v>5.699999999999994</v>
      </c>
      <c r="G27" s="467"/>
      <c r="H27" s="718">
        <f>+'Exhibit K'!AA26</f>
        <v>33.799999999999997</v>
      </c>
      <c r="I27" s="467"/>
      <c r="J27" s="932">
        <f>ROUND(SUM(B27)+SUM(F27),1)</f>
        <v>67.900000000000006</v>
      </c>
      <c r="K27" s="467"/>
      <c r="L27" s="467">
        <f>ROUND(SUM(D27)+SUM(H27),1)</f>
        <v>386.8</v>
      </c>
      <c r="M27" s="932"/>
      <c r="N27" s="467">
        <v>52</v>
      </c>
      <c r="O27" s="647"/>
      <c r="P27" s="467">
        <f>'Exhibit J'!AE30+'Exhibit K'!AD26</f>
        <v>368.2</v>
      </c>
      <c r="Q27" s="467"/>
      <c r="R27" s="934"/>
      <c r="S27" s="467">
        <f>ROUND(SUM(L27-P27),1)</f>
        <v>18.600000000000001</v>
      </c>
      <c r="T27" s="472"/>
      <c r="U27" s="1133">
        <f>ROUND(+S27/P27,3)</f>
        <v>5.0999999999999997E-2</v>
      </c>
      <c r="V27" s="21"/>
    </row>
    <row r="28" spans="1:22" ht="15.75" customHeight="1">
      <c r="A28" s="594" t="s">
        <v>69</v>
      </c>
      <c r="B28" s="467">
        <f>'Exhibit J'!M31</f>
        <v>231.20000000000005</v>
      </c>
      <c r="C28" s="467"/>
      <c r="D28" s="467">
        <f>+'Exhibit J'!AB31</f>
        <v>1252.0999999999999</v>
      </c>
      <c r="E28" s="467"/>
      <c r="F28" s="480">
        <v>0</v>
      </c>
      <c r="G28" s="467"/>
      <c r="H28" s="937">
        <v>0</v>
      </c>
      <c r="I28" s="467"/>
      <c r="J28" s="932">
        <f>ROUND(SUM(B28)+SUM(F28),1)</f>
        <v>231.2</v>
      </c>
      <c r="K28" s="647"/>
      <c r="L28" s="467">
        <f>ROUND(SUM(D28)+SUM(H28),1)</f>
        <v>1252.0999999999999</v>
      </c>
      <c r="M28" s="933"/>
      <c r="N28" s="467">
        <v>155.1</v>
      </c>
      <c r="O28" s="493"/>
      <c r="P28" s="1092">
        <f>'Exhibit J'!AE31</f>
        <v>678.9</v>
      </c>
      <c r="Q28" s="495"/>
      <c r="R28" s="938"/>
      <c r="S28" s="467">
        <f>ROUND(SUM(L28-P28),1)</f>
        <v>573.20000000000005</v>
      </c>
      <c r="T28" s="472"/>
      <c r="U28" s="1133">
        <f>ROUND(+S28/P28,3)</f>
        <v>0.84399999999999997</v>
      </c>
      <c r="V28" s="39"/>
    </row>
    <row r="29" spans="1:22" ht="15.75">
      <c r="A29" s="19" t="s">
        <v>56</v>
      </c>
      <c r="B29" s="41">
        <f>ROUND(SUM(B25:B28),1)</f>
        <v>579.79999999999995</v>
      </c>
      <c r="C29" s="42"/>
      <c r="D29" s="41">
        <f>ROUND(SUM(D25:D28),1)</f>
        <v>2863.6</v>
      </c>
      <c r="E29" s="42"/>
      <c r="F29" s="41">
        <f>ROUND(SUM(F24:F28),1)</f>
        <v>62</v>
      </c>
      <c r="G29" s="42"/>
      <c r="H29" s="41">
        <f>ROUND(SUM(H25:H28),1)</f>
        <v>347</v>
      </c>
      <c r="I29" s="43"/>
      <c r="J29" s="47">
        <f>ROUND(SUM(J25:J28),1)</f>
        <v>641.79999999999995</v>
      </c>
      <c r="K29" s="42"/>
      <c r="L29" s="48">
        <f>ROUND(SUM(L25:L28),1)</f>
        <v>3210.6</v>
      </c>
      <c r="M29" s="44"/>
      <c r="N29" s="41">
        <f>ROUND(SUM(N25:N28),1)</f>
        <v>671.5</v>
      </c>
      <c r="O29" s="42"/>
      <c r="P29" s="41">
        <f>ROUND(SUM(P25:P28),1)</f>
        <v>2681.3</v>
      </c>
      <c r="Q29" s="42"/>
      <c r="R29" s="238"/>
      <c r="S29" s="41">
        <f>ROUND(SUM(S25:S28),1)</f>
        <v>529.29999999999995</v>
      </c>
      <c r="T29" s="472"/>
      <c r="U29" s="1965">
        <f>ROUND(+S29/P29,3)</f>
        <v>0.19700000000000001</v>
      </c>
      <c r="V29" s="39"/>
    </row>
    <row r="30" spans="1:22" ht="15.75">
      <c r="A30" s="19"/>
      <c r="B30" s="467"/>
      <c r="C30" s="467"/>
      <c r="D30" s="467"/>
      <c r="E30" s="467"/>
      <c r="F30" s="467"/>
      <c r="G30" s="467"/>
      <c r="H30" s="467"/>
      <c r="I30" s="932"/>
      <c r="J30" s="932"/>
      <c r="K30" s="467"/>
      <c r="L30" s="467"/>
      <c r="M30" s="932"/>
      <c r="N30" s="467"/>
      <c r="O30" s="467"/>
      <c r="P30" s="467"/>
      <c r="Q30" s="467"/>
      <c r="R30" s="934"/>
      <c r="S30" s="644"/>
      <c r="T30" s="499"/>
      <c r="U30" s="644"/>
      <c r="V30" s="21"/>
    </row>
    <row r="31" spans="1:22" ht="16.350000000000001" customHeight="1">
      <c r="A31" s="19" t="s">
        <v>43</v>
      </c>
      <c r="B31" s="467"/>
      <c r="C31" s="467"/>
      <c r="D31" s="467"/>
      <c r="E31" s="467"/>
      <c r="F31" s="467"/>
      <c r="G31" s="467"/>
      <c r="H31" s="467"/>
      <c r="I31" s="932"/>
      <c r="J31" s="932"/>
      <c r="K31" s="467"/>
      <c r="L31" s="467"/>
      <c r="M31" s="932"/>
      <c r="N31" s="467"/>
      <c r="O31" s="467"/>
      <c r="P31" s="467"/>
      <c r="Q31" s="467"/>
      <c r="R31" s="934"/>
      <c r="S31" s="644"/>
      <c r="T31" s="499"/>
      <c r="U31" s="644"/>
      <c r="V31" s="21"/>
    </row>
    <row r="32" spans="1:22" ht="15.75">
      <c r="A32" s="19" t="s">
        <v>70</v>
      </c>
      <c r="B32" s="49">
        <f>ROUND(SUM(B21-B29),1)</f>
        <v>-165.3</v>
      </c>
      <c r="C32" s="42"/>
      <c r="D32" s="50">
        <f>ROUND(SUM(D21-D29),1)</f>
        <v>0</v>
      </c>
      <c r="E32" s="42"/>
      <c r="F32" s="50">
        <f>ROUND(SUM(F21-F29),1)</f>
        <v>-24.2</v>
      </c>
      <c r="G32" s="42"/>
      <c r="H32" s="50">
        <f>ROUND(SUM(H21-H29),1)</f>
        <v>-119.6</v>
      </c>
      <c r="I32" s="44"/>
      <c r="J32" s="51">
        <f>ROUND(SUM(J21-J29),1)</f>
        <v>-189.5</v>
      </c>
      <c r="K32" s="42"/>
      <c r="L32" s="50">
        <f>ROUND(SUM(L21-L29),1)</f>
        <v>-119.6</v>
      </c>
      <c r="M32" s="44"/>
      <c r="N32" s="50">
        <f>ROUND(SUM(N21-N29),1)</f>
        <v>-166.5</v>
      </c>
      <c r="O32" s="42"/>
      <c r="P32" s="50">
        <f>ROUND(SUM(P21-P29),1)</f>
        <v>-198.5</v>
      </c>
      <c r="Q32" s="42"/>
      <c r="R32" s="238"/>
      <c r="S32" s="50">
        <f>ROUND(SUM(S21-S29),1)</f>
        <v>78.900000000000006</v>
      </c>
      <c r="T32" s="499"/>
      <c r="U32" s="1049">
        <f>-ROUND(S32/P32,3)</f>
        <v>0.39700000000000002</v>
      </c>
      <c r="V32" s="21"/>
    </row>
    <row r="33" spans="1:22">
      <c r="A33" s="21"/>
      <c r="B33" s="467"/>
      <c r="C33" s="467"/>
      <c r="D33" s="467"/>
      <c r="E33" s="467"/>
      <c r="F33" s="467"/>
      <c r="G33" s="467"/>
      <c r="H33" s="467"/>
      <c r="I33" s="932"/>
      <c r="J33" s="932"/>
      <c r="K33" s="467"/>
      <c r="L33" s="467"/>
      <c r="M33" s="932"/>
      <c r="N33" s="467"/>
      <c r="O33" s="467"/>
      <c r="P33" s="467"/>
      <c r="Q33" s="467"/>
      <c r="R33" s="934"/>
      <c r="S33" s="644"/>
      <c r="T33" s="499"/>
      <c r="U33" s="644"/>
      <c r="V33" s="21"/>
    </row>
    <row r="34" spans="1:22" ht="16.350000000000001" customHeight="1">
      <c r="A34" s="19" t="s">
        <v>45</v>
      </c>
      <c r="B34" s="467"/>
      <c r="C34" s="467"/>
      <c r="D34" s="467"/>
      <c r="E34" s="467"/>
      <c r="F34" s="467"/>
      <c r="G34" s="467"/>
      <c r="H34" s="467"/>
      <c r="I34" s="932"/>
      <c r="J34" s="932"/>
      <c r="K34" s="467"/>
      <c r="L34" s="467"/>
      <c r="M34" s="932"/>
      <c r="N34" s="467"/>
      <c r="O34" s="467"/>
      <c r="P34" s="467"/>
      <c r="Q34" s="467"/>
      <c r="R34" s="934"/>
      <c r="S34" s="644"/>
      <c r="T34" s="499"/>
      <c r="U34" s="644"/>
      <c r="V34" s="21"/>
    </row>
    <row r="35" spans="1:22" ht="16.350000000000001" customHeight="1">
      <c r="A35" s="21" t="s">
        <v>46</v>
      </c>
      <c r="B35" s="480">
        <f>+'Exhibit J'!M41</f>
        <v>0</v>
      </c>
      <c r="C35" s="467"/>
      <c r="D35" s="480">
        <f>+'Exhibit J'!AB41</f>
        <v>2</v>
      </c>
      <c r="E35" s="467"/>
      <c r="F35" s="467">
        <f>'Exhibit K'!L36</f>
        <v>3.1999999999999993</v>
      </c>
      <c r="G35" s="493"/>
      <c r="H35" s="719">
        <f>+'Exhibit K'!AA36</f>
        <v>12.2</v>
      </c>
      <c r="I35" s="932"/>
      <c r="J35" s="932">
        <f>ROUND(SUM(B35)+SUM(F35),1)</f>
        <v>3.2</v>
      </c>
      <c r="K35" s="493"/>
      <c r="L35" s="718">
        <f>ROUND(SUM(D35)+SUM(H35),1)</f>
        <v>14.2</v>
      </c>
      <c r="M35" s="467"/>
      <c r="N35" s="467">
        <v>4.5</v>
      </c>
      <c r="O35" s="467"/>
      <c r="P35" s="496">
        <f>'Exhibit J'!AE41+'Exhibit K'!AD36</f>
        <v>64</v>
      </c>
      <c r="Q35" s="496"/>
      <c r="R35" s="939"/>
      <c r="S35" s="467">
        <f>ROUND(SUM(L35-P35),1)</f>
        <v>-49.8</v>
      </c>
      <c r="T35" s="472"/>
      <c r="U35" s="927">
        <f>ROUND(IF(S35=0,0,S35/(P35)),3)</f>
        <v>-0.77800000000000002</v>
      </c>
      <c r="V35" s="53"/>
    </row>
    <row r="36" spans="1:22" ht="16.350000000000001" customHeight="1">
      <c r="A36" s="21" t="s">
        <v>71</v>
      </c>
      <c r="B36" s="1709">
        <f>+'Exhibit J'!M42</f>
        <v>0</v>
      </c>
      <c r="C36" s="647"/>
      <c r="D36" s="727">
        <f>+'Exhibit J'!AB42</f>
        <v>0</v>
      </c>
      <c r="E36" s="467"/>
      <c r="F36" s="467">
        <f>'Exhibit K'!L37</f>
        <v>0</v>
      </c>
      <c r="G36" s="467"/>
      <c r="H36" s="719">
        <f>+'Exhibit K'!AA37</f>
        <v>-4.7</v>
      </c>
      <c r="I36" s="1710"/>
      <c r="J36" s="932">
        <f>ROUND(SUM(B36)+SUM(F36),1)</f>
        <v>0</v>
      </c>
      <c r="K36" s="467"/>
      <c r="L36" s="467">
        <f>ROUND(SUM(D36)+SUM(H36),1)</f>
        <v>-4.7</v>
      </c>
      <c r="M36" s="932"/>
      <c r="N36" s="467">
        <v>0</v>
      </c>
      <c r="O36" s="647"/>
      <c r="P36" s="496">
        <f>'Exhibit J'!AE42+'Exhibit K'!AD37</f>
        <v>-4.2</v>
      </c>
      <c r="Q36" s="496"/>
      <c r="R36" s="939"/>
      <c r="S36" s="1711">
        <f>-ROUND(SUM(L36-P36),1)</f>
        <v>0.5</v>
      </c>
      <c r="T36" s="472"/>
      <c r="U36" s="1133">
        <f>ROUND(IF(P36=0,0,S36/ABS(P36)),3)</f>
        <v>0.11899999999999999</v>
      </c>
      <c r="V36" s="1712"/>
    </row>
    <row r="37" spans="1:22" ht="15.75">
      <c r="A37" s="19" t="s">
        <v>48</v>
      </c>
      <c r="B37" s="54">
        <f>ROUND(SUM(B35:B36),1)</f>
        <v>0</v>
      </c>
      <c r="C37" s="55"/>
      <c r="D37" s="54">
        <f>ROUND(SUM(D35:D36),1)</f>
        <v>2</v>
      </c>
      <c r="E37" s="42"/>
      <c r="F37" s="56">
        <f>ROUND(SUM(F35:F36),1)</f>
        <v>3.2</v>
      </c>
      <c r="G37" s="57"/>
      <c r="H37" s="58">
        <f>ROUND(SUM(H35:H36),1)</f>
        <v>7.5</v>
      </c>
      <c r="I37" s="42"/>
      <c r="J37" s="59">
        <f>ROUND(SUM(J35:J36),1)</f>
        <v>3.2</v>
      </c>
      <c r="K37" s="57"/>
      <c r="L37" s="58">
        <f>ROUND(SUM(L35:L36),1)</f>
        <v>9.5</v>
      </c>
      <c r="M37" s="44"/>
      <c r="N37" s="1873">
        <f>ROUND(SUM(N35:N36),1)</f>
        <v>4.5</v>
      </c>
      <c r="O37" s="42"/>
      <c r="P37" s="1873">
        <f>ROUND(SUM(P35:P36),1)</f>
        <v>59.8</v>
      </c>
      <c r="Q37" s="691"/>
      <c r="R37" s="695"/>
      <c r="S37" s="56">
        <f>L37-P37</f>
        <v>-50.3</v>
      </c>
      <c r="T37" s="940"/>
      <c r="U37" s="200">
        <f>ROUND(SUM(S37/P37),3)</f>
        <v>-0.84099999999999997</v>
      </c>
      <c r="V37" s="60"/>
    </row>
    <row r="38" spans="1:22" ht="15.75">
      <c r="A38" s="19"/>
      <c r="B38" s="497"/>
      <c r="C38" s="467"/>
      <c r="D38" s="497"/>
      <c r="E38" s="467"/>
      <c r="F38" s="467"/>
      <c r="G38" s="467"/>
      <c r="H38" s="467"/>
      <c r="I38" s="932"/>
      <c r="J38" s="932"/>
      <c r="K38" s="467"/>
      <c r="L38" s="497"/>
      <c r="M38" s="932"/>
      <c r="N38" s="467"/>
      <c r="O38" s="467"/>
      <c r="P38" s="467"/>
      <c r="Q38" s="467"/>
      <c r="R38" s="934"/>
      <c r="S38" s="644"/>
      <c r="T38" s="499"/>
      <c r="U38" s="598"/>
      <c r="V38" s="21"/>
    </row>
    <row r="39" spans="1:22" ht="15.75" customHeight="1">
      <c r="A39" s="19" t="s">
        <v>43</v>
      </c>
      <c r="B39" s="467"/>
      <c r="C39" s="467"/>
      <c r="D39" s="467"/>
      <c r="E39" s="467"/>
      <c r="F39" s="467"/>
      <c r="G39" s="467"/>
      <c r="H39" s="467"/>
      <c r="I39" s="932"/>
      <c r="J39" s="932"/>
      <c r="K39" s="467"/>
      <c r="L39" s="467"/>
      <c r="M39" s="932"/>
      <c r="N39" s="467"/>
      <c r="O39" s="467"/>
      <c r="P39" s="467"/>
      <c r="Q39" s="467"/>
      <c r="R39" s="934"/>
      <c r="S39" s="644"/>
      <c r="T39" s="499"/>
      <c r="U39" s="598"/>
      <c r="V39" s="21"/>
    </row>
    <row r="40" spans="1:22" ht="15.75" customHeight="1">
      <c r="A40" s="19" t="s">
        <v>72</v>
      </c>
      <c r="B40" s="467"/>
      <c r="C40" s="467"/>
      <c r="D40" s="467"/>
      <c r="E40" s="467"/>
      <c r="F40" s="467"/>
      <c r="G40" s="467"/>
      <c r="H40" s="467"/>
      <c r="I40" s="932"/>
      <c r="J40" s="932"/>
      <c r="K40" s="467"/>
      <c r="L40" s="467"/>
      <c r="M40" s="932"/>
      <c r="N40" s="467"/>
      <c r="O40" s="467"/>
      <c r="P40" s="467"/>
      <c r="Q40" s="467"/>
      <c r="R40" s="934"/>
      <c r="S40" s="644"/>
      <c r="T40" s="499"/>
      <c r="U40" s="598"/>
      <c r="V40" s="21"/>
    </row>
    <row r="41" spans="1:22" ht="15.75" customHeight="1">
      <c r="A41" s="19" t="s">
        <v>73</v>
      </c>
      <c r="B41" s="467"/>
      <c r="C41" s="467"/>
      <c r="D41" s="467"/>
      <c r="E41" s="467"/>
      <c r="F41" s="467"/>
      <c r="G41" s="467"/>
      <c r="H41" s="467"/>
      <c r="I41" s="932"/>
      <c r="J41" s="932"/>
      <c r="K41" s="467"/>
      <c r="L41" s="467"/>
      <c r="M41" s="932"/>
      <c r="N41" s="467"/>
      <c r="O41" s="467"/>
      <c r="P41" s="467"/>
      <c r="Q41" s="467"/>
      <c r="R41" s="934"/>
      <c r="S41" s="644"/>
      <c r="T41" s="499"/>
      <c r="U41" s="598"/>
      <c r="V41" s="21"/>
    </row>
    <row r="42" spans="1:22" ht="15.75" customHeight="1">
      <c r="A42" s="19" t="s">
        <v>74</v>
      </c>
      <c r="B42" s="62">
        <f>ROUND(SUM(B32,B37),1)</f>
        <v>-165.3</v>
      </c>
      <c r="C42" s="42"/>
      <c r="D42" s="62">
        <f>ROUND(SUM(D32,D37),1)</f>
        <v>2</v>
      </c>
      <c r="E42" s="42"/>
      <c r="F42" s="62">
        <f>ROUND(SUM(F32,F37),1)</f>
        <v>-21</v>
      </c>
      <c r="G42" s="42"/>
      <c r="H42" s="62">
        <f>ROUND(SUM(H32,H37),1)</f>
        <v>-112.1</v>
      </c>
      <c r="I42" s="63"/>
      <c r="J42" s="62">
        <f>ROUND(SUM(J32,J37),1)</f>
        <v>-186.3</v>
      </c>
      <c r="K42" s="42"/>
      <c r="L42" s="62">
        <f>ROUND(SUM(L32,L37),1)</f>
        <v>-110.1</v>
      </c>
      <c r="M42" s="44"/>
      <c r="N42" s="62">
        <f>ROUND(SUM(N32,N37),1)</f>
        <v>-162</v>
      </c>
      <c r="O42" s="42"/>
      <c r="P42" s="62">
        <f>ROUND(SUM(P32,P37),1)</f>
        <v>-138.69999999999999</v>
      </c>
      <c r="Q42" s="62"/>
      <c r="R42" s="696"/>
      <c r="S42" s="62">
        <f>ROUND(SUM(S32,S37),1)</f>
        <v>28.6</v>
      </c>
      <c r="T42" s="19"/>
      <c r="U42" s="2211">
        <f>ROUND(IF(P42=0,0,S42/ABS(P42)),3)</f>
        <v>0.20599999999999999</v>
      </c>
      <c r="V42" s="21"/>
    </row>
    <row r="43" spans="1:22" ht="15.75">
      <c r="A43" s="19"/>
      <c r="B43" s="467"/>
      <c r="C43" s="467"/>
      <c r="D43" s="467"/>
      <c r="E43" s="467"/>
      <c r="F43" s="467"/>
      <c r="G43" s="467"/>
      <c r="H43" s="467"/>
      <c r="I43" s="932"/>
      <c r="J43" s="932"/>
      <c r="K43" s="467"/>
      <c r="L43" s="467"/>
      <c r="M43" s="932"/>
      <c r="N43" s="467"/>
      <c r="O43" s="467"/>
      <c r="P43" s="467"/>
      <c r="Q43" s="467"/>
      <c r="R43" s="934"/>
      <c r="S43" s="644"/>
      <c r="T43" s="499"/>
      <c r="U43" s="644"/>
      <c r="V43" s="21"/>
    </row>
    <row r="44" spans="1:22" s="45" customFormat="1" ht="15.75">
      <c r="A44" s="19" t="s">
        <v>75</v>
      </c>
      <c r="B44" s="42">
        <f>+'Exhibit J'!M16</f>
        <v>677.7</v>
      </c>
      <c r="C44" s="42"/>
      <c r="D44" s="42">
        <f>+'Exhibit J'!AB16</f>
        <v>510.4</v>
      </c>
      <c r="E44" s="42"/>
      <c r="F44" s="1875">
        <f>+'Exhibit K'!L14</f>
        <v>-132.69999999999999</v>
      </c>
      <c r="G44" s="42"/>
      <c r="H44" s="42">
        <f>+'Exhibit K'!AA14</f>
        <v>-41.6</v>
      </c>
      <c r="I44" s="44"/>
      <c r="J44" s="44">
        <f>ROUND(SUM(B44)+SUM(F44),1)</f>
        <v>545</v>
      </c>
      <c r="K44" s="42"/>
      <c r="L44" s="42">
        <f>ROUND(SUM(D44)+SUM(H44),1)</f>
        <v>468.8</v>
      </c>
      <c r="M44" s="44"/>
      <c r="N44" s="77">
        <v>244.29999999999998</v>
      </c>
      <c r="O44" s="42"/>
      <c r="P44" s="50">
        <f>'Exhibit J'!AE16+'Exhibit K'!AD14</f>
        <v>221</v>
      </c>
      <c r="Q44" s="42"/>
      <c r="R44" s="238"/>
      <c r="S44" s="42">
        <f>ROUND(SUM(L44-P44),1)</f>
        <v>247.8</v>
      </c>
      <c r="T44" s="19"/>
      <c r="U44" s="980">
        <f>ROUND(SUM(S44/P44),3)</f>
        <v>1.121</v>
      </c>
      <c r="V44" s="19"/>
    </row>
    <row r="45" spans="1:22" ht="16.5" thickBot="1">
      <c r="A45" s="19" t="s">
        <v>76</v>
      </c>
      <c r="B45" s="64">
        <f>ROUND(SUM(B42+B44),1)</f>
        <v>512.4</v>
      </c>
      <c r="C45" s="65"/>
      <c r="D45" s="64">
        <f>ROUND(SUM(D42+D44),1)</f>
        <v>512.4</v>
      </c>
      <c r="E45" s="65"/>
      <c r="F45" s="64">
        <f>ROUND(SUM(F42+F44),1)</f>
        <v>-153.69999999999999</v>
      </c>
      <c r="G45" s="65"/>
      <c r="H45" s="64">
        <f>ROUND(SUM(H42+H44),1)</f>
        <v>-153.69999999999999</v>
      </c>
      <c r="I45" s="66"/>
      <c r="J45" s="67">
        <f>ROUND(SUM(J42+J44),1)</f>
        <v>358.7</v>
      </c>
      <c r="K45" s="65"/>
      <c r="L45" s="68">
        <f>ROUND(SUM(L42+L44),1)</f>
        <v>358.7</v>
      </c>
      <c r="M45" s="66"/>
      <c r="N45" s="69">
        <f>ROUND(SUM(N42+N44),1)</f>
        <v>82.3</v>
      </c>
      <c r="O45" s="65"/>
      <c r="P45" s="69">
        <f>ROUND(SUM(P42+P44),1)</f>
        <v>82.3</v>
      </c>
      <c r="Q45" s="65"/>
      <c r="R45" s="234"/>
      <c r="S45" s="69">
        <f>ROUND(SUM(S42+S44),1)</f>
        <v>276.39999999999998</v>
      </c>
      <c r="T45" s="668"/>
      <c r="U45" s="969">
        <f>ROUND(SUM(S45/ABS(P45)),3)</f>
        <v>3.3580000000000001</v>
      </c>
      <c r="V45" s="33"/>
    </row>
    <row r="46" spans="1:22" ht="4.3499999999999996" customHeight="1" thickTop="1">
      <c r="A46" s="21"/>
      <c r="B46" s="733"/>
      <c r="C46" s="668"/>
      <c r="D46" s="733"/>
      <c r="E46" s="668"/>
      <c r="F46" s="733"/>
      <c r="G46" s="668"/>
      <c r="H46" s="733"/>
      <c r="I46" s="668"/>
      <c r="J46" s="733"/>
      <c r="K46" s="668"/>
      <c r="L46" s="733"/>
      <c r="M46" s="668"/>
      <c r="N46" s="668"/>
      <c r="O46" s="668"/>
      <c r="P46" s="668"/>
      <c r="Q46" s="668"/>
      <c r="R46" s="668"/>
      <c r="S46" s="668"/>
      <c r="T46" s="713"/>
      <c r="U46" s="713"/>
      <c r="V46" s="70"/>
    </row>
    <row r="47" spans="1:22">
      <c r="A47" s="499"/>
      <c r="B47" s="24" t="s">
        <v>14</v>
      </c>
      <c r="C47" s="24"/>
      <c r="D47" s="24"/>
      <c r="E47" s="24"/>
      <c r="F47" s="71"/>
      <c r="G47" s="24"/>
      <c r="H47" s="24"/>
      <c r="I47" s="24"/>
      <c r="J47" s="24"/>
      <c r="K47" s="24"/>
      <c r="L47" s="24"/>
      <c r="M47" s="24"/>
      <c r="N47" s="1874"/>
      <c r="O47" s="24"/>
      <c r="P47" s="24"/>
      <c r="Q47" s="24"/>
      <c r="R47" s="24"/>
      <c r="S47" s="24"/>
      <c r="T47" s="26"/>
      <c r="U47" s="26"/>
      <c r="V47" s="26"/>
    </row>
    <row r="48" spans="1:22" s="72" customFormat="1" ht="16.5" customHeight="1">
      <c r="A48" s="737"/>
      <c r="B48" s="72" t="s">
        <v>14</v>
      </c>
    </row>
    <row r="49" spans="1:21">
      <c r="A49" s="499"/>
      <c r="B49" s="35" t="s">
        <v>14</v>
      </c>
      <c r="C49" s="24"/>
      <c r="D49" s="24"/>
      <c r="E49" s="24"/>
      <c r="F49" s="24"/>
      <c r="G49" s="24"/>
      <c r="H49" s="24"/>
      <c r="I49" s="24"/>
      <c r="J49" s="24"/>
      <c r="K49" s="24"/>
      <c r="L49" s="24"/>
      <c r="M49" s="24"/>
      <c r="N49" s="1874"/>
      <c r="O49" s="24"/>
      <c r="P49" s="1874"/>
      <c r="Q49" s="24"/>
      <c r="R49" s="24"/>
      <c r="S49" s="24"/>
      <c r="T49" s="24"/>
      <c r="U49" s="24"/>
    </row>
    <row r="50" spans="1:21">
      <c r="A50" s="499"/>
      <c r="B50" s="24"/>
      <c r="C50" s="24"/>
      <c r="D50" s="24"/>
      <c r="E50" s="24"/>
      <c r="F50" s="24"/>
      <c r="G50" s="24"/>
      <c r="H50" s="24"/>
      <c r="I50" s="24"/>
      <c r="J50" s="24"/>
      <c r="K50" s="24"/>
      <c r="L50" s="24"/>
      <c r="M50" s="24"/>
      <c r="N50" s="35" t="s">
        <v>14</v>
      </c>
      <c r="O50" s="24"/>
      <c r="P50" s="35"/>
      <c r="Q50" s="24"/>
      <c r="R50" s="24"/>
      <c r="S50" s="24"/>
      <c r="T50" s="24"/>
      <c r="U50" s="24"/>
    </row>
    <row r="51" spans="1:21">
      <c r="A51" s="499"/>
      <c r="B51" s="24"/>
      <c r="C51" s="24"/>
      <c r="D51" s="24"/>
      <c r="E51" s="24"/>
      <c r="F51" s="24"/>
      <c r="G51" s="24"/>
      <c r="H51" s="24"/>
      <c r="I51" s="24"/>
      <c r="J51" s="24"/>
      <c r="K51" s="24"/>
      <c r="L51" s="24"/>
      <c r="M51" s="24"/>
      <c r="N51" s="24" t="s">
        <v>14</v>
      </c>
      <c r="O51" s="24"/>
      <c r="P51" s="24"/>
      <c r="Q51" s="24"/>
      <c r="R51" s="24"/>
      <c r="S51" s="24"/>
      <c r="T51" s="24"/>
      <c r="U51" s="24"/>
    </row>
    <row r="52" spans="1:21">
      <c r="A52" s="499"/>
      <c r="B52" s="24"/>
      <c r="C52" s="24"/>
      <c r="D52" s="24"/>
      <c r="E52" s="24"/>
      <c r="F52" s="24"/>
      <c r="G52" s="24"/>
      <c r="H52" s="24"/>
      <c r="I52" s="24"/>
      <c r="J52" s="24"/>
      <c r="K52" s="24"/>
      <c r="L52" s="24"/>
      <c r="M52" s="24"/>
      <c r="N52" s="24"/>
      <c r="O52" s="24"/>
      <c r="P52" s="24"/>
      <c r="Q52" s="24"/>
      <c r="R52" s="24"/>
      <c r="S52" s="24"/>
      <c r="T52" s="24"/>
      <c r="U52" s="24"/>
    </row>
    <row r="53" spans="1:21">
      <c r="A53" s="644"/>
    </row>
    <row r="54" spans="1:21">
      <c r="A54" s="644"/>
    </row>
    <row r="55" spans="1:21">
      <c r="A55" s="644"/>
    </row>
    <row r="56" spans="1:21">
      <c r="A56" s="644"/>
    </row>
    <row r="57" spans="1:21">
      <c r="A57" s="644"/>
    </row>
  </sheetData>
  <mergeCells count="2">
    <mergeCell ref="O3:P3"/>
    <mergeCell ref="U3:V3"/>
  </mergeCells>
  <pageMargins left="0.25" right="0.25" top="0.5" bottom="0.36" header="0" footer="0.25"/>
  <pageSetup scale="58" firstPageNumber="5" orientation="landscape" useFirstPageNumber="1" r:id="rId1"/>
  <headerFooter scaleWithDoc="0" alignWithMargins="0">
    <oddFooter>&amp;C&amp;8&amp;P</oddFooter>
  </headerFooter>
  <customProperties>
    <customPr name="SheetOptions"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pageSetUpPr fitToPage="1"/>
  </sheetPr>
  <dimension ref="A1:V61"/>
  <sheetViews>
    <sheetView showGridLines="0" zoomScale="90" zoomScaleNormal="80" workbookViewId="0"/>
  </sheetViews>
  <sheetFormatPr defaultColWidth="8.88671875" defaultRowHeight="15"/>
  <cols>
    <col min="1" max="1" width="38.109375" style="644" customWidth="1"/>
    <col min="2" max="2" width="13.88671875" style="644" customWidth="1"/>
    <col min="3" max="3" width="1.88671875" style="644" customWidth="1"/>
    <col min="4" max="4" width="13.88671875" style="644" customWidth="1"/>
    <col min="5" max="5" width="2.44140625" style="644" customWidth="1"/>
    <col min="6" max="6" width="13.88671875" style="644" customWidth="1"/>
    <col min="7" max="7" width="1.88671875" style="644" customWidth="1"/>
    <col min="8" max="8" width="13.88671875" style="644" customWidth="1"/>
    <col min="9" max="9" width="1.88671875" style="644" customWidth="1"/>
    <col min="10" max="10" width="13.88671875" style="644" customWidth="1"/>
    <col min="11" max="11" width="1.88671875" style="644" customWidth="1"/>
    <col min="12" max="12" width="13.88671875" style="644" customWidth="1"/>
    <col min="13" max="13" width="0.5546875" style="644" customWidth="1"/>
    <col min="14" max="14" width="13.88671875" style="644" customWidth="1"/>
    <col min="15" max="15" width="2.5546875" style="644" customWidth="1"/>
    <col min="16" max="16" width="13.88671875" style="644" customWidth="1"/>
    <col min="17" max="17" width="1.5546875" style="644" customWidth="1"/>
    <col min="18" max="18" width="2.109375" style="644" customWidth="1"/>
    <col min="19" max="19" width="10.5546875" style="644" bestFit="1" customWidth="1"/>
    <col min="20" max="20" width="2.44140625" style="644" customWidth="1"/>
    <col min="21" max="21" width="11.109375" style="644" bestFit="1" customWidth="1"/>
    <col min="22" max="16384" width="8.88671875" style="644"/>
  </cols>
  <sheetData>
    <row r="1" spans="1:22">
      <c r="A1" s="468" t="s">
        <v>841</v>
      </c>
    </row>
    <row r="2" spans="1:22">
      <c r="A2" s="598"/>
    </row>
    <row r="3" spans="1:22" s="499" customFormat="1" ht="18" customHeight="1">
      <c r="A3" s="19" t="s">
        <v>0</v>
      </c>
      <c r="B3" s="19"/>
      <c r="C3" s="19"/>
      <c r="D3" s="19"/>
      <c r="E3" s="19"/>
      <c r="F3" s="644"/>
      <c r="G3" s="644"/>
      <c r="H3" s="19"/>
      <c r="I3" s="19"/>
      <c r="J3" s="19"/>
      <c r="K3" s="19"/>
      <c r="L3" s="19"/>
      <c r="M3" s="19"/>
      <c r="N3" s="1871"/>
      <c r="R3" s="598"/>
      <c r="S3" s="598"/>
      <c r="T3" s="598"/>
      <c r="U3" s="665" t="s">
        <v>77</v>
      </c>
      <c r="V3" s="598"/>
    </row>
    <row r="4" spans="1:22" s="499" customFormat="1" ht="15.75" customHeight="1">
      <c r="A4" s="19" t="s">
        <v>756</v>
      </c>
      <c r="B4" s="19"/>
      <c r="C4" s="19"/>
      <c r="D4" s="19"/>
      <c r="E4" s="19"/>
      <c r="F4" s="644"/>
      <c r="G4" s="644"/>
      <c r="H4" s="19"/>
      <c r="I4" s="19"/>
      <c r="J4" s="19"/>
      <c r="K4" s="19"/>
      <c r="L4" s="19"/>
      <c r="M4" s="19"/>
      <c r="N4" s="19"/>
      <c r="O4" s="19"/>
      <c r="P4" s="19"/>
      <c r="R4" s="598"/>
      <c r="S4" s="598"/>
      <c r="T4" s="598"/>
      <c r="U4" s="598"/>
      <c r="V4" s="598"/>
    </row>
    <row r="5" spans="1:22" s="499" customFormat="1" ht="15.75" customHeight="1">
      <c r="A5" s="118" t="s">
        <v>757</v>
      </c>
      <c r="B5" s="19"/>
      <c r="C5" s="19"/>
      <c r="D5" s="19"/>
      <c r="E5" s="19"/>
      <c r="F5" s="644"/>
      <c r="G5" s="644"/>
      <c r="H5" s="19"/>
      <c r="I5" s="19"/>
      <c r="J5" s="19"/>
      <c r="K5" s="19"/>
      <c r="L5" s="19"/>
      <c r="M5" s="19"/>
      <c r="N5" s="19"/>
      <c r="O5" s="19"/>
      <c r="P5" s="19" t="s">
        <v>14</v>
      </c>
      <c r="R5" s="598"/>
      <c r="S5" s="598"/>
      <c r="T5" s="598"/>
      <c r="U5" s="598"/>
      <c r="V5" s="598"/>
    </row>
    <row r="6" spans="1:22" s="499" customFormat="1" ht="15.75" customHeight="1">
      <c r="A6" s="19" t="s">
        <v>1199</v>
      </c>
      <c r="B6" s="19"/>
      <c r="C6" s="19"/>
      <c r="D6" s="19"/>
      <c r="E6" s="19"/>
      <c r="F6" s="644"/>
      <c r="G6" s="644"/>
      <c r="H6" s="19"/>
      <c r="I6" s="19"/>
      <c r="J6" s="19"/>
      <c r="K6" s="19"/>
      <c r="L6" s="19"/>
      <c r="M6" s="19"/>
      <c r="N6" s="19"/>
      <c r="O6" s="19"/>
      <c r="P6" s="19"/>
      <c r="R6" s="598"/>
      <c r="S6" s="598"/>
      <c r="T6" s="598"/>
      <c r="U6" s="598"/>
      <c r="V6" s="598"/>
    </row>
    <row r="7" spans="1:22" s="499" customFormat="1" ht="15.75">
      <c r="A7" s="23"/>
      <c r="B7" s="19"/>
      <c r="C7" s="19"/>
      <c r="D7" s="19"/>
      <c r="E7" s="19"/>
      <c r="F7" s="644"/>
      <c r="G7" s="644"/>
      <c r="H7" s="19"/>
      <c r="I7" s="19"/>
      <c r="J7" s="19"/>
      <c r="K7" s="19"/>
      <c r="L7" s="19"/>
      <c r="M7" s="19"/>
      <c r="N7" s="19"/>
      <c r="O7" s="19"/>
      <c r="P7" s="19"/>
      <c r="R7" s="598"/>
      <c r="S7" s="598"/>
      <c r="T7" s="598"/>
      <c r="U7" s="598"/>
      <c r="V7" s="598"/>
    </row>
    <row r="8" spans="1:22" s="499" customFormat="1" ht="15.75">
      <c r="B8" s="19"/>
      <c r="C8" s="19"/>
      <c r="D8" s="19"/>
      <c r="E8" s="19"/>
      <c r="F8" s="644"/>
      <c r="G8" s="644"/>
      <c r="H8" s="19"/>
      <c r="I8" s="19"/>
      <c r="J8" s="19"/>
      <c r="K8" s="19"/>
      <c r="L8" s="19"/>
      <c r="M8" s="19"/>
      <c r="N8" s="19"/>
      <c r="O8" s="19"/>
      <c r="P8" s="19"/>
      <c r="R8" s="598"/>
      <c r="S8" s="598"/>
      <c r="T8" s="598"/>
      <c r="U8" s="598"/>
      <c r="V8" s="598"/>
    </row>
    <row r="9" spans="1:22" s="499" customFormat="1" ht="8.1" customHeight="1">
      <c r="B9" s="19"/>
      <c r="C9" s="19"/>
      <c r="D9" s="19"/>
      <c r="E9" s="19"/>
      <c r="F9" s="19"/>
      <c r="G9" s="644"/>
      <c r="H9" s="19"/>
      <c r="I9" s="19"/>
      <c r="J9" s="19"/>
      <c r="K9" s="19"/>
      <c r="L9" s="19"/>
      <c r="M9" s="19"/>
      <c r="N9" s="19"/>
      <c r="O9" s="19"/>
      <c r="P9" s="19"/>
      <c r="T9" s="644"/>
      <c r="U9" s="644"/>
      <c r="V9" s="644"/>
    </row>
    <row r="10" spans="1:22" s="499" customFormat="1" ht="15.75">
      <c r="B10" s="19"/>
      <c r="C10" s="19"/>
      <c r="D10" s="19"/>
      <c r="E10" s="19"/>
      <c r="F10" s="19"/>
      <c r="G10" s="644"/>
      <c r="H10" s="19"/>
      <c r="I10" s="19"/>
      <c r="J10" s="19"/>
      <c r="K10" s="19"/>
      <c r="L10" s="19"/>
      <c r="M10" s="19"/>
      <c r="N10" s="19"/>
      <c r="O10" s="19"/>
      <c r="P10" s="19"/>
      <c r="R10" s="598"/>
      <c r="S10" s="598"/>
      <c r="T10" s="598"/>
      <c r="U10" s="598"/>
      <c r="V10" s="598"/>
    </row>
    <row r="11" spans="1:22" s="499" customFormat="1" ht="15.75">
      <c r="B11" s="19"/>
      <c r="C11" s="19"/>
      <c r="D11" s="19"/>
      <c r="E11" s="19"/>
      <c r="F11" s="19"/>
      <c r="G11" s="644"/>
      <c r="H11" s="19"/>
      <c r="I11" s="19"/>
      <c r="K11" s="73"/>
      <c r="L11" s="645"/>
      <c r="M11" s="645"/>
      <c r="N11" s="73"/>
      <c r="O11" s="73"/>
      <c r="P11" s="73"/>
      <c r="R11" s="598"/>
      <c r="S11" s="598"/>
      <c r="T11" s="598"/>
      <c r="U11" s="598"/>
      <c r="V11" s="598"/>
    </row>
    <row r="12" spans="1:22" ht="16.350000000000001" customHeight="1">
      <c r="A12" s="499"/>
      <c r="B12" s="73" t="s">
        <v>1408</v>
      </c>
      <c r="C12" s="698"/>
      <c r="D12" s="73"/>
      <c r="E12" s="19"/>
      <c r="F12" s="73" t="s">
        <v>78</v>
      </c>
      <c r="G12" s="698"/>
      <c r="H12" s="73"/>
      <c r="I12" s="19"/>
      <c r="J12" s="73" t="s">
        <v>79</v>
      </c>
      <c r="K12" s="73"/>
      <c r="L12" s="645"/>
      <c r="M12" s="73"/>
      <c r="N12" s="73"/>
      <c r="O12" s="73"/>
      <c r="P12" s="73"/>
      <c r="Q12" s="499"/>
      <c r="R12" s="699"/>
      <c r="S12" s="2321" t="s">
        <v>775</v>
      </c>
      <c r="T12" s="2321"/>
      <c r="U12" s="2321"/>
      <c r="V12" s="598"/>
    </row>
    <row r="13" spans="1:22" ht="13.35" customHeight="1">
      <c r="A13" s="499"/>
      <c r="B13" s="700"/>
      <c r="C13" s="700"/>
      <c r="D13" s="700"/>
      <c r="E13" s="499"/>
      <c r="F13" s="700"/>
      <c r="G13" s="701"/>
      <c r="H13" s="700"/>
      <c r="I13" s="499"/>
      <c r="J13" s="700"/>
      <c r="K13" s="700"/>
      <c r="L13" s="700"/>
      <c r="M13" s="700"/>
      <c r="N13" s="700"/>
      <c r="O13" s="700"/>
      <c r="P13" s="700"/>
      <c r="Q13" s="499"/>
      <c r="R13" s="702"/>
      <c r="S13" s="499"/>
      <c r="T13" s="598"/>
      <c r="U13" s="598"/>
      <c r="V13" s="598"/>
    </row>
    <row r="14" spans="1:22" ht="16.350000000000001" customHeight="1">
      <c r="A14" s="499"/>
      <c r="B14" s="133" t="s">
        <v>6</v>
      </c>
      <c r="C14" s="19"/>
      <c r="D14" s="537" t="str">
        <f>'Exhibit A'!F11</f>
        <v>6 MOS. ENDED</v>
      </c>
      <c r="E14" s="19"/>
      <c r="F14" s="133" t="s">
        <v>6</v>
      </c>
      <c r="G14" s="139"/>
      <c r="H14" s="133" t="str">
        <f>D14</f>
        <v>6 MOS. ENDED</v>
      </c>
      <c r="I14" s="19"/>
      <c r="J14" s="133" t="s">
        <v>6</v>
      </c>
      <c r="K14" s="19"/>
      <c r="L14" s="133" t="str">
        <f>D14</f>
        <v>6 MOS. ENDED</v>
      </c>
      <c r="M14" s="19"/>
      <c r="N14" s="133" t="s">
        <v>6</v>
      </c>
      <c r="O14" s="19"/>
      <c r="P14" s="133" t="str">
        <f>H14</f>
        <v>6 MOS. ENDED</v>
      </c>
      <c r="Q14" s="499"/>
      <c r="R14" s="702"/>
      <c r="S14" s="544" t="s">
        <v>7</v>
      </c>
      <c r="T14" s="139"/>
      <c r="U14" s="545" t="s">
        <v>8</v>
      </c>
      <c r="V14" s="598"/>
    </row>
    <row r="15" spans="1:22" ht="16.350000000000001" customHeight="1">
      <c r="A15" s="499"/>
      <c r="B15" s="656" t="str">
        <f>'Exhibit A'!D12</f>
        <v>SEP. 2023</v>
      </c>
      <c r="C15" s="19"/>
      <c r="D15" s="656" t="str">
        <f>'Exhibit A'!F12</f>
        <v>SEP. 30, 2023</v>
      </c>
      <c r="E15" s="19"/>
      <c r="F15" s="540" t="str">
        <f>+B15</f>
        <v>SEP. 2023</v>
      </c>
      <c r="G15" s="19"/>
      <c r="H15" s="541" t="str">
        <f>D15</f>
        <v>SEP. 30, 2023</v>
      </c>
      <c r="I15" s="19"/>
      <c r="J15" s="540" t="str">
        <f>+F15</f>
        <v>SEP. 2023</v>
      </c>
      <c r="K15" s="19"/>
      <c r="L15" s="541" t="str">
        <f>'Exhibit A'!X12</f>
        <v>SEP. 30, 2023</v>
      </c>
      <c r="M15" s="19"/>
      <c r="N15" s="1872" t="str">
        <f>'Exhibit A'!AB12</f>
        <v>SEP. 2022</v>
      </c>
      <c r="O15" s="19"/>
      <c r="P15" s="656" t="str">
        <f>'Exhibit A'!AD12</f>
        <v>SEP. 30, 2022</v>
      </c>
      <c r="Q15" s="499"/>
      <c r="R15" s="702"/>
      <c r="S15" s="546" t="s">
        <v>11</v>
      </c>
      <c r="T15" s="139"/>
      <c r="U15" s="547" t="s">
        <v>12</v>
      </c>
      <c r="V15" s="598"/>
    </row>
    <row r="16" spans="1:22" ht="13.35" customHeight="1">
      <c r="A16" s="499"/>
      <c r="B16" s="499"/>
      <c r="C16" s="499"/>
      <c r="D16" s="499" t="s">
        <v>14</v>
      </c>
      <c r="E16" s="499"/>
      <c r="F16" s="700"/>
      <c r="G16" s="499"/>
      <c r="H16" s="703" t="s">
        <v>14</v>
      </c>
      <c r="I16" s="499"/>
      <c r="J16" s="704"/>
      <c r="K16" s="499"/>
      <c r="L16" s="705"/>
      <c r="M16" s="499"/>
      <c r="N16" s="499"/>
      <c r="O16" s="499"/>
      <c r="P16" s="499"/>
      <c r="Q16" s="499"/>
      <c r="R16" s="706"/>
      <c r="S16" s="598"/>
      <c r="T16" s="499"/>
      <c r="U16" s="598"/>
      <c r="V16" s="598"/>
    </row>
    <row r="17" spans="1:22" ht="16.350000000000001" customHeight="1">
      <c r="A17" s="19" t="s">
        <v>13</v>
      </c>
      <c r="B17" s="499"/>
      <c r="C17" s="499"/>
      <c r="D17" s="499"/>
      <c r="E17" s="499"/>
      <c r="F17" s="499"/>
      <c r="G17" s="499"/>
      <c r="H17" s="707"/>
      <c r="I17" s="499"/>
      <c r="J17" s="708"/>
      <c r="K17" s="499"/>
      <c r="L17" s="707"/>
      <c r="M17" s="499"/>
      <c r="N17" s="499"/>
      <c r="O17" s="499"/>
      <c r="P17" s="499"/>
      <c r="Q17" s="499"/>
      <c r="R17" s="706"/>
      <c r="S17" s="598"/>
      <c r="T17" s="499"/>
      <c r="U17" s="598"/>
      <c r="V17" s="598"/>
    </row>
    <row r="18" spans="1:22" ht="16.350000000000001" customHeight="1">
      <c r="A18" s="499" t="s">
        <v>19</v>
      </c>
      <c r="B18" s="679">
        <f>+'Exhibit L'!L16</f>
        <v>11.70000000000001</v>
      </c>
      <c r="C18" s="479"/>
      <c r="D18" s="481">
        <f>+'Exhibit L'!AA16</f>
        <v>92.7</v>
      </c>
      <c r="E18" s="479"/>
      <c r="F18" s="709">
        <f>'Exhibit M'!L16</f>
        <v>1.3000000000000003</v>
      </c>
      <c r="G18" s="479"/>
      <c r="H18" s="710">
        <f>+'Exhibit M'!AA16</f>
        <v>4.7</v>
      </c>
      <c r="I18" s="479"/>
      <c r="J18" s="711">
        <f>SUM(B18)+SUM(F18)</f>
        <v>13.000000000000011</v>
      </c>
      <c r="K18" s="479"/>
      <c r="L18" s="710">
        <f>D18+SUM(H18)</f>
        <v>97.4</v>
      </c>
      <c r="M18" s="479"/>
      <c r="N18" s="481">
        <v>19.600000000000001</v>
      </c>
      <c r="O18" s="479"/>
      <c r="P18" s="481">
        <f>'Exhibit L'!AD16+'Exhibit M'!AD16</f>
        <v>78.600000000000009</v>
      </c>
      <c r="Q18" s="668"/>
      <c r="R18" s="712"/>
      <c r="S18" s="762">
        <f>ROUND(SUM(L18-P18),1)</f>
        <v>18.8</v>
      </c>
      <c r="T18" s="668"/>
      <c r="U18" s="927">
        <f>ROUND(IF(S18=0,0,S18/ABS(P18)),3)</f>
        <v>0.23899999999999999</v>
      </c>
      <c r="V18" s="713"/>
    </row>
    <row r="19" spans="1:22" ht="15.75">
      <c r="A19" s="19" t="s">
        <v>21</v>
      </c>
      <c r="B19" s="74">
        <f>ROUND(SUM(B18),1)</f>
        <v>11.7</v>
      </c>
      <c r="C19" s="42"/>
      <c r="D19" s="74">
        <f>ROUND(SUM(D18),1)</f>
        <v>92.7</v>
      </c>
      <c r="E19" s="42"/>
      <c r="F19" s="50">
        <f>ROUND(SUM(F18),1)</f>
        <v>1.3</v>
      </c>
      <c r="G19" s="42"/>
      <c r="H19" s="75">
        <f>ROUND(SUM(H18),1)</f>
        <v>4.7</v>
      </c>
      <c r="I19" s="42"/>
      <c r="J19" s="76">
        <f>ROUND(SUM(J18),1)</f>
        <v>13</v>
      </c>
      <c r="K19" s="42"/>
      <c r="L19" s="75">
        <f>ROUND(SUM(L18),1)</f>
        <v>97.4</v>
      </c>
      <c r="M19" s="42"/>
      <c r="N19" s="74">
        <f>ROUND(SUM(N18),1)</f>
        <v>19.600000000000001</v>
      </c>
      <c r="O19" s="42"/>
      <c r="P19" s="74">
        <f>ROUND(SUM(P18),1)</f>
        <v>78.599999999999994</v>
      </c>
      <c r="Q19" s="139"/>
      <c r="R19" s="715"/>
      <c r="S19" s="735">
        <f>ROUND(SUM(S18),3)</f>
        <v>18.8</v>
      </c>
      <c r="T19" s="472"/>
      <c r="U19" s="736">
        <f>ROUND(+S19/P19,3)</f>
        <v>0.23899999999999999</v>
      </c>
      <c r="V19" s="598"/>
    </row>
    <row r="20" spans="1:22" ht="15.75">
      <c r="A20" s="19"/>
      <c r="B20" s="467"/>
      <c r="C20" s="467"/>
      <c r="D20" s="467"/>
      <c r="E20" s="467"/>
      <c r="F20" s="467"/>
      <c r="G20" s="467"/>
      <c r="H20" s="716"/>
      <c r="I20" s="467"/>
      <c r="J20" s="717"/>
      <c r="K20" s="467"/>
      <c r="L20" s="718"/>
      <c r="M20" s="467"/>
      <c r="N20" s="467"/>
      <c r="O20" s="467"/>
      <c r="P20" s="467"/>
      <c r="R20" s="706"/>
      <c r="S20" s="734"/>
      <c r="T20" s="499"/>
      <c r="U20" s="598"/>
      <c r="V20" s="598"/>
    </row>
    <row r="21" spans="1:22" ht="16.350000000000001" customHeight="1">
      <c r="A21" s="19" t="s">
        <v>22</v>
      </c>
      <c r="B21" s="467"/>
      <c r="C21" s="467"/>
      <c r="D21" s="467"/>
      <c r="E21" s="467"/>
      <c r="F21" s="467"/>
      <c r="G21" s="467"/>
      <c r="H21" s="718"/>
      <c r="I21" s="467"/>
      <c r="J21" s="717"/>
      <c r="K21" s="467"/>
      <c r="L21" s="718"/>
      <c r="M21" s="467"/>
      <c r="N21" s="467"/>
      <c r="O21" s="467"/>
      <c r="P21" s="467"/>
      <c r="R21" s="706"/>
      <c r="S21" s="734"/>
      <c r="T21" s="499"/>
      <c r="U21" s="598"/>
      <c r="V21" s="598"/>
    </row>
    <row r="22" spans="1:22" ht="16.350000000000001" customHeight="1">
      <c r="A22" s="499" t="s">
        <v>35</v>
      </c>
      <c r="B22" s="467"/>
      <c r="C22" s="467"/>
      <c r="D22" s="467"/>
      <c r="E22" s="467"/>
      <c r="F22" s="467"/>
      <c r="G22" s="467"/>
      <c r="H22" s="718"/>
      <c r="I22" s="467"/>
      <c r="J22" s="717"/>
      <c r="K22" s="467"/>
      <c r="L22" s="718"/>
      <c r="M22" s="467"/>
      <c r="N22" s="467"/>
      <c r="O22" s="467"/>
      <c r="P22" s="467"/>
      <c r="R22" s="706"/>
      <c r="S22" s="734"/>
      <c r="T22" s="499"/>
      <c r="U22" s="598"/>
      <c r="V22" s="598"/>
    </row>
    <row r="23" spans="1:22" ht="16.350000000000001" customHeight="1">
      <c r="A23" s="499" t="s">
        <v>66</v>
      </c>
      <c r="B23" s="493">
        <f>+'Exhibit L'!L22</f>
        <v>6</v>
      </c>
      <c r="C23" s="467"/>
      <c r="D23" s="493">
        <f>+'Exhibit L'!AA22</f>
        <v>43.8</v>
      </c>
      <c r="E23" s="467"/>
      <c r="F23" s="480">
        <f>+'Exhibit M'!L22</f>
        <v>9.9999999999999978E-2</v>
      </c>
      <c r="G23" s="467"/>
      <c r="H23" s="719">
        <f>+'Exhibit M'!AA22</f>
        <v>0.3</v>
      </c>
      <c r="I23" s="467"/>
      <c r="J23" s="720">
        <f>SUM(B23)+SUM(F23)</f>
        <v>6.1</v>
      </c>
      <c r="K23" s="467"/>
      <c r="L23" s="721">
        <f>SUM(D23)+SUM(H23)</f>
        <v>44.099999999999994</v>
      </c>
      <c r="M23" s="467"/>
      <c r="N23" s="493">
        <v>6</v>
      </c>
      <c r="O23" s="467"/>
      <c r="P23" s="493">
        <f>'Exhibit L'!AD22+'Exhibit M'!AD22</f>
        <v>39.9</v>
      </c>
      <c r="R23" s="706"/>
      <c r="S23" s="734">
        <f>ROUND(SUM(L23-P23),1)</f>
        <v>4.2</v>
      </c>
      <c r="T23" s="499"/>
      <c r="U23" s="927">
        <f>ROUND(IF(S23=0,0,S23/ABS(P23)),3)</f>
        <v>0.105</v>
      </c>
      <c r="V23" s="598"/>
    </row>
    <row r="24" spans="1:22" ht="16.350000000000001" customHeight="1">
      <c r="A24" s="499" t="s">
        <v>67</v>
      </c>
      <c r="B24" s="493">
        <f>+'Exhibit L'!L23</f>
        <v>1.5999999999999996</v>
      </c>
      <c r="C24" s="467"/>
      <c r="D24" s="493">
        <f>+'Exhibit L'!AA23</f>
        <v>13.6</v>
      </c>
      <c r="E24" s="467"/>
      <c r="F24" s="480">
        <f>+'Exhibit M'!L23</f>
        <v>0</v>
      </c>
      <c r="G24" s="467"/>
      <c r="H24" s="719">
        <f>+'Exhibit M'!AA23</f>
        <v>0</v>
      </c>
      <c r="I24" s="467"/>
      <c r="J24" s="720">
        <f>SUM(B24)+SUM(F24)</f>
        <v>1.5999999999999996</v>
      </c>
      <c r="K24" s="467"/>
      <c r="L24" s="721">
        <f>SUM(D24)+SUM(H24)</f>
        <v>13.6</v>
      </c>
      <c r="M24" s="467"/>
      <c r="N24" s="493">
        <v>2.7</v>
      </c>
      <c r="O24" s="467"/>
      <c r="P24" s="493">
        <f>'Exhibit L'!AD23+'Exhibit M'!AD23</f>
        <v>7.6</v>
      </c>
      <c r="R24" s="706"/>
      <c r="S24" s="734">
        <f>ROUND(SUM(L24-P24),1)</f>
        <v>6</v>
      </c>
      <c r="T24" s="499"/>
      <c r="U24" s="927">
        <f>ROUND(IF(S24=0,0,S24/ABS(P24)),3)</f>
        <v>0.78900000000000003</v>
      </c>
      <c r="V24" s="598"/>
    </row>
    <row r="25" spans="1:22" ht="16.350000000000001" customHeight="1">
      <c r="A25" s="499" t="s">
        <v>68</v>
      </c>
      <c r="B25" s="493">
        <f>+'Exhibit L'!L24</f>
        <v>4.4000000000000004</v>
      </c>
      <c r="C25" s="467"/>
      <c r="D25" s="495">
        <f>+'Exhibit L'!AA24</f>
        <v>29.1</v>
      </c>
      <c r="E25" s="467"/>
      <c r="F25" s="480">
        <f>+'Exhibit M'!L24</f>
        <v>0</v>
      </c>
      <c r="G25" s="467"/>
      <c r="H25" s="722">
        <f>+'Exhibit M'!AA24</f>
        <v>0.2</v>
      </c>
      <c r="I25" s="467"/>
      <c r="J25" s="720">
        <f>SUM(B25)+SUM(F25)</f>
        <v>4.4000000000000004</v>
      </c>
      <c r="K25" s="467"/>
      <c r="L25" s="723">
        <f>SUM(D25)+SUM(H25)</f>
        <v>29.3</v>
      </c>
      <c r="M25" s="467"/>
      <c r="N25" s="493">
        <v>4.1999999999999993</v>
      </c>
      <c r="O25" s="647"/>
      <c r="P25" s="493">
        <f>'Exhibit L'!AD24+'Exhibit M'!AD24</f>
        <v>25.3</v>
      </c>
      <c r="R25" s="706"/>
      <c r="S25" s="734">
        <f>ROUND(SUM(L25-P25),1)</f>
        <v>4</v>
      </c>
      <c r="T25" s="499"/>
      <c r="U25" s="1975">
        <f>ROUND(IF(P25=0,1,S25/ABS(P25)),3)</f>
        <v>0.158</v>
      </c>
      <c r="V25" s="598"/>
    </row>
    <row r="26" spans="1:22" ht="15.75">
      <c r="A26" s="19" t="s">
        <v>56</v>
      </c>
      <c r="B26" s="74">
        <f>ROUND(SUM(B23:B25),1)</f>
        <v>12</v>
      </c>
      <c r="C26" s="42"/>
      <c r="D26" s="74">
        <f>ROUND(SUM(D23:D25),1)</f>
        <v>86.5</v>
      </c>
      <c r="E26" s="42"/>
      <c r="F26" s="74">
        <f>ROUND(SUM(F23:F25),1)</f>
        <v>0.1</v>
      </c>
      <c r="G26" s="42"/>
      <c r="H26" s="75">
        <f>ROUND(SUM(H23:H25),1)</f>
        <v>0.5</v>
      </c>
      <c r="I26" s="42"/>
      <c r="J26" s="76">
        <f>ROUND(SUM(J23:J25),1)</f>
        <v>12.1</v>
      </c>
      <c r="K26" s="42"/>
      <c r="L26" s="75">
        <f>ROUND(SUM(L23:L25),1)</f>
        <v>87</v>
      </c>
      <c r="M26" s="42"/>
      <c r="N26" s="74">
        <f>ROUND(SUM(N23:N25),1)</f>
        <v>12.9</v>
      </c>
      <c r="O26" s="42"/>
      <c r="P26" s="74">
        <f>ROUND(SUM(P23:P25),1)</f>
        <v>72.8</v>
      </c>
      <c r="Q26" s="139"/>
      <c r="R26" s="232"/>
      <c r="S26" s="735">
        <f>ROUND(SUM(S23:S25),3)</f>
        <v>14.2</v>
      </c>
      <c r="T26" s="472"/>
      <c r="U26" s="1979">
        <f>ROUND(S26/P26,3)</f>
        <v>0.19500000000000001</v>
      </c>
      <c r="V26" s="598"/>
    </row>
    <row r="27" spans="1:22" ht="15.75">
      <c r="A27" s="19"/>
      <c r="B27" s="467"/>
      <c r="C27" s="467"/>
      <c r="D27" s="467"/>
      <c r="E27" s="467"/>
      <c r="F27" s="467"/>
      <c r="G27" s="467"/>
      <c r="H27" s="718"/>
      <c r="I27" s="467"/>
      <c r="J27" s="717"/>
      <c r="K27" s="467"/>
      <c r="L27" s="718"/>
      <c r="M27" s="467"/>
      <c r="N27" s="467"/>
      <c r="O27" s="467"/>
      <c r="P27" s="467"/>
      <c r="R27" s="706"/>
      <c r="S27" s="734"/>
      <c r="T27" s="499"/>
      <c r="U27" s="598"/>
      <c r="V27" s="598"/>
    </row>
    <row r="28" spans="1:22" ht="16.350000000000001" customHeight="1">
      <c r="A28" s="19" t="s">
        <v>43</v>
      </c>
      <c r="B28" s="467"/>
      <c r="C28" s="467"/>
      <c r="D28" s="467"/>
      <c r="E28" s="467"/>
      <c r="F28" s="467"/>
      <c r="G28" s="467"/>
      <c r="H28" s="718"/>
      <c r="I28" s="467"/>
      <c r="J28" s="717"/>
      <c r="K28" s="467"/>
      <c r="L28" s="718"/>
      <c r="M28" s="467"/>
      <c r="N28" s="467"/>
      <c r="O28" s="467"/>
      <c r="P28" s="467"/>
      <c r="R28" s="706"/>
      <c r="S28" s="734"/>
      <c r="T28" s="499"/>
      <c r="U28" s="598"/>
      <c r="V28" s="598"/>
    </row>
    <row r="29" spans="1:22" ht="15.75">
      <c r="A29" s="19" t="s">
        <v>70</v>
      </c>
      <c r="B29" s="77">
        <f>ROUND(SUM(B19-B26),1)</f>
        <v>-0.3</v>
      </c>
      <c r="C29" s="42"/>
      <c r="D29" s="77">
        <f>ROUND(SUM(D19-D26),1)</f>
        <v>6.2</v>
      </c>
      <c r="E29" s="42"/>
      <c r="F29" s="77">
        <f>ROUND(SUM(F19-F26),1)</f>
        <v>1.2</v>
      </c>
      <c r="G29" s="42"/>
      <c r="H29" s="78">
        <f>ROUND(SUM(H19-H26),1)</f>
        <v>4.2</v>
      </c>
      <c r="I29" s="42"/>
      <c r="J29" s="79">
        <f>ROUND(SUM(J19-J26),1)</f>
        <v>0.9</v>
      </c>
      <c r="K29" s="42"/>
      <c r="L29" s="78">
        <f>ROUND(SUM(L19-L26),1)</f>
        <v>10.4</v>
      </c>
      <c r="M29" s="42"/>
      <c r="N29" s="77">
        <f>ROUND(SUM(N19-N26),1)</f>
        <v>6.7</v>
      </c>
      <c r="O29" s="42"/>
      <c r="P29" s="77">
        <f>ROUND(SUM(P19-P26),1)</f>
        <v>5.8</v>
      </c>
      <c r="Q29" s="139"/>
      <c r="R29" s="706"/>
      <c r="S29" s="601">
        <f>ROUND(SUM(L29-P29),1)</f>
        <v>4.5999999999999996</v>
      </c>
      <c r="T29" s="499"/>
      <c r="U29" s="1291">
        <f>ROUND(IF(P29=0,1,S29/ABS(P29)),3)</f>
        <v>0.79300000000000004</v>
      </c>
      <c r="V29" s="598"/>
    </row>
    <row r="30" spans="1:22">
      <c r="A30" s="499"/>
      <c r="B30" s="467"/>
      <c r="C30" s="467"/>
      <c r="D30" s="467"/>
      <c r="E30" s="467"/>
      <c r="F30" s="467"/>
      <c r="G30" s="467"/>
      <c r="H30" s="718"/>
      <c r="I30" s="467"/>
      <c r="J30" s="717"/>
      <c r="K30" s="467"/>
      <c r="L30" s="718"/>
      <c r="M30" s="467"/>
      <c r="N30" s="467"/>
      <c r="O30" s="467"/>
      <c r="P30" s="467"/>
      <c r="R30" s="706"/>
      <c r="S30" s="734"/>
      <c r="T30" s="499"/>
      <c r="U30" s="598"/>
      <c r="V30" s="598"/>
    </row>
    <row r="31" spans="1:22" ht="16.350000000000001" customHeight="1">
      <c r="A31" s="19" t="s">
        <v>45</v>
      </c>
      <c r="B31" s="467"/>
      <c r="C31" s="467"/>
      <c r="D31" s="467"/>
      <c r="E31" s="467"/>
      <c r="F31" s="467"/>
      <c r="G31" s="467"/>
      <c r="H31" s="718"/>
      <c r="I31" s="467"/>
      <c r="J31" s="717"/>
      <c r="K31" s="467"/>
      <c r="L31" s="718"/>
      <c r="M31" s="467"/>
      <c r="N31" s="467"/>
      <c r="O31" s="467"/>
      <c r="P31" s="467"/>
      <c r="R31" s="706"/>
      <c r="S31" s="734"/>
      <c r="T31" s="499"/>
      <c r="U31" s="598"/>
      <c r="V31" s="598"/>
    </row>
    <row r="32" spans="1:22" ht="16.350000000000001" customHeight="1">
      <c r="A32" s="499" t="s">
        <v>46</v>
      </c>
      <c r="B32" s="480">
        <f>+'Exhibit L'!L31</f>
        <v>0</v>
      </c>
      <c r="C32" s="467"/>
      <c r="D32" s="480">
        <f>+'Exhibit L'!AA31</f>
        <v>0</v>
      </c>
      <c r="E32" s="467"/>
      <c r="F32" s="480">
        <f>+'Exhibit M'!L31</f>
        <v>0</v>
      </c>
      <c r="G32" s="493"/>
      <c r="H32" s="724">
        <f>+'Exhibit M'!AA31</f>
        <v>0</v>
      </c>
      <c r="I32" s="467"/>
      <c r="J32" s="725">
        <f>SUM(B32)+SUM(F32)</f>
        <v>0</v>
      </c>
      <c r="K32" s="467"/>
      <c r="L32" s="719">
        <f>SUM(D32)+SUM(H32)</f>
        <v>0</v>
      </c>
      <c r="M32" s="467"/>
      <c r="N32" s="493">
        <v>0</v>
      </c>
      <c r="O32" s="467"/>
      <c r="P32" s="495">
        <f>'Exhibit L'!AD31+'Exhibit M'!AD31</f>
        <v>0</v>
      </c>
      <c r="R32" s="726"/>
      <c r="S32" s="734">
        <f>ROUND(SUM(L32-P32),1)</f>
        <v>0</v>
      </c>
      <c r="T32" s="472"/>
      <c r="U32" s="927">
        <f>ROUND(IF(S32=0,0,S32/ABS(P32)),3)</f>
        <v>0</v>
      </c>
      <c r="V32" s="598"/>
    </row>
    <row r="33" spans="1:22" ht="16.350000000000001" customHeight="1">
      <c r="A33" s="499" t="s">
        <v>71</v>
      </c>
      <c r="B33" s="480">
        <f>+'Exhibit L'!L32</f>
        <v>0</v>
      </c>
      <c r="C33" s="467"/>
      <c r="D33" s="727">
        <f>+'Exhibit L'!AA32</f>
        <v>0</v>
      </c>
      <c r="E33" s="467"/>
      <c r="F33" s="480">
        <f>+'Exhibit M'!L32</f>
        <v>0</v>
      </c>
      <c r="G33" s="467"/>
      <c r="H33" s="724">
        <f>+'Exhibit M'!AA32</f>
        <v>0</v>
      </c>
      <c r="I33" s="467"/>
      <c r="J33" s="725">
        <f>SUM(B33)+SUM(F33)</f>
        <v>0</v>
      </c>
      <c r="K33" s="467"/>
      <c r="L33" s="728">
        <f>SUM(D33)+SUM(H33)</f>
        <v>0</v>
      </c>
      <c r="M33" s="467"/>
      <c r="N33" s="493">
        <v>0</v>
      </c>
      <c r="O33" s="647"/>
      <c r="P33" s="495">
        <f>'Exhibit L'!AD32+'Exhibit M'!AD32</f>
        <v>0</v>
      </c>
      <c r="R33" s="729"/>
      <c r="S33" s="734">
        <f>ROUND(SUM(L33-P33),1)</f>
        <v>0</v>
      </c>
      <c r="T33" s="472"/>
      <c r="U33" s="927">
        <f>ROUND(IF(S33=0,0,S33/ABS(P33)),3)</f>
        <v>0</v>
      </c>
      <c r="V33" s="598"/>
    </row>
    <row r="34" spans="1:22" ht="15.75">
      <c r="A34" s="19" t="s">
        <v>48</v>
      </c>
      <c r="B34" s="80">
        <f>ROUND(SUM(B32:B33),1)</f>
        <v>0</v>
      </c>
      <c r="C34" s="42"/>
      <c r="D34" s="80">
        <f>ROUND(SUM(D32:D33),1)</f>
        <v>0</v>
      </c>
      <c r="E34" s="42"/>
      <c r="F34" s="80">
        <f>ROUND(SUM(F32:F33),1)</f>
        <v>0</v>
      </c>
      <c r="G34" s="42"/>
      <c r="H34" s="81">
        <f>ROUND(SUM(H32:H33),1)</f>
        <v>0</v>
      </c>
      <c r="I34" s="42"/>
      <c r="J34" s="82">
        <f>ROUND(SUM(J32:J33),1)</f>
        <v>0</v>
      </c>
      <c r="K34" s="42"/>
      <c r="L34" s="75">
        <f>ROUND(SUM(L32:L33),1)</f>
        <v>0</v>
      </c>
      <c r="M34" s="42"/>
      <c r="N34" s="74">
        <f>ROUND(SUM(N32:N33),1)</f>
        <v>0</v>
      </c>
      <c r="O34" s="42"/>
      <c r="P34" s="74">
        <f>ROUND(SUM(P32:P33),1)</f>
        <v>0</v>
      </c>
      <c r="R34" s="730"/>
      <c r="S34" s="56">
        <f>ROUND(SUM(S32-S33),3)</f>
        <v>0</v>
      </c>
      <c r="T34" s="940"/>
      <c r="U34" s="754">
        <f>ROUND(IF(P34=0,0,S34/ABS(P34)),3)</f>
        <v>0</v>
      </c>
      <c r="V34" s="598"/>
    </row>
    <row r="35" spans="1:22" ht="15.75">
      <c r="A35" s="19"/>
      <c r="B35" s="497"/>
      <c r="C35" s="467"/>
      <c r="D35" s="497"/>
      <c r="E35" s="467"/>
      <c r="F35" s="467"/>
      <c r="G35" s="467"/>
      <c r="H35" s="718"/>
      <c r="I35" s="467"/>
      <c r="J35" s="717"/>
      <c r="K35" s="467"/>
      <c r="L35" s="731"/>
      <c r="M35" s="467"/>
      <c r="N35" s="467"/>
      <c r="O35" s="467"/>
      <c r="P35" s="467"/>
      <c r="R35" s="706"/>
      <c r="S35" s="734"/>
      <c r="T35" s="499"/>
      <c r="U35" s="598"/>
      <c r="V35" s="598"/>
    </row>
    <row r="36" spans="1:22" ht="15.75" customHeight="1">
      <c r="A36" s="19" t="s">
        <v>43</v>
      </c>
      <c r="B36" s="467"/>
      <c r="C36" s="467"/>
      <c r="D36" s="467"/>
      <c r="E36" s="467"/>
      <c r="F36" s="467"/>
      <c r="G36" s="467"/>
      <c r="H36" s="718"/>
      <c r="I36" s="467"/>
      <c r="J36" s="717"/>
      <c r="K36" s="467"/>
      <c r="L36" s="718"/>
      <c r="M36" s="467"/>
      <c r="N36" s="467"/>
      <c r="O36" s="467"/>
      <c r="P36" s="467"/>
      <c r="R36" s="706"/>
      <c r="S36" s="734"/>
      <c r="T36" s="499"/>
      <c r="U36" s="598"/>
      <c r="V36" s="598"/>
    </row>
    <row r="37" spans="1:22" ht="15.75" customHeight="1">
      <c r="A37" s="19" t="s">
        <v>72</v>
      </c>
      <c r="B37" s="467"/>
      <c r="C37" s="467"/>
      <c r="D37" s="467"/>
      <c r="E37" s="467"/>
      <c r="F37" s="467"/>
      <c r="G37" s="467"/>
      <c r="H37" s="718"/>
      <c r="I37" s="467"/>
      <c r="J37" s="717"/>
      <c r="K37" s="467"/>
      <c r="L37" s="718"/>
      <c r="M37" s="467"/>
      <c r="N37" s="467"/>
      <c r="O37" s="467"/>
      <c r="P37" s="467"/>
      <c r="R37" s="706"/>
      <c r="S37" s="734"/>
      <c r="T37" s="499"/>
      <c r="U37" s="598"/>
      <c r="V37" s="598"/>
    </row>
    <row r="38" spans="1:22" ht="15.75" customHeight="1">
      <c r="A38" s="19" t="s">
        <v>73</v>
      </c>
      <c r="B38" s="467"/>
      <c r="C38" s="467"/>
      <c r="D38" s="467"/>
      <c r="E38" s="467"/>
      <c r="F38" s="647"/>
      <c r="G38" s="467"/>
      <c r="H38" s="718"/>
      <c r="I38" s="467"/>
      <c r="J38" s="717"/>
      <c r="K38" s="467"/>
      <c r="L38" s="718"/>
      <c r="M38" s="467"/>
      <c r="N38" s="467"/>
      <c r="O38" s="467"/>
      <c r="P38" s="467"/>
      <c r="R38" s="706"/>
      <c r="S38" s="734"/>
      <c r="T38" s="499"/>
      <c r="U38" s="598"/>
      <c r="V38" s="598"/>
    </row>
    <row r="39" spans="1:22" ht="15.75" customHeight="1">
      <c r="A39" s="19" t="s">
        <v>74</v>
      </c>
      <c r="B39" s="83">
        <f>ROUND(SUM(B29+B34),1)</f>
        <v>-0.3</v>
      </c>
      <c r="C39" s="42"/>
      <c r="D39" s="83">
        <f>ROUND(SUM(D29+D34),1)</f>
        <v>6.2</v>
      </c>
      <c r="E39" s="42"/>
      <c r="F39" s="83">
        <f>ROUND(SUM(F29+F34),1)</f>
        <v>1.2</v>
      </c>
      <c r="G39" s="42"/>
      <c r="H39" s="84">
        <f>ROUND(SUM(H29+H34),1)</f>
        <v>4.2</v>
      </c>
      <c r="I39" s="42"/>
      <c r="J39" s="85">
        <f>ROUND(SUM(J29+J34),1)</f>
        <v>0.9</v>
      </c>
      <c r="K39" s="42"/>
      <c r="L39" s="84">
        <f>ROUND(SUM(L29+L34),1)</f>
        <v>10.4</v>
      </c>
      <c r="M39" s="42"/>
      <c r="N39" s="83">
        <f>ROUND(SUM(N29+N34),1)</f>
        <v>6.7</v>
      </c>
      <c r="O39" s="42"/>
      <c r="P39" s="83">
        <f>ROUND(SUM(P29+P34),1)</f>
        <v>5.8</v>
      </c>
      <c r="Q39" s="139"/>
      <c r="R39" s="706"/>
      <c r="S39" s="42">
        <f>ROUND(SUM(L39-P39),1)</f>
        <v>4.5999999999999996</v>
      </c>
      <c r="T39" s="499"/>
      <c r="U39" s="1292">
        <f>ROUND(IF(P39=0,1,S39/ABS(P39)),3)</f>
        <v>0.79300000000000004</v>
      </c>
      <c r="V39" s="598"/>
    </row>
    <row r="40" spans="1:22" ht="15.75">
      <c r="A40" s="19"/>
      <c r="B40" s="467"/>
      <c r="C40" s="467"/>
      <c r="D40" s="467"/>
      <c r="E40" s="467"/>
      <c r="F40" s="467"/>
      <c r="G40" s="467"/>
      <c r="H40" s="718"/>
      <c r="I40" s="467"/>
      <c r="J40" s="717"/>
      <c r="K40" s="467"/>
      <c r="L40" s="718"/>
      <c r="M40" s="467"/>
      <c r="N40" s="467"/>
      <c r="O40" s="467"/>
      <c r="P40" s="467"/>
      <c r="R40" s="706"/>
      <c r="T40" s="499"/>
      <c r="V40" s="598"/>
    </row>
    <row r="41" spans="1:22" s="139" customFormat="1" ht="15.75">
      <c r="A41" s="19" t="s">
        <v>51</v>
      </c>
      <c r="B41" s="86">
        <f>+'Exhibit L'!L13</f>
        <v>1262.2</v>
      </c>
      <c r="C41" s="42"/>
      <c r="D41" s="86">
        <f>+'Exhibit L'!AA13</f>
        <v>1255.7</v>
      </c>
      <c r="E41" s="42"/>
      <c r="F41" s="86">
        <f>+'Exhibit M'!L13</f>
        <v>56.1</v>
      </c>
      <c r="G41" s="42"/>
      <c r="H41" s="87">
        <f>+'Exhibit M'!AA13</f>
        <v>53.1</v>
      </c>
      <c r="I41" s="42"/>
      <c r="J41" s="88">
        <f>ROUND(SUM(B41)+SUM(F41),1)</f>
        <v>1318.3</v>
      </c>
      <c r="K41" s="42"/>
      <c r="L41" s="84">
        <f>ROUND(SUM(D41+H41),1)</f>
        <v>1308.8</v>
      </c>
      <c r="M41" s="42"/>
      <c r="N41" s="77">
        <v>363.9</v>
      </c>
      <c r="O41" s="42"/>
      <c r="P41" s="77">
        <f>'Exhibit L'!AD13+'Exhibit M'!AD13</f>
        <v>364.79999999999995</v>
      </c>
      <c r="R41" s="697"/>
      <c r="S41" s="62">
        <f>ROUND(SUM(+L41-P41),1)</f>
        <v>944</v>
      </c>
      <c r="T41" s="19"/>
      <c r="U41" s="928">
        <f>ROUND(IF(S41=0,0,S41/ABS(P41)),3)</f>
        <v>2.5880000000000001</v>
      </c>
      <c r="V41" s="732"/>
    </row>
    <row r="42" spans="1:22" ht="16.5" thickBot="1">
      <c r="A42" s="19" t="s">
        <v>76</v>
      </c>
      <c r="B42" s="89">
        <f>ROUND(SUM(B41)+SUM(B39),1)</f>
        <v>1261.9000000000001</v>
      </c>
      <c r="C42" s="65"/>
      <c r="D42" s="89">
        <f>ROUND(SUM(D41)+SUM(D39),1)</f>
        <v>1261.9000000000001</v>
      </c>
      <c r="E42" s="65"/>
      <c r="F42" s="64">
        <f>ROUND(SUM(F41)+SUM(F39),1)</f>
        <v>57.3</v>
      </c>
      <c r="G42" s="90"/>
      <c r="H42" s="581">
        <f>ROUND(SUM(H41)+SUM(H39),1)</f>
        <v>57.3</v>
      </c>
      <c r="I42" s="582"/>
      <c r="J42" s="581">
        <f>ROUND(SUM(J41)+SUM(J39),1)</f>
        <v>1319.2</v>
      </c>
      <c r="K42" s="65"/>
      <c r="L42" s="91">
        <f>ROUND(SUM(L41)+SUM(L39),1)</f>
        <v>1319.2</v>
      </c>
      <c r="M42" s="65"/>
      <c r="N42" s="581">
        <f>ROUND(SUM(N41)+SUM(N39),1)</f>
        <v>370.6</v>
      </c>
      <c r="O42" s="65"/>
      <c r="P42" s="581">
        <f>ROUND(SUM(P41)+SUM(P39),1)</f>
        <v>370.6</v>
      </c>
      <c r="Q42" s="123"/>
      <c r="R42" s="712"/>
      <c r="S42" s="1801">
        <f>ROUND(SUM(S39+S41),3)</f>
        <v>948.6</v>
      </c>
      <c r="T42" s="668"/>
      <c r="U42" s="1901">
        <f>ROUND(IF(P42=0,1,S42/ABS(P42)),3)</f>
        <v>2.56</v>
      </c>
      <c r="V42" s="598"/>
    </row>
    <row r="43" spans="1:22" ht="15.75" thickTop="1">
      <c r="A43" s="499"/>
      <c r="B43" s="733"/>
      <c r="C43" s="668"/>
      <c r="D43" s="733"/>
      <c r="E43" s="668"/>
      <c r="F43" s="733"/>
      <c r="G43" s="668"/>
      <c r="H43" s="733"/>
      <c r="I43" s="668"/>
      <c r="J43" s="733"/>
      <c r="K43" s="668"/>
      <c r="L43" s="733"/>
      <c r="M43" s="668"/>
      <c r="N43" s="733"/>
      <c r="O43" s="668"/>
      <c r="P43" s="733"/>
      <c r="Q43" s="668"/>
      <c r="R43" s="713"/>
      <c r="S43" s="713"/>
      <c r="T43" s="713"/>
      <c r="U43" s="713"/>
      <c r="V43" s="713"/>
    </row>
    <row r="44" spans="1:22" ht="18">
      <c r="A44" s="499" t="s">
        <v>1409</v>
      </c>
      <c r="B44" s="499"/>
      <c r="C44" s="499"/>
      <c r="D44" s="499"/>
      <c r="E44" s="499"/>
      <c r="F44" s="499"/>
      <c r="G44" s="499"/>
      <c r="H44" s="499"/>
      <c r="I44" s="499"/>
      <c r="J44" s="499"/>
      <c r="K44" s="499"/>
      <c r="L44" s="499"/>
      <c r="M44" s="499"/>
      <c r="N44" s="467"/>
      <c r="O44" s="499"/>
      <c r="P44" s="499"/>
      <c r="Q44" s="499"/>
      <c r="R44" s="598"/>
      <c r="S44" s="902"/>
      <c r="T44" s="598"/>
      <c r="U44" s="598"/>
      <c r="V44" s="598"/>
    </row>
    <row r="45" spans="1:22">
      <c r="A45" s="499"/>
      <c r="B45" s="499"/>
      <c r="C45" s="499"/>
      <c r="D45" s="499"/>
      <c r="E45" s="499"/>
      <c r="F45" s="499" t="s">
        <v>14</v>
      </c>
      <c r="G45" s="499"/>
      <c r="H45" s="499"/>
      <c r="I45" s="499"/>
      <c r="J45" s="499"/>
      <c r="K45" s="499"/>
      <c r="L45" s="499"/>
      <c r="N45" s="467"/>
      <c r="O45" s="499"/>
      <c r="P45" s="499"/>
      <c r="Q45" s="499"/>
      <c r="R45" s="598"/>
      <c r="S45" s="598"/>
      <c r="T45" s="598"/>
      <c r="U45" s="598"/>
      <c r="V45" s="598"/>
    </row>
    <row r="46" spans="1:22">
      <c r="A46" s="472"/>
      <c r="B46" s="499"/>
      <c r="C46" s="499"/>
      <c r="D46" s="499"/>
      <c r="E46" s="499"/>
      <c r="F46" s="499"/>
      <c r="G46" s="499"/>
      <c r="H46" s="499"/>
      <c r="I46" s="499"/>
      <c r="J46" s="499"/>
      <c r="K46" s="499"/>
      <c r="L46" s="499"/>
      <c r="M46" s="499"/>
      <c r="N46" s="499"/>
      <c r="O46" s="499"/>
      <c r="P46" s="499"/>
      <c r="Q46" s="499"/>
      <c r="R46" s="598"/>
      <c r="S46" s="598"/>
      <c r="T46" s="598"/>
      <c r="U46" s="598"/>
      <c r="V46" s="598"/>
    </row>
    <row r="47" spans="1:22">
      <c r="A47" s="499"/>
      <c r="B47" s="499"/>
      <c r="C47" s="499"/>
      <c r="D47" s="499"/>
      <c r="E47" s="499"/>
      <c r="F47" s="499"/>
      <c r="G47" s="499"/>
      <c r="H47" s="499"/>
      <c r="I47" s="499"/>
      <c r="J47" s="499"/>
      <c r="K47" s="499"/>
      <c r="L47" s="499"/>
      <c r="M47" s="499"/>
      <c r="N47" s="499"/>
      <c r="O47" s="499"/>
      <c r="P47" s="499"/>
      <c r="Q47" s="499"/>
      <c r="R47" s="598"/>
      <c r="S47" s="598"/>
      <c r="T47" s="598"/>
      <c r="U47" s="598"/>
      <c r="V47" s="598"/>
    </row>
    <row r="48" spans="1:22">
      <c r="A48" s="499"/>
      <c r="B48" s="499"/>
      <c r="C48" s="499"/>
      <c r="D48" s="499"/>
      <c r="E48" s="499"/>
      <c r="F48" s="499"/>
      <c r="G48" s="499"/>
      <c r="H48" s="499"/>
      <c r="I48" s="499"/>
      <c r="J48" s="499"/>
      <c r="K48" s="499"/>
      <c r="L48" s="499"/>
      <c r="M48" s="499"/>
      <c r="N48" s="499"/>
      <c r="O48" s="499"/>
      <c r="P48" s="499"/>
      <c r="Q48" s="499"/>
      <c r="R48" s="598"/>
      <c r="S48" s="598"/>
      <c r="T48" s="598"/>
      <c r="U48" s="598"/>
      <c r="V48" s="598"/>
    </row>
    <row r="49" spans="1:22">
      <c r="A49" s="499"/>
      <c r="B49" s="499"/>
      <c r="C49" s="499"/>
      <c r="D49" s="499"/>
      <c r="E49" s="499"/>
      <c r="F49" s="499"/>
      <c r="G49" s="499"/>
      <c r="H49" s="499"/>
      <c r="I49" s="499"/>
      <c r="J49" s="499"/>
      <c r="K49" s="499"/>
      <c r="L49" s="499"/>
      <c r="M49" s="499"/>
      <c r="N49" s="499"/>
      <c r="O49" s="499"/>
      <c r="P49" s="499"/>
      <c r="Q49" s="499"/>
      <c r="R49" s="598"/>
      <c r="S49" s="598"/>
      <c r="T49" s="598"/>
      <c r="U49" s="598"/>
      <c r="V49" s="598"/>
    </row>
    <row r="50" spans="1:22">
      <c r="A50" s="499"/>
      <c r="B50" s="499"/>
      <c r="C50" s="499"/>
      <c r="D50" s="499"/>
      <c r="E50" s="499"/>
      <c r="F50" s="499"/>
      <c r="G50" s="499"/>
      <c r="H50" s="499"/>
      <c r="I50" s="499"/>
      <c r="J50" s="499"/>
      <c r="K50" s="499"/>
      <c r="L50" s="499"/>
      <c r="M50" s="499"/>
      <c r="N50" s="499"/>
      <c r="O50" s="499"/>
      <c r="P50" s="499"/>
      <c r="Q50" s="499"/>
      <c r="R50" s="598"/>
      <c r="S50" s="598"/>
      <c r="T50" s="598"/>
      <c r="U50" s="598"/>
      <c r="V50" s="598"/>
    </row>
    <row r="51" spans="1:22">
      <c r="A51" s="499"/>
      <c r="B51" s="499"/>
      <c r="C51" s="499"/>
      <c r="D51" s="499"/>
      <c r="E51" s="499"/>
      <c r="F51" s="499"/>
      <c r="G51" s="499"/>
      <c r="H51" s="499"/>
      <c r="I51" s="499"/>
      <c r="J51" s="499"/>
      <c r="K51" s="499"/>
      <c r="L51" s="499"/>
      <c r="M51" s="499"/>
      <c r="N51" s="499"/>
      <c r="O51" s="499"/>
      <c r="P51" s="499"/>
      <c r="Q51" s="499"/>
      <c r="R51" s="598"/>
      <c r="S51" s="598"/>
      <c r="T51" s="598"/>
      <c r="U51" s="598"/>
      <c r="V51" s="598"/>
    </row>
    <row r="52" spans="1:22">
      <c r="A52" s="499"/>
      <c r="B52" s="499"/>
      <c r="C52" s="499"/>
      <c r="D52" s="499"/>
      <c r="E52" s="499"/>
      <c r="F52" s="499"/>
      <c r="G52" s="499"/>
      <c r="H52" s="499"/>
      <c r="I52" s="499"/>
      <c r="J52" s="499"/>
      <c r="K52" s="499"/>
      <c r="L52" s="499"/>
      <c r="M52" s="499"/>
      <c r="N52" s="499"/>
      <c r="O52" s="499"/>
      <c r="P52" s="499"/>
      <c r="Q52" s="499"/>
      <c r="R52" s="598"/>
      <c r="S52" s="598"/>
      <c r="T52" s="598"/>
      <c r="U52" s="598"/>
      <c r="V52" s="598"/>
    </row>
    <row r="53" spans="1:22">
      <c r="A53" s="499"/>
      <c r="B53" s="499"/>
      <c r="C53" s="499"/>
      <c r="D53" s="499"/>
      <c r="E53" s="499"/>
      <c r="F53" s="499"/>
      <c r="G53" s="499"/>
      <c r="H53" s="499"/>
      <c r="I53" s="499"/>
      <c r="J53" s="499"/>
      <c r="K53" s="499"/>
      <c r="L53" s="499"/>
      <c r="M53" s="499"/>
      <c r="N53" s="499"/>
      <c r="O53" s="499"/>
      <c r="P53" s="499"/>
      <c r="Q53" s="499"/>
      <c r="R53" s="598"/>
      <c r="S53" s="598"/>
      <c r="T53" s="598"/>
      <c r="U53" s="598"/>
      <c r="V53" s="598"/>
    </row>
    <row r="54" spans="1:22">
      <c r="A54" s="499"/>
      <c r="B54" s="499"/>
      <c r="C54" s="499"/>
      <c r="D54" s="499"/>
      <c r="E54" s="499"/>
      <c r="F54" s="499"/>
      <c r="G54" s="499"/>
      <c r="H54" s="499"/>
      <c r="I54" s="499"/>
      <c r="J54" s="499"/>
      <c r="K54" s="499"/>
      <c r="L54" s="499"/>
      <c r="M54" s="499"/>
      <c r="N54" s="499"/>
      <c r="O54" s="499"/>
      <c r="P54" s="499"/>
      <c r="Q54" s="499"/>
      <c r="R54" s="598"/>
      <c r="S54" s="598"/>
      <c r="T54" s="598"/>
      <c r="U54" s="598"/>
      <c r="V54" s="598"/>
    </row>
    <row r="55" spans="1:22">
      <c r="A55" s="499"/>
      <c r="B55" s="499"/>
      <c r="C55" s="499"/>
      <c r="D55" s="499"/>
      <c r="E55" s="499"/>
      <c r="F55" s="499"/>
      <c r="G55" s="499"/>
      <c r="H55" s="499"/>
      <c r="I55" s="499"/>
      <c r="J55" s="499"/>
      <c r="K55" s="499"/>
      <c r="L55" s="499"/>
      <c r="M55" s="499"/>
      <c r="N55" s="499"/>
      <c r="O55" s="499"/>
      <c r="P55" s="499"/>
      <c r="Q55" s="499"/>
      <c r="R55" s="598"/>
      <c r="S55" s="598"/>
      <c r="T55" s="598"/>
      <c r="U55" s="598"/>
      <c r="V55" s="598"/>
    </row>
    <row r="56" spans="1:22">
      <c r="A56" s="499"/>
      <c r="B56" s="499"/>
      <c r="C56" s="499"/>
      <c r="D56" s="499"/>
      <c r="E56" s="499"/>
      <c r="F56" s="499"/>
      <c r="G56" s="499"/>
      <c r="H56" s="499"/>
      <c r="I56" s="499"/>
      <c r="J56" s="499"/>
      <c r="K56" s="499"/>
      <c r="L56" s="499"/>
      <c r="M56" s="499"/>
      <c r="N56" s="499"/>
      <c r="O56" s="499"/>
      <c r="P56" s="499"/>
      <c r="Q56" s="499"/>
      <c r="R56" s="499"/>
      <c r="S56" s="499"/>
    </row>
    <row r="57" spans="1:22">
      <c r="A57" s="499"/>
      <c r="B57" s="499"/>
      <c r="C57" s="499"/>
      <c r="D57" s="499"/>
      <c r="E57" s="499"/>
      <c r="F57" s="499"/>
      <c r="G57" s="499"/>
      <c r="H57" s="499"/>
      <c r="I57" s="499"/>
      <c r="J57" s="499"/>
      <c r="K57" s="499"/>
      <c r="L57" s="499"/>
      <c r="M57" s="499"/>
      <c r="N57" s="499"/>
      <c r="O57" s="499"/>
      <c r="P57" s="499"/>
      <c r="Q57" s="499"/>
      <c r="R57" s="499"/>
      <c r="S57" s="499"/>
    </row>
    <row r="58" spans="1:22">
      <c r="A58" s="499"/>
      <c r="B58" s="499"/>
      <c r="C58" s="499"/>
      <c r="D58" s="499"/>
      <c r="E58" s="499"/>
      <c r="F58" s="499"/>
      <c r="G58" s="499"/>
      <c r="H58" s="499"/>
      <c r="I58" s="499"/>
      <c r="J58" s="499"/>
      <c r="K58" s="499"/>
      <c r="L58" s="499"/>
      <c r="M58" s="499"/>
      <c r="N58" s="499"/>
      <c r="O58" s="499"/>
      <c r="P58" s="499"/>
      <c r="Q58" s="499"/>
      <c r="R58" s="499"/>
      <c r="S58" s="499"/>
    </row>
    <row r="59" spans="1:22">
      <c r="A59" s="499"/>
      <c r="B59" s="499"/>
      <c r="C59" s="499"/>
      <c r="D59" s="499"/>
      <c r="E59" s="499"/>
      <c r="F59" s="499"/>
      <c r="G59" s="499"/>
      <c r="H59" s="499"/>
      <c r="I59" s="499"/>
      <c r="J59" s="499"/>
      <c r="K59" s="499"/>
      <c r="L59" s="499"/>
      <c r="M59" s="499"/>
      <c r="N59" s="499"/>
      <c r="O59" s="499"/>
      <c r="P59" s="499"/>
      <c r="Q59" s="499"/>
      <c r="R59" s="499"/>
      <c r="S59" s="499"/>
    </row>
    <row r="60" spans="1:22">
      <c r="A60" s="499"/>
      <c r="B60" s="499"/>
      <c r="C60" s="499"/>
      <c r="D60" s="499"/>
      <c r="E60" s="499"/>
      <c r="F60" s="499"/>
      <c r="G60" s="499"/>
      <c r="H60" s="499"/>
      <c r="I60" s="499"/>
      <c r="J60" s="499"/>
      <c r="K60" s="499"/>
      <c r="L60" s="499"/>
      <c r="M60" s="499"/>
      <c r="N60" s="499"/>
      <c r="O60" s="499"/>
      <c r="P60" s="499"/>
      <c r="Q60" s="499"/>
      <c r="R60" s="499"/>
      <c r="S60" s="499"/>
    </row>
    <row r="61" spans="1:22">
      <c r="A61" s="499"/>
      <c r="B61" s="499"/>
      <c r="C61" s="499"/>
      <c r="D61" s="499"/>
      <c r="E61" s="499"/>
      <c r="F61" s="499"/>
      <c r="G61" s="499"/>
      <c r="H61" s="499"/>
      <c r="I61" s="499"/>
      <c r="J61" s="499"/>
      <c r="K61" s="499"/>
      <c r="L61" s="499"/>
      <c r="M61" s="499"/>
      <c r="N61" s="499"/>
      <c r="O61" s="499"/>
      <c r="P61" s="499"/>
      <c r="Q61" s="499"/>
      <c r="R61" s="499"/>
      <c r="S61" s="499"/>
    </row>
  </sheetData>
  <mergeCells count="1">
    <mergeCell ref="S12:U12"/>
  </mergeCells>
  <pageMargins left="0.25" right="0.25" top="0.5" bottom="0.5" header="0" footer="0.25"/>
  <pageSetup scale="59" firstPageNumber="6" orientation="landscape" useFirstPageNumber="1" r:id="rId1"/>
  <headerFooter scaleWithDoc="0" alignWithMargins="0">
    <oddFooter>&amp;C&amp;8&amp;P</oddFooter>
  </headerFooter>
  <customProperties>
    <customPr name="SheetOptions" r:id="rId2"/>
  </customProperties>
  <ignoredErrors>
    <ignoredError sqref="S20:U22 S35:U38 T34:U34 T42 T41 S30:U31 S18:T18 S27:U28 S23:T25 S33:T33 S40:U40 S19:U19 S26:T26 S32:T32"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1">
    <pageSetUpPr fitToPage="1"/>
  </sheetPr>
  <dimension ref="A1:N56"/>
  <sheetViews>
    <sheetView showGridLines="0" zoomScale="90" zoomScaleNormal="80" workbookViewId="0"/>
  </sheetViews>
  <sheetFormatPr defaultColWidth="8.88671875" defaultRowHeight="15"/>
  <cols>
    <col min="1" max="1" width="45.88671875" style="71" customWidth="1"/>
    <col min="2" max="2" width="2.44140625" style="71" customWidth="1"/>
    <col min="3" max="3" width="15.109375" style="71" customWidth="1"/>
    <col min="4" max="4" width="1.88671875" style="71" customWidth="1"/>
    <col min="5" max="5" width="15.109375" style="71" customWidth="1"/>
    <col min="6" max="6" width="2.88671875" style="71" customWidth="1"/>
    <col min="7" max="7" width="15.109375" style="71" customWidth="1"/>
    <col min="8" max="8" width="2" style="71" customWidth="1"/>
    <col min="9" max="9" width="14.88671875" style="71" customWidth="1"/>
    <col min="10" max="10" width="2.109375" style="71" customWidth="1"/>
    <col min="11" max="11" width="14.109375" style="71" customWidth="1"/>
    <col min="12" max="12" width="8.88671875" style="71"/>
    <col min="13" max="13" width="10.109375" style="71" bestFit="1" customWidth="1"/>
    <col min="14" max="16384" width="8.88671875" style="71"/>
  </cols>
  <sheetData>
    <row r="1" spans="1:11">
      <c r="A1" s="666" t="s">
        <v>841</v>
      </c>
    </row>
    <row r="2" spans="1:11">
      <c r="A2" s="598"/>
    </row>
    <row r="3" spans="1:11" ht="18" customHeight="1">
      <c r="A3" s="2107" t="s">
        <v>0</v>
      </c>
      <c r="B3" s="2108"/>
      <c r="C3" s="2108"/>
      <c r="D3" s="2109"/>
      <c r="E3" s="2108"/>
      <c r="F3" s="94"/>
      <c r="G3" s="94"/>
      <c r="H3" s="94"/>
      <c r="I3" s="94"/>
      <c r="J3" s="94"/>
      <c r="K3" s="95" t="s">
        <v>81</v>
      </c>
    </row>
    <row r="4" spans="1:11" ht="18" customHeight="1">
      <c r="A4" s="2107" t="s">
        <v>80</v>
      </c>
      <c r="B4" s="2108"/>
      <c r="C4" s="2108"/>
      <c r="D4" s="2109"/>
      <c r="E4" s="2108"/>
      <c r="F4" s="94"/>
      <c r="G4" s="94"/>
      <c r="H4" s="94"/>
      <c r="I4" s="95"/>
      <c r="J4" s="96"/>
    </row>
    <row r="5" spans="1:11" ht="18" customHeight="1">
      <c r="A5" s="2322" t="s">
        <v>1435</v>
      </c>
      <c r="B5" s="2323"/>
      <c r="C5" s="2323"/>
      <c r="D5" s="2323"/>
      <c r="E5" s="2323"/>
      <c r="F5" s="94"/>
      <c r="G5" s="97"/>
      <c r="H5" s="94"/>
      <c r="I5" s="94"/>
      <c r="J5" s="94"/>
      <c r="K5" s="94"/>
    </row>
    <row r="6" spans="1:11" ht="18" customHeight="1">
      <c r="A6" s="2110" t="s">
        <v>1514</v>
      </c>
      <c r="B6" s="2109"/>
      <c r="C6" s="2109"/>
      <c r="D6" s="2109"/>
      <c r="E6" s="2109"/>
      <c r="F6" s="94"/>
      <c r="G6" s="94"/>
      <c r="H6" s="94"/>
      <c r="I6" s="94"/>
      <c r="J6" s="94"/>
      <c r="K6" s="94"/>
    </row>
    <row r="7" spans="1:11" ht="18" customHeight="1">
      <c r="A7" s="2111" t="s">
        <v>1200</v>
      </c>
      <c r="B7" s="2109"/>
      <c r="C7" s="2109"/>
      <c r="D7" s="2109"/>
      <c r="E7" s="2109"/>
      <c r="F7" s="94"/>
      <c r="G7" s="94"/>
      <c r="H7" s="94"/>
      <c r="I7" s="94"/>
      <c r="J7" s="94"/>
      <c r="K7" s="94"/>
    </row>
    <row r="8" spans="1:11" ht="18">
      <c r="A8" s="99"/>
      <c r="B8" s="94"/>
      <c r="C8" s="94"/>
      <c r="D8" s="94"/>
      <c r="E8" s="94"/>
      <c r="F8" s="94"/>
      <c r="G8" s="94"/>
      <c r="H8" s="94"/>
      <c r="I8" s="94"/>
      <c r="J8" s="94"/>
      <c r="K8" s="94"/>
    </row>
    <row r="9" spans="1:11">
      <c r="A9" s="100"/>
      <c r="B9" s="94"/>
      <c r="C9" s="94"/>
      <c r="D9" s="94"/>
      <c r="E9" s="94"/>
      <c r="F9" s="94"/>
      <c r="G9" s="94"/>
      <c r="H9" s="94"/>
      <c r="I9" s="94"/>
      <c r="J9" s="94"/>
      <c r="K9" s="94"/>
    </row>
    <row r="10" spans="1:11">
      <c r="A10" s="100"/>
      <c r="B10" s="94"/>
      <c r="C10" s="94"/>
      <c r="D10" s="94"/>
      <c r="E10" s="94"/>
      <c r="F10" s="94"/>
      <c r="G10" s="94"/>
      <c r="H10" s="94"/>
      <c r="I10" s="94"/>
      <c r="J10" s="94"/>
      <c r="K10" s="94"/>
    </row>
    <row r="11" spans="1:11" ht="15.75">
      <c r="A11" s="21"/>
      <c r="B11" s="101"/>
      <c r="C11" s="2324" t="s">
        <v>993</v>
      </c>
      <c r="D11" s="2324"/>
      <c r="E11" s="2324"/>
      <c r="F11" s="2324"/>
      <c r="G11" s="2324"/>
      <c r="H11" s="2324"/>
      <c r="I11" s="2324"/>
      <c r="J11" s="802"/>
      <c r="K11" s="803"/>
    </row>
    <row r="12" spans="1:11" ht="15.75">
      <c r="A12" s="21"/>
      <c r="B12" s="101"/>
      <c r="C12" s="101"/>
      <c r="D12" s="101"/>
      <c r="E12" s="101"/>
      <c r="F12" s="101"/>
      <c r="G12" s="101"/>
      <c r="H12" s="101"/>
      <c r="I12" s="102" t="s">
        <v>82</v>
      </c>
      <c r="J12" s="102"/>
      <c r="K12" s="102" t="s">
        <v>82</v>
      </c>
    </row>
    <row r="13" spans="1:11" ht="15.75">
      <c r="A13" s="21"/>
      <c r="B13" s="101"/>
      <c r="C13" s="101"/>
      <c r="D13" s="101"/>
      <c r="E13" s="101"/>
      <c r="F13" s="101"/>
      <c r="G13" s="101"/>
      <c r="H13" s="101"/>
      <c r="I13" s="102" t="s">
        <v>758</v>
      </c>
      <c r="J13" s="102"/>
      <c r="K13" s="102" t="s">
        <v>758</v>
      </c>
    </row>
    <row r="14" spans="1:11" ht="15.75">
      <c r="A14" s="499" t="s">
        <v>1109</v>
      </c>
      <c r="B14" s="101"/>
      <c r="C14" s="103" t="s">
        <v>944</v>
      </c>
      <c r="D14" s="101"/>
      <c r="E14" s="102" t="s">
        <v>945</v>
      </c>
      <c r="F14" s="101"/>
      <c r="G14" s="101"/>
      <c r="H14" s="101"/>
      <c r="I14" s="102" t="s">
        <v>83</v>
      </c>
      <c r="J14" s="102"/>
      <c r="K14" s="102" t="s">
        <v>83</v>
      </c>
    </row>
    <row r="15" spans="1:11" ht="15.75">
      <c r="A15" s="21"/>
      <c r="B15" s="101"/>
      <c r="C15" s="102" t="s">
        <v>980</v>
      </c>
      <c r="D15" s="101"/>
      <c r="E15" s="102" t="s">
        <v>980</v>
      </c>
      <c r="F15" s="101"/>
      <c r="G15" s="101"/>
      <c r="H15" s="101"/>
      <c r="I15" s="102" t="s">
        <v>944</v>
      </c>
      <c r="J15" s="102"/>
      <c r="K15" s="102" t="s">
        <v>945</v>
      </c>
    </row>
    <row r="16" spans="1:11" ht="15.75">
      <c r="A16" s="21"/>
      <c r="B16" s="101"/>
      <c r="C16" s="102" t="s">
        <v>981</v>
      </c>
      <c r="D16" s="101"/>
      <c r="E16" s="102" t="s">
        <v>1478</v>
      </c>
      <c r="F16" s="101"/>
      <c r="G16" s="103" t="s">
        <v>82</v>
      </c>
      <c r="H16" s="101"/>
      <c r="I16" s="102" t="s">
        <v>84</v>
      </c>
      <c r="J16" s="102"/>
      <c r="K16" s="102" t="s">
        <v>84</v>
      </c>
    </row>
    <row r="17" spans="1:13">
      <c r="A17" s="104"/>
      <c r="B17" s="94"/>
      <c r="C17" s="105"/>
      <c r="D17" s="94"/>
      <c r="E17" s="105"/>
      <c r="F17" s="94"/>
      <c r="G17" s="105"/>
      <c r="H17" s="94"/>
      <c r="I17" s="105"/>
      <c r="J17" s="94"/>
      <c r="K17" s="105"/>
    </row>
    <row r="18" spans="1:13" ht="15.75">
      <c r="A18" s="19" t="s">
        <v>13</v>
      </c>
      <c r="B18" s="106"/>
      <c r="C18" s="106"/>
      <c r="D18" s="106"/>
      <c r="E18" s="106"/>
      <c r="F18" s="106"/>
      <c r="G18" s="106"/>
      <c r="H18" s="106"/>
      <c r="I18" s="106"/>
      <c r="J18" s="106"/>
      <c r="K18" s="106"/>
    </row>
    <row r="19" spans="1:13" ht="15" customHeight="1">
      <c r="A19" s="594" t="s">
        <v>85</v>
      </c>
      <c r="B19" s="107" t="s">
        <v>14</v>
      </c>
      <c r="C19" s="108"/>
      <c r="D19" s="107"/>
      <c r="E19" s="108"/>
      <c r="F19" s="107"/>
      <c r="G19" s="33"/>
      <c r="H19" s="107"/>
      <c r="I19" s="33"/>
      <c r="J19" s="33"/>
      <c r="K19" s="33"/>
    </row>
    <row r="20" spans="1:13">
      <c r="A20" s="109" t="s">
        <v>86</v>
      </c>
      <c r="B20" s="107" t="s">
        <v>14</v>
      </c>
      <c r="C20" s="32">
        <f>'Exh D General Fund'!C20+'Exh D Special Revenue'!C20+'Exh D Debt Service'!C20</f>
        <v>26030</v>
      </c>
      <c r="D20" s="110"/>
      <c r="E20" s="32">
        <f>+'Exh D General Fund'!E20+'Exh D Special Revenue'!E20+'Exh D Debt Service'!E20</f>
        <v>26030</v>
      </c>
      <c r="F20" s="110"/>
      <c r="G20" s="32">
        <f>+'Exh D General Fund'!G20+'Exh D Special Revenue'!G20+'Exh D Debt Service'!G20</f>
        <v>25981</v>
      </c>
      <c r="H20" s="110"/>
      <c r="I20" s="32">
        <f t="shared" ref="I20:I25" si="0">G20-C20</f>
        <v>-49</v>
      </c>
      <c r="J20" s="111"/>
      <c r="K20" s="479">
        <f>G20-E20</f>
        <v>-49</v>
      </c>
      <c r="M20" s="804"/>
    </row>
    <row r="21" spans="1:13">
      <c r="A21" s="594" t="s">
        <v>87</v>
      </c>
      <c r="B21" s="106" t="s">
        <v>14</v>
      </c>
      <c r="C21" s="36">
        <f>+'Exh D General Fund'!C21+'Exh D Debt Service'!C21+'Exh D Special Revenue'!C21+'Exh D Capital Projects'!C20</f>
        <v>10932</v>
      </c>
      <c r="D21" s="36"/>
      <c r="E21" s="36">
        <f>+'Exh D General Fund'!E21+'Exh D Special Revenue'!E21+'Exh D Debt Service'!E21+'Exh D Capital Projects'!E20</f>
        <v>10932</v>
      </c>
      <c r="F21" s="36"/>
      <c r="G21" s="36">
        <f>+'Exh D General Fund'!G21+'Exh D Special Revenue'!G21+'Exh D Debt Service'!G21+'Exh D Capital Projects'!G20</f>
        <v>11037.3</v>
      </c>
      <c r="H21" s="36"/>
      <c r="I21" s="36">
        <f t="shared" si="0"/>
        <v>105.29999999999927</v>
      </c>
      <c r="J21" s="111"/>
      <c r="K21" s="467">
        <f>G21-E21</f>
        <v>105.29999999999927</v>
      </c>
      <c r="M21" s="804"/>
    </row>
    <row r="22" spans="1:13" ht="15" customHeight="1">
      <c r="A22" s="594" t="s">
        <v>88</v>
      </c>
      <c r="B22" s="107" t="s">
        <v>14</v>
      </c>
      <c r="C22" s="36">
        <f>+'Exh D General Fund'!C22+'Exh D Special Revenue'!C22+'Exh D Capital Projects'!C21+'Exh D Debt Service'!C22</f>
        <v>11212</v>
      </c>
      <c r="D22" s="46"/>
      <c r="E22" s="36">
        <f>+'Exh D General Fund'!E22+'Exh D Special Revenue'!E22+'Exh D Capital Projects'!E21+'Exh D Debt Service'!E22</f>
        <v>11212</v>
      </c>
      <c r="F22" s="46"/>
      <c r="G22" s="36">
        <f>+'Exh D General Fund'!G22+'Exh D Special Revenue'!G22+'Exh D Capital Projects'!G21+'Exh D Debt Service'!G22</f>
        <v>12791.5</v>
      </c>
      <c r="H22" s="46"/>
      <c r="I22" s="36">
        <f t="shared" si="0"/>
        <v>1579.5</v>
      </c>
      <c r="J22" s="111"/>
      <c r="K22" s="467">
        <f t="shared" ref="K22:K25" si="1">G22-E22</f>
        <v>1579.5</v>
      </c>
      <c r="M22" s="804"/>
    </row>
    <row r="23" spans="1:13" ht="14.25" customHeight="1">
      <c r="A23" s="594" t="s">
        <v>89</v>
      </c>
      <c r="B23" s="106" t="s">
        <v>14</v>
      </c>
      <c r="C23" s="36">
        <f>+'Exh D General Fund'!C23+'Exh D Capital Projects'!C22+'Exh D Debt Service'!C23</f>
        <v>1650</v>
      </c>
      <c r="D23" s="36"/>
      <c r="E23" s="36">
        <f>+'Exh D General Fund'!E23+'Exh D Debt Service'!E23+'Exh D Capital Projects'!E22</f>
        <v>1650</v>
      </c>
      <c r="F23" s="36"/>
      <c r="G23" s="36">
        <f>+'Exh D General Fund'!G23+'Exh D Debt Service'!G23+'Exh D Capital Projects'!G22</f>
        <v>1679.2</v>
      </c>
      <c r="H23" s="36"/>
      <c r="I23" s="36">
        <f t="shared" si="0"/>
        <v>29.200000000000045</v>
      </c>
      <c r="J23" s="111"/>
      <c r="K23" s="467">
        <f t="shared" si="1"/>
        <v>29.200000000000045</v>
      </c>
      <c r="L23" s="804"/>
      <c r="M23" s="804"/>
    </row>
    <row r="24" spans="1:13">
      <c r="A24" s="594" t="s">
        <v>19</v>
      </c>
      <c r="B24" s="106" t="s">
        <v>14</v>
      </c>
      <c r="C24" s="36">
        <f>+'Exh D General Fund'!C24+'Exh D Special Revenue'!C23+'Exh D Debt Service'!C24+'Exh D Capital Projects'!C23</f>
        <v>16200</v>
      </c>
      <c r="D24" s="36"/>
      <c r="E24" s="36">
        <f>+'Exh D General Fund'!E24+'Exh D Special Revenue'!E23+'Exh D Debt Service'!E24+'Exh D Capital Projects'!E23</f>
        <v>16200</v>
      </c>
      <c r="F24" s="36"/>
      <c r="G24" s="36">
        <f>+'Exh D General Fund'!G24+'Exh D Special Revenue'!G23+'Exh D Debt Service'!G24+'Exh D Capital Projects'!G23</f>
        <v>17034.099999999999</v>
      </c>
      <c r="H24" s="36"/>
      <c r="I24" s="36">
        <f t="shared" si="0"/>
        <v>834.09999999999854</v>
      </c>
      <c r="J24" s="39"/>
      <c r="K24" s="467">
        <f t="shared" si="1"/>
        <v>834.09999999999854</v>
      </c>
      <c r="M24" s="804"/>
    </row>
    <row r="25" spans="1:13" ht="15" customHeight="1">
      <c r="A25" s="594" t="s">
        <v>20</v>
      </c>
      <c r="B25" s="106" t="s">
        <v>14</v>
      </c>
      <c r="C25" s="193">
        <f>+'Exh D General Fund'!C25+'Exh D Debt Service'!C25+'Exh D Special Revenue'!C24+'Exh D Capital Projects'!C24</f>
        <v>47802</v>
      </c>
      <c r="D25" s="36"/>
      <c r="E25" s="193">
        <f>+'Exh D General Fund'!E25+'Exh D Special Revenue'!E24+'Exh D Debt Service'!E25+'Exh D Capital Projects'!E24</f>
        <v>47802</v>
      </c>
      <c r="F25" s="36"/>
      <c r="G25" s="193">
        <f>+'Exh D General Fund'!G25+'Exh D Special Revenue'!G24+'Exh D Debt Service'!G25+'Exh D Capital Projects'!G24</f>
        <v>49130.1</v>
      </c>
      <c r="H25" s="36"/>
      <c r="I25" s="36">
        <f t="shared" si="0"/>
        <v>1328.0999999999985</v>
      </c>
      <c r="J25" s="39"/>
      <c r="K25" s="467">
        <f t="shared" si="1"/>
        <v>1328.0999999999985</v>
      </c>
      <c r="M25" s="804"/>
    </row>
    <row r="26" spans="1:13" ht="15.75">
      <c r="A26" s="118" t="s">
        <v>90</v>
      </c>
      <c r="B26" s="101" t="s">
        <v>14</v>
      </c>
      <c r="C26" s="143">
        <f>ROUND(SUM(C20:C25),1)</f>
        <v>113826</v>
      </c>
      <c r="D26" s="42"/>
      <c r="E26" s="143">
        <f>ROUND(SUM(E20:E25),1)</f>
        <v>113826</v>
      </c>
      <c r="F26" s="42"/>
      <c r="G26" s="143">
        <f>ROUND(SUM(G20:G25),1)</f>
        <v>117653.2</v>
      </c>
      <c r="H26" s="42"/>
      <c r="I26" s="143">
        <f>ROUND(SUM(I20:I25),1)</f>
        <v>3827.2</v>
      </c>
      <c r="J26" s="112"/>
      <c r="K26" s="143">
        <f>ROUND(SUM(K20:K25),1)</f>
        <v>3827.2</v>
      </c>
      <c r="M26" s="804"/>
    </row>
    <row r="27" spans="1:13">
      <c r="A27" s="21"/>
      <c r="B27" s="106" t="s">
        <v>14</v>
      </c>
      <c r="C27" s="61"/>
      <c r="D27" s="36"/>
      <c r="E27" s="61"/>
      <c r="F27" s="36"/>
      <c r="G27" s="61"/>
      <c r="H27" s="36"/>
      <c r="I27" s="61"/>
      <c r="J27" s="39"/>
      <c r="K27" s="61"/>
      <c r="M27" s="804"/>
    </row>
    <row r="28" spans="1:13" ht="15.75">
      <c r="A28" s="19" t="s">
        <v>22</v>
      </c>
      <c r="B28" s="106" t="s">
        <v>14</v>
      </c>
      <c r="C28" s="36"/>
      <c r="D28" s="36"/>
      <c r="E28" s="36"/>
      <c r="F28" s="36"/>
      <c r="G28" s="36"/>
      <c r="H28" s="36"/>
      <c r="I28" s="36"/>
      <c r="J28" s="39"/>
      <c r="K28" s="36"/>
      <c r="M28" s="804"/>
    </row>
    <row r="29" spans="1:13">
      <c r="A29" s="594" t="s">
        <v>91</v>
      </c>
      <c r="B29" s="106" t="s">
        <v>14</v>
      </c>
      <c r="C29" s="193">
        <f>+'Exh D General Fund'!C34+'Exh D Special Revenue'!C29+'Exh D Capital Projects'!C30</f>
        <v>88710</v>
      </c>
      <c r="D29" s="36"/>
      <c r="E29" s="193">
        <f>+'Exh D General Fund'!E34+'Exh D Special Revenue'!E29+'Exh D Capital Projects'!E30</f>
        <v>88710</v>
      </c>
      <c r="F29" s="36"/>
      <c r="G29" s="193">
        <f>+'Exh D General Fund'!G34+'Exh D Special Revenue'!G29+'Exh D Capital Projects'!G30</f>
        <v>88605.2</v>
      </c>
      <c r="H29" s="36"/>
      <c r="I29" s="36">
        <f>G29-C29</f>
        <v>-104.80000000000291</v>
      </c>
      <c r="J29" s="39"/>
      <c r="K29" s="467">
        <f>G29-E29</f>
        <v>-104.80000000000291</v>
      </c>
      <c r="M29" s="804"/>
    </row>
    <row r="30" spans="1:13">
      <c r="A30" s="594" t="s">
        <v>92</v>
      </c>
      <c r="B30" s="106" t="s">
        <v>14</v>
      </c>
      <c r="C30" s="46">
        <f>+'Exh D General Fund'!C35+'Exh D Special Revenue'!C30+'Exh D Debt Service'!C30</f>
        <v>12010</v>
      </c>
      <c r="D30" s="36"/>
      <c r="E30" s="46">
        <f>+'Exh D General Fund'!E35+'Exh D Special Revenue'!E30+'Exh D Debt Service'!E30</f>
        <v>12010</v>
      </c>
      <c r="F30" s="36"/>
      <c r="G30" s="46">
        <f>+'Exh D General Fund'!G35+'Exh D Special Revenue'!G30+'Exh D Debt Service'!G30</f>
        <v>11970.6</v>
      </c>
      <c r="H30" s="36"/>
      <c r="I30" s="36">
        <f>G30-C30</f>
        <v>-39.399999999999636</v>
      </c>
      <c r="J30" s="39"/>
      <c r="K30" s="467">
        <f t="shared" ref="K30:K33" si="2">G30-E30</f>
        <v>-39.399999999999636</v>
      </c>
      <c r="M30" s="804"/>
    </row>
    <row r="31" spans="1:13">
      <c r="A31" s="594" t="s">
        <v>68</v>
      </c>
      <c r="B31" s="106" t="s">
        <v>14</v>
      </c>
      <c r="C31" s="193">
        <f>+'Exh D General Fund'!C36+'Exh D Special Revenue'!C31</f>
        <v>5210</v>
      </c>
      <c r="D31" s="36"/>
      <c r="E31" s="193">
        <f>+'Exh D General Fund'!E36+'Exh D Special Revenue'!E31</f>
        <v>5210</v>
      </c>
      <c r="F31" s="36"/>
      <c r="G31" s="193">
        <f>+'Exh D General Fund'!G36+'Exh D Special Revenue'!G31</f>
        <v>5060.2999999999993</v>
      </c>
      <c r="H31" s="36"/>
      <c r="I31" s="36">
        <f>G31-C31</f>
        <v>-149.70000000000073</v>
      </c>
      <c r="J31" s="39"/>
      <c r="K31" s="467">
        <f t="shared" si="2"/>
        <v>-149.70000000000073</v>
      </c>
      <c r="M31" s="804"/>
    </row>
    <row r="32" spans="1:13">
      <c r="A32" s="594" t="s">
        <v>93</v>
      </c>
      <c r="B32" s="106" t="s">
        <v>14</v>
      </c>
      <c r="C32" s="46">
        <f>+'Exh D Debt Service'!C31+'Exh D Special Revenue'!C32</f>
        <v>1087</v>
      </c>
      <c r="D32" s="36"/>
      <c r="E32" s="46">
        <f>+'Exh D Debt Service'!E31+'Exh D Special Revenue'!E32</f>
        <v>1087</v>
      </c>
      <c r="F32" s="36"/>
      <c r="G32" s="46">
        <f>+'Exh D Debt Service'!G31+'Exh D Special Revenue'!K32</f>
        <v>561.4</v>
      </c>
      <c r="H32" s="36"/>
      <c r="I32" s="36">
        <f>G32-C32</f>
        <v>-525.6</v>
      </c>
      <c r="J32" s="39"/>
      <c r="K32" s="467">
        <f t="shared" si="2"/>
        <v>-525.6</v>
      </c>
      <c r="M32" s="804"/>
    </row>
    <row r="33" spans="1:14" ht="15" customHeight="1">
      <c r="A33" s="594" t="s">
        <v>41</v>
      </c>
      <c r="B33" s="106" t="s">
        <v>14</v>
      </c>
      <c r="C33" s="193">
        <f>+'Exh D Special Revenue'!C33+'Exh D Capital Projects'!C31</f>
        <v>5540</v>
      </c>
      <c r="D33" s="36"/>
      <c r="E33" s="193">
        <f>+'Exh D Special Revenue'!E33+'Exh D Capital Projects'!E31</f>
        <v>5540</v>
      </c>
      <c r="F33" s="36"/>
      <c r="G33" s="193">
        <f>+'Exh D Special Revenue'!G33+'Exh D Capital Projects'!G31</f>
        <v>4196.8999999999996</v>
      </c>
      <c r="H33" s="36"/>
      <c r="I33" s="36">
        <f>G33-C33</f>
        <v>-1343.1000000000004</v>
      </c>
      <c r="J33" s="39"/>
      <c r="K33" s="467">
        <f t="shared" si="2"/>
        <v>-1343.1000000000004</v>
      </c>
      <c r="M33" s="804"/>
    </row>
    <row r="34" spans="1:14" ht="15.75" customHeight="1">
      <c r="A34" s="118" t="s">
        <v>94</v>
      </c>
      <c r="B34" s="101" t="s">
        <v>14</v>
      </c>
      <c r="C34" s="207">
        <f>ROUND(SUM(C29:C33),1)</f>
        <v>112557</v>
      </c>
      <c r="D34" s="42"/>
      <c r="E34" s="207">
        <f>ROUND(SUM(E29:E33),1)</f>
        <v>112557</v>
      </c>
      <c r="F34" s="42"/>
      <c r="G34" s="207">
        <f>ROUND(SUM(G29:G33),1)</f>
        <v>110394.4</v>
      </c>
      <c r="H34" s="42"/>
      <c r="I34" s="207">
        <f>ROUND(SUM(I29:I33),1)</f>
        <v>-2162.6</v>
      </c>
      <c r="J34" s="112"/>
      <c r="K34" s="207">
        <f>ROUND(SUM(K29:K33),1)</f>
        <v>-2162.6</v>
      </c>
      <c r="M34" s="804"/>
    </row>
    <row r="35" spans="1:14">
      <c r="A35" s="21"/>
      <c r="B35" s="106"/>
      <c r="C35" s="36"/>
      <c r="D35" s="36"/>
      <c r="E35" s="36"/>
      <c r="F35" s="36"/>
      <c r="G35" s="36"/>
      <c r="H35" s="36"/>
      <c r="I35" s="36"/>
      <c r="J35" s="39"/>
      <c r="K35" s="36"/>
      <c r="M35" s="804"/>
    </row>
    <row r="36" spans="1:14" ht="15.75">
      <c r="A36" s="118" t="s">
        <v>43</v>
      </c>
      <c r="B36" s="106"/>
      <c r="C36" s="36"/>
      <c r="D36" s="36"/>
      <c r="E36" s="36"/>
      <c r="F36" s="36"/>
      <c r="G36" s="36"/>
      <c r="H36" s="36"/>
      <c r="I36" s="36"/>
      <c r="J36" s="39"/>
      <c r="K36" s="36"/>
      <c r="M36" s="804"/>
    </row>
    <row r="37" spans="1:14" ht="15.75">
      <c r="A37" s="118" t="s">
        <v>44</v>
      </c>
      <c r="B37" s="106" t="s">
        <v>14</v>
      </c>
      <c r="C37" s="50">
        <f>ROUND(SUM(+C26-C34),1)</f>
        <v>1269</v>
      </c>
      <c r="D37" s="36"/>
      <c r="E37" s="50">
        <f>ROUND(SUM(+E26-E34),1)</f>
        <v>1269</v>
      </c>
      <c r="F37" s="36"/>
      <c r="G37" s="50">
        <f>ROUND(SUM(+G26-G34),1)</f>
        <v>7258.8</v>
      </c>
      <c r="H37" s="36"/>
      <c r="I37" s="50">
        <f>ROUND(SUM(+I26-I34),1)</f>
        <v>5989.8</v>
      </c>
      <c r="J37" s="39"/>
      <c r="K37" s="601">
        <f>ROUND(SUM(+K26-K34),1)</f>
        <v>5989.8</v>
      </c>
      <c r="M37" s="804"/>
    </row>
    <row r="38" spans="1:14">
      <c r="A38" s="21"/>
      <c r="B38" s="106"/>
      <c r="C38" s="36"/>
      <c r="D38" s="36"/>
      <c r="E38" s="36"/>
      <c r="F38" s="36"/>
      <c r="G38" s="36"/>
      <c r="H38" s="36"/>
      <c r="I38" s="36"/>
      <c r="J38" s="39"/>
      <c r="K38" s="36"/>
      <c r="M38" s="804"/>
    </row>
    <row r="39" spans="1:14" ht="15.75">
      <c r="A39" s="118" t="s">
        <v>45</v>
      </c>
      <c r="B39" s="106"/>
      <c r="C39" s="36"/>
      <c r="D39" s="36"/>
      <c r="E39" s="36"/>
      <c r="F39" s="36"/>
      <c r="G39" s="36"/>
      <c r="H39" s="36"/>
      <c r="I39" s="36"/>
      <c r="J39" s="39"/>
      <c r="K39" s="36"/>
      <c r="M39" s="804"/>
      <c r="N39" s="499" t="s">
        <v>14</v>
      </c>
    </row>
    <row r="40" spans="1:14">
      <c r="A40" s="594" t="s">
        <v>95</v>
      </c>
      <c r="B40" s="106" t="s">
        <v>14</v>
      </c>
      <c r="C40" s="194">
        <f>'Exh D Captl Projects State Fed'!C25</f>
        <v>0</v>
      </c>
      <c r="D40" s="36"/>
      <c r="E40" s="194">
        <f>'Exh D Captl Projects State Fed'!E25</f>
        <v>0</v>
      </c>
      <c r="F40" s="36"/>
      <c r="G40" s="194">
        <f>'Exh D Captl Projects State Fed'!G25</f>
        <v>0</v>
      </c>
      <c r="H40" s="36"/>
      <c r="I40" s="36">
        <f>ROUND(SUM(G40)-SUM(C40),1)</f>
        <v>0</v>
      </c>
      <c r="J40" s="117"/>
      <c r="K40" s="467">
        <f t="shared" ref="K40:K42" si="3">G40-E40</f>
        <v>0</v>
      </c>
      <c r="M40" s="804"/>
    </row>
    <row r="41" spans="1:14">
      <c r="A41" s="594" t="s">
        <v>46</v>
      </c>
      <c r="B41" s="106" t="s">
        <v>14</v>
      </c>
      <c r="C41" s="46">
        <f>+'Exh D General Fund'!C27+'Exh D General Fund'!C28+'Exh D General Fund'!C29+'Exh D General Fund'!C30+'Exh D Special Revenue'!C25+'Exh D Debt Service'!C26+'Exh D Capital Projects'!C26</f>
        <v>24979</v>
      </c>
      <c r="D41" s="36"/>
      <c r="E41" s="46">
        <f>+'Exh D General Fund'!E27+'Exh D General Fund'!E28+'Exh D General Fund'!E29+'Exh D General Fund'!E30+'Exh D Special Revenue'!E25+'Exh D Debt Service'!E26+'Exh D Capital Projects'!E26</f>
        <v>24979</v>
      </c>
      <c r="F41" s="36"/>
      <c r="G41" s="46">
        <f>+'Exh D General Fund'!G27+'Exh D General Fund'!G28+'Exh D General Fund'!G29+'Exh D General Fund'!G30+'Exh D Special Revenue'!K25+'Exh D Debt Service'!G26+'Exh D Capital Projects'!K26</f>
        <v>24615.899999999998</v>
      </c>
      <c r="H41" s="36"/>
      <c r="I41" s="36">
        <f>ROUND(SUM(G41)-SUM(C41),1)</f>
        <v>-363.1</v>
      </c>
      <c r="J41" s="39"/>
      <c r="K41" s="467">
        <f t="shared" si="3"/>
        <v>-363.10000000000218</v>
      </c>
      <c r="M41" s="804"/>
    </row>
    <row r="42" spans="1:14">
      <c r="A42" s="594" t="s">
        <v>96</v>
      </c>
      <c r="B42" s="106" t="s">
        <v>14</v>
      </c>
      <c r="C42" s="197">
        <f>-(+'Exh D General Fund'!C38+'Exh D General Fund'!C39+'Exh D General Fund'!C40+'Exh D General Fund'!C41+'Exh D General Fund'!C42+'Exh D Special Revenue'!C34+'Exh D Debt Service'!C32+'Exh D Capital Projects'!C32)</f>
        <v>-25050</v>
      </c>
      <c r="D42" s="36"/>
      <c r="E42" s="197">
        <f>-(+'Exh D General Fund'!E38+'Exh D General Fund'!E39+'Exh D General Fund'!E40+'Exh D General Fund'!E41+'Exh D General Fund'!E42+'Exh D Special Revenue'!E34+'Exh D Debt Service'!E32+'Exh D Capital Projects'!E32)</f>
        <v>-25050</v>
      </c>
      <c r="F42" s="36"/>
      <c r="G42" s="197">
        <f>-(+'Exh D General Fund'!G38+'Exh D General Fund'!G39+'Exh D General Fund'!G40+'Exh D General Fund'!G41+'Exh D General Fund'!G42+'Exh D Special Revenue'!K34+'Exh D Debt Service'!G32+'Exh D Capital Projects'!K32)</f>
        <v>-24625.399999999998</v>
      </c>
      <c r="H42" s="36"/>
      <c r="I42" s="36">
        <f>ROUND(SUM(G42)-SUM(C42),1)</f>
        <v>424.6</v>
      </c>
      <c r="J42" s="39"/>
      <c r="K42" s="467">
        <f t="shared" si="3"/>
        <v>424.60000000000218</v>
      </c>
      <c r="M42" s="804"/>
    </row>
    <row r="43" spans="1:14" ht="15.75">
      <c r="A43" s="118" t="s">
        <v>97</v>
      </c>
      <c r="B43" s="106" t="s">
        <v>14</v>
      </c>
      <c r="C43" s="77">
        <f>ROUND(+SUM(C40)+C41+C42,1)</f>
        <v>-71</v>
      </c>
      <c r="D43" s="36"/>
      <c r="E43" s="77">
        <f>ROUND(+SUM(E40)+E41+E42,1)</f>
        <v>-71</v>
      </c>
      <c r="F43" s="36"/>
      <c r="G43" s="77">
        <f>ROUND(+SUM(G40)+G41+G42,1)</f>
        <v>-9.5</v>
      </c>
      <c r="H43" s="36"/>
      <c r="I43" s="2130">
        <f>ROUND(SUM(I40+I41+I42),1)</f>
        <v>61.5</v>
      </c>
      <c r="J43" s="115"/>
      <c r="K43" s="751">
        <f>ROUND(SUM(K40+K41+K42),1)</f>
        <v>61.5</v>
      </c>
      <c r="M43" s="804"/>
    </row>
    <row r="44" spans="1:14" ht="15.75">
      <c r="A44" s="118"/>
      <c r="B44" s="106"/>
      <c r="C44" s="46"/>
      <c r="D44" s="36"/>
      <c r="E44" s="46"/>
      <c r="F44" s="36"/>
      <c r="G44" s="46"/>
      <c r="H44" s="36"/>
      <c r="I44" s="46"/>
      <c r="J44" s="107"/>
      <c r="K44" s="46"/>
      <c r="M44" s="804"/>
    </row>
    <row r="45" spans="1:14" ht="15.75">
      <c r="A45" s="19" t="s">
        <v>98</v>
      </c>
      <c r="B45" s="106"/>
      <c r="C45" s="36"/>
      <c r="D45" s="36"/>
      <c r="E45" s="36"/>
      <c r="F45" s="36"/>
      <c r="G45" s="36"/>
      <c r="H45" s="36"/>
      <c r="I45" s="36"/>
      <c r="J45" s="39"/>
      <c r="K45" s="36"/>
      <c r="M45" s="804"/>
    </row>
    <row r="46" spans="1:14" ht="15" customHeight="1">
      <c r="A46" s="19" t="s">
        <v>99</v>
      </c>
      <c r="B46" s="106"/>
      <c r="C46" s="36"/>
      <c r="D46" s="36"/>
      <c r="E46" s="36"/>
      <c r="F46" s="36"/>
      <c r="G46" s="36"/>
      <c r="H46" s="36"/>
      <c r="I46" s="36"/>
      <c r="J46" s="39"/>
      <c r="K46" s="36"/>
      <c r="M46" s="804"/>
    </row>
    <row r="47" spans="1:14" ht="15.75">
      <c r="A47" s="118" t="s">
        <v>100</v>
      </c>
      <c r="B47" s="119" t="s">
        <v>14</v>
      </c>
      <c r="C47" s="42">
        <f>ROUND(SUM(C26)-SUM(C34)+C43,1)</f>
        <v>1198</v>
      </c>
      <c r="D47" s="57"/>
      <c r="E47" s="42">
        <f>ROUND(SUM(E26)-SUM(E34)+E43,1)</f>
        <v>1198</v>
      </c>
      <c r="F47" s="57"/>
      <c r="G47" s="42">
        <f>ROUND(SUM(G26)-SUM(G34)+G43,1)</f>
        <v>7249.3</v>
      </c>
      <c r="H47" s="57"/>
      <c r="I47" s="42">
        <f>ROUND(SUM(I26)-SUM(I34)+I43,1)</f>
        <v>6051.3</v>
      </c>
      <c r="J47" s="112"/>
      <c r="K47" s="42">
        <f>ROUND(SUM(K26)-SUM(K34)+K43,1)</f>
        <v>6051.3</v>
      </c>
      <c r="M47" s="804"/>
    </row>
    <row r="48" spans="1:14" ht="15.75">
      <c r="A48" s="21"/>
      <c r="B48" s="106"/>
      <c r="C48" s="36"/>
      <c r="D48" s="36"/>
      <c r="E48" s="36"/>
      <c r="F48" s="36"/>
      <c r="G48" s="36"/>
      <c r="H48" s="36"/>
      <c r="I48" s="42" t="s">
        <v>14</v>
      </c>
      <c r="J48" s="39"/>
      <c r="K48" s="42" t="s">
        <v>14</v>
      </c>
      <c r="M48" s="804"/>
    </row>
    <row r="49" spans="1:13" ht="15.75">
      <c r="A49" s="118" t="s">
        <v>101</v>
      </c>
      <c r="B49" s="120" t="s">
        <v>14</v>
      </c>
      <c r="C49" s="42">
        <f>'Exh D General Fund'!C49+'Exh D Special Revenue'!C41+'Exh D Debt Service'!C39+'Exh D Capital Projects'!C39</f>
        <v>65955</v>
      </c>
      <c r="D49" s="36"/>
      <c r="E49" s="42">
        <f>'Exh D General Fund'!E49+'Exh D Special Revenue'!E41+'Exh D Debt Service'!E39+'Exh D Capital Projects'!E39</f>
        <v>65955</v>
      </c>
      <c r="F49" s="36"/>
      <c r="G49" s="42">
        <f>'Exh D General Fund'!G49+'Exh D Special Revenue'!G41+'Exh D Debt Service'!G39+'Exh D Capital Projects'!G39</f>
        <v>65955.699999999983</v>
      </c>
      <c r="H49" s="36"/>
      <c r="I49" s="42">
        <f>G49-C49</f>
        <v>0.6999999999825377</v>
      </c>
      <c r="J49" s="112"/>
      <c r="K49" s="42">
        <f>G49-E49</f>
        <v>0.6999999999825377</v>
      </c>
      <c r="M49" s="804"/>
    </row>
    <row r="50" spans="1:13" ht="16.5" thickBot="1">
      <c r="A50" s="118" t="s">
        <v>1513</v>
      </c>
      <c r="B50" s="121" t="s">
        <v>14</v>
      </c>
      <c r="C50" s="69">
        <f>ROUND(SUM(C47:C49),1)</f>
        <v>67153</v>
      </c>
      <c r="D50" s="122"/>
      <c r="E50" s="69">
        <f>ROUND(SUM(E47:E49),1)</f>
        <v>67153</v>
      </c>
      <c r="F50" s="122"/>
      <c r="G50" s="69">
        <f>ROUND(SUM(G47:G49),1)</f>
        <v>73205</v>
      </c>
      <c r="H50" s="122"/>
      <c r="I50" s="69">
        <f>ROUND(SUM(I47:I49),1)</f>
        <v>6052</v>
      </c>
      <c r="J50" s="123"/>
      <c r="K50" s="69">
        <f>ROUND(SUM(K47:K49),1)</f>
        <v>6052</v>
      </c>
      <c r="M50" s="804"/>
    </row>
    <row r="51" spans="1:13" ht="15.75" thickTop="1">
      <c r="A51" s="21"/>
      <c r="B51" s="106"/>
      <c r="C51" s="106"/>
      <c r="D51" s="106"/>
      <c r="E51" s="106"/>
      <c r="F51" s="106"/>
      <c r="G51" s="106"/>
      <c r="H51" s="106"/>
      <c r="I51" s="106"/>
      <c r="J51" s="106"/>
      <c r="K51" s="106"/>
      <c r="M51" s="804"/>
    </row>
    <row r="52" spans="1:13">
      <c r="A52" s="674" t="s">
        <v>1467</v>
      </c>
      <c r="G52" s="804"/>
      <c r="K52" s="804"/>
      <c r="M52" s="804"/>
    </row>
    <row r="53" spans="1:13">
      <c r="A53" s="674" t="s">
        <v>1494</v>
      </c>
      <c r="E53" s="2141"/>
      <c r="G53" s="2141"/>
      <c r="I53" s="2141"/>
      <c r="K53" s="2141"/>
    </row>
    <row r="54" spans="1:13">
      <c r="A54" s="125"/>
      <c r="G54" s="38"/>
    </row>
    <row r="55" spans="1:13" ht="15.75">
      <c r="A55" s="2086"/>
      <c r="G55" s="804"/>
    </row>
    <row r="56" spans="1:13">
      <c r="A56" s="124"/>
    </row>
  </sheetData>
  <mergeCells count="2">
    <mergeCell ref="A5:E5"/>
    <mergeCell ref="C11:I11"/>
  </mergeCells>
  <printOptions horizontalCentered="1"/>
  <pageMargins left="0.7" right="0.7" top="0.75" bottom="1" header="0.5" footer="0.25"/>
  <pageSetup scale="60" firstPageNumber="7" orientation="landscape" useFirstPageNumber="1" r:id="rId1"/>
  <headerFooter scaleWithDoc="0" alignWithMargins="0">
    <oddFooter>&amp;C&amp;8&amp;P</oddFooter>
  </headerFooter>
  <customProperties>
    <customPr name="SheetOptions"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pageSetUpPr fitToPage="1"/>
  </sheetPr>
  <dimension ref="A1:L56"/>
  <sheetViews>
    <sheetView showGridLines="0" zoomScale="90" workbookViewId="0"/>
  </sheetViews>
  <sheetFormatPr defaultColWidth="8.88671875" defaultRowHeight="15"/>
  <cols>
    <col min="1" max="1" width="45.88671875" style="71" customWidth="1"/>
    <col min="2" max="2" width="2.44140625" style="71" customWidth="1"/>
    <col min="3" max="3" width="15.109375" style="71" customWidth="1"/>
    <col min="4" max="4" width="1.88671875" style="71" customWidth="1"/>
    <col min="5" max="5" width="15.109375" style="71" customWidth="1"/>
    <col min="6" max="6" width="2.88671875" style="71" customWidth="1"/>
    <col min="7" max="7" width="15.109375" style="71" customWidth="1"/>
    <col min="8" max="8" width="5.109375" style="71" customWidth="1"/>
    <col min="9" max="9" width="15.109375" style="71" customWidth="1"/>
    <col min="10" max="10" width="2.109375" style="71" customWidth="1"/>
    <col min="11" max="11" width="15.109375" style="71" customWidth="1"/>
    <col min="12" max="16384" width="8.88671875" style="71"/>
  </cols>
  <sheetData>
    <row r="1" spans="1:11">
      <c r="A1" s="666" t="s">
        <v>841</v>
      </c>
    </row>
    <row r="2" spans="1:11">
      <c r="A2" s="598"/>
    </row>
    <row r="3" spans="1:11" ht="18" customHeight="1">
      <c r="A3" s="92" t="s">
        <v>0</v>
      </c>
      <c r="B3" s="93"/>
      <c r="C3" s="93"/>
      <c r="D3" s="94"/>
      <c r="E3" s="93"/>
      <c r="F3" s="94"/>
      <c r="G3" s="94"/>
      <c r="H3" s="94"/>
      <c r="I3" s="94"/>
      <c r="J3" s="94"/>
      <c r="K3" s="95" t="s">
        <v>81</v>
      </c>
    </row>
    <row r="4" spans="1:11" ht="18" customHeight="1">
      <c r="A4" s="92" t="s">
        <v>80</v>
      </c>
      <c r="B4" s="93"/>
      <c r="C4" s="93"/>
      <c r="D4" s="94"/>
      <c r="E4" s="93"/>
      <c r="F4" s="94"/>
      <c r="G4" s="94"/>
      <c r="H4" s="94"/>
      <c r="I4" s="95"/>
      <c r="J4" s="96"/>
      <c r="K4" s="597"/>
    </row>
    <row r="5" spans="1:11" ht="18" customHeight="1">
      <c r="A5" s="2325" t="str">
        <f>'Exh D-Governmental  '!A5:E5</f>
        <v>FISCAL YEAR 2023-2024</v>
      </c>
      <c r="B5" s="2326"/>
      <c r="C5" s="2326"/>
      <c r="D5" s="2326"/>
      <c r="E5" s="2326"/>
      <c r="F5" s="94"/>
      <c r="G5" s="97"/>
      <c r="H5" s="94"/>
      <c r="I5" s="597"/>
      <c r="J5" s="94"/>
    </row>
    <row r="6" spans="1:11" ht="18" customHeight="1">
      <c r="A6" s="129" t="str">
        <f>'Exh D-Governmental  '!A6</f>
        <v xml:space="preserve">FOR SIX MONTHS ENDED SEPTEMBER 30, 2023    </v>
      </c>
      <c r="B6" s="94"/>
      <c r="C6" s="94"/>
      <c r="D6" s="94"/>
      <c r="E6" s="94"/>
      <c r="F6" s="94"/>
      <c r="G6" s="94"/>
      <c r="H6" s="94"/>
      <c r="I6" s="94"/>
      <c r="J6" s="94"/>
      <c r="K6" s="94"/>
    </row>
    <row r="7" spans="1:11" ht="18" customHeight="1">
      <c r="A7" s="129" t="s">
        <v>1200</v>
      </c>
      <c r="B7" s="94"/>
      <c r="C7" s="94"/>
      <c r="D7" s="94"/>
      <c r="E7" s="94"/>
      <c r="F7" s="94"/>
      <c r="G7" s="94"/>
      <c r="H7" s="94"/>
      <c r="I7" s="94"/>
      <c r="J7" s="94"/>
      <c r="K7" s="94"/>
    </row>
    <row r="8" spans="1:11" ht="18">
      <c r="A8" s="99"/>
      <c r="B8" s="94"/>
      <c r="C8" s="94"/>
      <c r="D8" s="94"/>
      <c r="E8" s="94"/>
      <c r="F8" s="94"/>
      <c r="G8" s="94"/>
      <c r="H8" s="94"/>
      <c r="I8" s="94"/>
      <c r="J8" s="94"/>
      <c r="K8" s="94"/>
    </row>
    <row r="9" spans="1:11">
      <c r="A9" s="100"/>
      <c r="B9" s="94"/>
      <c r="C9" s="94"/>
      <c r="D9" s="94"/>
      <c r="E9" s="94"/>
      <c r="F9" s="94"/>
      <c r="G9" s="94"/>
      <c r="H9" s="94"/>
      <c r="I9" s="94"/>
      <c r="J9" s="94"/>
      <c r="K9" s="94"/>
    </row>
    <row r="10" spans="1:11">
      <c r="A10" s="100"/>
      <c r="B10" s="94"/>
      <c r="C10" s="94"/>
      <c r="D10" s="94"/>
      <c r="E10" s="94"/>
      <c r="F10" s="94"/>
      <c r="G10" s="94"/>
      <c r="H10" s="94"/>
      <c r="I10" s="94"/>
      <c r="J10" s="94"/>
      <c r="K10" s="94"/>
    </row>
    <row r="11" spans="1:11" ht="15.75">
      <c r="A11" s="499"/>
      <c r="B11" s="101"/>
      <c r="C11" s="2324" t="s">
        <v>1479</v>
      </c>
      <c r="D11" s="2324"/>
      <c r="E11" s="2324"/>
      <c r="F11" s="2324"/>
      <c r="G11" s="2324"/>
      <c r="H11" s="2324"/>
      <c r="I11" s="2324"/>
      <c r="J11" s="807"/>
      <c r="K11" s="803"/>
    </row>
    <row r="12" spans="1:11" ht="15.75">
      <c r="A12" s="499"/>
      <c r="B12" s="101"/>
      <c r="C12" s="101"/>
      <c r="D12" s="101"/>
      <c r="E12" s="101"/>
      <c r="F12" s="101"/>
      <c r="G12" s="101"/>
      <c r="H12" s="101"/>
      <c r="I12" s="102" t="s">
        <v>82</v>
      </c>
      <c r="J12" s="102"/>
      <c r="K12" s="102" t="s">
        <v>82</v>
      </c>
    </row>
    <row r="13" spans="1:11" ht="15.75">
      <c r="A13" s="499"/>
      <c r="B13" s="101"/>
      <c r="C13" s="101"/>
      <c r="D13" s="101"/>
      <c r="E13" s="101"/>
      <c r="F13" s="101"/>
      <c r="G13" s="101"/>
      <c r="H13" s="101"/>
      <c r="I13" s="102" t="s">
        <v>758</v>
      </c>
      <c r="J13" s="102"/>
      <c r="K13" s="102" t="s">
        <v>758</v>
      </c>
    </row>
    <row r="14" spans="1:11" ht="15.75">
      <c r="A14" s="499"/>
      <c r="B14" s="101"/>
      <c r="C14" s="103" t="s">
        <v>944</v>
      </c>
      <c r="D14" s="101"/>
      <c r="E14" s="102" t="s">
        <v>945</v>
      </c>
      <c r="F14" s="101"/>
      <c r="G14" s="101"/>
      <c r="H14" s="101"/>
      <c r="I14" s="102" t="s">
        <v>83</v>
      </c>
      <c r="J14" s="102"/>
      <c r="K14" s="102" t="s">
        <v>83</v>
      </c>
    </row>
    <row r="15" spans="1:11" ht="15.75">
      <c r="A15" s="499"/>
      <c r="B15" s="101"/>
      <c r="C15" s="102" t="s">
        <v>980</v>
      </c>
      <c r="D15" s="101"/>
      <c r="E15" s="102" t="s">
        <v>980</v>
      </c>
      <c r="F15" s="101"/>
      <c r="G15" s="101"/>
      <c r="H15" s="101"/>
      <c r="I15" s="102" t="s">
        <v>944</v>
      </c>
      <c r="J15" s="102"/>
      <c r="K15" s="102" t="s">
        <v>945</v>
      </c>
    </row>
    <row r="16" spans="1:11" ht="15.75">
      <c r="A16" s="499"/>
      <c r="B16" s="101"/>
      <c r="C16" s="102" t="s">
        <v>981</v>
      </c>
      <c r="D16" s="101"/>
      <c r="E16" s="102" t="s">
        <v>1478</v>
      </c>
      <c r="F16" s="101"/>
      <c r="G16" s="103" t="s">
        <v>82</v>
      </c>
      <c r="H16" s="101"/>
      <c r="I16" s="102" t="s">
        <v>84</v>
      </c>
      <c r="J16" s="102"/>
      <c r="K16" s="102" t="s">
        <v>84</v>
      </c>
    </row>
    <row r="17" spans="1:12">
      <c r="A17" s="104"/>
      <c r="B17" s="94"/>
      <c r="C17" s="105"/>
      <c r="D17" s="94"/>
      <c r="E17" s="105"/>
      <c r="F17" s="94"/>
      <c r="G17" s="105"/>
      <c r="H17" s="94"/>
      <c r="I17" s="105"/>
      <c r="J17" s="94"/>
      <c r="K17" s="105"/>
    </row>
    <row r="18" spans="1:12" ht="15.75">
      <c r="A18" s="19" t="s">
        <v>13</v>
      </c>
      <c r="B18" s="454"/>
      <c r="C18" s="454"/>
      <c r="D18" s="454"/>
      <c r="E18" s="454"/>
      <c r="F18" s="454"/>
      <c r="G18" s="454"/>
      <c r="H18" s="454"/>
      <c r="I18" s="454"/>
      <c r="J18" s="454"/>
      <c r="K18" s="454"/>
    </row>
    <row r="19" spans="1:12" ht="15" customHeight="1">
      <c r="A19" s="594" t="s">
        <v>85</v>
      </c>
      <c r="B19" s="667" t="s">
        <v>14</v>
      </c>
      <c r="C19" s="1305"/>
      <c r="D19" s="667"/>
      <c r="E19" s="1305"/>
      <c r="F19" s="667"/>
      <c r="G19" s="668"/>
      <c r="H19" s="667"/>
      <c r="I19" s="668"/>
      <c r="J19" s="668"/>
      <c r="K19" s="668"/>
    </row>
    <row r="20" spans="1:12">
      <c r="A20" s="594" t="s">
        <v>86</v>
      </c>
      <c r="B20" s="667" t="s">
        <v>14</v>
      </c>
      <c r="C20" s="479">
        <f>'Exh D General Fund'!C20+'Exh D Special Revenue State Fed'!C20+'Exh D Debt Service'!C20</f>
        <v>26030</v>
      </c>
      <c r="D20" s="481"/>
      <c r="E20" s="479">
        <f>'Exh D General Fund'!E20+'Exh D Special Revenue State Fed'!E20+'Exh D Debt Service'!E20</f>
        <v>26030</v>
      </c>
      <c r="F20" s="481"/>
      <c r="G20" s="479">
        <f>+'Exh A Supp'!T15</f>
        <v>25981</v>
      </c>
      <c r="H20" s="481"/>
      <c r="I20" s="479">
        <f t="shared" ref="I20:I25" si="0">G20-C20</f>
        <v>-49</v>
      </c>
      <c r="J20" s="669"/>
      <c r="K20" s="479">
        <f>G20-E20</f>
        <v>-49</v>
      </c>
    </row>
    <row r="21" spans="1:12">
      <c r="A21" s="594" t="s">
        <v>87</v>
      </c>
      <c r="B21" s="454" t="s">
        <v>14</v>
      </c>
      <c r="C21" s="467">
        <f>'Exh D General Fund'!C21+'Exh D Special Revenue State Fed'!C21+'Exh D Debt Service'!C21</f>
        <v>10606</v>
      </c>
      <c r="D21" s="467"/>
      <c r="E21" s="467">
        <f>'Exh D General Fund'!E21+'Exh D Special Revenue State Fed'!E21+'Exh D Debt Service'!E21</f>
        <v>10606</v>
      </c>
      <c r="F21" s="467"/>
      <c r="G21" s="467">
        <f>+'Exh A Supp'!T16</f>
        <v>10712</v>
      </c>
      <c r="H21" s="467"/>
      <c r="I21" s="467">
        <f t="shared" si="0"/>
        <v>106</v>
      </c>
      <c r="J21" s="669"/>
      <c r="K21" s="467">
        <f>G21-E21</f>
        <v>106</v>
      </c>
    </row>
    <row r="22" spans="1:12" ht="15" customHeight="1">
      <c r="A22" s="594" t="s">
        <v>88</v>
      </c>
      <c r="B22" s="667" t="s">
        <v>14</v>
      </c>
      <c r="C22" s="467">
        <f>'Exh D General Fund'!C22+'Exh D Special Revenue State Fed'!C22+'Exh D Debt Service'!C22</f>
        <v>10891</v>
      </c>
      <c r="D22" s="493"/>
      <c r="E22" s="467">
        <f>'Exh D General Fund'!E22+'Exh D Special Revenue State Fed'!E22+'Exh D Debt Service'!E22</f>
        <v>10891</v>
      </c>
      <c r="F22" s="493"/>
      <c r="G22" s="467">
        <f>+'Exh A Supp'!T17</f>
        <v>12458.9</v>
      </c>
      <c r="H22" s="493"/>
      <c r="I22" s="467">
        <f t="shared" si="0"/>
        <v>1567.8999999999996</v>
      </c>
      <c r="J22" s="669"/>
      <c r="K22" s="467">
        <f t="shared" ref="K22:K25" si="1">G22-E22</f>
        <v>1567.8999999999996</v>
      </c>
    </row>
    <row r="23" spans="1:12" ht="14.25" customHeight="1">
      <c r="A23" s="594" t="s">
        <v>89</v>
      </c>
      <c r="B23" s="454" t="s">
        <v>14</v>
      </c>
      <c r="C23" s="467">
        <f>'Exh D General Fund'!C23+'Exh D Debt Service'!C23</f>
        <v>1546</v>
      </c>
      <c r="D23" s="467"/>
      <c r="E23" s="467">
        <f>'Exh D General Fund'!E23+'Exh D Debt Service'!E23</f>
        <v>1546</v>
      </c>
      <c r="F23" s="467"/>
      <c r="G23" s="467">
        <f>+'Exh A Supp'!T18</f>
        <v>1576.3</v>
      </c>
      <c r="H23" s="467"/>
      <c r="I23" s="467">
        <f t="shared" si="0"/>
        <v>30.299999999999955</v>
      </c>
      <c r="J23" s="669"/>
      <c r="K23" s="467">
        <f t="shared" si="1"/>
        <v>30.299999999999955</v>
      </c>
    </row>
    <row r="24" spans="1:12">
      <c r="A24" s="594" t="s">
        <v>19</v>
      </c>
      <c r="B24" s="454" t="s">
        <v>14</v>
      </c>
      <c r="C24" s="467">
        <f>'Exh D General Fund'!C24+'Exh D Special Revenue State Fed'!C23+'Exh D Debt Service'!C24</f>
        <v>12136</v>
      </c>
      <c r="D24" s="467"/>
      <c r="E24" s="467">
        <f>'Exh D General Fund'!E24+'Exh D Special Revenue State Fed'!E23+'Exh D Debt Service'!E24</f>
        <v>12136</v>
      </c>
      <c r="F24" s="467"/>
      <c r="G24" s="467">
        <f>+'Exh A Supp'!T19</f>
        <v>13031.4</v>
      </c>
      <c r="H24" s="467"/>
      <c r="I24" s="467">
        <f t="shared" si="0"/>
        <v>895.39999999999964</v>
      </c>
      <c r="J24" s="472"/>
      <c r="K24" s="467">
        <f t="shared" si="1"/>
        <v>895.39999999999964</v>
      </c>
    </row>
    <row r="25" spans="1:12" ht="15" customHeight="1">
      <c r="A25" s="594" t="s">
        <v>20</v>
      </c>
      <c r="B25" s="454" t="s">
        <v>14</v>
      </c>
      <c r="C25" s="495">
        <f>'Exh D General Fund'!C25+'Exh D Special Revenue State Fed'!C24+'Exh D Debt Service'!C25</f>
        <v>37</v>
      </c>
      <c r="D25" s="467"/>
      <c r="E25" s="495">
        <f>'Exh D General Fund'!E25+'Exh D Special Revenue State Fed'!E24+'Exh D Debt Service'!E25</f>
        <v>37</v>
      </c>
      <c r="F25" s="467"/>
      <c r="G25" s="467">
        <f>+'Exh A Supp'!T20</f>
        <v>35</v>
      </c>
      <c r="H25" s="467"/>
      <c r="I25" s="467">
        <f t="shared" si="0"/>
        <v>-2</v>
      </c>
      <c r="J25" s="472"/>
      <c r="K25" s="467">
        <f t="shared" si="1"/>
        <v>-2</v>
      </c>
    </row>
    <row r="26" spans="1:12" ht="15.75">
      <c r="A26" s="118" t="s">
        <v>90</v>
      </c>
      <c r="B26" s="101" t="s">
        <v>14</v>
      </c>
      <c r="C26" s="143">
        <f>ROUND(SUM(C20:C25),1)</f>
        <v>61246</v>
      </c>
      <c r="D26" s="42"/>
      <c r="E26" s="143">
        <f>ROUND(SUM(E20:E25),1)</f>
        <v>61246</v>
      </c>
      <c r="F26" s="42"/>
      <c r="G26" s="143">
        <f>ROUND(SUM(G20:G25),1)</f>
        <v>63794.6</v>
      </c>
      <c r="H26" s="42"/>
      <c r="I26" s="143">
        <f>ROUND(SUM(I20:I25),1)</f>
        <v>2548.6</v>
      </c>
      <c r="J26" s="112"/>
      <c r="K26" s="143">
        <f>ROUND(SUM(K20:K25),1)</f>
        <v>2548.6</v>
      </c>
      <c r="L26" s="38"/>
    </row>
    <row r="27" spans="1:12">
      <c r="A27" s="499"/>
      <c r="B27" s="454" t="s">
        <v>14</v>
      </c>
      <c r="C27" s="497"/>
      <c r="D27" s="467"/>
      <c r="E27" s="497"/>
      <c r="F27" s="467"/>
      <c r="G27" s="497"/>
      <c r="H27" s="467"/>
      <c r="I27" s="497"/>
      <c r="J27" s="472"/>
      <c r="K27" s="497"/>
    </row>
    <row r="28" spans="1:12" ht="15.75">
      <c r="A28" s="19" t="s">
        <v>22</v>
      </c>
      <c r="B28" s="454" t="s">
        <v>14</v>
      </c>
      <c r="C28" s="467"/>
      <c r="D28" s="467"/>
      <c r="E28" s="467"/>
      <c r="F28" s="467"/>
      <c r="G28" s="467"/>
      <c r="H28" s="467"/>
      <c r="I28" s="467"/>
      <c r="J28" s="472"/>
      <c r="K28" s="467"/>
    </row>
    <row r="29" spans="1:12">
      <c r="A29" s="594" t="s">
        <v>91</v>
      </c>
      <c r="B29" s="454" t="s">
        <v>14</v>
      </c>
      <c r="C29" s="495">
        <f>'Exh D General Fund'!C34+'Exh D Special Revenue State Fed'!C29</f>
        <v>43746</v>
      </c>
      <c r="D29" s="467"/>
      <c r="E29" s="495">
        <f>'Exh D General Fund'!E34+'Exh D Special Revenue State Fed'!E29</f>
        <v>43746</v>
      </c>
      <c r="F29" s="467"/>
      <c r="G29" s="495">
        <f>+'Exh A Supp'!T35</f>
        <v>43626.1</v>
      </c>
      <c r="H29" s="467"/>
      <c r="I29" s="467">
        <f>ROUND(SUM(G29)-SUM(C29),1)</f>
        <v>-119.9</v>
      </c>
      <c r="J29" s="472"/>
      <c r="K29" s="467">
        <f>G29-E29</f>
        <v>-119.90000000000146</v>
      </c>
      <c r="L29" s="38"/>
    </row>
    <row r="30" spans="1:12">
      <c r="A30" s="594" t="s">
        <v>92</v>
      </c>
      <c r="B30" s="454" t="s">
        <v>14</v>
      </c>
      <c r="C30" s="493">
        <f>'Exh D General Fund'!C35+'Exh D Special Revenue State Fed'!C30+'Exh D Debt Service'!C30</f>
        <v>10029</v>
      </c>
      <c r="D30" s="467"/>
      <c r="E30" s="493">
        <f>'Exh D General Fund'!E35+'Exh D Special Revenue State Fed'!E30+'Exh D Debt Service'!E30</f>
        <v>10029</v>
      </c>
      <c r="F30" s="467"/>
      <c r="G30" s="493">
        <f>+'Exh A Supp'!T37+'Exh A Supp'!T38</f>
        <v>10005</v>
      </c>
      <c r="H30" s="467"/>
      <c r="I30" s="467">
        <f>ROUND(SUM(G30)-SUM(C30),1)</f>
        <v>-24</v>
      </c>
      <c r="J30" s="472"/>
      <c r="K30" s="467">
        <f t="shared" ref="K30:K33" si="2">G30-E30</f>
        <v>-24</v>
      </c>
      <c r="L30" s="38"/>
    </row>
    <row r="31" spans="1:12">
      <c r="A31" s="594" t="s">
        <v>68</v>
      </c>
      <c r="B31" s="454" t="s">
        <v>14</v>
      </c>
      <c r="C31" s="495">
        <f>'Exh D General Fund'!C36+'Exh D Special Revenue State Fed'!C31</f>
        <v>5024</v>
      </c>
      <c r="D31" s="467"/>
      <c r="E31" s="495">
        <f>'Exh D General Fund'!E36+'Exh D Special Revenue State Fed'!E31</f>
        <v>5024</v>
      </c>
      <c r="F31" s="467"/>
      <c r="G31" s="495">
        <f>+'Exh A Supp'!T39</f>
        <v>4860.8999999999996</v>
      </c>
      <c r="H31" s="467"/>
      <c r="I31" s="467">
        <f>ROUND(SUM(G31)-SUM(C31),1)</f>
        <v>-163.1</v>
      </c>
      <c r="J31" s="472"/>
      <c r="K31" s="467">
        <f t="shared" si="2"/>
        <v>-163.10000000000036</v>
      </c>
      <c r="L31" s="38"/>
    </row>
    <row r="32" spans="1:12">
      <c r="A32" s="594" t="s">
        <v>93</v>
      </c>
      <c r="B32" s="454" t="s">
        <v>14</v>
      </c>
      <c r="C32" s="493">
        <f>'Exh D Debt Service'!C31</f>
        <v>1087</v>
      </c>
      <c r="D32" s="467"/>
      <c r="E32" s="493">
        <f>'Exh D Debt Service'!E31</f>
        <v>1087</v>
      </c>
      <c r="F32" s="467"/>
      <c r="G32" s="495">
        <f>+'Exh A Supp'!T41</f>
        <v>561.4</v>
      </c>
      <c r="H32" s="467"/>
      <c r="I32" s="467">
        <f>ROUND(SUM(G32)-SUM(C32),1)</f>
        <v>-525.6</v>
      </c>
      <c r="J32" s="472"/>
      <c r="K32" s="467">
        <f t="shared" si="2"/>
        <v>-525.6</v>
      </c>
      <c r="L32" s="38"/>
    </row>
    <row r="33" spans="1:12">
      <c r="A33" s="594" t="s">
        <v>41</v>
      </c>
      <c r="B33" s="454"/>
      <c r="C33" s="493">
        <f>'Exh D Special Revenue State Fed'!C33</f>
        <v>0</v>
      </c>
      <c r="D33" s="467"/>
      <c r="E33" s="493">
        <f>'Exh D Special Revenue State Fed'!E33</f>
        <v>0</v>
      </c>
      <c r="F33" s="467"/>
      <c r="G33" s="495">
        <f>'Exh D Special Revenue State Fed'!G33</f>
        <v>0</v>
      </c>
      <c r="H33" s="467"/>
      <c r="I33" s="467">
        <f t="shared" ref="I33" si="3">ROUND(SUM(G33)-SUM(C33),1)</f>
        <v>0</v>
      </c>
      <c r="J33" s="472"/>
      <c r="K33" s="467">
        <f t="shared" si="2"/>
        <v>0</v>
      </c>
      <c r="L33" s="38"/>
    </row>
    <row r="34" spans="1:12" ht="15.75" customHeight="1">
      <c r="A34" s="118" t="s">
        <v>94</v>
      </c>
      <c r="B34" s="101" t="s">
        <v>14</v>
      </c>
      <c r="C34" s="207">
        <f>ROUND(SUM(C29:C33),1)</f>
        <v>59886</v>
      </c>
      <c r="D34" s="42"/>
      <c r="E34" s="207">
        <f>ROUND(SUM(E29:E33),1)</f>
        <v>59886</v>
      </c>
      <c r="F34" s="42"/>
      <c r="G34" s="207">
        <f>ROUND(SUM(G29:G33),1)</f>
        <v>59053.4</v>
      </c>
      <c r="H34" s="42"/>
      <c r="I34" s="207">
        <f>ROUND(SUM(I29:I33),1)</f>
        <v>-832.6</v>
      </c>
      <c r="J34" s="112"/>
      <c r="K34" s="207">
        <f>ROUND(SUM(K29:K33),1)</f>
        <v>-832.6</v>
      </c>
      <c r="L34" s="38"/>
    </row>
    <row r="35" spans="1:12">
      <c r="A35" s="499"/>
      <c r="B35" s="454"/>
      <c r="C35" s="467"/>
      <c r="D35" s="467"/>
      <c r="E35" s="467"/>
      <c r="F35" s="467"/>
      <c r="G35" s="467"/>
      <c r="H35" s="467"/>
      <c r="I35" s="467"/>
      <c r="J35" s="472"/>
      <c r="K35" s="467"/>
      <c r="L35" s="38"/>
    </row>
    <row r="36" spans="1:12" ht="15.75">
      <c r="A36" s="118" t="s">
        <v>43</v>
      </c>
      <c r="B36" s="454"/>
      <c r="C36" s="467"/>
      <c r="D36" s="467"/>
      <c r="E36" s="467"/>
      <c r="F36" s="467"/>
      <c r="G36" s="467"/>
      <c r="H36" s="467"/>
      <c r="I36" s="467"/>
      <c r="J36" s="472"/>
      <c r="K36" s="467"/>
      <c r="L36" s="38"/>
    </row>
    <row r="37" spans="1:12" ht="15.75">
      <c r="A37" s="118" t="s">
        <v>44</v>
      </c>
      <c r="B37" s="454" t="s">
        <v>14</v>
      </c>
      <c r="C37" s="601">
        <f>ROUND(SUM(+C26-C34),1)</f>
        <v>1360</v>
      </c>
      <c r="D37" s="467"/>
      <c r="E37" s="601">
        <f>ROUND(SUM(+E26-E34),1)</f>
        <v>1360</v>
      </c>
      <c r="F37" s="467"/>
      <c r="G37" s="601">
        <f>ROUND(SUM(+G26-G34),1)</f>
        <v>4741.2</v>
      </c>
      <c r="H37" s="467"/>
      <c r="I37" s="601">
        <f>ROUND(SUM(+I26-I34),1)</f>
        <v>3381.2</v>
      </c>
      <c r="J37" s="472"/>
      <c r="K37" s="601">
        <f>ROUND(SUM(+K26-K34),1)</f>
        <v>3381.2</v>
      </c>
      <c r="L37" s="38"/>
    </row>
    <row r="38" spans="1:12">
      <c r="A38" s="499"/>
      <c r="B38" s="454"/>
      <c r="C38" s="467"/>
      <c r="D38" s="467"/>
      <c r="E38" s="467"/>
      <c r="F38" s="467"/>
      <c r="G38" s="467"/>
      <c r="H38" s="467"/>
      <c r="I38" s="467"/>
      <c r="J38" s="472"/>
      <c r="K38" s="467"/>
      <c r="L38" s="38"/>
    </row>
    <row r="39" spans="1:12" ht="15.75">
      <c r="A39" s="118" t="s">
        <v>45</v>
      </c>
      <c r="B39" s="454"/>
      <c r="C39" s="467"/>
      <c r="D39" s="467"/>
      <c r="E39" s="467"/>
      <c r="F39" s="467"/>
      <c r="G39" s="467"/>
      <c r="H39" s="467"/>
      <c r="I39" s="467"/>
      <c r="J39" s="472"/>
      <c r="K39" s="467"/>
      <c r="L39" s="38"/>
    </row>
    <row r="40" spans="1:12">
      <c r="A40" s="594" t="s">
        <v>46</v>
      </c>
      <c r="B40" s="454" t="s">
        <v>14</v>
      </c>
      <c r="C40" s="493">
        <f>'Exh D General Fund'!C27+'Exh D General Fund'!C28+'Exh D General Fund'!C29+'Exh D General Fund'!C30+'Exh D Special Revenue State Fed'!C25+'Exh D Debt Service'!C26</f>
        <v>23632</v>
      </c>
      <c r="D40" s="467"/>
      <c r="E40" s="493">
        <f>'Exh D General Fund'!E27+'Exh D General Fund'!E28+'Exh D General Fund'!E29+'Exh D General Fund'!E30+'Exh D Special Revenue State Fed'!E25+'Exh D Debt Service'!E26</f>
        <v>23632</v>
      </c>
      <c r="F40" s="467"/>
      <c r="G40" s="493">
        <f>+'Exh A Supp'!T49</f>
        <v>24412.7</v>
      </c>
      <c r="H40" s="910" t="s">
        <v>1480</v>
      </c>
      <c r="I40" s="467">
        <f>G40-C40</f>
        <v>780.70000000000073</v>
      </c>
      <c r="J40" s="472"/>
      <c r="K40" s="467">
        <f>G40-E40</f>
        <v>780.70000000000073</v>
      </c>
      <c r="L40" s="38"/>
    </row>
    <row r="41" spans="1:12">
      <c r="A41" s="594" t="s">
        <v>96</v>
      </c>
      <c r="B41" s="454" t="s">
        <v>14</v>
      </c>
      <c r="C41" s="670">
        <f>-('Exh D General Fund'!C38+'Exh D General Fund'!C39+'Exh D General Fund'!C40+'Exh D General Fund'!C41+'Exh D General Fund'!C42+'Exh D Special Revenue State Fed'!C34+'Exh D Debt Service'!C32)</f>
        <v>-23715</v>
      </c>
      <c r="D41" s="467"/>
      <c r="E41" s="670">
        <f>-('Exh D General Fund'!E38+'Exh D General Fund'!E39+'Exh D General Fund'!E40+'Exh D General Fund'!E41+'Exh D General Fund'!E42+'Exh D Special Revenue State Fed'!E34+'Exh D Debt Service'!E32)</f>
        <v>-23715</v>
      </c>
      <c r="F41" s="467"/>
      <c r="G41" s="493">
        <f>+'Exh A Supp'!T50</f>
        <v>-23982.400000000001</v>
      </c>
      <c r="H41" s="910" t="s">
        <v>1480</v>
      </c>
      <c r="I41" s="467">
        <f>G41-C41</f>
        <v>-267.40000000000146</v>
      </c>
      <c r="J41" s="472"/>
      <c r="K41" s="467">
        <f>G41-E41</f>
        <v>-267.40000000000146</v>
      </c>
      <c r="L41" s="38"/>
    </row>
    <row r="42" spans="1:12" ht="15.75">
      <c r="A42" s="118" t="s">
        <v>97</v>
      </c>
      <c r="B42" s="454" t="s">
        <v>14</v>
      </c>
      <c r="C42" s="207">
        <f>ROUND(SUM(C40:C41),1)</f>
        <v>-83</v>
      </c>
      <c r="D42" s="467"/>
      <c r="E42" s="207">
        <f>ROUND(SUM(E40:E41),1)</f>
        <v>-83</v>
      </c>
      <c r="F42" s="467"/>
      <c r="G42" s="207">
        <f>ROUND(SUM(G40:G41),1)</f>
        <v>430.3</v>
      </c>
      <c r="H42" s="467"/>
      <c r="I42" s="207">
        <f>ROUND(SUM(I40+I41),1)</f>
        <v>513.29999999999995</v>
      </c>
      <c r="J42" s="672"/>
      <c r="K42" s="207">
        <f>ROUND(SUM(K40+K41),1)</f>
        <v>513.29999999999995</v>
      </c>
      <c r="L42" s="38"/>
    </row>
    <row r="43" spans="1:12" ht="15.75">
      <c r="A43" s="118"/>
      <c r="B43" s="454"/>
      <c r="C43" s="493"/>
      <c r="D43" s="467"/>
      <c r="E43" s="493"/>
      <c r="F43" s="467"/>
      <c r="G43" s="493"/>
      <c r="H43" s="467"/>
      <c r="I43" s="493"/>
      <c r="J43" s="667"/>
      <c r="K43" s="493"/>
      <c r="L43" s="38"/>
    </row>
    <row r="44" spans="1:12" ht="15.75">
      <c r="A44" s="19" t="s">
        <v>98</v>
      </c>
      <c r="B44" s="454"/>
      <c r="C44" s="467"/>
      <c r="D44" s="467"/>
      <c r="E44" s="467"/>
      <c r="F44" s="467"/>
      <c r="G44" s="467"/>
      <c r="H44" s="467"/>
      <c r="I44" s="467"/>
      <c r="J44" s="472"/>
      <c r="K44" s="467"/>
      <c r="L44" s="38"/>
    </row>
    <row r="45" spans="1:12" ht="15" customHeight="1">
      <c r="A45" s="19" t="s">
        <v>99</v>
      </c>
      <c r="B45" s="454"/>
      <c r="C45" s="467"/>
      <c r="D45" s="467"/>
      <c r="E45" s="467"/>
      <c r="F45" s="467"/>
      <c r="G45" s="467"/>
      <c r="H45" s="467"/>
      <c r="I45" s="467"/>
      <c r="J45" s="472"/>
      <c r="K45" s="467"/>
      <c r="L45" s="38"/>
    </row>
    <row r="46" spans="1:12" ht="15.75">
      <c r="A46" s="118" t="s">
        <v>100</v>
      </c>
      <c r="B46" s="119" t="s">
        <v>14</v>
      </c>
      <c r="C46" s="42">
        <f>ROUND(SUM(C26)-SUM(C34)+C42,1)</f>
        <v>1277</v>
      </c>
      <c r="D46" s="57"/>
      <c r="E46" s="42">
        <f>ROUND(SUM(E26)-SUM(E34)+E42,1)</f>
        <v>1277</v>
      </c>
      <c r="F46" s="57"/>
      <c r="G46" s="42">
        <f>ROUND(SUM(G26)-SUM(G34)+G42,1)</f>
        <v>5171.5</v>
      </c>
      <c r="H46" s="57"/>
      <c r="I46" s="42">
        <f>ROUND(SUM(I26)-SUM(I34)+I42,1)</f>
        <v>3894.5</v>
      </c>
      <c r="J46" s="112"/>
      <c r="K46" s="42">
        <f>ROUND(SUM(K26)-SUM(K34)+K42,1)</f>
        <v>3894.5</v>
      </c>
      <c r="L46" s="38"/>
    </row>
    <row r="47" spans="1:12">
      <c r="A47" s="499"/>
      <c r="B47" s="454"/>
      <c r="C47" s="467"/>
      <c r="D47" s="467"/>
      <c r="E47" s="467" t="s">
        <v>14</v>
      </c>
      <c r="F47" s="467"/>
      <c r="G47" s="467"/>
      <c r="H47" s="467"/>
      <c r="I47" s="467"/>
      <c r="J47" s="472"/>
      <c r="K47" s="467"/>
      <c r="L47" s="38"/>
    </row>
    <row r="48" spans="1:12" ht="15.75">
      <c r="A48" s="118" t="str">
        <f>'Exh D-Governmental  '!A49</f>
        <v>Fund Balances (Deficits) at April 1</v>
      </c>
      <c r="B48" s="673" t="s">
        <v>14</v>
      </c>
      <c r="C48" s="42">
        <f>'Exh D General Fund'!C49+'Exh D Special Revenue State Fed'!C41+'Exh D Debt Service'!C39</f>
        <v>52723</v>
      </c>
      <c r="D48" s="467"/>
      <c r="E48" s="42">
        <f>'Exh D General Fund'!E49+'Exh D Special Revenue State Fed'!E41+'Exh D Debt Service'!E39</f>
        <v>52723</v>
      </c>
      <c r="F48" s="467"/>
      <c r="G48" s="42">
        <f>'Exh A Supp'!T57</f>
        <v>52723.8</v>
      </c>
      <c r="H48" s="467"/>
      <c r="I48" s="42">
        <f>G48-C48</f>
        <v>0.80000000000291038</v>
      </c>
      <c r="J48" s="112"/>
      <c r="K48" s="42">
        <f>G48-E48</f>
        <v>0.80000000000291038</v>
      </c>
      <c r="L48" s="38"/>
    </row>
    <row r="49" spans="1:12" ht="16.5" thickBot="1">
      <c r="A49" s="118" t="str">
        <f>'Exh D-Governmental  '!A50</f>
        <v xml:space="preserve">Fund Balances (Deficits) at September 30, 2023 </v>
      </c>
      <c r="B49" s="121" t="s">
        <v>14</v>
      </c>
      <c r="C49" s="69">
        <f>ROUND(SUM(C46:C48),1)</f>
        <v>54000</v>
      </c>
      <c r="D49" s="122"/>
      <c r="E49" s="69">
        <f>ROUND(SUM(E46:E48),1)</f>
        <v>54000</v>
      </c>
      <c r="F49" s="122"/>
      <c r="G49" s="69">
        <f>ROUND(SUM(G46:G48),1)</f>
        <v>57895.3</v>
      </c>
      <c r="H49" s="122"/>
      <c r="I49" s="69">
        <f>ROUND(SUM(I46:I48),1)</f>
        <v>3895.3</v>
      </c>
      <c r="J49" s="123"/>
      <c r="K49" s="69">
        <f>ROUND(SUM(K46:K48),1)</f>
        <v>3895.3</v>
      </c>
      <c r="L49" s="38"/>
    </row>
    <row r="50" spans="1:12" ht="15.75" thickTop="1">
      <c r="A50" s="499"/>
      <c r="B50" s="454"/>
      <c r="C50" s="454"/>
      <c r="D50" s="454"/>
      <c r="E50" s="454"/>
      <c r="F50" s="454"/>
      <c r="G50" s="454"/>
      <c r="H50" s="454"/>
      <c r="I50" s="454"/>
      <c r="J50" s="454"/>
      <c r="K50" s="454"/>
    </row>
    <row r="51" spans="1:12">
      <c r="A51" s="674" t="str">
        <f>'Exh D-Governmental  '!A52</f>
        <v xml:space="preserve">(*)    Source: 2023-24 Enacted Financial Plan dated June 9, 2023. </v>
      </c>
      <c r="G51" s="479"/>
      <c r="I51" s="804"/>
      <c r="K51" s="804"/>
    </row>
    <row r="52" spans="1:12">
      <c r="A52" s="674" t="str">
        <f>'Exh D-Governmental  '!A53</f>
        <v>(**)   Source: 2023-24 First Quarter Update dated July 27, 2023, which made no changes to the Enacted Financial Plan.</v>
      </c>
      <c r="G52" s="479"/>
      <c r="I52" s="804"/>
      <c r="K52" s="804"/>
    </row>
    <row r="53" spans="1:12">
      <c r="A53" s="489" t="s">
        <v>1481</v>
      </c>
      <c r="G53" s="804"/>
      <c r="I53" s="804"/>
      <c r="K53" s="804"/>
    </row>
    <row r="54" spans="1:12">
      <c r="A54" s="489" t="s">
        <v>1483</v>
      </c>
      <c r="I54" s="804"/>
      <c r="K54" s="804"/>
    </row>
    <row r="55" spans="1:12">
      <c r="A55" s="1431" t="s">
        <v>1482</v>
      </c>
    </row>
    <row r="56" spans="1:12">
      <c r="G56" s="804"/>
    </row>
  </sheetData>
  <mergeCells count="2">
    <mergeCell ref="A5:E5"/>
    <mergeCell ref="C11:I11"/>
  </mergeCells>
  <printOptions horizontalCentered="1"/>
  <pageMargins left="0.7" right="0.7" top="0.75" bottom="1" header="0.5" footer="0.25"/>
  <pageSetup scale="55" firstPageNumber="8" orientation="landscape" useFirstPageNumber="1" r:id="rId1"/>
  <headerFooter scaleWithDoc="0" alignWithMargins="0">
    <oddFooter>&amp;C&amp;8&amp;P</oddFooter>
  </headerFooter>
  <customProperties>
    <customPr name="SheetOptions"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pageSetUpPr fitToPage="1"/>
  </sheetPr>
  <dimension ref="A1:L63"/>
  <sheetViews>
    <sheetView showGridLines="0" zoomScale="90" workbookViewId="0"/>
  </sheetViews>
  <sheetFormatPr defaultColWidth="8.88671875" defaultRowHeight="15"/>
  <cols>
    <col min="1" max="1" width="59" style="499" customWidth="1"/>
    <col min="2" max="2" width="2" style="454" customWidth="1"/>
    <col min="3" max="3" width="15.109375" style="302" customWidth="1"/>
    <col min="4" max="4" width="1.88671875" style="454" customWidth="1"/>
    <col min="5" max="5" width="15.109375" style="302" customWidth="1"/>
    <col min="6" max="6" width="2.88671875" style="454" customWidth="1"/>
    <col min="7" max="7" width="15.109375" style="454" customWidth="1"/>
    <col min="8" max="8" width="4.88671875" style="454" customWidth="1"/>
    <col min="9" max="9" width="15.109375" style="454" customWidth="1"/>
    <col min="10" max="10" width="2.109375" style="454" customWidth="1"/>
    <col min="11" max="11" width="12.88671875" style="454" customWidth="1"/>
    <col min="12" max="12" width="18.109375" style="302" bestFit="1" customWidth="1"/>
    <col min="13" max="16384" width="8.88671875" style="499"/>
  </cols>
  <sheetData>
    <row r="1" spans="1:12">
      <c r="A1" s="675" t="s">
        <v>841</v>
      </c>
      <c r="B1" s="127"/>
      <c r="C1" s="298"/>
      <c r="D1" s="127"/>
      <c r="E1" s="298"/>
      <c r="F1" s="127"/>
      <c r="G1" s="127"/>
      <c r="H1" s="127"/>
      <c r="I1" s="127"/>
      <c r="J1" s="127"/>
      <c r="K1" s="127"/>
      <c r="L1" s="298"/>
    </row>
    <row r="2" spans="1:12" ht="17.25" customHeight="1">
      <c r="A2" s="128"/>
      <c r="B2" s="127"/>
      <c r="C2" s="298"/>
      <c r="D2" s="127"/>
      <c r="E2" s="298"/>
      <c r="F2" s="127"/>
      <c r="G2" s="127"/>
      <c r="H2" s="127"/>
      <c r="I2" s="127"/>
      <c r="J2" s="127"/>
      <c r="K2" s="127"/>
      <c r="L2" s="298"/>
    </row>
    <row r="3" spans="1:12" ht="18.75" customHeight="1">
      <c r="A3" s="129" t="s">
        <v>0</v>
      </c>
      <c r="B3" s="94"/>
      <c r="C3" s="299"/>
      <c r="D3" s="94"/>
      <c r="E3" s="299"/>
      <c r="F3" s="94"/>
      <c r="G3" s="94"/>
      <c r="H3" s="94"/>
      <c r="I3" s="596"/>
      <c r="K3" s="596" t="s">
        <v>81</v>
      </c>
      <c r="L3" s="299"/>
    </row>
    <row r="4" spans="1:12" ht="18.75" customHeight="1">
      <c r="A4" s="129" t="s">
        <v>80</v>
      </c>
      <c r="B4" s="94"/>
      <c r="C4" s="299"/>
      <c r="D4" s="94"/>
      <c r="E4" s="299"/>
      <c r="F4" s="94"/>
      <c r="G4" s="94"/>
      <c r="H4" s="94"/>
      <c r="I4" s="597"/>
      <c r="K4" s="597"/>
      <c r="L4" s="299"/>
    </row>
    <row r="5" spans="1:12" ht="18.75" customHeight="1">
      <c r="A5" s="2325" t="str">
        <f>'Exh D-Governmental  '!A5:E5</f>
        <v>FISCAL YEAR 2023-2024</v>
      </c>
      <c r="B5" s="2326"/>
      <c r="C5" s="2326"/>
      <c r="D5" s="2326"/>
      <c r="E5" s="2326"/>
      <c r="F5" s="94"/>
      <c r="G5" s="472"/>
      <c r="H5" s="94"/>
      <c r="I5" s="94"/>
      <c r="J5" s="94"/>
      <c r="K5" s="94"/>
      <c r="L5" s="299"/>
    </row>
    <row r="6" spans="1:12" ht="18.75" customHeight="1">
      <c r="A6" s="595" t="str">
        <f>'Exh D-Governmental  '!A6</f>
        <v xml:space="preserve">FOR SIX MONTHS ENDED SEPTEMBER 30, 2023    </v>
      </c>
      <c r="B6" s="94"/>
      <c r="C6" s="299"/>
      <c r="D6" s="94"/>
      <c r="E6" s="299"/>
      <c r="F6" s="94"/>
      <c r="G6" s="94"/>
      <c r="H6" s="94"/>
      <c r="I6" s="94"/>
      <c r="J6" s="94"/>
      <c r="K6" s="94"/>
      <c r="L6" s="299"/>
    </row>
    <row r="7" spans="1:12" ht="18.75" customHeight="1">
      <c r="A7" s="129" t="s">
        <v>1200</v>
      </c>
      <c r="B7" s="94"/>
      <c r="C7" s="299"/>
      <c r="D7" s="94"/>
      <c r="E7" s="299"/>
      <c r="F7" s="94"/>
      <c r="G7" s="94"/>
      <c r="H7" s="94"/>
      <c r="I7" s="94"/>
      <c r="J7" s="94"/>
      <c r="K7" s="94"/>
      <c r="L7" s="299"/>
    </row>
    <row r="8" spans="1:12" ht="15" customHeight="1">
      <c r="A8" s="99"/>
      <c r="B8" s="94"/>
      <c r="C8" s="299"/>
      <c r="D8" s="94"/>
      <c r="E8" s="299"/>
      <c r="F8" s="94"/>
      <c r="G8" s="94"/>
      <c r="H8" s="94"/>
      <c r="I8" s="94"/>
      <c r="J8" s="94"/>
      <c r="K8" s="94"/>
      <c r="L8" s="299"/>
    </row>
    <row r="9" spans="1:12">
      <c r="A9" s="100"/>
      <c r="B9" s="94"/>
      <c r="C9" s="299"/>
      <c r="D9" s="94"/>
      <c r="E9" s="299"/>
      <c r="F9" s="94"/>
      <c r="G9" s="94"/>
      <c r="H9" s="94"/>
      <c r="I9" s="94"/>
      <c r="J9" s="94"/>
      <c r="K9" s="94"/>
      <c r="L9" s="299"/>
    </row>
    <row r="10" spans="1:12">
      <c r="A10" s="100"/>
      <c r="B10" s="94"/>
      <c r="C10" s="299"/>
      <c r="D10" s="94"/>
      <c r="E10" s="299"/>
      <c r="F10" s="94"/>
      <c r="G10" s="94"/>
      <c r="H10" s="94"/>
      <c r="I10" s="94"/>
      <c r="J10" s="94"/>
      <c r="K10" s="94"/>
      <c r="L10" s="299"/>
    </row>
    <row r="11" spans="1:12" ht="15.75">
      <c r="C11" s="2321" t="s">
        <v>994</v>
      </c>
      <c r="D11" s="2321"/>
      <c r="E11" s="2321"/>
      <c r="F11" s="2321"/>
      <c r="G11" s="2321"/>
      <c r="H11" s="2321"/>
      <c r="I11" s="2321"/>
      <c r="J11" s="805"/>
      <c r="K11" s="806"/>
    </row>
    <row r="12" spans="1:12" ht="15.75">
      <c r="C12" s="300"/>
      <c r="D12" s="133"/>
      <c r="E12" s="300"/>
      <c r="F12" s="133"/>
      <c r="G12" s="134"/>
      <c r="H12" s="133"/>
      <c r="I12" s="133" t="s">
        <v>82</v>
      </c>
      <c r="J12" s="131"/>
      <c r="K12" s="133" t="s">
        <v>82</v>
      </c>
    </row>
    <row r="13" spans="1:12" ht="15.75">
      <c r="B13" s="101"/>
      <c r="C13" s="301"/>
      <c r="D13" s="101"/>
      <c r="E13" s="301"/>
      <c r="F13" s="101"/>
      <c r="G13" s="101"/>
      <c r="H13" s="101"/>
      <c r="I13" s="102" t="s">
        <v>758</v>
      </c>
      <c r="J13" s="102"/>
      <c r="K13" s="102" t="s">
        <v>758</v>
      </c>
      <c r="L13" s="301"/>
    </row>
    <row r="14" spans="1:12" ht="15.75">
      <c r="B14" s="135"/>
      <c r="C14" s="103" t="s">
        <v>944</v>
      </c>
      <c r="D14" s="499"/>
      <c r="E14" s="102" t="s">
        <v>945</v>
      </c>
      <c r="F14" s="101"/>
      <c r="G14" s="101"/>
      <c r="H14" s="101"/>
      <c r="I14" s="102" t="s">
        <v>83</v>
      </c>
      <c r="J14" s="102"/>
      <c r="K14" s="102" t="s">
        <v>83</v>
      </c>
      <c r="L14" s="686"/>
    </row>
    <row r="15" spans="1:12" ht="15.75">
      <c r="B15" s="135"/>
      <c r="C15" s="102" t="s">
        <v>980</v>
      </c>
      <c r="D15" s="101"/>
      <c r="E15" s="102" t="s">
        <v>980</v>
      </c>
      <c r="F15" s="101"/>
      <c r="G15" s="101"/>
      <c r="H15" s="101"/>
      <c r="I15" s="102" t="s">
        <v>944</v>
      </c>
      <c r="J15" s="102"/>
      <c r="K15" s="102" t="s">
        <v>945</v>
      </c>
      <c r="L15" s="686"/>
    </row>
    <row r="16" spans="1:12" ht="15.75">
      <c r="B16" s="102"/>
      <c r="C16" s="809" t="s">
        <v>981</v>
      </c>
      <c r="D16" s="101"/>
      <c r="E16" s="102" t="s">
        <v>1478</v>
      </c>
      <c r="F16" s="101"/>
      <c r="G16" s="103" t="s">
        <v>82</v>
      </c>
      <c r="H16" s="101"/>
      <c r="I16" s="102" t="s">
        <v>84</v>
      </c>
      <c r="J16" s="102"/>
      <c r="K16" s="102" t="s">
        <v>84</v>
      </c>
      <c r="L16" s="103"/>
    </row>
    <row r="17" spans="1:12">
      <c r="A17" s="104"/>
      <c r="B17" s="94"/>
      <c r="C17" s="105"/>
      <c r="D17" s="94"/>
      <c r="E17" s="105"/>
      <c r="F17" s="94"/>
      <c r="G17" s="105"/>
      <c r="H17" s="94"/>
      <c r="I17" s="105"/>
      <c r="J17" s="94"/>
      <c r="K17" s="105"/>
      <c r="L17" s="94"/>
    </row>
    <row r="18" spans="1:12" ht="15.75">
      <c r="A18" s="19" t="s">
        <v>13</v>
      </c>
      <c r="C18" s="454"/>
      <c r="E18" s="454"/>
      <c r="L18" s="454"/>
    </row>
    <row r="19" spans="1:12">
      <c r="A19" s="594" t="s">
        <v>85</v>
      </c>
      <c r="B19" s="667"/>
      <c r="C19" s="454"/>
      <c r="D19" s="667"/>
      <c r="E19" s="454"/>
      <c r="F19" s="667"/>
      <c r="H19" s="667"/>
      <c r="L19" s="454"/>
    </row>
    <row r="20" spans="1:12">
      <c r="A20" s="594" t="s">
        <v>86</v>
      </c>
      <c r="B20" s="667" t="s">
        <v>14</v>
      </c>
      <c r="C20" s="482">
        <v>13015</v>
      </c>
      <c r="D20" s="481"/>
      <c r="E20" s="482">
        <v>13015</v>
      </c>
      <c r="F20" s="481"/>
      <c r="G20" s="479">
        <f>+'Exhibit F'!AC26</f>
        <v>12990.5</v>
      </c>
      <c r="H20" s="481"/>
      <c r="I20" s="479">
        <f t="shared" ref="I20:I25" si="0">G20-C20</f>
        <v>-24.5</v>
      </c>
      <c r="K20" s="479">
        <f>G20-C20</f>
        <v>-24.5</v>
      </c>
      <c r="L20" s="481"/>
    </row>
    <row r="21" spans="1:12">
      <c r="A21" s="594" t="s">
        <v>87</v>
      </c>
      <c r="B21" s="454" t="s">
        <v>14</v>
      </c>
      <c r="C21" s="480">
        <v>4900</v>
      </c>
      <c r="D21" s="2194"/>
      <c r="E21" s="480">
        <v>4900</v>
      </c>
      <c r="F21" s="467"/>
      <c r="G21" s="467">
        <f>+'Exhibit F'!AC37</f>
        <v>4957.7</v>
      </c>
      <c r="H21" s="467"/>
      <c r="I21" s="467">
        <f t="shared" si="0"/>
        <v>57.699999999999818</v>
      </c>
      <c r="K21" s="467">
        <f t="shared" ref="K21:K30" si="1">G21-C21</f>
        <v>57.699999999999818</v>
      </c>
      <c r="L21" s="687"/>
    </row>
    <row r="22" spans="1:12">
      <c r="A22" s="594" t="s">
        <v>88</v>
      </c>
      <c r="B22" s="667" t="s">
        <v>14</v>
      </c>
      <c r="C22" s="480">
        <v>7086</v>
      </c>
      <c r="D22" s="647"/>
      <c r="E22" s="480">
        <v>7086</v>
      </c>
      <c r="F22" s="493"/>
      <c r="G22" s="467">
        <f>+'Exhibit F'!AC45</f>
        <v>8120.3</v>
      </c>
      <c r="H22" s="493"/>
      <c r="I22" s="467">
        <f t="shared" si="0"/>
        <v>1034.3000000000002</v>
      </c>
      <c r="K22" s="467">
        <f t="shared" si="1"/>
        <v>1034.3000000000002</v>
      </c>
      <c r="L22" s="687"/>
    </row>
    <row r="23" spans="1:12">
      <c r="A23" s="594" t="s">
        <v>89</v>
      </c>
      <c r="B23" s="454" t="s">
        <v>14</v>
      </c>
      <c r="C23" s="480">
        <v>998</v>
      </c>
      <c r="D23" s="2194"/>
      <c r="E23" s="480">
        <v>998</v>
      </c>
      <c r="F23" s="467"/>
      <c r="G23" s="467">
        <f>+'Exhibit F'!AC53</f>
        <v>1067</v>
      </c>
      <c r="H23" s="467"/>
      <c r="I23" s="467">
        <f t="shared" si="0"/>
        <v>69</v>
      </c>
      <c r="K23" s="467">
        <f t="shared" si="1"/>
        <v>69</v>
      </c>
      <c r="L23" s="688"/>
    </row>
    <row r="24" spans="1:12" ht="15" customHeight="1">
      <c r="A24" s="594" t="s">
        <v>19</v>
      </c>
      <c r="B24" s="454" t="s">
        <v>14</v>
      </c>
      <c r="C24" s="480">
        <v>1841</v>
      </c>
      <c r="D24" s="2195"/>
      <c r="E24" s="480">
        <v>1841</v>
      </c>
      <c r="F24" s="680"/>
      <c r="G24" s="496">
        <f>+'Exhibit F'!AC96</f>
        <v>2066.1999999999998</v>
      </c>
      <c r="H24" s="467"/>
      <c r="I24" s="467">
        <f t="shared" si="0"/>
        <v>225.19999999999982</v>
      </c>
      <c r="K24" s="467">
        <f t="shared" si="1"/>
        <v>225.19999999999982</v>
      </c>
      <c r="L24" s="688"/>
    </row>
    <row r="25" spans="1:12" ht="15" customHeight="1">
      <c r="A25" s="594" t="s">
        <v>20</v>
      </c>
      <c r="B25" s="454" t="s">
        <v>14</v>
      </c>
      <c r="C25" s="480">
        <v>0</v>
      </c>
      <c r="D25" s="2194"/>
      <c r="E25" s="480">
        <v>0</v>
      </c>
      <c r="F25" s="467"/>
      <c r="G25" s="496">
        <f>+'Exhibit F'!AC98</f>
        <v>0.1</v>
      </c>
      <c r="H25" s="467"/>
      <c r="I25" s="467">
        <f t="shared" si="0"/>
        <v>0.1</v>
      </c>
      <c r="K25" s="467">
        <f t="shared" si="1"/>
        <v>0.1</v>
      </c>
      <c r="L25" s="687"/>
    </row>
    <row r="26" spans="1:12" ht="18" customHeight="1">
      <c r="A26" s="594" t="s">
        <v>103</v>
      </c>
      <c r="B26" s="681"/>
      <c r="C26" s="480"/>
      <c r="D26" s="2194"/>
      <c r="E26" s="480"/>
      <c r="F26" s="467"/>
      <c r="G26" s="1300"/>
      <c r="H26" s="467"/>
      <c r="I26" s="467"/>
      <c r="J26" s="681"/>
      <c r="K26" s="467" t="s">
        <v>14</v>
      </c>
      <c r="L26" s="480"/>
    </row>
    <row r="27" spans="1:12">
      <c r="A27" s="594" t="s">
        <v>1400</v>
      </c>
      <c r="B27" s="681" t="s">
        <v>14</v>
      </c>
      <c r="C27" s="480">
        <v>14770</v>
      </c>
      <c r="D27" s="2194"/>
      <c r="E27" s="480">
        <v>14770</v>
      </c>
      <c r="F27" s="467"/>
      <c r="G27" s="467">
        <f>'Exhibit F'!AC127</f>
        <v>15643.9</v>
      </c>
      <c r="H27" s="467"/>
      <c r="I27" s="467">
        <f>G27-C27</f>
        <v>873.89999999999964</v>
      </c>
      <c r="J27" s="681"/>
      <c r="K27" s="467">
        <f t="shared" si="1"/>
        <v>873.89999999999964</v>
      </c>
      <c r="L27" s="480"/>
    </row>
    <row r="28" spans="1:12">
      <c r="A28" s="594" t="s">
        <v>1458</v>
      </c>
      <c r="B28" s="681" t="s">
        <v>14</v>
      </c>
      <c r="C28" s="480">
        <v>4262</v>
      </c>
      <c r="D28" s="2194"/>
      <c r="E28" s="480">
        <v>4262</v>
      </c>
      <c r="F28" s="467"/>
      <c r="G28" s="496">
        <f>'Exhibit F'!AC128</f>
        <v>4482.8</v>
      </c>
      <c r="H28" s="467"/>
      <c r="I28" s="467">
        <f>G28-C28</f>
        <v>220.80000000000018</v>
      </c>
      <c r="J28" s="681"/>
      <c r="K28" s="467">
        <f t="shared" si="1"/>
        <v>220.80000000000018</v>
      </c>
      <c r="L28" s="480" t="s">
        <v>14</v>
      </c>
    </row>
    <row r="29" spans="1:12">
      <c r="A29" s="594" t="s">
        <v>104</v>
      </c>
      <c r="B29" s="681" t="s">
        <v>14</v>
      </c>
      <c r="C29" s="480">
        <v>503</v>
      </c>
      <c r="D29" s="2194"/>
      <c r="E29" s="480">
        <v>503</v>
      </c>
      <c r="F29" s="467"/>
      <c r="G29" s="467">
        <f>'Exhibit F'!AC129</f>
        <v>492.8</v>
      </c>
      <c r="H29" s="467"/>
      <c r="I29" s="467">
        <f>G29-C29</f>
        <v>-10.199999999999989</v>
      </c>
      <c r="J29" s="681"/>
      <c r="K29" s="467">
        <f t="shared" si="1"/>
        <v>-10.199999999999989</v>
      </c>
      <c r="L29" s="480"/>
    </row>
    <row r="30" spans="1:12">
      <c r="A30" s="594" t="s">
        <v>105</v>
      </c>
      <c r="B30" s="681" t="s">
        <v>14</v>
      </c>
      <c r="C30" s="480">
        <v>1216</v>
      </c>
      <c r="D30" s="2194"/>
      <c r="E30" s="480">
        <v>1216</v>
      </c>
      <c r="F30" s="467"/>
      <c r="G30" s="496">
        <f>'Exhibit F'!AC130</f>
        <v>958.09999999999877</v>
      </c>
      <c r="H30" s="467"/>
      <c r="I30" s="467">
        <f>G30-C30</f>
        <v>-257.90000000000123</v>
      </c>
      <c r="J30" s="681"/>
      <c r="K30" s="467">
        <f t="shared" si="1"/>
        <v>-257.90000000000123</v>
      </c>
      <c r="L30" s="495"/>
    </row>
    <row r="31" spans="1:12" ht="18" customHeight="1">
      <c r="A31" s="118" t="s">
        <v>106</v>
      </c>
      <c r="B31" s="101" t="s">
        <v>14</v>
      </c>
      <c r="C31" s="1160">
        <f>ROUND(SUM(C20:C30),1)</f>
        <v>48591</v>
      </c>
      <c r="D31" s="42"/>
      <c r="E31" s="1160">
        <f>ROUND(SUM(E20:E30),1)</f>
        <v>48591</v>
      </c>
      <c r="F31" s="42"/>
      <c r="G31" s="143">
        <f>ROUND(SUM(G20:G30),1)</f>
        <v>50779.4</v>
      </c>
      <c r="H31" s="42"/>
      <c r="I31" s="207">
        <f>ROUND(SUM(I20:I30),1)</f>
        <v>2188.4</v>
      </c>
      <c r="J31" s="101"/>
      <c r="K31" s="207">
        <f>ROUND(SUM(K20:K30),1)</f>
        <v>2188.4</v>
      </c>
      <c r="L31" s="42"/>
    </row>
    <row r="32" spans="1:12">
      <c r="C32" s="1158"/>
      <c r="D32" s="467"/>
      <c r="E32" s="1158"/>
      <c r="F32" s="467"/>
      <c r="G32" s="497"/>
      <c r="H32" s="467"/>
      <c r="I32" s="467"/>
      <c r="K32" s="467"/>
      <c r="L32" s="467"/>
    </row>
    <row r="33" spans="1:12" ht="15.75">
      <c r="A33" s="19" t="s">
        <v>22</v>
      </c>
      <c r="C33" s="467"/>
      <c r="D33" s="467"/>
      <c r="E33" s="467"/>
      <c r="F33" s="467"/>
      <c r="G33" s="467"/>
      <c r="H33" s="467"/>
      <c r="I33" s="467"/>
      <c r="K33" s="467"/>
      <c r="L33" s="467"/>
    </row>
    <row r="34" spans="1:12">
      <c r="A34" s="594" t="s">
        <v>91</v>
      </c>
      <c r="B34" s="667" t="s">
        <v>14</v>
      </c>
      <c r="C34" s="480">
        <v>33855</v>
      </c>
      <c r="D34" s="2194"/>
      <c r="E34" s="480">
        <v>33855</v>
      </c>
      <c r="F34" s="467"/>
      <c r="G34" s="493">
        <f>+'Exhibit F'!AC114</f>
        <v>33915.800000000003</v>
      </c>
      <c r="H34" s="467"/>
      <c r="I34" s="467">
        <f>G34-C34</f>
        <v>60.80000000000291</v>
      </c>
      <c r="K34" s="467">
        <f t="shared" ref="K34:K42" si="2">G34-C34</f>
        <v>60.80000000000291</v>
      </c>
      <c r="L34" s="493"/>
    </row>
    <row r="35" spans="1:12">
      <c r="A35" s="594" t="s">
        <v>92</v>
      </c>
      <c r="B35" s="667" t="s">
        <v>14</v>
      </c>
      <c r="C35" s="480">
        <v>5478</v>
      </c>
      <c r="D35" s="2194"/>
      <c r="E35" s="480">
        <v>5478</v>
      </c>
      <c r="F35" s="467"/>
      <c r="G35" s="493">
        <f>+'Exhibit F'!AC116+'Exhibit F'!AC117</f>
        <v>5564.9</v>
      </c>
      <c r="H35" s="467"/>
      <c r="I35" s="467">
        <f>G35-C35</f>
        <v>86.899999999999636</v>
      </c>
      <c r="K35" s="467">
        <f t="shared" si="2"/>
        <v>86.899999999999636</v>
      </c>
      <c r="L35" s="493"/>
    </row>
    <row r="36" spans="1:12">
      <c r="A36" s="594" t="s">
        <v>68</v>
      </c>
      <c r="B36" s="667" t="s">
        <v>14</v>
      </c>
      <c r="C36" s="480">
        <v>4534</v>
      </c>
      <c r="D36" s="2194"/>
      <c r="E36" s="480">
        <v>4534</v>
      </c>
      <c r="F36" s="467"/>
      <c r="G36" s="493">
        <f>+'Exhibit F'!AC118</f>
        <v>4386.7999999999993</v>
      </c>
      <c r="H36" s="467"/>
      <c r="I36" s="467">
        <f>G36-C36</f>
        <v>-147.20000000000073</v>
      </c>
      <c r="K36" s="467">
        <f t="shared" si="2"/>
        <v>-147.20000000000073</v>
      </c>
      <c r="L36" s="493"/>
    </row>
    <row r="37" spans="1:12" ht="18" customHeight="1">
      <c r="A37" s="594" t="s">
        <v>107</v>
      </c>
      <c r="B37" s="681"/>
      <c r="C37" s="480"/>
      <c r="D37" s="2194"/>
      <c r="E37" s="480"/>
      <c r="F37" s="467"/>
      <c r="G37" s="480"/>
      <c r="H37" s="467"/>
      <c r="I37" s="467"/>
      <c r="J37" s="681"/>
      <c r="K37" s="467" t="s">
        <v>1109</v>
      </c>
      <c r="L37" s="495"/>
    </row>
    <row r="38" spans="1:12">
      <c r="A38" s="594" t="s">
        <v>108</v>
      </c>
      <c r="B38" s="681" t="s">
        <v>14</v>
      </c>
      <c r="C38" s="480">
        <v>60</v>
      </c>
      <c r="D38" s="2194"/>
      <c r="E38" s="480">
        <v>60</v>
      </c>
      <c r="F38" s="467"/>
      <c r="G38" s="495">
        <f>-'Exhibit F'!AC133</f>
        <v>91.4</v>
      </c>
      <c r="H38" s="467"/>
      <c r="I38" s="467">
        <f>G38-C38</f>
        <v>31.400000000000006</v>
      </c>
      <c r="J38" s="681"/>
      <c r="K38" s="467">
        <f t="shared" si="2"/>
        <v>31.400000000000006</v>
      </c>
      <c r="L38" s="480"/>
    </row>
    <row r="39" spans="1:12">
      <c r="A39" s="594" t="s">
        <v>109</v>
      </c>
      <c r="B39" s="681" t="s">
        <v>14</v>
      </c>
      <c r="C39" s="480">
        <v>1279</v>
      </c>
      <c r="D39" s="2194"/>
      <c r="E39" s="480">
        <v>1279</v>
      </c>
      <c r="F39" s="467"/>
      <c r="G39" s="495">
        <f>-'Exhibit F'!AC131-'Exhibit F'!AC132</f>
        <v>530.5</v>
      </c>
      <c r="H39" s="467" t="s">
        <v>14</v>
      </c>
      <c r="I39" s="467">
        <f>G39-C39</f>
        <v>-748.5</v>
      </c>
      <c r="J39" s="681"/>
      <c r="K39" s="467">
        <f t="shared" si="2"/>
        <v>-748.5</v>
      </c>
      <c r="L39" s="480" t="s">
        <v>14</v>
      </c>
    </row>
    <row r="40" spans="1:12">
      <c r="A40" s="594" t="s">
        <v>110</v>
      </c>
      <c r="B40" s="681" t="s">
        <v>14</v>
      </c>
      <c r="C40" s="480">
        <v>0</v>
      </c>
      <c r="D40" s="2194"/>
      <c r="E40" s="480">
        <v>0</v>
      </c>
      <c r="F40" s="467"/>
      <c r="G40" s="496">
        <v>281.2</v>
      </c>
      <c r="H40" s="467" t="s">
        <v>738</v>
      </c>
      <c r="I40" s="467">
        <f>G40-C40</f>
        <v>281.2</v>
      </c>
      <c r="J40" s="681"/>
      <c r="K40" s="467">
        <f t="shared" si="2"/>
        <v>281.2</v>
      </c>
      <c r="L40" s="480"/>
    </row>
    <row r="41" spans="1:12">
      <c r="A41" s="594" t="s">
        <v>112</v>
      </c>
      <c r="B41" s="681" t="s">
        <v>113</v>
      </c>
      <c r="C41" s="480">
        <v>1179</v>
      </c>
      <c r="D41" s="2194"/>
      <c r="E41" s="480">
        <v>1179</v>
      </c>
      <c r="F41" s="467"/>
      <c r="G41" s="496">
        <v>1132.9000000000001</v>
      </c>
      <c r="H41" s="467"/>
      <c r="I41" s="467">
        <f>G41-C41</f>
        <v>-46.099999999999909</v>
      </c>
      <c r="J41" s="681"/>
      <c r="K41" s="467">
        <f t="shared" si="2"/>
        <v>-46.099999999999909</v>
      </c>
      <c r="L41" s="480" t="s">
        <v>14</v>
      </c>
    </row>
    <row r="42" spans="1:12">
      <c r="A42" s="594" t="s">
        <v>114</v>
      </c>
      <c r="B42" s="681" t="s">
        <v>14</v>
      </c>
      <c r="C42" s="480">
        <v>664</v>
      </c>
      <c r="D42" s="2194"/>
      <c r="E42" s="480">
        <v>664</v>
      </c>
      <c r="F42" s="467"/>
      <c r="G42" s="495">
        <v>354.6</v>
      </c>
      <c r="H42" s="467"/>
      <c r="I42" s="467">
        <f>G42-C42</f>
        <v>-309.39999999999998</v>
      </c>
      <c r="J42" s="681"/>
      <c r="K42" s="467">
        <f t="shared" si="2"/>
        <v>-309.39999999999998</v>
      </c>
      <c r="L42" s="495" t="s">
        <v>14</v>
      </c>
    </row>
    <row r="43" spans="1:12" ht="18" customHeight="1">
      <c r="A43" s="118" t="s">
        <v>115</v>
      </c>
      <c r="B43" s="101" t="s">
        <v>14</v>
      </c>
      <c r="C43" s="1160">
        <f>ROUND(SUM(C34:C42),1)</f>
        <v>47049</v>
      </c>
      <c r="D43" s="42"/>
      <c r="E43" s="1160">
        <f>ROUND(SUM(E34:E42),1)</f>
        <v>47049</v>
      </c>
      <c r="F43" s="42"/>
      <c r="G43" s="143">
        <f>ROUND(SUM(G34:G42),1)</f>
        <v>46258.1</v>
      </c>
      <c r="H43" s="42"/>
      <c r="I43" s="207">
        <f>ROUND(SUM(I34:I42),1)</f>
        <v>-790.9</v>
      </c>
      <c r="J43" s="101"/>
      <c r="K43" s="207">
        <f>ROUND(SUM(K34:K42),1)</f>
        <v>-790.9</v>
      </c>
      <c r="L43" s="42"/>
    </row>
    <row r="44" spans="1:12">
      <c r="C44" s="1158"/>
      <c r="D44" s="467"/>
      <c r="E44" s="1158"/>
      <c r="F44" s="467"/>
      <c r="G44" s="497"/>
      <c r="H44" s="467"/>
      <c r="I44" s="467"/>
      <c r="K44" s="467"/>
      <c r="L44" s="467"/>
    </row>
    <row r="45" spans="1:12" ht="15.75">
      <c r="A45" s="19" t="s">
        <v>116</v>
      </c>
      <c r="C45" s="467"/>
      <c r="D45" s="467"/>
      <c r="E45" s="467"/>
      <c r="F45" s="467"/>
      <c r="G45" s="467"/>
      <c r="H45" s="467"/>
      <c r="I45" s="467"/>
      <c r="K45" s="467"/>
      <c r="L45" s="467"/>
    </row>
    <row r="46" spans="1:12" ht="15.75">
      <c r="A46" s="19" t="s">
        <v>117</v>
      </c>
      <c r="C46" s="467"/>
      <c r="D46" s="467"/>
      <c r="E46" s="467"/>
      <c r="F46" s="467"/>
      <c r="G46" s="467"/>
      <c r="H46" s="467"/>
      <c r="I46" s="467"/>
      <c r="K46" s="467"/>
      <c r="L46" s="467"/>
    </row>
    <row r="47" spans="1:12" ht="15.75">
      <c r="A47" s="118" t="s">
        <v>100</v>
      </c>
      <c r="B47" s="665" t="s">
        <v>14</v>
      </c>
      <c r="C47" s="42">
        <f>ROUND(SUM(C31)-SUM(C43),1)</f>
        <v>1542</v>
      </c>
      <c r="D47" s="57"/>
      <c r="E47" s="42">
        <f>ROUND(SUM(E31)-SUM(E43),1)</f>
        <v>1542</v>
      </c>
      <c r="F47" s="57"/>
      <c r="G47" s="42">
        <f>ROUND(SUM(G31)-SUM(G43),1)</f>
        <v>4521.3</v>
      </c>
      <c r="H47" s="57"/>
      <c r="I47" s="42">
        <f>ROUND(SUM(I31)-SUM(I43),1)</f>
        <v>2979.3</v>
      </c>
      <c r="J47" s="101"/>
      <c r="K47" s="42">
        <f>ROUND(SUM(K31)-SUM(K43),1)</f>
        <v>2979.3</v>
      </c>
      <c r="L47" s="42"/>
    </row>
    <row r="48" spans="1:12" ht="15" customHeight="1">
      <c r="C48" s="467"/>
      <c r="D48" s="467"/>
      <c r="E48" s="467"/>
      <c r="F48" s="467"/>
      <c r="G48" s="467"/>
      <c r="H48" s="467"/>
      <c r="I48" s="42"/>
      <c r="J48" s="101"/>
      <c r="K48" s="42"/>
      <c r="L48" s="467"/>
    </row>
    <row r="49" spans="1:12" ht="15.75">
      <c r="A49" s="118" t="str">
        <f>'Exh D-Governmental  '!A49</f>
        <v>Fund Balances (Deficits) at April 1</v>
      </c>
      <c r="B49" s="454" t="s">
        <v>14</v>
      </c>
      <c r="C49" s="42">
        <v>43451</v>
      </c>
      <c r="D49" s="467"/>
      <c r="E49" s="42">
        <f>C49</f>
        <v>43451</v>
      </c>
      <c r="F49" s="467"/>
      <c r="G49" s="42">
        <f>'Exhibit F'!AC12</f>
        <v>43450.6</v>
      </c>
      <c r="H49" s="467"/>
      <c r="I49" s="42">
        <f>G49-C49</f>
        <v>-0.40000000000145519</v>
      </c>
      <c r="J49" s="101"/>
      <c r="K49" s="42">
        <f t="shared" ref="K49" si="3">G49-C49</f>
        <v>-0.40000000000145519</v>
      </c>
      <c r="L49" s="42"/>
    </row>
    <row r="50" spans="1:12" ht="18" customHeight="1" thickBot="1">
      <c r="A50" s="118" t="str">
        <f>'Exh D-Governmental  '!A50</f>
        <v xml:space="preserve">Fund Balances (Deficits) at September 30, 2023 </v>
      </c>
      <c r="B50" s="121" t="s">
        <v>14</v>
      </c>
      <c r="C50" s="1245">
        <f>ROUND(SUM(C47:C49),1)</f>
        <v>44993</v>
      </c>
      <c r="D50" s="122"/>
      <c r="E50" s="1245">
        <f>ROUND(SUM(E47:E49),1)</f>
        <v>44993</v>
      </c>
      <c r="F50" s="122"/>
      <c r="G50" s="69">
        <f>ROUND(SUM(G47:G49),1)</f>
        <v>47971.9</v>
      </c>
      <c r="H50" s="122"/>
      <c r="I50" s="69">
        <f>ROUND(SUM(I47:I49),1)</f>
        <v>2978.9</v>
      </c>
      <c r="J50" s="101"/>
      <c r="K50" s="69">
        <f>ROUND(SUM(K47:K49),1)</f>
        <v>2978.9</v>
      </c>
      <c r="L50" s="65"/>
    </row>
    <row r="51" spans="1:12" ht="15" customHeight="1" thickTop="1">
      <c r="A51" s="104"/>
      <c r="L51" s="498"/>
    </row>
    <row r="52" spans="1:12">
      <c r="A52" s="674" t="str">
        <f>'Exh D-Governmental  '!A52</f>
        <v xml:space="preserve">(*)    Source: 2023-24 Enacted Financial Plan dated June 9, 2023. </v>
      </c>
    </row>
    <row r="53" spans="1:12">
      <c r="A53" s="674" t="str">
        <f>'Exh D-Governmental  '!A53</f>
        <v>(**)   Source: 2023-24 First Quarter Update dated July 27, 2023, which made no changes to the Enacted Financial Plan.</v>
      </c>
    </row>
    <row r="54" spans="1:12">
      <c r="A54" s="594" t="s">
        <v>1484</v>
      </c>
    </row>
    <row r="55" spans="1:12">
      <c r="A55" s="594" t="s">
        <v>1485</v>
      </c>
    </row>
    <row r="58" spans="1:12">
      <c r="A58" s="594" t="s">
        <v>14</v>
      </c>
      <c r="C58" s="2136"/>
    </row>
    <row r="59" spans="1:12">
      <c r="A59" s="594"/>
      <c r="C59" s="2136"/>
      <c r="G59" s="454" t="s">
        <v>14</v>
      </c>
    </row>
    <row r="60" spans="1:12">
      <c r="C60" s="2136"/>
    </row>
    <row r="61" spans="1:12">
      <c r="A61" s="1722"/>
      <c r="C61" s="2137"/>
    </row>
    <row r="62" spans="1:12">
      <c r="A62" s="137"/>
      <c r="C62" s="2136"/>
    </row>
    <row r="63" spans="1:12">
      <c r="C63" s="2136"/>
    </row>
  </sheetData>
  <mergeCells count="2">
    <mergeCell ref="A5:E5"/>
    <mergeCell ref="C11:I11"/>
  </mergeCells>
  <printOptions horizontalCentered="1"/>
  <pageMargins left="0.5" right="0.75" top="0.75" bottom="0.75" header="0.5" footer="0.25"/>
  <pageSetup scale="57" firstPageNumber="9" orientation="landscape" useFirstPageNumber="1" r:id="rId1"/>
  <headerFooter scaleWithDoc="0" alignWithMargins="0">
    <oddFooter>&amp;C&amp;8&amp;P</oddFooter>
  </headerFooter>
  <customProperties>
    <customPr name="SheetOptions"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dimension ref="A1:AH50"/>
  <sheetViews>
    <sheetView showGridLines="0" zoomScale="90" workbookViewId="0"/>
  </sheetViews>
  <sheetFormatPr defaultColWidth="8.88671875" defaultRowHeight="15"/>
  <cols>
    <col min="1" max="1" width="50.109375" style="499" customWidth="1"/>
    <col min="2" max="2" width="3.88671875" style="454" customWidth="1"/>
    <col min="3" max="3" width="16.88671875" style="454" customWidth="1"/>
    <col min="4" max="4" width="1.5546875" style="454" customWidth="1"/>
    <col min="5" max="5" width="16.44140625" style="302" customWidth="1"/>
    <col min="6" max="6" width="3.109375" style="454" customWidth="1"/>
    <col min="7" max="7" width="14.109375" style="454" customWidth="1"/>
    <col min="8" max="8" width="2.109375" style="454" customWidth="1"/>
    <col min="9" max="9" width="14.109375" style="454" customWidth="1"/>
    <col min="10" max="10" width="1.109375" style="454" customWidth="1"/>
    <col min="11" max="11" width="14.109375" style="454" customWidth="1"/>
    <col min="12" max="12" width="1.109375" style="454" customWidth="1"/>
    <col min="13" max="13" width="16.109375" style="454" customWidth="1"/>
    <col min="14" max="14" width="1.5546875" style="454" customWidth="1"/>
    <col min="15" max="15" width="12.5546875" style="454" customWidth="1"/>
    <col min="16" max="16" width="11.44140625" style="454" customWidth="1"/>
    <col min="17" max="17" width="1.88671875" style="454" customWidth="1"/>
    <col min="18" max="18" width="11.88671875" style="454" customWidth="1"/>
    <col min="19" max="19" width="2.109375" style="454" customWidth="1"/>
    <col min="20" max="20" width="11.44140625" style="454" customWidth="1"/>
    <col min="21" max="21" width="0.5546875" style="454" customWidth="1"/>
    <col min="22" max="22" width="2.109375" style="454" customWidth="1"/>
    <col min="23" max="23" width="10.5546875" style="454" customWidth="1"/>
    <col min="24" max="24" width="11.109375" style="454" customWidth="1"/>
    <col min="25" max="25" width="2.109375" style="454" customWidth="1"/>
    <col min="26" max="26" width="11.109375" style="454" customWidth="1"/>
    <col min="27" max="27" width="2.109375" style="454" customWidth="1"/>
    <col min="28" max="28" width="12.44140625" style="454" customWidth="1"/>
    <col min="29" max="34" width="8.88671875" style="454"/>
    <col min="35" max="16384" width="8.88671875" style="499"/>
  </cols>
  <sheetData>
    <row r="1" spans="1:28">
      <c r="A1" s="468" t="s">
        <v>841</v>
      </c>
      <c r="B1" s="127"/>
      <c r="C1" s="127"/>
      <c r="D1" s="127"/>
      <c r="E1" s="298"/>
      <c r="F1" s="127"/>
      <c r="G1" s="127"/>
      <c r="H1" s="127"/>
      <c r="I1" s="127"/>
      <c r="J1" s="127"/>
      <c r="K1" s="127"/>
      <c r="L1" s="127"/>
      <c r="M1" s="127"/>
      <c r="N1" s="127"/>
      <c r="O1" s="127"/>
      <c r="P1" s="127"/>
      <c r="Q1" s="127"/>
      <c r="R1" s="127"/>
      <c r="S1" s="127"/>
      <c r="T1" s="127"/>
      <c r="U1" s="127"/>
      <c r="V1" s="127"/>
      <c r="W1" s="127"/>
      <c r="X1" s="127"/>
      <c r="Y1" s="127"/>
      <c r="Z1" s="127"/>
      <c r="AA1" s="127"/>
      <c r="AB1" s="127"/>
    </row>
    <row r="2" spans="1:28" ht="17.25" customHeight="1">
      <c r="A2" s="128"/>
      <c r="B2" s="127"/>
      <c r="C2" s="127"/>
      <c r="D2" s="127"/>
      <c r="E2" s="298"/>
      <c r="F2" s="127"/>
      <c r="G2" s="127"/>
      <c r="H2" s="127"/>
      <c r="I2" s="127"/>
      <c r="J2" s="127"/>
      <c r="K2" s="127"/>
      <c r="L2" s="127"/>
      <c r="M2" s="127"/>
      <c r="N2" s="127"/>
      <c r="O2" s="127"/>
      <c r="P2" s="127"/>
      <c r="Q2" s="127"/>
      <c r="R2" s="127"/>
      <c r="S2" s="127"/>
      <c r="T2" s="127"/>
      <c r="U2" s="127"/>
      <c r="V2" s="127"/>
      <c r="W2" s="127"/>
      <c r="X2" s="127"/>
      <c r="Y2" s="127"/>
      <c r="Z2" s="127"/>
      <c r="AA2" s="127"/>
      <c r="AB2" s="127"/>
    </row>
    <row r="3" spans="1:28" ht="18" customHeight="1">
      <c r="A3" s="129" t="s">
        <v>0</v>
      </c>
      <c r="B3" s="94"/>
      <c r="C3" s="94"/>
      <c r="D3" s="94"/>
      <c r="E3" s="299"/>
      <c r="F3" s="94"/>
      <c r="G3" s="94"/>
      <c r="H3" s="94"/>
      <c r="I3" s="94"/>
      <c r="J3" s="94"/>
      <c r="K3" s="94"/>
      <c r="L3" s="94"/>
      <c r="M3" s="596"/>
      <c r="N3" s="94"/>
      <c r="O3" s="596" t="s">
        <v>81</v>
      </c>
      <c r="P3" s="94"/>
      <c r="Q3" s="94"/>
      <c r="R3" s="94"/>
      <c r="S3" s="94"/>
      <c r="T3" s="94"/>
      <c r="U3" s="94"/>
      <c r="V3" s="94"/>
      <c r="W3" s="94"/>
      <c r="X3" s="94"/>
      <c r="Y3" s="94"/>
      <c r="Z3" s="94"/>
      <c r="AA3" s="94"/>
      <c r="AB3" s="130"/>
    </row>
    <row r="4" spans="1:28" ht="18" customHeight="1">
      <c r="A4" s="129" t="s">
        <v>80</v>
      </c>
      <c r="B4" s="94"/>
      <c r="C4" s="94"/>
      <c r="D4" s="94"/>
      <c r="E4" s="299"/>
      <c r="F4" s="94"/>
      <c r="G4" s="94"/>
      <c r="H4" s="94"/>
      <c r="I4" s="94"/>
      <c r="J4" s="94"/>
      <c r="K4" s="94"/>
      <c r="L4" s="94"/>
      <c r="M4" s="597"/>
      <c r="N4" s="94"/>
      <c r="O4" s="597"/>
      <c r="P4" s="94"/>
      <c r="Q4" s="94"/>
      <c r="R4" s="94"/>
      <c r="S4" s="94"/>
      <c r="T4" s="94"/>
      <c r="U4" s="94"/>
      <c r="V4" s="94"/>
      <c r="W4" s="94"/>
      <c r="X4" s="94"/>
      <c r="Y4" s="94"/>
      <c r="Z4" s="94"/>
      <c r="AA4" s="94"/>
      <c r="AB4" s="94"/>
    </row>
    <row r="5" spans="1:28" ht="18" customHeight="1">
      <c r="A5" s="2325" t="str">
        <f>'Exh D-Governmental  '!A5:E5</f>
        <v>FISCAL YEAR 2023-2024</v>
      </c>
      <c r="B5" s="2326"/>
      <c r="C5" s="2326"/>
      <c r="D5" s="2326"/>
      <c r="E5" s="2326"/>
      <c r="F5" s="94"/>
      <c r="G5" s="94"/>
      <c r="H5" s="94"/>
      <c r="I5" s="94"/>
      <c r="J5" s="94"/>
      <c r="K5" s="94"/>
      <c r="L5" s="94"/>
      <c r="M5" s="94"/>
      <c r="N5" s="94"/>
      <c r="O5" s="94"/>
      <c r="P5" s="94"/>
      <c r="Q5" s="94"/>
      <c r="R5" s="94"/>
      <c r="S5" s="94"/>
      <c r="T5" s="94"/>
      <c r="U5" s="94"/>
      <c r="V5" s="94"/>
      <c r="W5" s="94"/>
      <c r="X5" s="94"/>
      <c r="Y5" s="94"/>
      <c r="Z5" s="94"/>
      <c r="AA5" s="94"/>
      <c r="AB5" s="94"/>
    </row>
    <row r="6" spans="1:28" ht="18" customHeight="1">
      <c r="A6" s="129" t="str">
        <f>+'Exh D-Governmental  '!A6</f>
        <v xml:space="preserve">FOR SIX MONTHS ENDED SEPTEMBER 30, 2023    </v>
      </c>
      <c r="B6" s="94"/>
      <c r="C6" s="94"/>
      <c r="D6" s="94"/>
      <c r="E6" s="299"/>
      <c r="F6" s="94"/>
      <c r="G6" s="94"/>
      <c r="H6" s="94"/>
      <c r="I6" s="94"/>
      <c r="J6" s="94"/>
      <c r="K6" s="94"/>
      <c r="L6" s="94"/>
      <c r="M6" s="94"/>
      <c r="N6" s="94"/>
      <c r="O6" s="94"/>
      <c r="P6" s="94"/>
      <c r="Q6" s="94"/>
      <c r="R6" s="94"/>
      <c r="S6" s="94"/>
      <c r="T6" s="94"/>
      <c r="U6" s="94"/>
      <c r="V6" s="94"/>
      <c r="W6" s="94"/>
      <c r="X6" s="94"/>
      <c r="Y6" s="94"/>
      <c r="Z6" s="94"/>
      <c r="AA6" s="94"/>
      <c r="AB6" s="94"/>
    </row>
    <row r="7" spans="1:28" ht="18" customHeight="1">
      <c r="A7" s="129" t="s">
        <v>1200</v>
      </c>
      <c r="B7" s="94"/>
      <c r="C7" s="94"/>
      <c r="D7" s="94"/>
      <c r="E7" s="299"/>
      <c r="F7" s="94"/>
      <c r="G7" s="94"/>
      <c r="H7" s="94"/>
      <c r="I7" s="94"/>
      <c r="J7" s="94"/>
      <c r="K7" s="94"/>
      <c r="L7" s="94"/>
      <c r="M7" s="94"/>
      <c r="N7" s="94"/>
      <c r="O7" s="94"/>
      <c r="P7" s="94"/>
      <c r="Q7" s="94"/>
      <c r="R7" s="94"/>
      <c r="S7" s="94"/>
      <c r="T7" s="94"/>
      <c r="U7" s="94"/>
      <c r="V7" s="94"/>
      <c r="W7" s="94"/>
      <c r="X7" s="94"/>
      <c r="Y7" s="94"/>
      <c r="Z7" s="94"/>
      <c r="AA7" s="94"/>
      <c r="AB7" s="94"/>
    </row>
    <row r="8" spans="1:28" ht="15" customHeight="1">
      <c r="A8" s="99"/>
      <c r="B8" s="94"/>
      <c r="C8" s="94"/>
      <c r="D8" s="94"/>
      <c r="E8" s="299"/>
      <c r="F8" s="94"/>
      <c r="G8" s="94"/>
      <c r="H8" s="94"/>
      <c r="I8" s="94"/>
      <c r="J8" s="94"/>
      <c r="K8" s="94"/>
      <c r="L8" s="94"/>
      <c r="M8" s="94"/>
      <c r="N8" s="94"/>
      <c r="O8" s="94"/>
      <c r="P8" s="94"/>
      <c r="Q8" s="94"/>
      <c r="R8" s="94"/>
      <c r="S8" s="94"/>
      <c r="T8" s="94"/>
      <c r="U8" s="94"/>
      <c r="V8" s="94"/>
      <c r="W8" s="94"/>
      <c r="X8" s="94"/>
      <c r="Y8" s="94"/>
      <c r="Z8" s="94"/>
      <c r="AA8" s="94"/>
      <c r="AB8" s="94"/>
    </row>
    <row r="9" spans="1:28">
      <c r="A9" s="100"/>
      <c r="B9" s="94"/>
      <c r="C9" s="94"/>
      <c r="D9" s="94"/>
      <c r="E9" s="299"/>
      <c r="F9" s="94"/>
      <c r="G9" s="94"/>
      <c r="H9" s="94"/>
      <c r="I9" s="94"/>
      <c r="J9" s="94"/>
      <c r="K9" s="94"/>
      <c r="L9" s="94"/>
      <c r="M9" s="94"/>
      <c r="N9" s="94"/>
      <c r="O9" s="94"/>
      <c r="P9" s="94"/>
      <c r="Q9" s="94"/>
      <c r="R9" s="94"/>
      <c r="S9" s="94"/>
      <c r="T9" s="94"/>
      <c r="U9" s="94"/>
      <c r="V9" s="94"/>
      <c r="W9" s="94"/>
      <c r="X9" s="94"/>
      <c r="Y9" s="94"/>
      <c r="Z9" s="94"/>
      <c r="AA9" s="94"/>
      <c r="AB9" s="94"/>
    </row>
    <row r="10" spans="1:28">
      <c r="A10" s="100"/>
      <c r="B10" s="94"/>
      <c r="C10" s="94"/>
      <c r="D10" s="94"/>
      <c r="E10" s="299"/>
      <c r="F10" s="94"/>
      <c r="G10" s="94"/>
      <c r="H10" s="94"/>
      <c r="I10" s="94"/>
      <c r="J10" s="94"/>
      <c r="K10" s="94"/>
      <c r="L10" s="94"/>
      <c r="M10" s="94"/>
      <c r="N10" s="94"/>
      <c r="O10" s="94"/>
      <c r="P10" s="94"/>
      <c r="Q10" s="94"/>
      <c r="R10" s="94"/>
      <c r="S10" s="94"/>
      <c r="T10" s="94"/>
      <c r="U10" s="94"/>
      <c r="V10" s="94"/>
      <c r="W10" s="94"/>
      <c r="X10" s="94"/>
      <c r="Y10" s="94"/>
      <c r="Z10" s="94"/>
      <c r="AA10" s="94"/>
      <c r="AB10" s="94"/>
    </row>
    <row r="11" spans="1:28" ht="15.75">
      <c r="C11" s="806"/>
      <c r="D11" s="806"/>
      <c r="E11" s="554"/>
      <c r="F11" s="554"/>
      <c r="G11" s="554" t="s">
        <v>995</v>
      </c>
      <c r="H11" s="743"/>
      <c r="I11" s="554"/>
      <c r="J11" s="743"/>
      <c r="K11" s="743"/>
      <c r="L11" s="554"/>
      <c r="M11" s="554"/>
      <c r="N11" s="810"/>
      <c r="O11" s="805"/>
      <c r="P11" s="131"/>
      <c r="Q11" s="131"/>
      <c r="R11" s="131"/>
      <c r="S11" s="131"/>
      <c r="T11" s="131"/>
      <c r="U11" s="131"/>
      <c r="V11" s="101"/>
      <c r="W11" s="131"/>
      <c r="X11" s="132"/>
      <c r="Y11" s="131"/>
      <c r="Z11" s="131"/>
      <c r="AA11" s="131"/>
      <c r="AB11" s="131"/>
    </row>
    <row r="12" spans="1:28" ht="15.75">
      <c r="F12" s="133"/>
      <c r="G12" s="134"/>
      <c r="H12" s="134"/>
      <c r="I12" s="134"/>
      <c r="J12" s="134"/>
      <c r="K12" s="134"/>
      <c r="L12" s="133"/>
      <c r="M12" s="133" t="s">
        <v>82</v>
      </c>
      <c r="N12" s="101"/>
      <c r="O12" s="133" t="s">
        <v>82</v>
      </c>
      <c r="P12" s="131"/>
      <c r="Q12" s="131"/>
      <c r="R12" s="131"/>
      <c r="S12" s="131"/>
      <c r="T12" s="131"/>
      <c r="U12" s="131"/>
      <c r="V12" s="101"/>
      <c r="W12" s="131"/>
      <c r="X12" s="132"/>
      <c r="Y12" s="131"/>
      <c r="Z12" s="131"/>
      <c r="AA12" s="131"/>
      <c r="AB12" s="131"/>
    </row>
    <row r="13" spans="1:28" ht="15.75">
      <c r="F13" s="133"/>
      <c r="G13" s="134"/>
      <c r="H13" s="134"/>
      <c r="I13" s="134"/>
      <c r="J13" s="134"/>
      <c r="K13" s="134"/>
      <c r="L13" s="133"/>
      <c r="M13" s="102" t="s">
        <v>758</v>
      </c>
      <c r="N13" s="101"/>
      <c r="O13" s="102" t="s">
        <v>758</v>
      </c>
      <c r="P13" s="131"/>
      <c r="Q13" s="131"/>
      <c r="R13" s="131"/>
      <c r="S13" s="131"/>
      <c r="T13" s="131"/>
      <c r="U13" s="131"/>
      <c r="V13" s="101"/>
      <c r="W13" s="131"/>
      <c r="X13" s="132"/>
      <c r="Y13" s="131"/>
      <c r="Z13" s="131"/>
      <c r="AA13" s="131"/>
      <c r="AB13" s="131"/>
    </row>
    <row r="14" spans="1:28" ht="15.75">
      <c r="B14" s="101"/>
      <c r="C14" s="103" t="s">
        <v>944</v>
      </c>
      <c r="D14" s="101"/>
      <c r="E14" s="102" t="s">
        <v>945</v>
      </c>
      <c r="F14" s="101"/>
      <c r="G14" s="101"/>
      <c r="H14" s="101"/>
      <c r="I14" s="101"/>
      <c r="J14" s="101"/>
      <c r="K14" s="101"/>
      <c r="L14" s="101"/>
      <c r="M14" s="102" t="s">
        <v>83</v>
      </c>
      <c r="N14" s="101"/>
      <c r="O14" s="102" t="s">
        <v>83</v>
      </c>
      <c r="P14" s="101"/>
      <c r="Q14" s="101"/>
      <c r="R14" s="101"/>
      <c r="S14" s="101"/>
      <c r="T14" s="103"/>
      <c r="U14" s="102"/>
      <c r="V14" s="101"/>
      <c r="W14" s="101"/>
      <c r="X14" s="101"/>
      <c r="Y14" s="101"/>
      <c r="Z14" s="101"/>
      <c r="AA14" s="101"/>
      <c r="AB14" s="103"/>
    </row>
    <row r="15" spans="1:28" ht="15.75">
      <c r="B15" s="135"/>
      <c r="C15" s="102" t="s">
        <v>980</v>
      </c>
      <c r="D15" s="135"/>
      <c r="E15" s="102" t="s">
        <v>980</v>
      </c>
      <c r="F15" s="101"/>
      <c r="G15" s="101"/>
      <c r="H15" s="101"/>
      <c r="I15" s="101"/>
      <c r="J15" s="101"/>
      <c r="K15" s="101"/>
      <c r="L15" s="101"/>
      <c r="M15" s="102" t="s">
        <v>944</v>
      </c>
      <c r="N15" s="101"/>
      <c r="O15" s="102" t="s">
        <v>945</v>
      </c>
      <c r="P15" s="102"/>
      <c r="Q15" s="101"/>
      <c r="R15" s="101"/>
      <c r="S15" s="101"/>
      <c r="T15" s="103"/>
      <c r="U15" s="102"/>
      <c r="V15" s="101"/>
      <c r="W15" s="103"/>
      <c r="X15" s="102"/>
      <c r="Y15" s="101"/>
      <c r="Z15" s="101"/>
      <c r="AA15" s="101"/>
      <c r="AB15" s="103"/>
    </row>
    <row r="16" spans="1:28" ht="15.75">
      <c r="B16" s="102"/>
      <c r="C16" s="809" t="s">
        <v>981</v>
      </c>
      <c r="D16" s="102"/>
      <c r="E16" s="102" t="s">
        <v>1478</v>
      </c>
      <c r="F16" s="101"/>
      <c r="G16" s="103" t="s">
        <v>82</v>
      </c>
      <c r="H16" s="103"/>
      <c r="I16" s="1060" t="s">
        <v>1104</v>
      </c>
      <c r="J16" s="103"/>
      <c r="K16" s="1060" t="s">
        <v>686</v>
      </c>
      <c r="L16" s="101"/>
      <c r="M16" s="102" t="s">
        <v>84</v>
      </c>
      <c r="N16" s="101"/>
      <c r="O16" s="809" t="s">
        <v>84</v>
      </c>
      <c r="P16" s="102"/>
      <c r="Q16" s="101"/>
      <c r="R16" s="103"/>
      <c r="S16" s="101"/>
      <c r="T16" s="103"/>
      <c r="U16" s="102"/>
      <c r="V16" s="101"/>
      <c r="W16" s="102"/>
      <c r="X16" s="102"/>
      <c r="Y16" s="101"/>
      <c r="Z16" s="103"/>
      <c r="AA16" s="101"/>
      <c r="AB16" s="103"/>
    </row>
    <row r="17" spans="1:28">
      <c r="A17" s="104"/>
      <c r="B17" s="94"/>
      <c r="C17" s="94"/>
      <c r="D17" s="94"/>
      <c r="E17" s="105"/>
      <c r="F17" s="94"/>
      <c r="G17" s="105"/>
      <c r="H17" s="94"/>
      <c r="I17" s="94"/>
      <c r="J17" s="94"/>
      <c r="K17" s="94"/>
      <c r="L17" s="94"/>
      <c r="M17" s="105"/>
      <c r="N17" s="94"/>
      <c r="O17" s="94"/>
      <c r="P17" s="94"/>
      <c r="Q17" s="94"/>
      <c r="R17" s="94"/>
      <c r="S17" s="94"/>
      <c r="T17" s="94"/>
      <c r="U17" s="94"/>
      <c r="V17" s="94"/>
      <c r="W17" s="94"/>
      <c r="X17" s="94"/>
      <c r="Y17" s="94"/>
      <c r="Z17" s="94"/>
      <c r="AA17" s="94"/>
      <c r="AB17" s="94"/>
    </row>
    <row r="18" spans="1:28" ht="15.75">
      <c r="A18" s="19" t="s">
        <v>13</v>
      </c>
      <c r="E18" s="454"/>
    </row>
    <row r="19" spans="1:28">
      <c r="A19" s="594" t="s">
        <v>85</v>
      </c>
      <c r="B19" s="667"/>
      <c r="C19" s="667"/>
      <c r="D19" s="667"/>
      <c r="E19" s="454"/>
      <c r="L19" s="667"/>
      <c r="O19" s="1007"/>
    </row>
    <row r="20" spans="1:28">
      <c r="A20" s="594" t="s">
        <v>86</v>
      </c>
      <c r="B20" s="667"/>
      <c r="C20" s="679">
        <f>'Exh D Special Revenue State Fed'!C20+'Exh D Special Revenue State Fed'!N20</f>
        <v>0</v>
      </c>
      <c r="D20" s="667"/>
      <c r="E20" s="679">
        <f>'Exh D Special Revenue State Fed'!E20+'Exh D Special Revenue State Fed'!P20</f>
        <v>0</v>
      </c>
      <c r="F20" s="481"/>
      <c r="G20" s="679">
        <f>+'Exh D Special Revenue State Fed'!G20</f>
        <v>0</v>
      </c>
      <c r="H20" s="679"/>
      <c r="I20" s="679">
        <v>0</v>
      </c>
      <c r="J20" s="679"/>
      <c r="K20" s="679">
        <f t="shared" ref="K20:K25" si="0">+G20+I20</f>
        <v>0</v>
      </c>
      <c r="L20" s="481"/>
      <c r="M20" s="479">
        <f>ROUND(SUM(K20)-SUM(C20),1)</f>
        <v>0</v>
      </c>
      <c r="O20" s="479">
        <f t="shared" ref="O20" si="1">K20-E20</f>
        <v>0</v>
      </c>
    </row>
    <row r="21" spans="1:28">
      <c r="A21" s="594" t="s">
        <v>87</v>
      </c>
      <c r="C21" s="495">
        <f>'Exh D Special Revenue State Fed'!C21+'Exh D Special Revenue State Fed'!N21</f>
        <v>1108</v>
      </c>
      <c r="E21" s="495">
        <f>'Exh D Special Revenue State Fed'!E21+'Exh D Special Revenue State Fed'!P21</f>
        <v>1108</v>
      </c>
      <c r="F21" s="467"/>
      <c r="G21" s="467">
        <f>+'Exh D Special Revenue State Fed'!G21</f>
        <v>1094.4000000000001</v>
      </c>
      <c r="H21" s="467"/>
      <c r="I21" s="467">
        <v>0</v>
      </c>
      <c r="J21" s="467"/>
      <c r="K21" s="467">
        <f t="shared" si="0"/>
        <v>1094.4000000000001</v>
      </c>
      <c r="L21" s="467"/>
      <c r="M21" s="467">
        <f t="shared" ref="M21:M25" si="2">ROUND(SUM(K21)-SUM(C21),1)</f>
        <v>-13.6</v>
      </c>
      <c r="N21" s="467"/>
      <c r="O21" s="467">
        <f>K21-E21</f>
        <v>-13.599999999999909</v>
      </c>
    </row>
    <row r="22" spans="1:28">
      <c r="A22" s="594" t="s">
        <v>88</v>
      </c>
      <c r="B22" s="667"/>
      <c r="C22" s="495">
        <f>'Exh D Special Revenue State Fed'!C22+'Exh D Special Revenue State Fed'!N22</f>
        <v>1288</v>
      </c>
      <c r="D22" s="667"/>
      <c r="E22" s="495">
        <f>'Exh D Special Revenue State Fed'!E22+'Exh D Special Revenue State Fed'!P22</f>
        <v>1288</v>
      </c>
      <c r="F22" s="493"/>
      <c r="G22" s="467">
        <f>+'Exh D Special Revenue State Fed'!G22</f>
        <v>1380.9</v>
      </c>
      <c r="H22" s="467"/>
      <c r="I22" s="467">
        <v>0</v>
      </c>
      <c r="J22" s="467"/>
      <c r="K22" s="467">
        <f t="shared" si="0"/>
        <v>1380.9</v>
      </c>
      <c r="L22" s="493"/>
      <c r="M22" s="467">
        <f t="shared" si="2"/>
        <v>92.9</v>
      </c>
      <c r="N22" s="493"/>
      <c r="O22" s="467">
        <f>K22-E22</f>
        <v>92.900000000000091</v>
      </c>
      <c r="Q22" s="667"/>
      <c r="S22" s="667"/>
      <c r="V22" s="667"/>
      <c r="Y22" s="667"/>
      <c r="Z22" s="136"/>
      <c r="AA22" s="667"/>
    </row>
    <row r="23" spans="1:28" ht="15" customHeight="1">
      <c r="A23" s="594" t="s">
        <v>19</v>
      </c>
      <c r="C23" s="495">
        <f>'Exh D Special Revenue State Fed'!C23+'Exh D Special Revenue State Fed'!N23</f>
        <v>10354</v>
      </c>
      <c r="E23" s="495">
        <f>'Exh D Special Revenue State Fed'!E23+'Exh D Special Revenue State Fed'!P23</f>
        <v>10354</v>
      </c>
      <c r="F23" s="467"/>
      <c r="G23" s="467">
        <f>+'Exh D Special Revenue State Fed'!G23+'Exh D Special Revenue State Fed'!R23</f>
        <v>11192.300000000001</v>
      </c>
      <c r="H23" s="467"/>
      <c r="I23" s="467">
        <v>0</v>
      </c>
      <c r="J23" s="467"/>
      <c r="K23" s="467">
        <f t="shared" si="0"/>
        <v>11192.300000000001</v>
      </c>
      <c r="L23" s="467"/>
      <c r="M23" s="467">
        <f t="shared" si="2"/>
        <v>838.3</v>
      </c>
      <c r="N23" s="467"/>
      <c r="O23" s="467">
        <f>K23-E23</f>
        <v>838.30000000000109</v>
      </c>
    </row>
    <row r="24" spans="1:28" ht="15" customHeight="1">
      <c r="A24" s="594" t="s">
        <v>20</v>
      </c>
      <c r="C24" s="495">
        <f>'Exh D Special Revenue State Fed'!C24+'Exh D Special Revenue State Fed'!N24</f>
        <v>46068</v>
      </c>
      <c r="E24" s="495">
        <f>'Exh D Special Revenue State Fed'!E24+'Exh D Special Revenue State Fed'!P24</f>
        <v>46068</v>
      </c>
      <c r="F24" s="467"/>
      <c r="G24" s="467">
        <f>+'Exh D Special Revenue State Fed'!G24+'Exh D Special Revenue State Fed'!R24</f>
        <v>47662.1</v>
      </c>
      <c r="H24" s="467"/>
      <c r="I24" s="467">
        <v>0</v>
      </c>
      <c r="J24" s="467"/>
      <c r="K24" s="467">
        <f t="shared" si="0"/>
        <v>47662.1</v>
      </c>
      <c r="L24" s="467"/>
      <c r="M24" s="467">
        <f t="shared" si="2"/>
        <v>1594.1</v>
      </c>
      <c r="N24" s="467"/>
      <c r="O24" s="467">
        <f>K24-E24</f>
        <v>1594.0999999999985</v>
      </c>
      <c r="P24" s="669"/>
      <c r="R24" s="669"/>
      <c r="T24" s="669"/>
      <c r="U24" s="681"/>
    </row>
    <row r="25" spans="1:28">
      <c r="A25" s="594" t="s">
        <v>1486</v>
      </c>
      <c r="B25" s="669"/>
      <c r="C25" s="1092">
        <f>'Exh D Special Revenue State Fed'!C25+'Exh D Special Revenue State Fed'!N25</f>
        <v>2109</v>
      </c>
      <c r="D25" s="669"/>
      <c r="E25" s="1092">
        <f>'Exh D Special Revenue State Fed'!E25+'Exh D Special Revenue State Fed'!P25</f>
        <v>2109</v>
      </c>
      <c r="F25" s="467"/>
      <c r="G25" s="670">
        <f>+'Exh D Special Revenue State Fed'!G25</f>
        <v>2191</v>
      </c>
      <c r="H25" s="493"/>
      <c r="I25" s="670">
        <f>+'Exhibit G'!AB115</f>
        <v>-380.6</v>
      </c>
      <c r="J25" s="493"/>
      <c r="K25" s="671">
        <f t="shared" si="0"/>
        <v>1810.4</v>
      </c>
      <c r="L25" s="467"/>
      <c r="M25" s="467">
        <f t="shared" si="2"/>
        <v>-298.60000000000002</v>
      </c>
      <c r="N25" s="467"/>
      <c r="O25" s="467">
        <f>K25-E25</f>
        <v>-298.59999999999991</v>
      </c>
      <c r="P25" s="669"/>
      <c r="R25" s="669"/>
      <c r="T25" s="669"/>
      <c r="U25" s="681"/>
    </row>
    <row r="26" spans="1:28" ht="18" customHeight="1">
      <c r="A26" s="118" t="s">
        <v>106</v>
      </c>
      <c r="B26" s="101"/>
      <c r="C26" s="601">
        <f>ROUND(SUM(C20:C25),1)</f>
        <v>60927</v>
      </c>
      <c r="D26" s="101"/>
      <c r="E26" s="601">
        <f>ROUND(SUM(E20:E25),1)</f>
        <v>60927</v>
      </c>
      <c r="F26" s="42"/>
      <c r="G26" s="601">
        <f>ROUND(SUM(G20:G25),1)</f>
        <v>63520.7</v>
      </c>
      <c r="H26" s="42"/>
      <c r="I26" s="601">
        <f>ROUND(SUM(I20:I25),1)</f>
        <v>-380.6</v>
      </c>
      <c r="J26" s="42"/>
      <c r="K26" s="601">
        <f>ROUND(SUM(K20:K25),1)</f>
        <v>63140.1</v>
      </c>
      <c r="L26" s="42"/>
      <c r="M26" s="2131">
        <f>ROUND(SUM(M20:M25),1)</f>
        <v>2213.1</v>
      </c>
      <c r="N26" s="42"/>
      <c r="O26" s="2131">
        <f>ROUND(SUM(O20:O25),1)</f>
        <v>2213.1</v>
      </c>
      <c r="P26" s="101"/>
      <c r="Q26" s="101"/>
      <c r="R26" s="101"/>
      <c r="S26" s="101"/>
      <c r="T26" s="101"/>
      <c r="U26" s="101"/>
      <c r="V26" s="101"/>
      <c r="W26" s="101"/>
      <c r="X26" s="101"/>
      <c r="Y26" s="101"/>
      <c r="Z26" s="101"/>
      <c r="AA26" s="101"/>
      <c r="AB26" s="101"/>
    </row>
    <row r="27" spans="1:28">
      <c r="C27" s="467"/>
      <c r="E27" s="467"/>
      <c r="F27" s="467"/>
      <c r="G27" s="497"/>
      <c r="H27" s="467"/>
      <c r="I27" s="467"/>
      <c r="J27" s="467"/>
      <c r="K27" s="467"/>
      <c r="L27" s="467"/>
      <c r="M27" s="497"/>
      <c r="N27" s="467"/>
      <c r="O27" s="497"/>
    </row>
    <row r="28" spans="1:28" ht="15.75">
      <c r="A28" s="19" t="s">
        <v>22</v>
      </c>
      <c r="C28" s="467"/>
      <c r="E28" s="467"/>
      <c r="F28" s="467"/>
      <c r="G28" s="467"/>
      <c r="H28" s="467"/>
      <c r="I28" s="467" t="s">
        <v>14</v>
      </c>
      <c r="J28" s="467" t="s">
        <v>14</v>
      </c>
      <c r="K28" s="467" t="s">
        <v>14</v>
      </c>
      <c r="L28" s="467"/>
      <c r="M28" s="467"/>
      <c r="N28" s="467"/>
      <c r="O28" s="467"/>
    </row>
    <row r="29" spans="1:28">
      <c r="A29" s="594" t="s">
        <v>91</v>
      </c>
      <c r="B29" s="667"/>
      <c r="C29" s="495">
        <f>'Exh D Special Revenue State Fed'!C29+'Exh D Special Revenue State Fed'!N29</f>
        <v>52436</v>
      </c>
      <c r="D29" s="667"/>
      <c r="E29" s="495">
        <f>'Exh D Special Revenue State Fed'!E29+'Exh D Special Revenue State Fed'!P29</f>
        <v>52436</v>
      </c>
      <c r="F29" s="467"/>
      <c r="G29" s="493">
        <f>+'Exh D Special Revenue State Fed'!G29+'Exh D Special Revenue State Fed'!R29</f>
        <v>52349.2</v>
      </c>
      <c r="H29" s="493"/>
      <c r="I29" s="493">
        <v>0</v>
      </c>
      <c r="J29" s="493"/>
      <c r="K29" s="467">
        <f t="shared" ref="K29:K34" si="3">+G29+I29</f>
        <v>52349.2</v>
      </c>
      <c r="L29" s="467"/>
      <c r="M29" s="467">
        <f t="shared" ref="M29:M34" si="4">ROUND(SUM(K29)-SUM(C29),1)</f>
        <v>-86.8</v>
      </c>
      <c r="N29" s="467"/>
      <c r="O29" s="467">
        <f t="shared" ref="O29:O34" si="5">K29-E29</f>
        <v>-86.80000000000291</v>
      </c>
      <c r="P29" s="669"/>
      <c r="R29" s="669"/>
      <c r="T29" s="669"/>
      <c r="U29" s="681"/>
    </row>
    <row r="30" spans="1:28">
      <c r="A30" s="594" t="s">
        <v>92</v>
      </c>
      <c r="B30" s="667"/>
      <c r="C30" s="495">
        <f>'Exh D Special Revenue State Fed'!C30+'Exh D Special Revenue State Fed'!N30</f>
        <v>6524</v>
      </c>
      <c r="D30" s="667"/>
      <c r="E30" s="495">
        <f>'Exh D Special Revenue State Fed'!E30+'Exh D Special Revenue State Fed'!P30</f>
        <v>6524</v>
      </c>
      <c r="F30" s="467"/>
      <c r="G30" s="493">
        <f>+'Exh D Special Revenue State Fed'!G30+'Exh D Special Revenue State Fed'!R30</f>
        <v>6369</v>
      </c>
      <c r="H30" s="493"/>
      <c r="I30" s="493">
        <v>0</v>
      </c>
      <c r="J30" s="493"/>
      <c r="K30" s="467">
        <f t="shared" si="3"/>
        <v>6369</v>
      </c>
      <c r="L30" s="467"/>
      <c r="M30" s="467">
        <f t="shared" si="4"/>
        <v>-155</v>
      </c>
      <c r="N30" s="467"/>
      <c r="O30" s="467">
        <f t="shared" si="5"/>
        <v>-155</v>
      </c>
      <c r="P30" s="667"/>
      <c r="R30" s="667"/>
      <c r="T30" s="669"/>
      <c r="W30" s="669"/>
      <c r="X30" s="669"/>
      <c r="Z30" s="669"/>
      <c r="AB30" s="669"/>
    </row>
    <row r="31" spans="1:28">
      <c r="A31" s="594" t="s">
        <v>68</v>
      </c>
      <c r="B31" s="667"/>
      <c r="C31" s="495">
        <f>'Exh D Special Revenue State Fed'!C31+'Exh D Special Revenue State Fed'!N31</f>
        <v>676</v>
      </c>
      <c r="D31" s="667"/>
      <c r="E31" s="495">
        <f>'Exh D Special Revenue State Fed'!E31+'Exh D Special Revenue State Fed'!P31</f>
        <v>676</v>
      </c>
      <c r="F31" s="467"/>
      <c r="G31" s="493">
        <f>+'Exh D Special Revenue State Fed'!G31+'Exh D Special Revenue State Fed'!R31</f>
        <v>673.5</v>
      </c>
      <c r="H31" s="493"/>
      <c r="I31" s="493">
        <v>0</v>
      </c>
      <c r="J31" s="493"/>
      <c r="K31" s="467">
        <f t="shared" si="3"/>
        <v>673.5</v>
      </c>
      <c r="L31" s="467"/>
      <c r="M31" s="467">
        <f t="shared" si="4"/>
        <v>-2.5</v>
      </c>
      <c r="N31" s="467"/>
      <c r="O31" s="467">
        <f t="shared" si="5"/>
        <v>-2.5</v>
      </c>
      <c r="P31" s="669"/>
      <c r="R31" s="669"/>
      <c r="T31" s="669"/>
      <c r="U31" s="681"/>
      <c r="W31" s="669"/>
      <c r="X31" s="669"/>
      <c r="Z31" s="669"/>
      <c r="AB31" s="669"/>
    </row>
    <row r="32" spans="1:28">
      <c r="A32" s="594" t="s">
        <v>93</v>
      </c>
      <c r="B32" s="667"/>
      <c r="C32" s="495">
        <f>'Exh D Special Revenue State Fed'!C32+'Exh D Special Revenue State Fed'!N32</f>
        <v>0</v>
      </c>
      <c r="D32" s="667"/>
      <c r="E32" s="495">
        <f>'Exh D Special Revenue State Fed'!E32+'Exh D Special Revenue State Fed'!P32</f>
        <v>0</v>
      </c>
      <c r="F32" s="467"/>
      <c r="G32" s="493">
        <f>+'Exh D Special Revenue State Fed'!G32+'Exh D Special Revenue State Fed'!R32</f>
        <v>0</v>
      </c>
      <c r="H32" s="493"/>
      <c r="I32" s="493">
        <v>0</v>
      </c>
      <c r="J32" s="493"/>
      <c r="K32" s="467">
        <f t="shared" si="3"/>
        <v>0</v>
      </c>
      <c r="L32" s="467"/>
      <c r="M32" s="467">
        <f t="shared" si="4"/>
        <v>0</v>
      </c>
      <c r="N32" s="467"/>
      <c r="O32" s="467">
        <f t="shared" si="5"/>
        <v>0</v>
      </c>
      <c r="P32" s="669"/>
      <c r="R32" s="669"/>
      <c r="T32" s="669"/>
      <c r="U32" s="681"/>
      <c r="W32" s="669"/>
      <c r="X32" s="669"/>
      <c r="Z32" s="669"/>
      <c r="AB32" s="669"/>
    </row>
    <row r="33" spans="1:28">
      <c r="A33" s="594" t="s">
        <v>41</v>
      </c>
      <c r="B33" s="667"/>
      <c r="C33" s="495">
        <f>'Exh D Special Revenue State Fed'!C33+'Exh D Special Revenue State Fed'!N33</f>
        <v>0</v>
      </c>
      <c r="D33" s="667"/>
      <c r="E33" s="495">
        <f>'Exh D Special Revenue State Fed'!E33+'Exh D Special Revenue State Fed'!P33</f>
        <v>0</v>
      </c>
      <c r="F33" s="467"/>
      <c r="G33" s="495">
        <f>+'Exh D Special Revenue State Fed'!G33+'Exh D Special Revenue State Fed'!R33</f>
        <v>0</v>
      </c>
      <c r="H33" s="495"/>
      <c r="I33" s="495">
        <v>0</v>
      </c>
      <c r="J33" s="495"/>
      <c r="K33" s="467">
        <f t="shared" si="3"/>
        <v>0</v>
      </c>
      <c r="L33" s="467"/>
      <c r="M33" s="467">
        <f t="shared" si="4"/>
        <v>0</v>
      </c>
      <c r="N33" s="467"/>
      <c r="O33" s="467">
        <f t="shared" si="5"/>
        <v>0</v>
      </c>
      <c r="P33" s="669"/>
      <c r="R33" s="669"/>
      <c r="T33" s="669"/>
      <c r="U33" s="681"/>
    </row>
    <row r="34" spans="1:28">
      <c r="A34" s="594" t="s">
        <v>1487</v>
      </c>
      <c r="B34" s="667"/>
      <c r="C34" s="495">
        <f>'Exh D Special Revenue State Fed'!C34+'Exh D Special Revenue State Fed'!N34</f>
        <v>1176</v>
      </c>
      <c r="D34" s="667"/>
      <c r="E34" s="495">
        <f>'Exh D Special Revenue State Fed'!E34+'Exh D Special Revenue State Fed'!P34</f>
        <v>1176</v>
      </c>
      <c r="F34" s="467"/>
      <c r="G34" s="493">
        <f>+'Exh D Special Revenue State Fed'!G34+'Exh D Special Revenue State Fed'!R34</f>
        <v>1059.5999999999999</v>
      </c>
      <c r="H34" s="493"/>
      <c r="I34" s="493">
        <f>-'Exhibit G'!AB116</f>
        <v>-380.6</v>
      </c>
      <c r="J34" s="493"/>
      <c r="K34" s="467">
        <f t="shared" si="3"/>
        <v>678.99999999999989</v>
      </c>
      <c r="L34" s="467"/>
      <c r="M34" s="467">
        <f t="shared" si="4"/>
        <v>-497</v>
      </c>
      <c r="N34" s="467"/>
      <c r="O34" s="467">
        <f t="shared" si="5"/>
        <v>-497.00000000000011</v>
      </c>
      <c r="P34" s="669"/>
      <c r="R34" s="669"/>
      <c r="T34" s="669"/>
      <c r="U34" s="681"/>
    </row>
    <row r="35" spans="1:28" ht="18" customHeight="1">
      <c r="A35" s="118" t="s">
        <v>115</v>
      </c>
      <c r="B35" s="101"/>
      <c r="C35" s="1159">
        <f>ROUND(SUM(C29:C34),1)</f>
        <v>60812</v>
      </c>
      <c r="D35" s="101"/>
      <c r="E35" s="1159">
        <f>ROUND(SUM(E29:E34),1)</f>
        <v>60812</v>
      </c>
      <c r="F35" s="42"/>
      <c r="G35" s="143">
        <f>ROUND(SUM(G29:G34),1)</f>
        <v>60451.3</v>
      </c>
      <c r="H35" s="42"/>
      <c r="I35" s="1006">
        <f>ROUND(SUM(I29:I34),1)</f>
        <v>-380.6</v>
      </c>
      <c r="J35" s="42"/>
      <c r="K35" s="1006">
        <f>ROUND(SUM(K29:K34),1)</f>
        <v>60070.7</v>
      </c>
      <c r="L35" s="42"/>
      <c r="M35" s="143">
        <f>ROUND(SUM(M29:M34),1)</f>
        <v>-741.3</v>
      </c>
      <c r="N35" s="42"/>
      <c r="O35" s="143">
        <f>ROUND(SUM(O29:O34),1)</f>
        <v>-741.3</v>
      </c>
      <c r="P35" s="101"/>
      <c r="Q35" s="101"/>
      <c r="R35" s="112"/>
      <c r="S35" s="101"/>
      <c r="T35" s="101"/>
      <c r="U35" s="101"/>
      <c r="V35" s="101"/>
      <c r="W35" s="101"/>
      <c r="X35" s="101"/>
      <c r="Y35" s="101"/>
      <c r="Z35" s="101"/>
      <c r="AA35" s="101"/>
      <c r="AB35" s="101"/>
    </row>
    <row r="36" spans="1:28">
      <c r="C36" s="467"/>
      <c r="E36" s="467"/>
      <c r="F36" s="467"/>
      <c r="G36" s="497"/>
      <c r="H36" s="467"/>
      <c r="I36" s="467"/>
      <c r="J36" s="467"/>
      <c r="K36" s="467"/>
      <c r="L36" s="467"/>
      <c r="M36" s="497"/>
      <c r="N36" s="467"/>
      <c r="O36" s="497"/>
    </row>
    <row r="37" spans="1:28" ht="15.75">
      <c r="A37" s="19" t="s">
        <v>116</v>
      </c>
      <c r="C37" s="467"/>
      <c r="E37" s="467"/>
      <c r="F37" s="467"/>
      <c r="G37" s="467"/>
      <c r="H37" s="467"/>
      <c r="I37" s="467"/>
      <c r="J37" s="467"/>
      <c r="K37" s="467"/>
      <c r="L37" s="467"/>
      <c r="M37" s="467"/>
      <c r="N37" s="467"/>
      <c r="O37" s="467"/>
    </row>
    <row r="38" spans="1:28" ht="15.75">
      <c r="A38" s="19" t="s">
        <v>117</v>
      </c>
      <c r="C38" s="467"/>
      <c r="E38" s="467"/>
      <c r="F38" s="467"/>
      <c r="G38" s="467"/>
      <c r="H38" s="467"/>
      <c r="I38" s="467"/>
      <c r="J38" s="467"/>
      <c r="K38" s="467"/>
      <c r="L38" s="467"/>
      <c r="M38" s="467"/>
      <c r="N38" s="467"/>
      <c r="O38" s="467"/>
    </row>
    <row r="39" spans="1:28" ht="15.75">
      <c r="A39" s="118" t="s">
        <v>100</v>
      </c>
      <c r="B39" s="119"/>
      <c r="C39" s="42">
        <f>ROUND(SUM(C26)-SUM(C35),1)</f>
        <v>115</v>
      </c>
      <c r="D39" s="119"/>
      <c r="E39" s="42">
        <f>ROUND(SUM(E26)-SUM(E35),1)</f>
        <v>115</v>
      </c>
      <c r="F39" s="57"/>
      <c r="G39" s="42">
        <f>ROUND(SUM(G26)-SUM(G35),1)</f>
        <v>3069.4</v>
      </c>
      <c r="H39" s="42"/>
      <c r="I39" s="42">
        <v>0</v>
      </c>
      <c r="J39" s="42"/>
      <c r="K39" s="42">
        <f>+G39+I39</f>
        <v>3069.4</v>
      </c>
      <c r="L39" s="57"/>
      <c r="M39" s="42">
        <f>ROUND(SUM(M26)-SUM(M35),1)</f>
        <v>2954.4</v>
      </c>
      <c r="N39" s="57"/>
      <c r="O39" s="42">
        <f>ROUND(SUM(O26)-SUM(O35),1)</f>
        <v>2954.4</v>
      </c>
      <c r="P39" s="101"/>
      <c r="Q39" s="119"/>
      <c r="R39" s="101"/>
      <c r="S39" s="119"/>
      <c r="T39" s="101"/>
      <c r="U39" s="101"/>
      <c r="V39" s="119"/>
      <c r="W39" s="101"/>
      <c r="X39" s="101"/>
      <c r="Y39" s="119"/>
      <c r="Z39" s="101"/>
      <c r="AA39" s="119"/>
      <c r="AB39" s="101"/>
    </row>
    <row r="40" spans="1:28" ht="15" customHeight="1">
      <c r="C40" s="467"/>
      <c r="E40" s="467"/>
      <c r="F40" s="467"/>
      <c r="G40" s="467"/>
      <c r="H40" s="467"/>
      <c r="I40" s="467"/>
      <c r="J40" s="467"/>
      <c r="K40" s="467"/>
      <c r="L40" s="467"/>
      <c r="M40" s="467"/>
      <c r="N40" s="467"/>
      <c r="O40" s="467"/>
    </row>
    <row r="41" spans="1:28" ht="15.75">
      <c r="A41" s="118" t="str">
        <f>+'Exh D-Governmental  '!A49</f>
        <v>Fund Balances (Deficits) at April 1</v>
      </c>
      <c r="C41" s="83">
        <f>'Exh D Special Revenue State Fed'!C41+'Exh D Special Revenue State Fed'!N41</f>
        <v>23939</v>
      </c>
      <c r="E41" s="83">
        <f>'Exh D Special Revenue State Fed'!E41+'Exh D Special Revenue State Fed'!P41</f>
        <v>23939</v>
      </c>
      <c r="F41" s="467"/>
      <c r="G41" s="42">
        <f>'Exh D Special Revenue State Fed'!G41+'Exh D Special Revenue State Fed'!R41</f>
        <v>23940.199999999997</v>
      </c>
      <c r="H41" s="42"/>
      <c r="I41" s="42">
        <v>0</v>
      </c>
      <c r="J41" s="42"/>
      <c r="K41" s="42">
        <f>+G41+I41</f>
        <v>23940.199999999997</v>
      </c>
      <c r="L41" s="467"/>
      <c r="M41" s="42">
        <f t="shared" ref="M41" si="6">ROUND(SUM(K41)-SUM(C41),1)</f>
        <v>1.2</v>
      </c>
      <c r="N41" s="467"/>
      <c r="O41" s="42">
        <f>K41-E41</f>
        <v>1.1999999999970896</v>
      </c>
    </row>
    <row r="42" spans="1:28" ht="18" customHeight="1" thickBot="1">
      <c r="A42" s="118" t="str">
        <f>+'Exh D-Governmental  '!A50</f>
        <v xml:space="preserve">Fund Balances (Deficits) at September 30, 2023 </v>
      </c>
      <c r="B42" s="119"/>
      <c r="C42" s="69">
        <f>ROUND(SUM(C39:C41),1)</f>
        <v>24054</v>
      </c>
      <c r="D42" s="119"/>
      <c r="E42" s="69">
        <f>ROUND(SUM(E39:E41),1)</f>
        <v>24054</v>
      </c>
      <c r="F42" s="122"/>
      <c r="G42" s="69">
        <f>ROUND(SUM(G39:G41),1)</f>
        <v>27009.599999999999</v>
      </c>
      <c r="H42" s="65"/>
      <c r="I42" s="69">
        <f>ROUND(SUM(I39:I41),1)</f>
        <v>0</v>
      </c>
      <c r="J42" s="65"/>
      <c r="K42" s="69">
        <f>ROUND(SUM(K39:K41),1)</f>
        <v>27009.599999999999</v>
      </c>
      <c r="L42" s="122"/>
      <c r="M42" s="69">
        <f>ROUND(SUM(M39:M41),1)</f>
        <v>2955.6</v>
      </c>
      <c r="O42" s="69">
        <f>ROUND(SUM(O39:O41),1)</f>
        <v>2955.6</v>
      </c>
    </row>
    <row r="43" spans="1:28" ht="15" customHeight="1" thickTop="1">
      <c r="A43" s="104"/>
      <c r="E43" s="498"/>
      <c r="F43" s="479"/>
      <c r="G43" s="479"/>
      <c r="H43" s="479"/>
      <c r="I43" s="479"/>
      <c r="J43" s="479"/>
      <c r="K43" s="479"/>
      <c r="L43" s="479"/>
      <c r="M43" s="479"/>
      <c r="O43" s="1008"/>
    </row>
    <row r="44" spans="1:28">
      <c r="A44" s="674" t="str">
        <f>'Exh D-Governmental  '!A52</f>
        <v xml:space="preserve">(*)    Source: 2023-24 Enacted Financial Plan dated June 9, 2023. </v>
      </c>
    </row>
    <row r="45" spans="1:28">
      <c r="A45" s="674" t="str">
        <f>'Exh D-Governmental  '!A53</f>
        <v>(**)   Source: 2023-24 First Quarter Update dated July 27, 2023, which made no changes to the Enacted Financial Plan.</v>
      </c>
    </row>
    <row r="46" spans="1:28">
      <c r="A46" s="594" t="s">
        <v>1488</v>
      </c>
    </row>
    <row r="47" spans="1:28">
      <c r="A47" s="594"/>
    </row>
    <row r="49" spans="1:1">
      <c r="A49" s="137"/>
    </row>
    <row r="50" spans="1:1">
      <c r="A50" s="137"/>
    </row>
  </sheetData>
  <mergeCells count="1">
    <mergeCell ref="A5:E5"/>
  </mergeCells>
  <printOptions horizontalCentered="1"/>
  <pageMargins left="0.7" right="0.7" top="0.75" bottom="0.6" header="0.3" footer="0.3"/>
  <pageSetup scale="60" firstPageNumber="10" orientation="landscape" useFirstPageNumber="1" r:id="rId1"/>
  <headerFooter scaleWithDoc="0" alignWithMargins="0">
    <oddFooter>&amp;C&amp;8&amp;P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dimension ref="A1:AW70"/>
  <sheetViews>
    <sheetView showGridLines="0" zoomScale="90" workbookViewId="0"/>
  </sheetViews>
  <sheetFormatPr defaultColWidth="8.88671875" defaultRowHeight="15"/>
  <cols>
    <col min="1" max="1" width="53.109375" style="499" customWidth="1"/>
    <col min="2" max="2" width="0.88671875" style="454" customWidth="1"/>
    <col min="3" max="3" width="15.88671875" style="302" customWidth="1"/>
    <col min="4" max="4" width="0.88671875" style="454" customWidth="1"/>
    <col min="5" max="5" width="15.88671875" style="302" customWidth="1"/>
    <col min="6" max="6" width="0.88671875" style="454" customWidth="1"/>
    <col min="7" max="7" width="15.88671875" style="454" customWidth="1"/>
    <col min="8" max="8" width="0.88671875" style="454" customWidth="1"/>
    <col min="9" max="9" width="15.88671875" style="454" customWidth="1"/>
    <col min="10" max="10" width="0.88671875" style="454" customWidth="1"/>
    <col min="11" max="11" width="15.88671875" style="454" customWidth="1"/>
    <col min="12" max="12" width="1.88671875" style="454" customWidth="1"/>
    <col min="13" max="13" width="0.88671875" style="454" customWidth="1"/>
    <col min="14" max="14" width="15.88671875" style="454" customWidth="1"/>
    <col min="15" max="15" width="1.109375" style="454" customWidth="1"/>
    <col min="16" max="16" width="15.88671875" style="454" customWidth="1"/>
    <col min="17" max="17" width="1.109375" style="454" customWidth="1"/>
    <col min="18" max="18" width="15.88671875" style="454" customWidth="1"/>
    <col min="19" max="19" width="0.5546875" style="454" customWidth="1"/>
    <col min="20" max="20" width="15.88671875" style="454" customWidth="1"/>
    <col min="21" max="21" width="1.109375" style="454" customWidth="1"/>
    <col min="22" max="22" width="15.88671875" style="302" customWidth="1"/>
    <col min="23" max="23" width="1" style="454" customWidth="1"/>
    <col min="24" max="24" width="3.88671875" style="302" customWidth="1"/>
    <col min="25" max="25" width="1" style="454" customWidth="1"/>
    <col min="26" max="26" width="15.88671875" style="454" customWidth="1"/>
    <col min="27" max="27" width="0.88671875" style="454" customWidth="1"/>
    <col min="28" max="28" width="15.88671875" style="454" customWidth="1"/>
    <col min="29" max="29" width="0.109375" style="454" customWidth="1"/>
    <col min="30" max="30" width="11.88671875" style="454" customWidth="1"/>
    <col min="31" max="31" width="11.44140625" style="454" customWidth="1"/>
    <col min="32" max="32" width="1.88671875" style="454" customWidth="1"/>
    <col min="33" max="33" width="11.88671875" style="454" customWidth="1"/>
    <col min="34" max="34" width="2.109375" style="454" customWidth="1"/>
    <col min="35" max="35" width="11.44140625" style="454" customWidth="1"/>
    <col min="36" max="36" width="0.5546875" style="454" customWidth="1"/>
    <col min="37" max="37" width="2.109375" style="454" customWidth="1"/>
    <col min="38" max="38" width="10.5546875" style="454" customWidth="1"/>
    <col min="39" max="39" width="11.109375" style="454" customWidth="1"/>
    <col min="40" max="40" width="2.109375" style="454" customWidth="1"/>
    <col min="41" max="41" width="11.109375" style="454" customWidth="1"/>
    <col min="42" max="42" width="2.109375" style="454" customWidth="1"/>
    <col min="43" max="43" width="12.44140625" style="454" customWidth="1"/>
    <col min="44" max="49" width="8.88671875" style="454"/>
    <col min="50" max="16384" width="8.88671875" style="499"/>
  </cols>
  <sheetData>
    <row r="1" spans="1:49">
      <c r="A1" s="675" t="s">
        <v>841</v>
      </c>
      <c r="B1" s="127"/>
      <c r="C1" s="298"/>
      <c r="D1" s="127"/>
      <c r="E1" s="298"/>
      <c r="F1" s="127"/>
      <c r="G1" s="127"/>
      <c r="H1" s="127"/>
      <c r="I1" s="127"/>
      <c r="J1" s="127"/>
      <c r="K1" s="127"/>
      <c r="L1" s="127"/>
      <c r="M1" s="127"/>
      <c r="N1" s="127"/>
      <c r="O1" s="127"/>
      <c r="P1" s="127"/>
      <c r="Q1" s="127"/>
      <c r="R1" s="127"/>
      <c r="S1" s="127"/>
      <c r="T1" s="127"/>
      <c r="U1" s="127"/>
      <c r="V1" s="298"/>
      <c r="W1" s="127"/>
      <c r="X1" s="298"/>
      <c r="Y1" s="127"/>
      <c r="Z1" s="127"/>
      <c r="AA1" s="127"/>
      <c r="AB1" s="127"/>
      <c r="AC1" s="127"/>
      <c r="AD1" s="127"/>
      <c r="AE1" s="127"/>
      <c r="AF1" s="127"/>
      <c r="AG1" s="127"/>
      <c r="AH1" s="127"/>
      <c r="AI1" s="127"/>
      <c r="AJ1" s="127"/>
      <c r="AK1" s="127"/>
      <c r="AL1" s="127"/>
      <c r="AM1" s="127"/>
      <c r="AN1" s="127"/>
      <c r="AO1" s="127"/>
      <c r="AP1" s="127"/>
      <c r="AQ1" s="127"/>
      <c r="AR1" s="499"/>
      <c r="AS1" s="499"/>
      <c r="AT1" s="499"/>
      <c r="AU1" s="499"/>
      <c r="AV1" s="499"/>
      <c r="AW1" s="499"/>
    </row>
    <row r="2" spans="1:49" ht="17.25" customHeight="1">
      <c r="A2" s="128"/>
      <c r="B2" s="127"/>
      <c r="C2" s="298"/>
      <c r="D2" s="127"/>
      <c r="E2" s="298"/>
      <c r="F2" s="127"/>
      <c r="G2" s="127"/>
      <c r="H2" s="127"/>
      <c r="I2" s="127"/>
      <c r="J2" s="127"/>
      <c r="K2" s="127"/>
      <c r="L2" s="127"/>
      <c r="M2" s="127"/>
      <c r="N2" s="127"/>
      <c r="O2" s="127"/>
      <c r="P2" s="127"/>
      <c r="Q2" s="127"/>
      <c r="R2" s="127"/>
      <c r="S2" s="127"/>
      <c r="T2" s="127"/>
      <c r="U2" s="127"/>
      <c r="V2" s="298"/>
      <c r="W2" s="127"/>
      <c r="X2" s="298"/>
      <c r="Y2" s="127"/>
      <c r="Z2" s="127"/>
      <c r="AA2" s="127"/>
      <c r="AB2" s="127"/>
      <c r="AC2" s="127"/>
      <c r="AD2" s="127"/>
      <c r="AE2" s="127"/>
      <c r="AF2" s="127"/>
      <c r="AG2" s="127"/>
      <c r="AH2" s="127"/>
      <c r="AI2" s="127"/>
      <c r="AJ2" s="127"/>
      <c r="AK2" s="127"/>
      <c r="AL2" s="127"/>
      <c r="AM2" s="127"/>
      <c r="AN2" s="127"/>
      <c r="AO2" s="127"/>
      <c r="AP2" s="127"/>
      <c r="AQ2" s="127"/>
      <c r="AR2" s="499"/>
      <c r="AS2" s="499"/>
      <c r="AT2" s="499"/>
      <c r="AU2" s="499"/>
      <c r="AV2" s="499"/>
      <c r="AW2" s="499"/>
    </row>
    <row r="3" spans="1:49" ht="18.75" customHeight="1">
      <c r="A3" s="129" t="s">
        <v>0</v>
      </c>
      <c r="B3" s="94"/>
      <c r="C3" s="299"/>
      <c r="D3" s="94"/>
      <c r="E3" s="299"/>
      <c r="F3" s="94"/>
      <c r="G3" s="94"/>
      <c r="H3" s="94"/>
      <c r="I3" s="94"/>
      <c r="J3" s="94"/>
      <c r="K3" s="94"/>
      <c r="L3" s="94"/>
      <c r="M3" s="94"/>
      <c r="N3" s="94"/>
      <c r="O3" s="94"/>
      <c r="P3" s="94"/>
      <c r="Q3" s="94"/>
      <c r="R3" s="94"/>
      <c r="S3" s="94"/>
      <c r="T3" s="596"/>
      <c r="U3" s="94"/>
      <c r="V3" s="596" t="s">
        <v>81</v>
      </c>
      <c r="W3" s="94"/>
      <c r="X3" s="299"/>
      <c r="Y3" s="94"/>
      <c r="Z3" s="94"/>
      <c r="AA3" s="94"/>
      <c r="AB3" s="596"/>
      <c r="AC3" s="94"/>
      <c r="AD3" s="94"/>
      <c r="AE3" s="94"/>
      <c r="AF3" s="94"/>
      <c r="AG3" s="94"/>
      <c r="AH3" s="94"/>
      <c r="AI3" s="94"/>
      <c r="AJ3" s="94"/>
      <c r="AK3" s="94"/>
      <c r="AL3" s="94"/>
      <c r="AM3" s="94"/>
      <c r="AN3" s="94"/>
      <c r="AO3" s="94"/>
      <c r="AP3" s="94"/>
      <c r="AQ3" s="130"/>
      <c r="AR3" s="499"/>
      <c r="AS3" s="499"/>
      <c r="AT3" s="499"/>
      <c r="AU3" s="499"/>
      <c r="AV3" s="499"/>
      <c r="AW3" s="499"/>
    </row>
    <row r="4" spans="1:49" ht="18.75" customHeight="1">
      <c r="A4" s="129" t="s">
        <v>80</v>
      </c>
      <c r="B4" s="94"/>
      <c r="C4" s="299"/>
      <c r="D4" s="94"/>
      <c r="E4" s="299"/>
      <c r="F4" s="94"/>
      <c r="G4" s="94"/>
      <c r="H4" s="94"/>
      <c r="I4" s="94"/>
      <c r="J4" s="94"/>
      <c r="K4" s="94"/>
      <c r="L4" s="94"/>
      <c r="M4" s="94"/>
      <c r="N4" s="94"/>
      <c r="O4" s="94"/>
      <c r="P4" s="94"/>
      <c r="Q4" s="94"/>
      <c r="R4" s="94"/>
      <c r="S4" s="94"/>
      <c r="T4" s="597"/>
      <c r="U4" s="94"/>
      <c r="V4" s="597"/>
      <c r="W4" s="94"/>
      <c r="X4" s="299"/>
      <c r="Y4" s="94"/>
      <c r="Z4" s="94"/>
      <c r="AA4" s="94"/>
      <c r="AB4" s="597"/>
      <c r="AC4" s="94"/>
      <c r="AD4" s="94"/>
      <c r="AE4" s="94"/>
      <c r="AF4" s="94"/>
      <c r="AG4" s="94"/>
      <c r="AH4" s="94"/>
      <c r="AI4" s="94"/>
      <c r="AJ4" s="94"/>
      <c r="AK4" s="94"/>
      <c r="AL4" s="94"/>
      <c r="AM4" s="94"/>
      <c r="AN4" s="94"/>
      <c r="AO4" s="94"/>
      <c r="AP4" s="94"/>
      <c r="AQ4" s="94"/>
      <c r="AR4" s="499"/>
      <c r="AS4" s="499"/>
      <c r="AT4" s="499"/>
      <c r="AU4" s="499"/>
      <c r="AV4" s="499"/>
      <c r="AW4" s="499"/>
    </row>
    <row r="5" spans="1:49" ht="18.75" customHeight="1">
      <c r="A5" s="2325" t="str">
        <f>'Exh D-Governmental  '!A5:E5</f>
        <v>FISCAL YEAR 2023-2024</v>
      </c>
      <c r="B5" s="2326"/>
      <c r="C5" s="2326"/>
      <c r="D5" s="2326"/>
      <c r="E5" s="2326"/>
      <c r="F5" s="94"/>
      <c r="G5" s="472"/>
      <c r="H5" s="94"/>
      <c r="I5" s="94"/>
      <c r="J5" s="94"/>
      <c r="K5" s="94"/>
      <c r="L5" s="94"/>
      <c r="M5" s="94"/>
      <c r="N5" s="482"/>
      <c r="O5" s="94"/>
      <c r="P5" s="94"/>
      <c r="Q5" s="94"/>
      <c r="R5" s="94"/>
      <c r="S5" s="94"/>
      <c r="T5" s="94"/>
      <c r="U5" s="94"/>
      <c r="V5" s="299"/>
      <c r="W5" s="94"/>
      <c r="X5" s="299"/>
      <c r="Y5" s="94"/>
      <c r="Z5" s="94"/>
      <c r="AA5" s="94"/>
      <c r="AB5" s="94"/>
      <c r="AC5" s="94"/>
      <c r="AD5" s="94"/>
      <c r="AE5" s="94"/>
      <c r="AF5" s="94"/>
      <c r="AG5" s="94"/>
      <c r="AH5" s="94"/>
      <c r="AI5" s="94"/>
      <c r="AJ5" s="94"/>
      <c r="AK5" s="94"/>
      <c r="AL5" s="94"/>
      <c r="AM5" s="94"/>
      <c r="AN5" s="94"/>
      <c r="AO5" s="94"/>
      <c r="AP5" s="94"/>
      <c r="AQ5" s="94"/>
      <c r="AR5" s="499"/>
      <c r="AS5" s="499"/>
      <c r="AT5" s="499"/>
      <c r="AU5" s="499"/>
      <c r="AV5" s="499"/>
      <c r="AW5" s="499"/>
    </row>
    <row r="6" spans="1:49" ht="18.75" customHeight="1">
      <c r="A6" s="98" t="str">
        <f>'Exh D-Governmental  '!A6</f>
        <v xml:space="preserve">FOR SIX MONTHS ENDED SEPTEMBER 30, 2023    </v>
      </c>
      <c r="B6" s="94"/>
      <c r="C6" s="299"/>
      <c r="D6" s="94"/>
      <c r="E6" s="299"/>
      <c r="F6" s="94"/>
      <c r="G6" s="94"/>
      <c r="H6" s="94"/>
      <c r="I6" s="94"/>
      <c r="J6" s="94"/>
      <c r="K6" s="94"/>
      <c r="L6" s="94"/>
      <c r="M6" s="94"/>
      <c r="N6" s="94"/>
      <c r="O6" s="94"/>
      <c r="P6" s="94"/>
      <c r="Q6" s="94"/>
      <c r="R6" s="94"/>
      <c r="S6" s="94"/>
      <c r="T6" s="94"/>
      <c r="U6" s="94"/>
      <c r="V6" s="299"/>
      <c r="W6" s="94"/>
      <c r="X6" s="299"/>
      <c r="Y6" s="94"/>
      <c r="Z6" s="94"/>
      <c r="AA6" s="94"/>
      <c r="AB6" s="94"/>
      <c r="AC6" s="94"/>
      <c r="AD6" s="94"/>
      <c r="AE6" s="94"/>
      <c r="AF6" s="94"/>
      <c r="AG6" s="94"/>
      <c r="AH6" s="94"/>
      <c r="AI6" s="94"/>
      <c r="AJ6" s="94"/>
      <c r="AK6" s="94"/>
      <c r="AL6" s="94"/>
      <c r="AM6" s="94"/>
      <c r="AN6" s="94"/>
      <c r="AO6" s="94"/>
      <c r="AP6" s="94"/>
      <c r="AQ6" s="94"/>
      <c r="AR6" s="499"/>
      <c r="AS6" s="499"/>
      <c r="AT6" s="499"/>
      <c r="AU6" s="499"/>
      <c r="AV6" s="499"/>
      <c r="AW6" s="499"/>
    </row>
    <row r="7" spans="1:49" ht="18.75" customHeight="1">
      <c r="A7" s="129" t="s">
        <v>1200</v>
      </c>
      <c r="B7" s="94"/>
      <c r="C7" s="299"/>
      <c r="D7" s="94"/>
      <c r="E7" s="299"/>
      <c r="F7" s="94"/>
      <c r="G7" s="94"/>
      <c r="H7" s="94"/>
      <c r="I7" s="94"/>
      <c r="J7" s="94"/>
      <c r="K7" s="94"/>
      <c r="L7" s="94"/>
      <c r="M7" s="94"/>
      <c r="N7" s="94"/>
      <c r="O7" s="94"/>
      <c r="P7" s="94"/>
      <c r="Q7" s="94"/>
      <c r="R7" s="94"/>
      <c r="S7" s="94"/>
      <c r="T7" s="94"/>
      <c r="U7" s="94"/>
      <c r="V7" s="299"/>
      <c r="W7" s="94"/>
      <c r="X7" s="299"/>
      <c r="Y7" s="94"/>
      <c r="Z7" s="94"/>
      <c r="AA7" s="94"/>
      <c r="AB7" s="94"/>
      <c r="AC7" s="94"/>
      <c r="AD7" s="94"/>
      <c r="AE7" s="94"/>
      <c r="AF7" s="94"/>
      <c r="AG7" s="94"/>
      <c r="AH7" s="94"/>
      <c r="AI7" s="94"/>
      <c r="AJ7" s="94"/>
      <c r="AK7" s="94"/>
      <c r="AL7" s="94"/>
      <c r="AM7" s="94"/>
      <c r="AN7" s="94"/>
      <c r="AO7" s="94"/>
      <c r="AP7" s="94"/>
      <c r="AQ7" s="94"/>
      <c r="AR7" s="499"/>
      <c r="AS7" s="499"/>
      <c r="AT7" s="499"/>
      <c r="AU7" s="499"/>
      <c r="AV7" s="499"/>
      <c r="AW7" s="499"/>
    </row>
    <row r="8" spans="1:49" ht="15" customHeight="1">
      <c r="A8" s="99"/>
      <c r="B8" s="94"/>
      <c r="C8" s="299"/>
      <c r="D8" s="94"/>
      <c r="E8" s="299"/>
      <c r="F8" s="94"/>
      <c r="G8" s="94"/>
      <c r="H8" s="94"/>
      <c r="I8" s="94"/>
      <c r="J8" s="94"/>
      <c r="K8" s="94"/>
      <c r="L8" s="94"/>
      <c r="M8" s="94"/>
      <c r="N8" s="94"/>
      <c r="O8" s="94"/>
      <c r="P8" s="94"/>
      <c r="Q8" s="94"/>
      <c r="R8" s="94"/>
      <c r="S8" s="94"/>
      <c r="T8" s="94"/>
      <c r="U8" s="94"/>
      <c r="V8" s="299"/>
      <c r="W8" s="94"/>
      <c r="X8" s="299"/>
      <c r="Y8" s="94"/>
      <c r="Z8" s="94"/>
      <c r="AA8" s="94"/>
      <c r="AB8" s="94"/>
      <c r="AC8" s="94"/>
      <c r="AD8" s="94"/>
      <c r="AE8" s="94"/>
      <c r="AF8" s="94"/>
      <c r="AG8" s="94"/>
      <c r="AH8" s="94"/>
      <c r="AI8" s="94"/>
      <c r="AJ8" s="94"/>
      <c r="AK8" s="94"/>
      <c r="AL8" s="94"/>
      <c r="AM8" s="94"/>
      <c r="AN8" s="94"/>
      <c r="AO8" s="94"/>
      <c r="AP8" s="94"/>
      <c r="AQ8" s="94"/>
      <c r="AR8" s="499"/>
      <c r="AS8" s="499"/>
      <c r="AT8" s="499"/>
      <c r="AU8" s="499"/>
      <c r="AV8" s="499"/>
      <c r="AW8" s="499"/>
    </row>
    <row r="9" spans="1:49">
      <c r="A9" s="100"/>
      <c r="B9" s="94"/>
      <c r="C9" s="299"/>
      <c r="D9" s="94"/>
      <c r="E9" s="299"/>
      <c r="F9" s="94"/>
      <c r="G9" s="94"/>
      <c r="H9" s="94"/>
      <c r="I9" s="94"/>
      <c r="J9" s="94"/>
      <c r="K9" s="94"/>
      <c r="L9" s="94"/>
      <c r="M9" s="94"/>
      <c r="N9" s="94"/>
      <c r="O9" s="94"/>
      <c r="P9" s="94"/>
      <c r="Q9" s="94"/>
      <c r="R9" s="94"/>
      <c r="S9" s="94"/>
      <c r="T9" s="94"/>
      <c r="U9" s="94"/>
      <c r="V9" s="299"/>
      <c r="W9" s="94"/>
      <c r="X9" s="299"/>
      <c r="Y9" s="94"/>
      <c r="Z9" s="94"/>
      <c r="AA9" s="94"/>
      <c r="AB9" s="94"/>
      <c r="AC9" s="94"/>
      <c r="AD9" s="94"/>
      <c r="AE9" s="94"/>
      <c r="AF9" s="94"/>
      <c r="AG9" s="94"/>
      <c r="AH9" s="94"/>
      <c r="AI9" s="94"/>
      <c r="AJ9" s="94"/>
      <c r="AK9" s="94"/>
      <c r="AL9" s="94"/>
      <c r="AM9" s="94"/>
      <c r="AN9" s="94"/>
      <c r="AO9" s="94"/>
      <c r="AP9" s="94"/>
      <c r="AQ9" s="94"/>
      <c r="AR9" s="499"/>
      <c r="AS9" s="499"/>
      <c r="AT9" s="499"/>
      <c r="AU9" s="499"/>
      <c r="AV9" s="499"/>
      <c r="AW9" s="499"/>
    </row>
    <row r="10" spans="1:49">
      <c r="A10" s="100"/>
      <c r="B10" s="94"/>
      <c r="C10" s="299"/>
      <c r="D10" s="94"/>
      <c r="E10" s="299"/>
      <c r="F10" s="94"/>
      <c r="G10" s="94"/>
      <c r="H10" s="94"/>
      <c r="I10" s="94"/>
      <c r="J10" s="94"/>
      <c r="K10" s="94"/>
      <c r="L10" s="94"/>
      <c r="M10" s="94"/>
      <c r="N10" s="94"/>
      <c r="O10" s="94"/>
      <c r="P10" s="94"/>
      <c r="Q10" s="94"/>
      <c r="R10" s="94"/>
      <c r="S10" s="94"/>
      <c r="T10" s="94"/>
      <c r="U10" s="94"/>
      <c r="V10" s="299"/>
      <c r="W10" s="94"/>
      <c r="X10" s="299"/>
      <c r="Y10" s="94"/>
      <c r="Z10" s="94"/>
      <c r="AA10" s="94"/>
      <c r="AB10" s="94"/>
      <c r="AC10" s="94"/>
      <c r="AD10" s="94"/>
      <c r="AE10" s="94"/>
      <c r="AF10" s="94"/>
      <c r="AG10" s="94"/>
      <c r="AH10" s="94"/>
      <c r="AI10" s="94"/>
      <c r="AJ10" s="94"/>
      <c r="AK10" s="94"/>
      <c r="AL10" s="94"/>
      <c r="AM10" s="94"/>
      <c r="AN10" s="94"/>
      <c r="AO10" s="94"/>
      <c r="AP10" s="94"/>
      <c r="AQ10" s="94"/>
      <c r="AR10" s="499"/>
      <c r="AS10" s="499"/>
      <c r="AT10" s="499"/>
      <c r="AU10" s="499"/>
      <c r="AV10" s="499"/>
      <c r="AW10" s="499"/>
    </row>
    <row r="11" spans="1:49" ht="15.75">
      <c r="C11" s="2321" t="s">
        <v>991</v>
      </c>
      <c r="D11" s="2321"/>
      <c r="E11" s="2321"/>
      <c r="F11" s="2321"/>
      <c r="G11" s="2321"/>
      <c r="H11" s="2321"/>
      <c r="I11" s="2321"/>
      <c r="J11" s="554"/>
      <c r="K11" s="554"/>
      <c r="L11" s="133"/>
      <c r="M11" s="131"/>
      <c r="N11" s="2321" t="s">
        <v>992</v>
      </c>
      <c r="O11" s="2321"/>
      <c r="P11" s="2321"/>
      <c r="Q11" s="2321"/>
      <c r="R11" s="2321"/>
      <c r="S11" s="2321"/>
      <c r="T11" s="2321"/>
      <c r="U11" s="811"/>
      <c r="V11" s="946"/>
      <c r="W11" s="953"/>
      <c r="X11" s="953"/>
      <c r="Y11" s="953"/>
      <c r="Z11" s="953"/>
      <c r="AA11" s="953"/>
      <c r="AB11" s="953"/>
      <c r="AC11" s="101"/>
      <c r="AD11" s="131"/>
      <c r="AE11" s="131"/>
      <c r="AF11" s="131"/>
      <c r="AG11" s="131"/>
      <c r="AH11" s="131"/>
      <c r="AI11" s="131"/>
      <c r="AJ11" s="131"/>
      <c r="AK11" s="101"/>
      <c r="AL11" s="131"/>
      <c r="AM11" s="132"/>
      <c r="AN11" s="131"/>
      <c r="AO11" s="131"/>
      <c r="AP11" s="131"/>
      <c r="AQ11" s="131"/>
      <c r="AR11" s="499"/>
      <c r="AS11" s="499"/>
      <c r="AT11" s="499"/>
      <c r="AU11" s="499"/>
      <c r="AV11" s="499"/>
      <c r="AW11" s="499"/>
    </row>
    <row r="12" spans="1:49" ht="15.75">
      <c r="C12" s="300"/>
      <c r="D12" s="133"/>
      <c r="E12" s="300"/>
      <c r="F12" s="133"/>
      <c r="G12" s="134"/>
      <c r="H12" s="133"/>
      <c r="I12" s="133" t="s">
        <v>82</v>
      </c>
      <c r="J12" s="133"/>
      <c r="K12" s="133" t="s">
        <v>82</v>
      </c>
      <c r="L12" s="133"/>
      <c r="M12" s="2220"/>
      <c r="N12" s="300"/>
      <c r="O12" s="133"/>
      <c r="P12" s="300"/>
      <c r="Q12" s="133"/>
      <c r="R12" s="134"/>
      <c r="S12" s="133"/>
      <c r="T12" s="133" t="s">
        <v>82</v>
      </c>
      <c r="U12" s="131"/>
      <c r="V12" s="133" t="s">
        <v>82</v>
      </c>
      <c r="W12" s="133"/>
      <c r="Y12" s="133"/>
      <c r="Z12" s="134"/>
      <c r="AA12" s="133"/>
      <c r="AB12" s="133"/>
      <c r="AC12" s="101"/>
      <c r="AD12" s="131"/>
      <c r="AE12" s="131"/>
      <c r="AF12" s="131"/>
      <c r="AG12" s="131"/>
      <c r="AH12" s="131"/>
      <c r="AI12" s="131"/>
      <c r="AJ12" s="131"/>
      <c r="AK12" s="101"/>
      <c r="AL12" s="131"/>
      <c r="AM12" s="132"/>
      <c r="AN12" s="131"/>
      <c r="AO12" s="131"/>
      <c r="AP12" s="131"/>
      <c r="AQ12" s="131"/>
      <c r="AR12" s="499"/>
      <c r="AS12" s="499"/>
      <c r="AT12" s="499"/>
      <c r="AU12" s="499"/>
      <c r="AV12" s="499"/>
      <c r="AW12" s="499"/>
    </row>
    <row r="13" spans="1:49" ht="15.75">
      <c r="B13" s="101"/>
      <c r="C13" s="301"/>
      <c r="D13" s="101"/>
      <c r="E13" s="301"/>
      <c r="F13" s="101"/>
      <c r="G13" s="101"/>
      <c r="H13" s="101"/>
      <c r="I13" s="102" t="s">
        <v>758</v>
      </c>
      <c r="J13" s="102"/>
      <c r="K13" s="102" t="s">
        <v>758</v>
      </c>
      <c r="L13" s="102"/>
      <c r="M13" s="817"/>
      <c r="N13" s="301"/>
      <c r="O13" s="101"/>
      <c r="P13" s="301"/>
      <c r="Q13" s="101"/>
      <c r="R13" s="101"/>
      <c r="S13" s="101"/>
      <c r="T13" s="102" t="s">
        <v>758</v>
      </c>
      <c r="U13" s="102"/>
      <c r="V13" s="102" t="s">
        <v>758</v>
      </c>
      <c r="W13" s="101"/>
      <c r="X13" s="301"/>
      <c r="Y13" s="101"/>
      <c r="Z13" s="101"/>
      <c r="AA13" s="101"/>
      <c r="AB13" s="102"/>
      <c r="AC13" s="101"/>
      <c r="AD13" s="101"/>
      <c r="AE13" s="101"/>
      <c r="AF13" s="101"/>
      <c r="AG13" s="101"/>
      <c r="AH13" s="101"/>
      <c r="AI13" s="103"/>
      <c r="AJ13" s="102"/>
      <c r="AK13" s="101"/>
      <c r="AL13" s="101"/>
      <c r="AM13" s="101"/>
      <c r="AN13" s="101"/>
      <c r="AO13" s="101"/>
      <c r="AP13" s="101"/>
      <c r="AQ13" s="103"/>
      <c r="AR13" s="499"/>
      <c r="AS13" s="499"/>
      <c r="AT13" s="499"/>
      <c r="AU13" s="499"/>
      <c r="AV13" s="499"/>
      <c r="AW13" s="499"/>
    </row>
    <row r="14" spans="1:49" ht="15.75">
      <c r="B14" s="135"/>
      <c r="C14" s="103" t="s">
        <v>944</v>
      </c>
      <c r="D14" s="499"/>
      <c r="E14" s="102" t="s">
        <v>945</v>
      </c>
      <c r="F14" s="101"/>
      <c r="G14" s="101"/>
      <c r="H14" s="101"/>
      <c r="I14" s="102" t="s">
        <v>83</v>
      </c>
      <c r="J14" s="102"/>
      <c r="K14" s="102" t="s">
        <v>83</v>
      </c>
      <c r="L14" s="102"/>
      <c r="M14" s="817"/>
      <c r="N14" s="103" t="s">
        <v>944</v>
      </c>
      <c r="O14" s="499"/>
      <c r="P14" s="102" t="s">
        <v>945</v>
      </c>
      <c r="Q14" s="101"/>
      <c r="R14" s="101"/>
      <c r="S14" s="101"/>
      <c r="T14" s="102" t="s">
        <v>83</v>
      </c>
      <c r="U14" s="102"/>
      <c r="V14" s="102" t="s">
        <v>83</v>
      </c>
      <c r="W14" s="499"/>
      <c r="X14" s="102"/>
      <c r="Y14" s="101"/>
      <c r="Z14" s="101"/>
      <c r="AA14" s="101"/>
      <c r="AB14" s="102"/>
      <c r="AC14" s="101"/>
      <c r="AD14" s="103"/>
      <c r="AE14" s="102"/>
      <c r="AF14" s="101"/>
      <c r="AG14" s="101"/>
      <c r="AH14" s="101"/>
      <c r="AI14" s="103"/>
      <c r="AJ14" s="102"/>
      <c r="AK14" s="101"/>
      <c r="AL14" s="103"/>
      <c r="AM14" s="102"/>
      <c r="AN14" s="101"/>
      <c r="AO14" s="101"/>
      <c r="AP14" s="101"/>
      <c r="AQ14" s="103"/>
      <c r="AR14" s="499"/>
      <c r="AS14" s="499"/>
      <c r="AT14" s="499"/>
      <c r="AU14" s="499"/>
      <c r="AV14" s="499"/>
      <c r="AW14" s="499"/>
    </row>
    <row r="15" spans="1:49" ht="15.75">
      <c r="B15" s="135"/>
      <c r="C15" s="102" t="s">
        <v>980</v>
      </c>
      <c r="D15" s="101"/>
      <c r="E15" s="102" t="s">
        <v>980</v>
      </c>
      <c r="F15" s="101"/>
      <c r="G15" s="101"/>
      <c r="H15" s="101"/>
      <c r="I15" s="102" t="s">
        <v>944</v>
      </c>
      <c r="J15" s="102"/>
      <c r="K15" s="102" t="s">
        <v>945</v>
      </c>
      <c r="L15" s="102"/>
      <c r="M15" s="817"/>
      <c r="N15" s="102" t="s">
        <v>980</v>
      </c>
      <c r="O15" s="101"/>
      <c r="P15" s="102" t="s">
        <v>980</v>
      </c>
      <c r="Q15" s="101"/>
      <c r="R15" s="101"/>
      <c r="S15" s="101"/>
      <c r="T15" s="102" t="s">
        <v>944</v>
      </c>
      <c r="U15" s="102"/>
      <c r="V15" s="102" t="s">
        <v>945</v>
      </c>
      <c r="W15" s="101"/>
      <c r="X15" s="102"/>
      <c r="Y15" s="101"/>
      <c r="Z15" s="101"/>
      <c r="AA15" s="101"/>
      <c r="AB15" s="102"/>
      <c r="AC15" s="101"/>
      <c r="AD15" s="103"/>
      <c r="AE15" s="102"/>
      <c r="AF15" s="101"/>
      <c r="AG15" s="101"/>
      <c r="AH15" s="101"/>
      <c r="AI15" s="103"/>
      <c r="AJ15" s="102"/>
      <c r="AK15" s="101"/>
      <c r="AL15" s="103"/>
      <c r="AM15" s="102"/>
      <c r="AN15" s="101"/>
      <c r="AO15" s="101"/>
      <c r="AP15" s="101"/>
      <c r="AQ15" s="103"/>
      <c r="AR15" s="499"/>
      <c r="AS15" s="499"/>
      <c r="AT15" s="499"/>
      <c r="AU15" s="499"/>
      <c r="AV15" s="499"/>
      <c r="AW15" s="499"/>
    </row>
    <row r="16" spans="1:49" ht="15.75">
      <c r="B16" s="102"/>
      <c r="C16" s="809" t="s">
        <v>981</v>
      </c>
      <c r="D16" s="101"/>
      <c r="E16" s="102" t="s">
        <v>1478</v>
      </c>
      <c r="F16" s="101"/>
      <c r="G16" s="103" t="s">
        <v>82</v>
      </c>
      <c r="H16" s="101"/>
      <c r="I16" s="102" t="s">
        <v>84</v>
      </c>
      <c r="J16" s="102"/>
      <c r="K16" s="102" t="s">
        <v>84</v>
      </c>
      <c r="L16" s="102"/>
      <c r="M16" s="822"/>
      <c r="N16" s="809" t="s">
        <v>981</v>
      </c>
      <c r="O16" s="101"/>
      <c r="P16" s="102" t="s">
        <v>1478</v>
      </c>
      <c r="Q16" s="101"/>
      <c r="R16" s="103" t="s">
        <v>82</v>
      </c>
      <c r="S16" s="101"/>
      <c r="T16" s="102" t="s">
        <v>84</v>
      </c>
      <c r="U16" s="102"/>
      <c r="V16" s="102" t="s">
        <v>84</v>
      </c>
      <c r="W16" s="101"/>
      <c r="X16" s="102"/>
      <c r="Y16" s="101"/>
      <c r="Z16" s="103"/>
      <c r="AA16" s="101"/>
      <c r="AB16" s="102"/>
      <c r="AC16" s="101"/>
      <c r="AD16" s="102"/>
      <c r="AE16" s="102"/>
      <c r="AF16" s="101"/>
      <c r="AG16" s="103"/>
      <c r="AH16" s="101"/>
      <c r="AI16" s="103"/>
      <c r="AJ16" s="102"/>
      <c r="AK16" s="101"/>
      <c r="AL16" s="102"/>
      <c r="AM16" s="102"/>
      <c r="AN16" s="101"/>
      <c r="AO16" s="103"/>
      <c r="AP16" s="101"/>
      <c r="AQ16" s="103"/>
      <c r="AR16" s="499"/>
      <c r="AS16" s="499"/>
      <c r="AT16" s="499"/>
      <c r="AU16" s="499"/>
      <c r="AV16" s="499"/>
      <c r="AW16" s="499"/>
    </row>
    <row r="17" spans="1:49">
      <c r="A17" s="104"/>
      <c r="B17" s="94"/>
      <c r="C17" s="105"/>
      <c r="D17" s="94"/>
      <c r="E17" s="105"/>
      <c r="F17" s="94"/>
      <c r="G17" s="105"/>
      <c r="H17" s="94"/>
      <c r="I17" s="105"/>
      <c r="J17" s="94"/>
      <c r="K17" s="105"/>
      <c r="L17" s="94"/>
      <c r="M17" s="818"/>
      <c r="N17" s="94"/>
      <c r="O17" s="94"/>
      <c r="P17" s="105"/>
      <c r="Q17" s="94"/>
      <c r="R17" s="105"/>
      <c r="S17" s="94"/>
      <c r="T17" s="105"/>
      <c r="U17" s="94"/>
      <c r="V17" s="105"/>
      <c r="W17" s="94"/>
      <c r="X17" s="94"/>
      <c r="Y17" s="94"/>
      <c r="Z17" s="94"/>
      <c r="AA17" s="94"/>
      <c r="AB17" s="94"/>
      <c r="AC17" s="94"/>
      <c r="AD17" s="94"/>
      <c r="AE17" s="94"/>
      <c r="AF17" s="94"/>
      <c r="AG17" s="94"/>
      <c r="AH17" s="94"/>
      <c r="AI17" s="94"/>
      <c r="AJ17" s="94"/>
      <c r="AK17" s="94"/>
      <c r="AL17" s="94"/>
      <c r="AM17" s="94"/>
      <c r="AN17" s="94"/>
      <c r="AO17" s="94"/>
      <c r="AP17" s="94"/>
      <c r="AQ17" s="94"/>
      <c r="AR17" s="499"/>
      <c r="AS17" s="499"/>
      <c r="AT17" s="499"/>
      <c r="AU17" s="499"/>
      <c r="AV17" s="499"/>
      <c r="AW17" s="499"/>
    </row>
    <row r="18" spans="1:49" ht="15.75">
      <c r="A18" s="19" t="s">
        <v>13</v>
      </c>
      <c r="C18" s="454"/>
      <c r="E18" s="454"/>
      <c r="M18" s="819"/>
      <c r="V18" s="454"/>
      <c r="X18" s="454"/>
      <c r="AR18" s="499"/>
      <c r="AS18" s="499"/>
      <c r="AT18" s="499"/>
      <c r="AU18" s="499"/>
      <c r="AV18" s="499"/>
      <c r="AW18" s="499"/>
    </row>
    <row r="19" spans="1:49">
      <c r="A19" s="594" t="s">
        <v>85</v>
      </c>
      <c r="B19" s="667"/>
      <c r="C19" s="454"/>
      <c r="D19" s="667"/>
      <c r="E19" s="454"/>
      <c r="F19" s="667"/>
      <c r="H19" s="667"/>
      <c r="M19" s="819"/>
      <c r="O19" s="667"/>
      <c r="Q19" s="667"/>
      <c r="S19" s="667"/>
      <c r="V19" s="454"/>
      <c r="X19" s="454"/>
      <c r="AA19" s="667"/>
      <c r="AR19" s="499"/>
      <c r="AS19" s="499"/>
      <c r="AT19" s="499"/>
      <c r="AU19" s="499"/>
      <c r="AV19" s="499"/>
      <c r="AW19" s="499"/>
    </row>
    <row r="20" spans="1:49">
      <c r="A20" s="594" t="s">
        <v>86</v>
      </c>
      <c r="B20" s="667" t="s">
        <v>14</v>
      </c>
      <c r="C20" s="482">
        <v>0</v>
      </c>
      <c r="D20" s="481"/>
      <c r="E20" s="482">
        <v>0</v>
      </c>
      <c r="F20" s="481"/>
      <c r="G20" s="479">
        <f>'Exhibit G State'!AD17</f>
        <v>0</v>
      </c>
      <c r="H20" s="481"/>
      <c r="I20" s="479">
        <f t="shared" ref="I20:I23" si="0">G20-C20</f>
        <v>0</v>
      </c>
      <c r="J20" s="479"/>
      <c r="K20" s="479">
        <f t="shared" ref="K20:K25" si="1">G20-E20</f>
        <v>0</v>
      </c>
      <c r="L20" s="479"/>
      <c r="M20" s="819"/>
      <c r="N20" s="482">
        <v>0</v>
      </c>
      <c r="O20" s="481"/>
      <c r="P20" s="482">
        <v>0</v>
      </c>
      <c r="Q20" s="481"/>
      <c r="R20" s="479">
        <v>0</v>
      </c>
      <c r="S20" s="481"/>
      <c r="T20" s="479">
        <f>R20-N20</f>
        <v>0</v>
      </c>
      <c r="V20" s="479">
        <f t="shared" ref="V20" si="2">R20-P20</f>
        <v>0</v>
      </c>
      <c r="W20" s="481"/>
      <c r="X20" s="687"/>
      <c r="Y20" s="481"/>
      <c r="Z20" s="679"/>
      <c r="AA20" s="481"/>
      <c r="AB20" s="479"/>
      <c r="AR20" s="499"/>
      <c r="AS20" s="499"/>
      <c r="AT20" s="499"/>
      <c r="AU20" s="499"/>
      <c r="AV20" s="499"/>
      <c r="AW20" s="499"/>
    </row>
    <row r="21" spans="1:49">
      <c r="A21" s="594" t="s">
        <v>87</v>
      </c>
      <c r="B21" s="454" t="s">
        <v>14</v>
      </c>
      <c r="C21" s="480">
        <v>1108</v>
      </c>
      <c r="D21" s="467"/>
      <c r="E21" s="480">
        <v>1108</v>
      </c>
      <c r="F21" s="467"/>
      <c r="G21" s="467">
        <f>'Exhibit G State'!AD29</f>
        <v>1094.4000000000001</v>
      </c>
      <c r="H21" s="467"/>
      <c r="I21" s="467">
        <f t="shared" si="0"/>
        <v>-13.599999999999909</v>
      </c>
      <c r="J21" s="467"/>
      <c r="K21" s="467">
        <f t="shared" si="1"/>
        <v>-13.599999999999909</v>
      </c>
      <c r="L21" s="467"/>
      <c r="M21" s="819"/>
      <c r="N21" s="480">
        <v>0</v>
      </c>
      <c r="O21" s="467"/>
      <c r="P21" s="480">
        <v>0</v>
      </c>
      <c r="Q21" s="467"/>
      <c r="R21" s="467">
        <v>0</v>
      </c>
      <c r="S21" s="467"/>
      <c r="T21" s="467">
        <f t="shared" ref="T21:T25" si="3">R21-N21</f>
        <v>0</v>
      </c>
      <c r="V21" s="467">
        <f>R21-P21</f>
        <v>0</v>
      </c>
      <c r="W21" s="467"/>
      <c r="X21" s="687"/>
      <c r="Y21" s="467"/>
      <c r="Z21" s="467"/>
      <c r="AA21" s="467"/>
      <c r="AB21" s="467"/>
      <c r="AC21" s="467"/>
      <c r="AD21" s="467"/>
      <c r="AR21" s="499"/>
      <c r="AS21" s="499"/>
      <c r="AT21" s="499"/>
      <c r="AU21" s="499"/>
      <c r="AV21" s="499"/>
      <c r="AW21" s="499"/>
    </row>
    <row r="22" spans="1:49">
      <c r="A22" s="594" t="s">
        <v>88</v>
      </c>
      <c r="B22" s="667" t="s">
        <v>14</v>
      </c>
      <c r="C22" s="480">
        <v>1288</v>
      </c>
      <c r="D22" s="493"/>
      <c r="E22" s="480">
        <v>1288</v>
      </c>
      <c r="F22" s="493"/>
      <c r="G22" s="467">
        <f>'Exhibit G State'!AD36</f>
        <v>1380.9</v>
      </c>
      <c r="H22" s="493"/>
      <c r="I22" s="467">
        <f t="shared" si="0"/>
        <v>92.900000000000091</v>
      </c>
      <c r="J22" s="467"/>
      <c r="K22" s="467">
        <f t="shared" si="1"/>
        <v>92.900000000000091</v>
      </c>
      <c r="L22" s="467"/>
      <c r="M22" s="819"/>
      <c r="N22" s="480">
        <v>0</v>
      </c>
      <c r="O22" s="493"/>
      <c r="P22" s="480">
        <v>0</v>
      </c>
      <c r="Q22" s="493"/>
      <c r="R22" s="467">
        <v>0</v>
      </c>
      <c r="S22" s="493"/>
      <c r="T22" s="467">
        <f t="shared" si="3"/>
        <v>0</v>
      </c>
      <c r="V22" s="467">
        <f>R22-P22</f>
        <v>0</v>
      </c>
      <c r="W22" s="493"/>
      <c r="X22" s="687"/>
      <c r="Y22" s="493"/>
      <c r="Z22" s="467"/>
      <c r="AA22" s="493"/>
      <c r="AB22" s="467"/>
      <c r="AC22" s="493"/>
      <c r="AD22" s="467"/>
      <c r="AF22" s="667"/>
      <c r="AH22" s="667"/>
      <c r="AK22" s="667"/>
      <c r="AN22" s="667"/>
      <c r="AO22" s="136"/>
      <c r="AP22" s="667"/>
      <c r="AR22" s="499"/>
      <c r="AS22" s="499"/>
      <c r="AT22" s="499"/>
      <c r="AU22" s="499"/>
      <c r="AV22" s="499"/>
      <c r="AW22" s="499"/>
    </row>
    <row r="23" spans="1:49" ht="15" customHeight="1">
      <c r="A23" s="594" t="s">
        <v>19</v>
      </c>
      <c r="B23" s="454" t="s">
        <v>14</v>
      </c>
      <c r="C23" s="480">
        <v>10069</v>
      </c>
      <c r="D23" s="680"/>
      <c r="E23" s="480">
        <v>10069</v>
      </c>
      <c r="F23" s="680"/>
      <c r="G23" s="467">
        <f>'Exhibit G State'!AD82</f>
        <v>10629.1</v>
      </c>
      <c r="H23" s="467"/>
      <c r="I23" s="467">
        <f t="shared" si="0"/>
        <v>560.10000000000036</v>
      </c>
      <c r="J23" s="467"/>
      <c r="K23" s="467">
        <f t="shared" si="1"/>
        <v>560.10000000000036</v>
      </c>
      <c r="L23" s="467"/>
      <c r="M23" s="819"/>
      <c r="N23" s="480">
        <v>285</v>
      </c>
      <c r="O23" s="1223"/>
      <c r="P23" s="480">
        <v>285</v>
      </c>
      <c r="Q23" s="680"/>
      <c r="R23" s="495">
        <f>'Exhibit G Federal'!AD52</f>
        <v>563.20000000000005</v>
      </c>
      <c r="S23" s="467"/>
      <c r="T23" s="467">
        <f t="shared" si="3"/>
        <v>278.20000000000005</v>
      </c>
      <c r="V23" s="467">
        <f>R23-P23</f>
        <v>278.20000000000005</v>
      </c>
      <c r="W23" s="467"/>
      <c r="X23" s="687"/>
      <c r="Y23" s="467"/>
      <c r="Z23" s="467"/>
      <c r="AA23" s="467"/>
      <c r="AB23" s="467"/>
      <c r="AC23" s="467"/>
      <c r="AD23" s="467"/>
      <c r="AR23" s="499"/>
      <c r="AS23" s="499"/>
      <c r="AT23" s="499"/>
      <c r="AU23" s="499"/>
      <c r="AV23" s="499"/>
      <c r="AW23" s="499"/>
    </row>
    <row r="24" spans="1:49" ht="15" customHeight="1">
      <c r="A24" s="594" t="s">
        <v>20</v>
      </c>
      <c r="B24" s="454" t="s">
        <v>14</v>
      </c>
      <c r="C24" s="480">
        <v>1</v>
      </c>
      <c r="D24" s="467"/>
      <c r="E24" s="480">
        <v>1</v>
      </c>
      <c r="F24" s="467"/>
      <c r="G24" s="495">
        <f>'Exhibit G State'!AD84</f>
        <v>0</v>
      </c>
      <c r="H24" s="467"/>
      <c r="I24" s="467">
        <f t="shared" ref="I24:I25" si="4">G24-C24</f>
        <v>-1</v>
      </c>
      <c r="J24" s="467"/>
      <c r="K24" s="467">
        <f t="shared" si="1"/>
        <v>-1</v>
      </c>
      <c r="L24" s="467"/>
      <c r="M24" s="819"/>
      <c r="N24" s="480">
        <v>46067</v>
      </c>
      <c r="O24" s="467"/>
      <c r="P24" s="480">
        <v>46067</v>
      </c>
      <c r="Q24" s="467"/>
      <c r="R24" s="495">
        <f>'Exhibit G Federal'!AD54</f>
        <v>47662.1</v>
      </c>
      <c r="S24" s="467"/>
      <c r="T24" s="467">
        <f t="shared" si="3"/>
        <v>1595.0999999999985</v>
      </c>
      <c r="V24" s="467">
        <f>R24-P24</f>
        <v>1595.0999999999985</v>
      </c>
      <c r="W24" s="467"/>
      <c r="X24" s="687"/>
      <c r="Y24" s="467"/>
      <c r="Z24" s="467"/>
      <c r="AA24" s="467"/>
      <c r="AB24" s="467"/>
      <c r="AC24" s="467"/>
      <c r="AD24" s="480"/>
      <c r="AE24" s="669"/>
      <c r="AG24" s="669"/>
      <c r="AI24" s="669"/>
      <c r="AJ24" s="681"/>
      <c r="AR24" s="499"/>
      <c r="AS24" s="499"/>
      <c r="AT24" s="499"/>
      <c r="AU24" s="499"/>
      <c r="AV24" s="499"/>
      <c r="AW24" s="499"/>
    </row>
    <row r="25" spans="1:49">
      <c r="A25" s="594" t="s">
        <v>46</v>
      </c>
      <c r="B25" s="681" t="s">
        <v>14</v>
      </c>
      <c r="C25" s="480">
        <v>2109</v>
      </c>
      <c r="D25" s="467"/>
      <c r="E25" s="480">
        <v>2109</v>
      </c>
      <c r="F25" s="467"/>
      <c r="G25" s="495">
        <f>'Exhibit G State'!AD113</f>
        <v>2191</v>
      </c>
      <c r="H25" s="467"/>
      <c r="I25" s="467">
        <f t="shared" si="4"/>
        <v>82</v>
      </c>
      <c r="J25" s="467"/>
      <c r="K25" s="467">
        <f t="shared" si="1"/>
        <v>82</v>
      </c>
      <c r="L25" s="467"/>
      <c r="M25" s="820"/>
      <c r="N25" s="480">
        <v>0</v>
      </c>
      <c r="O25" s="467"/>
      <c r="P25" s="480">
        <v>0</v>
      </c>
      <c r="Q25" s="467"/>
      <c r="R25" s="495">
        <f>+'Exhibit G Federal'!AD85</f>
        <v>0</v>
      </c>
      <c r="S25" s="467"/>
      <c r="T25" s="467">
        <f t="shared" si="3"/>
        <v>0</v>
      </c>
      <c r="U25" s="681"/>
      <c r="V25" s="467">
        <f>R25-P25</f>
        <v>0</v>
      </c>
      <c r="W25" s="467"/>
      <c r="X25" s="687"/>
      <c r="Y25" s="467"/>
      <c r="Z25" s="493"/>
      <c r="AA25" s="467"/>
      <c r="AB25" s="467"/>
      <c r="AC25" s="467"/>
      <c r="AD25" s="480"/>
      <c r="AE25" s="669"/>
      <c r="AG25" s="669"/>
      <c r="AI25" s="669"/>
      <c r="AJ25" s="681"/>
      <c r="AR25" s="499"/>
      <c r="AS25" s="499"/>
      <c r="AT25" s="499"/>
      <c r="AU25" s="499"/>
      <c r="AV25" s="499"/>
      <c r="AW25" s="499"/>
    </row>
    <row r="26" spans="1:49" ht="18" customHeight="1">
      <c r="A26" s="118" t="s">
        <v>106</v>
      </c>
      <c r="B26" s="101" t="s">
        <v>14</v>
      </c>
      <c r="C26" s="143">
        <f>ROUND(SUM(C20:C25),1)</f>
        <v>14575</v>
      </c>
      <c r="D26" s="42"/>
      <c r="E26" s="143">
        <f>ROUND(SUM(E20:E25),1)</f>
        <v>14575</v>
      </c>
      <c r="F26" s="42"/>
      <c r="G26" s="143">
        <f>ROUND(SUM(G20:G25),1)</f>
        <v>15295.4</v>
      </c>
      <c r="H26" s="42"/>
      <c r="I26" s="1006">
        <f>ROUND(SUM(I20:I25),1)</f>
        <v>720.4</v>
      </c>
      <c r="J26" s="42"/>
      <c r="K26" s="1006">
        <f>ROUND(SUM(K20:K25),1)</f>
        <v>720.4</v>
      </c>
      <c r="L26" s="42"/>
      <c r="M26" s="819"/>
      <c r="N26" s="143">
        <f>ROUND(SUM(N20:N25),1)</f>
        <v>46352</v>
      </c>
      <c r="O26" s="42"/>
      <c r="P26" s="143">
        <f>ROUND(SUM(P20:P25),1)</f>
        <v>46352</v>
      </c>
      <c r="Q26" s="42"/>
      <c r="R26" s="207">
        <f>ROUND(SUM(R20:R25),1)</f>
        <v>48225.3</v>
      </c>
      <c r="S26" s="42"/>
      <c r="T26" s="207">
        <f>ROUND(SUM(T20:T25),1)</f>
        <v>1873.3</v>
      </c>
      <c r="U26" s="101"/>
      <c r="V26" s="1006">
        <f>ROUND(SUM(V20:V25),1)</f>
        <v>1873.3</v>
      </c>
      <c r="W26" s="42"/>
      <c r="X26" s="42"/>
      <c r="Y26" s="42"/>
      <c r="Z26" s="42"/>
      <c r="AA26" s="42"/>
      <c r="AB26" s="42"/>
      <c r="AC26" s="42"/>
      <c r="AD26" s="42"/>
      <c r="AE26" s="101"/>
      <c r="AF26" s="101"/>
      <c r="AG26" s="101"/>
      <c r="AH26" s="101"/>
      <c r="AI26" s="101"/>
      <c r="AJ26" s="101"/>
      <c r="AK26" s="101"/>
      <c r="AL26" s="101"/>
      <c r="AM26" s="101"/>
      <c r="AN26" s="101"/>
      <c r="AO26" s="101"/>
      <c r="AP26" s="101"/>
      <c r="AQ26" s="101"/>
      <c r="AR26" s="499"/>
      <c r="AS26" s="499"/>
      <c r="AT26" s="499"/>
      <c r="AU26" s="499"/>
      <c r="AV26" s="499"/>
      <c r="AW26" s="499"/>
    </row>
    <row r="27" spans="1:49">
      <c r="C27" s="497"/>
      <c r="D27" s="467"/>
      <c r="E27" s="497"/>
      <c r="F27" s="467"/>
      <c r="G27" s="497"/>
      <c r="H27" s="467"/>
      <c r="I27" s="467"/>
      <c r="J27" s="467"/>
      <c r="K27" s="467"/>
      <c r="L27" s="467"/>
      <c r="M27" s="819"/>
      <c r="N27" s="497"/>
      <c r="O27" s="467"/>
      <c r="P27" s="497"/>
      <c r="Q27" s="467"/>
      <c r="R27" s="497"/>
      <c r="S27" s="467"/>
      <c r="T27" s="467"/>
      <c r="V27" s="467"/>
      <c r="W27" s="467"/>
      <c r="X27" s="467"/>
      <c r="Y27" s="467"/>
      <c r="Z27" s="467"/>
      <c r="AA27" s="467"/>
      <c r="AB27" s="467"/>
      <c r="AC27" s="467"/>
      <c r="AD27" s="467"/>
      <c r="AR27" s="499"/>
      <c r="AS27" s="499"/>
      <c r="AT27" s="499"/>
      <c r="AU27" s="499"/>
      <c r="AV27" s="499"/>
      <c r="AW27" s="499"/>
    </row>
    <row r="28" spans="1:49" ht="15.75">
      <c r="A28" s="19" t="s">
        <v>22</v>
      </c>
      <c r="C28" s="467"/>
      <c r="D28" s="467"/>
      <c r="E28" s="467"/>
      <c r="F28" s="467"/>
      <c r="G28" s="467"/>
      <c r="H28" s="467"/>
      <c r="I28" s="467"/>
      <c r="J28" s="467"/>
      <c r="K28" s="467"/>
      <c r="L28" s="467"/>
      <c r="M28" s="819"/>
      <c r="N28" s="467"/>
      <c r="O28" s="467"/>
      <c r="P28" s="467"/>
      <c r="Q28" s="467"/>
      <c r="R28" s="467"/>
      <c r="S28" s="467"/>
      <c r="T28" s="467"/>
      <c r="V28" s="467"/>
      <c r="W28" s="467"/>
      <c r="X28" s="467"/>
      <c r="Y28" s="467"/>
      <c r="Z28" s="467"/>
      <c r="AA28" s="467"/>
      <c r="AB28" s="467"/>
      <c r="AC28" s="467"/>
      <c r="AD28" s="467"/>
      <c r="AR28" s="499"/>
      <c r="AS28" s="499"/>
      <c r="AT28" s="499"/>
      <c r="AU28" s="499"/>
      <c r="AV28" s="499"/>
      <c r="AW28" s="499"/>
    </row>
    <row r="29" spans="1:49">
      <c r="A29" s="594" t="s">
        <v>91</v>
      </c>
      <c r="B29" s="667" t="s">
        <v>14</v>
      </c>
      <c r="C29" s="480">
        <v>9891</v>
      </c>
      <c r="D29" s="467"/>
      <c r="E29" s="480">
        <v>9891</v>
      </c>
      <c r="F29" s="467"/>
      <c r="G29" s="493">
        <f>'Exhibit G State'!AD100</f>
        <v>9710.2999999999993</v>
      </c>
      <c r="H29" s="467"/>
      <c r="I29" s="467">
        <f t="shared" ref="I29:I34" si="5">G29-C29</f>
        <v>-180.70000000000073</v>
      </c>
      <c r="J29" s="467"/>
      <c r="K29" s="467">
        <f t="shared" ref="K29:K34" si="6">G29-E29</f>
        <v>-180.70000000000073</v>
      </c>
      <c r="L29" s="467"/>
      <c r="M29" s="819"/>
      <c r="N29" s="480">
        <v>42545</v>
      </c>
      <c r="O29" s="467"/>
      <c r="P29" s="480">
        <v>42545</v>
      </c>
      <c r="Q29" s="467"/>
      <c r="R29" s="493">
        <f>'Exhibit G Federal'!AD70</f>
        <v>42638.9</v>
      </c>
      <c r="S29" s="467"/>
      <c r="T29" s="467">
        <f t="shared" ref="T29:T34" si="7">R29-N29</f>
        <v>93.900000000001455</v>
      </c>
      <c r="V29" s="467">
        <f t="shared" ref="V29:V34" si="8">R29-P29</f>
        <v>93.900000000001455</v>
      </c>
      <c r="W29" s="467"/>
      <c r="X29" s="687"/>
      <c r="Y29" s="467"/>
      <c r="Z29" s="467"/>
      <c r="AA29" s="467"/>
      <c r="AB29" s="467"/>
      <c r="AC29" s="467"/>
      <c r="AD29" s="480"/>
      <c r="AE29" s="669"/>
      <c r="AG29" s="669"/>
      <c r="AI29" s="669"/>
      <c r="AJ29" s="681"/>
      <c r="AR29" s="499"/>
      <c r="AS29" s="499"/>
      <c r="AT29" s="499"/>
      <c r="AU29" s="499"/>
      <c r="AV29" s="499"/>
      <c r="AW29" s="499"/>
    </row>
    <row r="30" spans="1:49">
      <c r="A30" s="594" t="s">
        <v>92</v>
      </c>
      <c r="B30" s="667" t="s">
        <v>14</v>
      </c>
      <c r="C30" s="480">
        <v>4543</v>
      </c>
      <c r="D30" s="467"/>
      <c r="E30" s="480">
        <v>4543</v>
      </c>
      <c r="F30" s="467"/>
      <c r="G30" s="493">
        <f>'Exhibit G State'!AD102+'Exhibit G State'!AD103</f>
        <v>4403.3999999999996</v>
      </c>
      <c r="H30" s="467"/>
      <c r="I30" s="467">
        <f t="shared" si="5"/>
        <v>-139.60000000000036</v>
      </c>
      <c r="J30" s="467"/>
      <c r="K30" s="467">
        <f t="shared" si="6"/>
        <v>-139.60000000000036</v>
      </c>
      <c r="L30" s="467"/>
      <c r="M30" s="819"/>
      <c r="N30" s="480">
        <v>1981</v>
      </c>
      <c r="O30" s="467"/>
      <c r="P30" s="480">
        <v>1981</v>
      </c>
      <c r="Q30" s="467"/>
      <c r="R30" s="493">
        <f>'Exhibit G Federal'!AD72+'Exhibit G Federal'!AD73</f>
        <v>1965.6</v>
      </c>
      <c r="S30" s="467"/>
      <c r="T30" s="467">
        <f t="shared" si="7"/>
        <v>-15.400000000000091</v>
      </c>
      <c r="V30" s="467">
        <f t="shared" si="8"/>
        <v>-15.400000000000091</v>
      </c>
      <c r="W30" s="467"/>
      <c r="X30" s="687"/>
      <c r="Y30" s="467"/>
      <c r="Z30" s="467"/>
      <c r="AA30" s="467"/>
      <c r="AB30" s="467"/>
      <c r="AC30" s="467"/>
      <c r="AD30" s="493"/>
      <c r="AE30" s="667"/>
      <c r="AG30" s="667"/>
      <c r="AI30" s="669"/>
      <c r="AL30" s="669"/>
      <c r="AM30" s="669"/>
      <c r="AO30" s="669"/>
      <c r="AQ30" s="669"/>
      <c r="AR30" s="499"/>
      <c r="AS30" s="499"/>
      <c r="AT30" s="499"/>
      <c r="AU30" s="499"/>
      <c r="AV30" s="499"/>
      <c r="AW30" s="499"/>
    </row>
    <row r="31" spans="1:49">
      <c r="A31" s="594" t="s">
        <v>68</v>
      </c>
      <c r="B31" s="667" t="s">
        <v>14</v>
      </c>
      <c r="C31" s="480">
        <v>490</v>
      </c>
      <c r="D31" s="467"/>
      <c r="E31" s="480">
        <v>490</v>
      </c>
      <c r="F31" s="467"/>
      <c r="G31" s="493">
        <f>'Exhibit G State'!AD104</f>
        <v>474.1</v>
      </c>
      <c r="H31" s="467"/>
      <c r="I31" s="467">
        <f t="shared" si="5"/>
        <v>-15.899999999999977</v>
      </c>
      <c r="J31" s="467"/>
      <c r="K31" s="467">
        <f t="shared" si="6"/>
        <v>-15.899999999999977</v>
      </c>
      <c r="L31" s="467"/>
      <c r="M31" s="819"/>
      <c r="N31" s="480">
        <v>186</v>
      </c>
      <c r="O31" s="467"/>
      <c r="P31" s="480">
        <v>186</v>
      </c>
      <c r="Q31" s="467"/>
      <c r="R31" s="493">
        <f>'Exhibit G Federal'!AD74</f>
        <v>199.4</v>
      </c>
      <c r="S31" s="467"/>
      <c r="T31" s="467">
        <f t="shared" si="7"/>
        <v>13.400000000000006</v>
      </c>
      <c r="V31" s="467">
        <f t="shared" si="8"/>
        <v>13.400000000000006</v>
      </c>
      <c r="W31" s="467"/>
      <c r="X31" s="687"/>
      <c r="Y31" s="467"/>
      <c r="Z31" s="467"/>
      <c r="AA31" s="467"/>
      <c r="AB31" s="467"/>
      <c r="AC31" s="467"/>
      <c r="AD31" s="480"/>
      <c r="AE31" s="669"/>
      <c r="AG31" s="669"/>
      <c r="AI31" s="669"/>
      <c r="AJ31" s="681"/>
      <c r="AL31" s="669"/>
      <c r="AM31" s="669"/>
      <c r="AO31" s="669"/>
      <c r="AQ31" s="669"/>
      <c r="AR31" s="499"/>
      <c r="AS31" s="499"/>
      <c r="AT31" s="499"/>
      <c r="AU31" s="499"/>
      <c r="AV31" s="499"/>
      <c r="AW31" s="499"/>
    </row>
    <row r="32" spans="1:49">
      <c r="A32" s="594" t="s">
        <v>93</v>
      </c>
      <c r="B32" s="667"/>
      <c r="C32" s="480">
        <v>0</v>
      </c>
      <c r="D32" s="467"/>
      <c r="E32" s="480">
        <v>0</v>
      </c>
      <c r="F32" s="467"/>
      <c r="G32" s="493">
        <v>0</v>
      </c>
      <c r="H32" s="467"/>
      <c r="I32" s="467">
        <f t="shared" si="5"/>
        <v>0</v>
      </c>
      <c r="J32" s="467"/>
      <c r="K32" s="467">
        <f t="shared" si="6"/>
        <v>0</v>
      </c>
      <c r="L32" s="467"/>
      <c r="M32" s="819"/>
      <c r="N32" s="480">
        <v>0</v>
      </c>
      <c r="O32" s="467"/>
      <c r="P32" s="480">
        <v>0</v>
      </c>
      <c r="Q32" s="467"/>
      <c r="R32" s="493">
        <f>'Exhibit G Federal'!AD76</f>
        <v>0</v>
      </c>
      <c r="S32" s="467"/>
      <c r="T32" s="467">
        <f t="shared" si="7"/>
        <v>0</v>
      </c>
      <c r="V32" s="467">
        <f t="shared" si="8"/>
        <v>0</v>
      </c>
      <c r="W32" s="467"/>
      <c r="X32" s="687"/>
      <c r="Y32" s="467"/>
      <c r="Z32" s="467"/>
      <c r="AA32" s="467"/>
      <c r="AB32" s="467"/>
      <c r="AC32" s="467"/>
      <c r="AD32" s="480"/>
      <c r="AE32" s="669"/>
      <c r="AG32" s="669"/>
      <c r="AI32" s="669"/>
      <c r="AJ32" s="681"/>
      <c r="AL32" s="669"/>
      <c r="AM32" s="669"/>
      <c r="AO32" s="669"/>
      <c r="AQ32" s="669"/>
      <c r="AR32" s="499"/>
      <c r="AS32" s="499"/>
      <c r="AT32" s="499"/>
      <c r="AU32" s="499"/>
      <c r="AV32" s="499"/>
      <c r="AW32" s="499"/>
    </row>
    <row r="33" spans="1:49">
      <c r="A33" s="594" t="s">
        <v>41</v>
      </c>
      <c r="B33" s="681" t="s">
        <v>14</v>
      </c>
      <c r="C33" s="480">
        <v>0</v>
      </c>
      <c r="D33" s="467"/>
      <c r="E33" s="480">
        <v>0</v>
      </c>
      <c r="F33" s="467"/>
      <c r="G33" s="480">
        <f>'Exhibit G State'!AD105</f>
        <v>0</v>
      </c>
      <c r="H33" s="467"/>
      <c r="I33" s="467">
        <f t="shared" si="5"/>
        <v>0</v>
      </c>
      <c r="J33" s="467"/>
      <c r="K33" s="467">
        <f t="shared" si="6"/>
        <v>0</v>
      </c>
      <c r="L33" s="467"/>
      <c r="M33" s="820"/>
      <c r="N33" s="480">
        <v>0</v>
      </c>
      <c r="O33" s="467"/>
      <c r="P33" s="480">
        <v>0</v>
      </c>
      <c r="Q33" s="467"/>
      <c r="R33" s="493">
        <f>'Exhibit G Federal'!AD77</f>
        <v>0</v>
      </c>
      <c r="S33" s="467"/>
      <c r="T33" s="467">
        <f t="shared" si="7"/>
        <v>0</v>
      </c>
      <c r="U33" s="681"/>
      <c r="V33" s="467">
        <f t="shared" si="8"/>
        <v>0</v>
      </c>
      <c r="W33" s="467"/>
      <c r="X33" s="687"/>
      <c r="Y33" s="467"/>
      <c r="Z33" s="467"/>
      <c r="AA33" s="467"/>
      <c r="AB33" s="467"/>
      <c r="AC33" s="467"/>
      <c r="AD33" s="480"/>
      <c r="AE33" s="669"/>
      <c r="AG33" s="669"/>
      <c r="AI33" s="669"/>
      <c r="AJ33" s="681"/>
      <c r="AR33" s="499"/>
      <c r="AS33" s="499"/>
      <c r="AT33" s="499"/>
      <c r="AU33" s="499"/>
      <c r="AV33" s="499"/>
      <c r="AW33" s="499"/>
    </row>
    <row r="34" spans="1:49">
      <c r="A34" s="594" t="s">
        <v>96</v>
      </c>
      <c r="B34" s="681" t="s">
        <v>14</v>
      </c>
      <c r="C34" s="480">
        <v>92</v>
      </c>
      <c r="D34" s="467"/>
      <c r="E34" s="480">
        <v>92</v>
      </c>
      <c r="F34" s="467"/>
      <c r="G34" s="495">
        <f>-'Exhibit G State'!AD114</f>
        <v>91.2</v>
      </c>
      <c r="H34" s="467"/>
      <c r="I34" s="467">
        <f t="shared" si="5"/>
        <v>-0.79999999999999716</v>
      </c>
      <c r="J34" s="467"/>
      <c r="K34" s="467">
        <f t="shared" si="6"/>
        <v>-0.79999999999999716</v>
      </c>
      <c r="L34" s="467"/>
      <c r="M34" s="820"/>
      <c r="N34" s="480">
        <v>1084</v>
      </c>
      <c r="O34" s="467"/>
      <c r="P34" s="480">
        <v>1084</v>
      </c>
      <c r="Q34" s="467"/>
      <c r="R34" s="495">
        <f>-'Exhibit G Federal'!AD86</f>
        <v>968.4</v>
      </c>
      <c r="S34" s="467"/>
      <c r="T34" s="467">
        <f t="shared" si="7"/>
        <v>-115.60000000000002</v>
      </c>
      <c r="U34" s="681"/>
      <c r="V34" s="467">
        <f t="shared" si="8"/>
        <v>-115.60000000000002</v>
      </c>
      <c r="W34" s="467"/>
      <c r="X34" s="687"/>
      <c r="Y34" s="467"/>
      <c r="Z34" s="493"/>
      <c r="AA34" s="467"/>
      <c r="AB34" s="467"/>
      <c r="AC34" s="467"/>
      <c r="AD34" s="480"/>
      <c r="AE34" s="669"/>
      <c r="AG34" s="669"/>
      <c r="AI34" s="669"/>
      <c r="AJ34" s="681"/>
      <c r="AR34" s="499"/>
      <c r="AS34" s="499"/>
      <c r="AT34" s="499"/>
      <c r="AU34" s="499"/>
      <c r="AV34" s="499"/>
      <c r="AW34" s="499"/>
    </row>
    <row r="35" spans="1:49" ht="18" customHeight="1">
      <c r="A35" s="118" t="s">
        <v>115</v>
      </c>
      <c r="B35" s="101" t="s">
        <v>14</v>
      </c>
      <c r="C35" s="207">
        <f>ROUND(SUM(C29:C34),1)</f>
        <v>15016</v>
      </c>
      <c r="D35" s="42"/>
      <c r="E35" s="207">
        <f>ROUND(SUM(E29:E34),1)</f>
        <v>15016</v>
      </c>
      <c r="F35" s="42"/>
      <c r="G35" s="207">
        <f>ROUND(SUM(G29:G34),1)</f>
        <v>14679</v>
      </c>
      <c r="H35" s="42"/>
      <c r="I35" s="207">
        <f>ROUND(SUM(I29:I34),1)</f>
        <v>-337</v>
      </c>
      <c r="J35" s="42"/>
      <c r="K35" s="207">
        <f>ROUND(SUM(K29:K34),1)</f>
        <v>-337</v>
      </c>
      <c r="L35" s="42"/>
      <c r="M35" s="2221"/>
      <c r="N35" s="207">
        <f>ROUND(SUM(N29:N34),1)</f>
        <v>45796</v>
      </c>
      <c r="O35" s="42"/>
      <c r="P35" s="207">
        <f>ROUND(SUM(P29:P34),1)</f>
        <v>45796</v>
      </c>
      <c r="Q35" s="42"/>
      <c r="R35" s="207">
        <f>ROUND(SUM(R29:R34),1)</f>
        <v>45772.3</v>
      </c>
      <c r="S35" s="42"/>
      <c r="T35" s="207">
        <f>ROUND(SUM(T29:T34),1)</f>
        <v>-23.7</v>
      </c>
      <c r="U35" s="101"/>
      <c r="V35" s="207">
        <f>ROUND(SUM(V29:V34),1)</f>
        <v>-23.7</v>
      </c>
      <c r="W35" s="42"/>
      <c r="X35" s="42"/>
      <c r="Y35" s="42"/>
      <c r="Z35" s="42"/>
      <c r="AA35" s="42"/>
      <c r="AB35" s="42"/>
      <c r="AC35" s="42"/>
      <c r="AD35" s="42"/>
      <c r="AE35" s="101"/>
      <c r="AF35" s="101"/>
      <c r="AG35" s="101"/>
      <c r="AH35" s="101"/>
      <c r="AI35" s="101"/>
      <c r="AJ35" s="101"/>
      <c r="AK35" s="101"/>
      <c r="AL35" s="101"/>
      <c r="AM35" s="101"/>
      <c r="AN35" s="101"/>
      <c r="AO35" s="101"/>
      <c r="AP35" s="101"/>
      <c r="AQ35" s="101"/>
      <c r="AR35" s="499"/>
      <c r="AS35" s="499"/>
      <c r="AT35" s="499"/>
      <c r="AU35" s="499"/>
      <c r="AV35" s="499"/>
      <c r="AW35" s="499"/>
    </row>
    <row r="36" spans="1:49">
      <c r="C36" s="497"/>
      <c r="D36" s="467"/>
      <c r="E36" s="497"/>
      <c r="F36" s="467"/>
      <c r="G36" s="497"/>
      <c r="H36" s="467"/>
      <c r="I36" s="467"/>
      <c r="J36" s="467"/>
      <c r="K36" s="467"/>
      <c r="L36" s="467"/>
      <c r="M36" s="819"/>
      <c r="N36" s="497"/>
      <c r="O36" s="467"/>
      <c r="P36" s="497"/>
      <c r="Q36" s="467"/>
      <c r="R36" s="497"/>
      <c r="S36" s="467"/>
      <c r="T36" s="467"/>
      <c r="V36" s="467"/>
      <c r="W36" s="467"/>
      <c r="X36" s="467"/>
      <c r="Y36" s="467"/>
      <c r="Z36" s="467"/>
      <c r="AA36" s="467"/>
      <c r="AB36" s="467"/>
      <c r="AC36" s="467"/>
      <c r="AD36" s="467"/>
      <c r="AR36" s="499"/>
      <c r="AS36" s="499"/>
      <c r="AT36" s="499"/>
      <c r="AU36" s="499"/>
      <c r="AV36" s="499"/>
      <c r="AW36" s="499"/>
    </row>
    <row r="37" spans="1:49" ht="15.75">
      <c r="A37" s="19" t="s">
        <v>116</v>
      </c>
      <c r="C37" s="467"/>
      <c r="D37" s="467"/>
      <c r="E37" s="467"/>
      <c r="F37" s="467"/>
      <c r="G37" s="467"/>
      <c r="H37" s="467"/>
      <c r="I37" s="467"/>
      <c r="J37" s="467"/>
      <c r="K37" s="467"/>
      <c r="L37" s="467"/>
      <c r="M37" s="819"/>
      <c r="N37" s="467"/>
      <c r="O37" s="467"/>
      <c r="P37" s="467"/>
      <c r="Q37" s="467"/>
      <c r="R37" s="467"/>
      <c r="S37" s="467"/>
      <c r="T37" s="467"/>
      <c r="V37" s="467"/>
      <c r="W37" s="467"/>
      <c r="X37" s="467"/>
      <c r="Y37" s="467"/>
      <c r="Z37" s="467"/>
      <c r="AA37" s="467"/>
      <c r="AB37" s="467"/>
      <c r="AC37" s="467"/>
      <c r="AD37" s="467"/>
      <c r="AR37" s="499"/>
      <c r="AS37" s="499"/>
      <c r="AT37" s="499"/>
      <c r="AU37" s="499"/>
      <c r="AV37" s="499"/>
      <c r="AW37" s="499"/>
    </row>
    <row r="38" spans="1:49" ht="15.75">
      <c r="A38" s="19" t="s">
        <v>117</v>
      </c>
      <c r="C38" s="467"/>
      <c r="D38" s="467"/>
      <c r="E38" s="467"/>
      <c r="F38" s="467"/>
      <c r="G38" s="467"/>
      <c r="H38" s="467"/>
      <c r="I38" s="467"/>
      <c r="J38" s="467"/>
      <c r="K38" s="467"/>
      <c r="L38" s="467"/>
      <c r="M38" s="819"/>
      <c r="N38" s="467"/>
      <c r="O38" s="467"/>
      <c r="P38" s="467"/>
      <c r="Q38" s="467"/>
      <c r="R38" s="467"/>
      <c r="S38" s="467"/>
      <c r="T38" s="467"/>
      <c r="V38" s="467"/>
      <c r="W38" s="467"/>
      <c r="X38" s="467"/>
      <c r="Y38" s="467"/>
      <c r="Z38" s="467"/>
      <c r="AA38" s="467"/>
      <c r="AB38" s="467"/>
      <c r="AC38" s="467"/>
      <c r="AD38" s="467"/>
      <c r="AR38" s="499"/>
      <c r="AS38" s="499"/>
      <c r="AT38" s="499"/>
      <c r="AU38" s="499"/>
      <c r="AV38" s="499"/>
      <c r="AW38" s="499"/>
    </row>
    <row r="39" spans="1:49" ht="15.75">
      <c r="A39" s="118" t="s">
        <v>100</v>
      </c>
      <c r="B39" s="665" t="s">
        <v>14</v>
      </c>
      <c r="C39" s="42">
        <f>ROUND(SUM(C26)-SUM(C35),1)</f>
        <v>-441</v>
      </c>
      <c r="D39" s="57"/>
      <c r="E39" s="42">
        <f>ROUND(SUM(E26)-SUM(E35),1)</f>
        <v>-441</v>
      </c>
      <c r="F39" s="57"/>
      <c r="G39" s="42">
        <f>ROUND(SUM(G26)-SUM(G35),1)</f>
        <v>616.4</v>
      </c>
      <c r="H39" s="57"/>
      <c r="I39" s="42">
        <f>ROUND(SUM(I26)-SUM(I35),1)</f>
        <v>1057.4000000000001</v>
      </c>
      <c r="J39" s="42"/>
      <c r="K39" s="42">
        <f>ROUND(SUM(K26)-SUM(K35),1)</f>
        <v>1057.4000000000001</v>
      </c>
      <c r="L39" s="42"/>
      <c r="M39" s="821"/>
      <c r="N39" s="42">
        <f>ROUND(SUM(N26)-SUM(N35),1)</f>
        <v>556</v>
      </c>
      <c r="O39" s="57"/>
      <c r="P39" s="42">
        <f>ROUND(SUM(P26)-SUM(P35),1)</f>
        <v>556</v>
      </c>
      <c r="Q39" s="57"/>
      <c r="R39" s="42">
        <f>ROUND(SUM(R26)-SUM(R35),1)</f>
        <v>2453</v>
      </c>
      <c r="S39" s="57"/>
      <c r="T39" s="42">
        <f>ROUND(SUM(T26)-SUM(T35),1)</f>
        <v>1897</v>
      </c>
      <c r="U39" s="101"/>
      <c r="V39" s="42">
        <f>ROUND(SUM(V26)-SUM(V35),1)</f>
        <v>1897</v>
      </c>
      <c r="W39" s="57"/>
      <c r="X39" s="42"/>
      <c r="Y39" s="57"/>
      <c r="Z39" s="42"/>
      <c r="AA39" s="57"/>
      <c r="AB39" s="42"/>
      <c r="AC39" s="57"/>
      <c r="AD39" s="42"/>
      <c r="AE39" s="101"/>
      <c r="AF39" s="119"/>
      <c r="AG39" s="101"/>
      <c r="AH39" s="119"/>
      <c r="AI39" s="101"/>
      <c r="AJ39" s="101"/>
      <c r="AK39" s="119"/>
      <c r="AL39" s="101"/>
      <c r="AM39" s="101"/>
      <c r="AN39" s="119"/>
      <c r="AO39" s="101"/>
      <c r="AP39" s="119"/>
      <c r="AQ39" s="101"/>
      <c r="AR39" s="499"/>
      <c r="AS39" s="499"/>
      <c r="AT39" s="499"/>
      <c r="AU39" s="499"/>
      <c r="AV39" s="499"/>
      <c r="AW39" s="499"/>
    </row>
    <row r="40" spans="1:49" ht="15" customHeight="1">
      <c r="C40" s="467"/>
      <c r="D40" s="467"/>
      <c r="E40" s="467"/>
      <c r="F40" s="467"/>
      <c r="G40" s="467"/>
      <c r="H40" s="467"/>
      <c r="I40" s="42"/>
      <c r="J40" s="42"/>
      <c r="K40" s="467"/>
      <c r="L40" s="42"/>
      <c r="M40" s="821"/>
      <c r="N40" s="467"/>
      <c r="O40" s="467"/>
      <c r="P40" s="467"/>
      <c r="Q40" s="467"/>
      <c r="R40" s="467"/>
      <c r="S40" s="467"/>
      <c r="T40" s="42"/>
      <c r="U40" s="101"/>
      <c r="V40" s="467"/>
      <c r="W40" s="467"/>
      <c r="X40" s="467"/>
      <c r="Y40" s="467"/>
      <c r="Z40" s="467"/>
      <c r="AA40" s="467"/>
      <c r="AB40" s="467"/>
      <c r="AC40" s="467"/>
      <c r="AD40" s="467"/>
      <c r="AR40" s="499"/>
      <c r="AS40" s="499"/>
      <c r="AT40" s="499"/>
      <c r="AU40" s="499"/>
      <c r="AV40" s="499"/>
      <c r="AW40" s="499"/>
    </row>
    <row r="41" spans="1:49" ht="15.75">
      <c r="A41" s="118" t="str">
        <f>+'Exh D-Governmental  '!A49</f>
        <v>Fund Balances (Deficits) at April 1</v>
      </c>
      <c r="B41" s="454" t="s">
        <v>14</v>
      </c>
      <c r="C41" s="42">
        <v>9113</v>
      </c>
      <c r="D41" s="467"/>
      <c r="E41" s="42">
        <v>9113</v>
      </c>
      <c r="F41" s="467"/>
      <c r="G41" s="42">
        <f>'Exhibit G State'!D13</f>
        <v>9113.7999999999993</v>
      </c>
      <c r="H41" s="467"/>
      <c r="I41" s="42">
        <f t="shared" ref="I41" si="9">G41-C41</f>
        <v>0.7999999999992724</v>
      </c>
      <c r="J41" s="54"/>
      <c r="K41" s="42">
        <f>G41-E41</f>
        <v>0.7999999999992724</v>
      </c>
      <c r="L41" s="54"/>
      <c r="M41" s="821"/>
      <c r="N41" s="42">
        <v>14826</v>
      </c>
      <c r="O41" s="467"/>
      <c r="P41" s="42">
        <v>14826</v>
      </c>
      <c r="Q41" s="467"/>
      <c r="R41" s="42">
        <f>'Exhibit G Federal'!D13</f>
        <v>14826.4</v>
      </c>
      <c r="S41" s="467"/>
      <c r="T41" s="42">
        <f t="shared" ref="T41" si="10">R41-N41</f>
        <v>0.3999999999996362</v>
      </c>
      <c r="U41" s="101"/>
      <c r="V41" s="42">
        <f>R41-P41</f>
        <v>0.3999999999996362</v>
      </c>
      <c r="W41" s="467"/>
      <c r="X41" s="42"/>
      <c r="Y41" s="467"/>
      <c r="Z41" s="42"/>
      <c r="AA41" s="467"/>
      <c r="AB41" s="54"/>
      <c r="AC41" s="467"/>
      <c r="AD41" s="467"/>
      <c r="AR41" s="499"/>
      <c r="AS41" s="499"/>
      <c r="AT41" s="499"/>
      <c r="AU41" s="499"/>
      <c r="AV41" s="499"/>
      <c r="AW41" s="499"/>
    </row>
    <row r="42" spans="1:49" ht="18" customHeight="1" thickBot="1">
      <c r="A42" s="118" t="str">
        <f>+'Exh D-Governmental  '!A50</f>
        <v xml:space="preserve">Fund Balances (Deficits) at September 30, 2023 </v>
      </c>
      <c r="B42" s="121" t="s">
        <v>14</v>
      </c>
      <c r="C42" s="69">
        <f>ROUND(SUM(C39:C41),1)</f>
        <v>8672</v>
      </c>
      <c r="D42" s="122"/>
      <c r="E42" s="69">
        <f>ROUND(SUM(E39:E41),1)</f>
        <v>8672</v>
      </c>
      <c r="F42" s="122"/>
      <c r="G42" s="69">
        <f>ROUND(SUM(G39:G41),1)</f>
        <v>9730.2000000000007</v>
      </c>
      <c r="H42" s="122"/>
      <c r="I42" s="69">
        <f>ROUND(SUM(I39:I41),1)</f>
        <v>1058.2</v>
      </c>
      <c r="J42" s="65"/>
      <c r="K42" s="69">
        <f>ROUND(SUM(K39:K41),1)</f>
        <v>1058.2</v>
      </c>
      <c r="L42" s="65"/>
      <c r="M42" s="2222"/>
      <c r="N42" s="69">
        <f>ROUND(SUM(N39:N41),1)</f>
        <v>15382</v>
      </c>
      <c r="O42" s="122"/>
      <c r="P42" s="69">
        <f>ROUND(SUM(P39:P41),1)</f>
        <v>15382</v>
      </c>
      <c r="Q42" s="122"/>
      <c r="R42" s="69">
        <f>ROUND(SUM(R39:R41),1)</f>
        <v>17279.400000000001</v>
      </c>
      <c r="S42" s="122"/>
      <c r="T42" s="69">
        <f>ROUND(SUM(T39:T41),1)</f>
        <v>1897.4</v>
      </c>
      <c r="U42" s="101"/>
      <c r="V42" s="69">
        <f>ROUND(SUM(V39:V41),1)</f>
        <v>1897.4</v>
      </c>
      <c r="W42" s="122"/>
      <c r="X42" s="65"/>
      <c r="Y42" s="122"/>
      <c r="Z42" s="65"/>
      <c r="AA42" s="122"/>
      <c r="AB42" s="65"/>
      <c r="AR42" s="499"/>
      <c r="AS42" s="499"/>
      <c r="AT42" s="499"/>
      <c r="AU42" s="499"/>
      <c r="AV42" s="499"/>
      <c r="AW42" s="499"/>
    </row>
    <row r="43" spans="1:49" ht="15" customHeight="1" thickTop="1">
      <c r="A43" s="104"/>
      <c r="V43" s="454"/>
      <c r="W43" s="479"/>
      <c r="X43" s="498"/>
      <c r="Y43" s="479"/>
      <c r="Z43" s="479"/>
      <c r="AA43" s="479"/>
      <c r="AB43" s="479"/>
      <c r="AR43" s="499"/>
      <c r="AS43" s="499"/>
      <c r="AT43" s="499"/>
      <c r="AU43" s="499"/>
      <c r="AV43" s="499"/>
      <c r="AW43" s="499"/>
    </row>
    <row r="44" spans="1:49">
      <c r="A44" s="674" t="str">
        <f>'Exh D-Governmental  '!A52</f>
        <v xml:space="preserve">(*)    Source: 2023-24 Enacted Financial Plan dated June 9, 2023. </v>
      </c>
      <c r="AR44" s="499"/>
      <c r="AS44" s="499"/>
      <c r="AT44" s="499"/>
      <c r="AU44" s="499"/>
      <c r="AV44" s="499"/>
      <c r="AW44" s="499"/>
    </row>
    <row r="45" spans="1:49">
      <c r="A45" s="674" t="str">
        <f>'Exh D-Governmental  '!A53</f>
        <v>(**)   Source: 2023-24 First Quarter Update dated July 27, 2023, which made no changes to the Enacted Financial Plan.</v>
      </c>
      <c r="B45" s="499"/>
      <c r="C45" s="479"/>
      <c r="D45" s="499"/>
      <c r="E45" s="499"/>
      <c r="F45" s="499"/>
      <c r="G45" s="499"/>
      <c r="H45" s="499"/>
      <c r="I45" s="499"/>
      <c r="J45" s="499"/>
      <c r="K45" s="499"/>
      <c r="L45" s="499"/>
      <c r="M45" s="499"/>
      <c r="N45" s="499"/>
      <c r="O45" s="499"/>
      <c r="P45" s="499"/>
      <c r="Q45" s="499"/>
      <c r="R45" s="479"/>
      <c r="S45" s="499"/>
      <c r="T45" s="499"/>
      <c r="U45" s="499"/>
      <c r="V45" s="499"/>
      <c r="W45" s="499"/>
      <c r="X45" s="499"/>
      <c r="Y45" s="499"/>
      <c r="Z45" s="499"/>
      <c r="AA45" s="499"/>
      <c r="AB45" s="499"/>
      <c r="AC45" s="499"/>
      <c r="AD45" s="499"/>
      <c r="AE45" s="499"/>
      <c r="AF45" s="499"/>
      <c r="AG45" s="499"/>
      <c r="AH45" s="499"/>
      <c r="AI45" s="499"/>
      <c r="AJ45" s="499"/>
      <c r="AK45" s="499"/>
      <c r="AL45" s="499"/>
      <c r="AM45" s="499"/>
      <c r="AN45" s="499"/>
      <c r="AO45" s="499"/>
      <c r="AP45" s="499"/>
      <c r="AQ45" s="499"/>
      <c r="AR45" s="499"/>
      <c r="AS45" s="499"/>
      <c r="AT45" s="499"/>
      <c r="AU45" s="499"/>
      <c r="AV45" s="499"/>
      <c r="AW45" s="499"/>
    </row>
    <row r="46" spans="1:49">
      <c r="A46" s="674"/>
      <c r="B46" s="499"/>
      <c r="C46" s="479"/>
      <c r="D46" s="499"/>
      <c r="E46" s="499"/>
      <c r="F46" s="499"/>
      <c r="G46" s="499"/>
      <c r="H46" s="499"/>
      <c r="I46" s="499"/>
      <c r="J46" s="499"/>
      <c r="K46" s="499"/>
      <c r="L46" s="499"/>
      <c r="M46" s="499"/>
      <c r="N46" s="499"/>
      <c r="O46" s="499"/>
      <c r="P46" s="499"/>
      <c r="Q46" s="499"/>
      <c r="R46" s="479"/>
      <c r="S46" s="499"/>
      <c r="T46" s="499"/>
      <c r="U46" s="499"/>
      <c r="V46" s="499"/>
      <c r="W46" s="499"/>
      <c r="X46" s="499"/>
      <c r="Y46" s="499"/>
      <c r="Z46" s="499"/>
      <c r="AA46" s="499"/>
      <c r="AB46" s="499"/>
      <c r="AC46" s="499"/>
      <c r="AD46" s="499"/>
      <c r="AE46" s="499"/>
      <c r="AF46" s="499"/>
      <c r="AG46" s="499"/>
      <c r="AH46" s="499"/>
      <c r="AI46" s="499"/>
      <c r="AJ46" s="499"/>
      <c r="AK46" s="499"/>
      <c r="AL46" s="499"/>
      <c r="AM46" s="499"/>
      <c r="AN46" s="499"/>
      <c r="AO46" s="499"/>
      <c r="AP46" s="499"/>
      <c r="AQ46" s="499"/>
      <c r="AR46" s="499"/>
      <c r="AS46" s="499"/>
      <c r="AT46" s="499"/>
      <c r="AU46" s="499"/>
      <c r="AV46" s="499"/>
      <c r="AW46" s="499"/>
    </row>
    <row r="47" spans="1:49">
      <c r="A47" s="658"/>
    </row>
    <row r="48" spans="1:49">
      <c r="A48" s="137"/>
      <c r="B48" s="499"/>
      <c r="C48" s="499"/>
      <c r="D48" s="499"/>
      <c r="E48" s="499"/>
      <c r="F48" s="499"/>
      <c r="G48" s="499"/>
      <c r="H48" s="499"/>
      <c r="I48" s="499"/>
      <c r="J48" s="499"/>
      <c r="K48" s="499"/>
      <c r="L48" s="499"/>
      <c r="M48" s="499"/>
      <c r="N48" s="499"/>
      <c r="O48" s="499"/>
      <c r="P48" s="499"/>
      <c r="Q48" s="499"/>
      <c r="R48" s="499"/>
      <c r="S48" s="499"/>
      <c r="T48" s="499"/>
      <c r="U48" s="499"/>
      <c r="V48" s="499"/>
      <c r="W48" s="499"/>
      <c r="X48" s="499"/>
      <c r="Y48" s="499"/>
      <c r="Z48" s="499"/>
      <c r="AA48" s="499"/>
      <c r="AB48" s="499"/>
      <c r="AC48" s="499"/>
      <c r="AD48" s="499"/>
      <c r="AE48" s="499"/>
      <c r="AF48" s="499"/>
      <c r="AG48" s="499"/>
      <c r="AH48" s="499"/>
      <c r="AI48" s="499"/>
      <c r="AJ48" s="499"/>
      <c r="AK48" s="499"/>
      <c r="AL48" s="499"/>
      <c r="AM48" s="499"/>
      <c r="AN48" s="499"/>
      <c r="AO48" s="499"/>
      <c r="AP48" s="499"/>
      <c r="AQ48" s="499"/>
      <c r="AR48" s="499"/>
      <c r="AS48" s="499"/>
      <c r="AT48" s="499"/>
      <c r="AU48" s="499"/>
      <c r="AV48" s="499"/>
      <c r="AW48" s="499"/>
    </row>
    <row r="49" spans="1:49">
      <c r="A49" s="137"/>
      <c r="B49" s="499"/>
      <c r="C49" s="479"/>
      <c r="D49" s="499"/>
      <c r="E49" s="479"/>
      <c r="F49" s="499"/>
      <c r="G49" s="499"/>
      <c r="H49" s="499"/>
      <c r="I49" s="499"/>
      <c r="J49" s="499"/>
      <c r="K49" s="499"/>
      <c r="L49" s="499"/>
      <c r="M49" s="499"/>
      <c r="N49" s="499"/>
      <c r="O49" s="499"/>
      <c r="P49" s="499"/>
      <c r="Q49" s="499"/>
      <c r="R49" s="499"/>
      <c r="S49" s="499"/>
      <c r="T49" s="499"/>
      <c r="U49" s="499"/>
      <c r="V49" s="499"/>
      <c r="W49" s="499"/>
      <c r="X49" s="499"/>
      <c r="Y49" s="499"/>
      <c r="Z49" s="499"/>
      <c r="AA49" s="499"/>
      <c r="AB49" s="499"/>
      <c r="AC49" s="499"/>
      <c r="AD49" s="499"/>
      <c r="AE49" s="499"/>
      <c r="AF49" s="499"/>
      <c r="AG49" s="499"/>
      <c r="AH49" s="499"/>
      <c r="AI49" s="499"/>
      <c r="AJ49" s="499"/>
      <c r="AK49" s="499"/>
      <c r="AL49" s="499"/>
      <c r="AM49" s="499"/>
      <c r="AN49" s="499"/>
      <c r="AO49" s="499"/>
      <c r="AP49" s="499"/>
      <c r="AQ49" s="499"/>
      <c r="AR49" s="499"/>
      <c r="AS49" s="499"/>
      <c r="AT49" s="499"/>
      <c r="AU49" s="499"/>
      <c r="AV49" s="499"/>
      <c r="AW49" s="499"/>
    </row>
    <row r="50" spans="1:49">
      <c r="C50" s="479"/>
      <c r="E50" s="479"/>
    </row>
    <row r="51" spans="1:49">
      <c r="C51" s="479"/>
      <c r="E51" s="479"/>
    </row>
    <row r="52" spans="1:49">
      <c r="C52" s="479"/>
      <c r="E52" s="479"/>
    </row>
    <row r="53" spans="1:49">
      <c r="C53" s="479"/>
      <c r="E53" s="479"/>
    </row>
    <row r="54" spans="1:49">
      <c r="C54" s="479"/>
      <c r="E54" s="479"/>
    </row>
    <row r="55" spans="1:49">
      <c r="C55" s="479"/>
      <c r="E55" s="479"/>
    </row>
    <row r="56" spans="1:49">
      <c r="C56" s="479"/>
      <c r="E56" s="479"/>
    </row>
    <row r="57" spans="1:49">
      <c r="C57" s="479"/>
      <c r="E57" s="479"/>
    </row>
    <row r="58" spans="1:49">
      <c r="C58" s="479"/>
      <c r="E58" s="479"/>
    </row>
    <row r="59" spans="1:49">
      <c r="C59" s="479"/>
      <c r="E59" s="479"/>
    </row>
    <row r="60" spans="1:49">
      <c r="C60" s="479"/>
      <c r="E60" s="479"/>
    </row>
    <row r="61" spans="1:49">
      <c r="C61" s="479"/>
      <c r="E61" s="479"/>
    </row>
    <row r="62" spans="1:49">
      <c r="C62" s="479"/>
      <c r="E62" s="479"/>
    </row>
    <row r="63" spans="1:49">
      <c r="C63" s="479"/>
      <c r="E63" s="479"/>
    </row>
    <row r="64" spans="1:49">
      <c r="C64" s="479"/>
      <c r="E64" s="479"/>
    </row>
    <row r="65" spans="3:5">
      <c r="C65" s="479"/>
      <c r="E65" s="479"/>
    </row>
    <row r="66" spans="3:5">
      <c r="C66" s="479"/>
      <c r="E66" s="479"/>
    </row>
    <row r="67" spans="3:5">
      <c r="C67" s="479"/>
      <c r="E67" s="479"/>
    </row>
    <row r="68" spans="3:5">
      <c r="C68" s="479"/>
      <c r="E68" s="479"/>
    </row>
    <row r="69" spans="3:5">
      <c r="C69" s="479"/>
      <c r="E69" s="479"/>
    </row>
    <row r="70" spans="3:5">
      <c r="C70" s="479"/>
      <c r="E70" s="479"/>
    </row>
  </sheetData>
  <mergeCells count="3">
    <mergeCell ref="A5:E5"/>
    <mergeCell ref="C11:I11"/>
    <mergeCell ref="N11:T11"/>
  </mergeCells>
  <printOptions horizontalCentered="1"/>
  <pageMargins left="0.2" right="0.2" top="0.75" bottom="0.25" header="0.3" footer="0.3"/>
  <pageSetup scale="50" firstPageNumber="11" orientation="landscape" useFirstPageNumber="1" r:id="rId1"/>
  <headerFooter scaleWithDoc="0" alignWithMargins="0">
    <oddFooter>&amp;C&amp;8&amp;P</oddFooter>
  </headerFooter>
  <customProperties>
    <customPr name="SheetOptions" r:id="rId2"/>
  </customProperties>
  <ignoredErrors>
    <ignoredError sqref="AH6:XFD6 B6 M6 P6:U6 E6:I6"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AD48"/>
  <sheetViews>
    <sheetView showGridLines="0" zoomScale="90" workbookViewId="0"/>
  </sheetViews>
  <sheetFormatPr defaultColWidth="8.88671875" defaultRowHeight="15"/>
  <cols>
    <col min="1" max="1" width="47.109375" style="499" customWidth="1"/>
    <col min="2" max="2" width="2" style="454" customWidth="1"/>
    <col min="3" max="3" width="15.109375" style="302" customWidth="1"/>
    <col min="4" max="4" width="1.88671875" style="454" customWidth="1"/>
    <col min="5" max="5" width="15.109375" style="302" customWidth="1"/>
    <col min="6" max="6" width="2.88671875" style="454" customWidth="1"/>
    <col min="7" max="7" width="15.109375" style="454" customWidth="1"/>
    <col min="8" max="8" width="2" style="454" customWidth="1"/>
    <col min="9" max="9" width="15.109375" style="454" customWidth="1"/>
    <col min="10" max="10" width="2.109375" style="454" customWidth="1"/>
    <col min="11" max="11" width="15.109375" style="454" customWidth="1"/>
    <col min="12" max="12" width="11.44140625" style="454" customWidth="1"/>
    <col min="13" max="13" width="1.88671875" style="454" customWidth="1"/>
    <col min="14" max="14" width="11.88671875" style="454" customWidth="1"/>
    <col min="15" max="15" width="2.109375" style="454" customWidth="1"/>
    <col min="16" max="16" width="11.44140625" style="454" customWidth="1"/>
    <col min="17" max="17" width="0.5546875" style="454" customWidth="1"/>
    <col min="18" max="18" width="2.109375" style="454" customWidth="1"/>
    <col min="19" max="19" width="10.5546875" style="454" customWidth="1"/>
    <col min="20" max="20" width="11.109375" style="454" customWidth="1"/>
    <col min="21" max="21" width="2.109375" style="454" customWidth="1"/>
    <col min="22" max="22" width="11.109375" style="454" customWidth="1"/>
    <col min="23" max="23" width="2.109375" style="454" customWidth="1"/>
    <col min="24" max="24" width="12.44140625" style="454" customWidth="1"/>
    <col min="25" max="30" width="8.88671875" style="454"/>
    <col min="31" max="16384" width="8.88671875" style="499"/>
  </cols>
  <sheetData>
    <row r="1" spans="1:24">
      <c r="A1" s="675" t="s">
        <v>841</v>
      </c>
      <c r="B1" s="127"/>
      <c r="C1" s="298"/>
      <c r="D1" s="127"/>
      <c r="E1" s="298"/>
      <c r="F1" s="127"/>
      <c r="G1" s="127"/>
      <c r="H1" s="127"/>
      <c r="I1" s="127"/>
      <c r="J1" s="127"/>
      <c r="K1" s="127"/>
      <c r="L1" s="127"/>
      <c r="M1" s="127"/>
      <c r="N1" s="127"/>
      <c r="O1" s="127"/>
      <c r="P1" s="127"/>
      <c r="Q1" s="127"/>
      <c r="R1" s="127"/>
      <c r="S1" s="127"/>
      <c r="T1" s="127"/>
      <c r="U1" s="127"/>
      <c r="V1" s="127"/>
      <c r="W1" s="127"/>
      <c r="X1" s="127"/>
    </row>
    <row r="2" spans="1:24" ht="17.100000000000001" customHeight="1">
      <c r="A2" s="128"/>
      <c r="B2" s="127"/>
      <c r="C2" s="298"/>
      <c r="D2" s="127"/>
      <c r="E2" s="298"/>
      <c r="F2" s="127"/>
      <c r="G2" s="127"/>
      <c r="H2" s="127"/>
      <c r="I2" s="127"/>
      <c r="J2" s="127"/>
      <c r="K2" s="127"/>
      <c r="L2" s="127"/>
      <c r="M2" s="127"/>
      <c r="N2" s="127"/>
      <c r="O2" s="127"/>
      <c r="P2" s="127"/>
      <c r="Q2" s="127"/>
      <c r="R2" s="127"/>
      <c r="S2" s="127"/>
      <c r="T2" s="127"/>
      <c r="U2" s="127"/>
      <c r="V2" s="127"/>
      <c r="W2" s="127"/>
      <c r="X2" s="127"/>
    </row>
    <row r="3" spans="1:24" ht="18.75" customHeight="1">
      <c r="A3" s="129" t="s">
        <v>0</v>
      </c>
      <c r="B3" s="94"/>
      <c r="C3" s="299"/>
      <c r="D3" s="94"/>
      <c r="E3" s="299"/>
      <c r="F3" s="94"/>
      <c r="G3" s="94"/>
      <c r="H3" s="94"/>
      <c r="I3" s="596"/>
      <c r="J3" s="94"/>
      <c r="K3" s="596" t="s">
        <v>81</v>
      </c>
      <c r="L3" s="94"/>
      <c r="M3" s="94"/>
      <c r="N3" s="94"/>
      <c r="O3" s="94"/>
      <c r="P3" s="94"/>
      <c r="Q3" s="94"/>
      <c r="R3" s="94"/>
      <c r="S3" s="94"/>
      <c r="T3" s="94"/>
      <c r="U3" s="94"/>
      <c r="V3" s="94"/>
      <c r="W3" s="94"/>
      <c r="X3" s="130"/>
    </row>
    <row r="4" spans="1:24" ht="18.75" customHeight="1">
      <c r="A4" s="129" t="s">
        <v>80</v>
      </c>
      <c r="B4" s="94"/>
      <c r="C4" s="299"/>
      <c r="D4" s="94"/>
      <c r="E4" s="299"/>
      <c r="F4" s="94"/>
      <c r="G4" s="94"/>
      <c r="H4" s="94"/>
      <c r="I4" s="597"/>
      <c r="J4" s="94"/>
      <c r="K4" s="597"/>
      <c r="L4" s="94"/>
      <c r="M4" s="94"/>
      <c r="N4" s="94"/>
      <c r="O4" s="94"/>
      <c r="P4" s="94"/>
      <c r="Q4" s="94"/>
      <c r="R4" s="94"/>
      <c r="S4" s="94"/>
      <c r="T4" s="94"/>
      <c r="U4" s="94"/>
      <c r="V4" s="94"/>
      <c r="W4" s="94"/>
      <c r="X4" s="94"/>
    </row>
    <row r="5" spans="1:24" ht="18.75" customHeight="1">
      <c r="A5" s="2325" t="str">
        <f>'Exh D-Governmental  '!A5:E5</f>
        <v>FISCAL YEAR 2023-2024</v>
      </c>
      <c r="B5" s="2326"/>
      <c r="C5" s="2326"/>
      <c r="D5" s="2326"/>
      <c r="E5" s="2326"/>
      <c r="F5" s="94"/>
      <c r="G5" s="94"/>
      <c r="H5" s="94"/>
      <c r="I5" s="94"/>
      <c r="J5" s="94"/>
      <c r="K5" s="94"/>
      <c r="L5" s="94"/>
      <c r="M5" s="94"/>
      <c r="N5" s="94"/>
      <c r="O5" s="94"/>
      <c r="P5" s="94"/>
      <c r="Q5" s="94"/>
      <c r="R5" s="94"/>
      <c r="S5" s="94"/>
      <c r="T5" s="94"/>
      <c r="U5" s="94"/>
      <c r="V5" s="94"/>
      <c r="W5" s="94"/>
      <c r="X5" s="94"/>
    </row>
    <row r="6" spans="1:24" ht="18.75" customHeight="1">
      <c r="A6" s="129" t="str">
        <f>'Exh D-Governmental  '!A6</f>
        <v xml:space="preserve">FOR SIX MONTHS ENDED SEPTEMBER 30, 2023    </v>
      </c>
      <c r="B6" s="94"/>
      <c r="C6" s="299"/>
      <c r="D6" s="94"/>
      <c r="E6" s="299"/>
      <c r="F6" s="94"/>
      <c r="G6" s="94"/>
      <c r="H6" s="94"/>
      <c r="I6" s="94"/>
      <c r="J6" s="94"/>
      <c r="K6" s="94"/>
      <c r="L6" s="94"/>
      <c r="M6" s="94"/>
      <c r="N6" s="94"/>
      <c r="O6" s="94"/>
      <c r="P6" s="94"/>
      <c r="Q6" s="94"/>
      <c r="R6" s="94"/>
      <c r="S6" s="94"/>
      <c r="T6" s="94"/>
      <c r="U6" s="94"/>
      <c r="V6" s="94"/>
      <c r="W6" s="94"/>
      <c r="X6" s="94"/>
    </row>
    <row r="7" spans="1:24" ht="18.75" customHeight="1">
      <c r="A7" s="129" t="s">
        <v>1200</v>
      </c>
      <c r="B7" s="94"/>
      <c r="C7" s="299"/>
      <c r="D7" s="94"/>
      <c r="E7" s="299"/>
      <c r="F7" s="94"/>
      <c r="G7" s="94"/>
      <c r="H7" s="94"/>
      <c r="I7" s="94"/>
      <c r="J7" s="94"/>
      <c r="K7" s="94"/>
      <c r="L7" s="94"/>
      <c r="M7" s="94"/>
      <c r="N7" s="94"/>
      <c r="O7" s="94"/>
      <c r="P7" s="94"/>
      <c r="Q7" s="94"/>
      <c r="R7" s="94"/>
      <c r="S7" s="94"/>
      <c r="T7" s="94"/>
      <c r="U7" s="94"/>
      <c r="V7" s="94"/>
      <c r="W7" s="94"/>
      <c r="X7" s="94"/>
    </row>
    <row r="8" spans="1:24" ht="15" customHeight="1">
      <c r="A8" s="99"/>
      <c r="B8" s="94"/>
      <c r="C8" s="299"/>
      <c r="D8" s="94"/>
      <c r="E8" s="299"/>
      <c r="F8" s="94"/>
      <c r="G8" s="94"/>
      <c r="H8" s="94"/>
      <c r="I8" s="94"/>
      <c r="J8" s="94"/>
      <c r="K8" s="94"/>
      <c r="L8" s="94"/>
      <c r="M8" s="94"/>
      <c r="N8" s="94"/>
      <c r="O8" s="94"/>
      <c r="P8" s="94"/>
      <c r="Q8" s="94"/>
      <c r="R8" s="94"/>
      <c r="S8" s="94"/>
      <c r="T8" s="94"/>
      <c r="U8" s="94"/>
      <c r="V8" s="94"/>
      <c r="W8" s="94"/>
      <c r="X8" s="94"/>
    </row>
    <row r="9" spans="1:24">
      <c r="A9" s="100"/>
      <c r="B9" s="94"/>
      <c r="C9" s="299"/>
      <c r="D9" s="94"/>
      <c r="E9" s="299"/>
      <c r="F9" s="94"/>
      <c r="G9" s="94"/>
      <c r="H9" s="94"/>
      <c r="I9" s="94"/>
      <c r="J9" s="94"/>
      <c r="K9" s="94"/>
      <c r="L9" s="94"/>
      <c r="M9" s="94"/>
      <c r="N9" s="94"/>
      <c r="O9" s="94"/>
      <c r="P9" s="94"/>
      <c r="Q9" s="94"/>
      <c r="R9" s="94"/>
      <c r="S9" s="94"/>
      <c r="T9" s="94"/>
      <c r="U9" s="94"/>
      <c r="V9" s="94"/>
      <c r="W9" s="94"/>
      <c r="X9" s="94"/>
    </row>
    <row r="10" spans="1:24">
      <c r="A10" s="100"/>
      <c r="B10" s="94"/>
      <c r="C10" s="299"/>
      <c r="D10" s="94"/>
      <c r="E10" s="299"/>
      <c r="F10" s="94"/>
      <c r="G10" s="94"/>
      <c r="H10" s="94"/>
      <c r="I10" s="94"/>
      <c r="J10" s="94"/>
      <c r="K10" s="94"/>
      <c r="L10" s="94"/>
      <c r="M10" s="94"/>
      <c r="N10" s="94"/>
      <c r="O10" s="94"/>
      <c r="P10" s="94"/>
      <c r="Q10" s="94"/>
      <c r="R10" s="94"/>
      <c r="S10" s="94"/>
      <c r="T10" s="94"/>
      <c r="U10" s="94"/>
      <c r="V10" s="94"/>
      <c r="W10" s="94"/>
      <c r="X10" s="94"/>
    </row>
    <row r="11" spans="1:24" ht="15.75">
      <c r="C11" s="2321" t="s">
        <v>996</v>
      </c>
      <c r="D11" s="2321"/>
      <c r="E11" s="2321"/>
      <c r="F11" s="2321"/>
      <c r="G11" s="2321"/>
      <c r="H11" s="2321"/>
      <c r="I11" s="2321"/>
      <c r="J11" s="813"/>
      <c r="K11" s="814"/>
      <c r="L11" s="131"/>
      <c r="M11" s="131"/>
      <c r="N11" s="131"/>
      <c r="O11" s="131"/>
      <c r="P11" s="131"/>
      <c r="Q11" s="131"/>
      <c r="R11" s="101"/>
      <c r="S11" s="131"/>
      <c r="T11" s="132"/>
      <c r="U11" s="131"/>
      <c r="V11" s="131"/>
      <c r="W11" s="131"/>
      <c r="X11" s="131"/>
    </row>
    <row r="12" spans="1:24" ht="15.75">
      <c r="D12" s="133"/>
      <c r="F12" s="133"/>
      <c r="G12" s="134"/>
      <c r="H12" s="133"/>
      <c r="I12" s="133" t="s">
        <v>82</v>
      </c>
      <c r="J12" s="101"/>
      <c r="K12" s="133" t="s">
        <v>82</v>
      </c>
      <c r="L12" s="131"/>
      <c r="M12" s="131"/>
      <c r="N12" s="131"/>
      <c r="O12" s="131"/>
      <c r="P12" s="131"/>
      <c r="Q12" s="131"/>
      <c r="R12" s="101"/>
      <c r="S12" s="131"/>
      <c r="T12" s="132"/>
      <c r="U12" s="131"/>
      <c r="V12" s="131"/>
      <c r="W12" s="131"/>
      <c r="X12" s="131"/>
    </row>
    <row r="13" spans="1:24" ht="15.75">
      <c r="B13" s="101"/>
      <c r="C13" s="301"/>
      <c r="D13" s="101"/>
      <c r="E13" s="301"/>
      <c r="F13" s="101"/>
      <c r="G13" s="101"/>
      <c r="H13" s="101"/>
      <c r="I13" s="102" t="s">
        <v>758</v>
      </c>
      <c r="J13" s="101"/>
      <c r="K13" s="102" t="s">
        <v>758</v>
      </c>
      <c r="L13" s="101"/>
      <c r="M13" s="101"/>
      <c r="N13" s="101"/>
      <c r="O13" s="101"/>
      <c r="P13" s="103"/>
      <c r="Q13" s="102"/>
      <c r="R13" s="101"/>
      <c r="S13" s="101"/>
      <c r="T13" s="101"/>
      <c r="U13" s="101"/>
      <c r="V13" s="101"/>
      <c r="W13" s="101"/>
      <c r="X13" s="103"/>
    </row>
    <row r="14" spans="1:24" ht="15.75">
      <c r="B14" s="135"/>
      <c r="C14" s="103" t="s">
        <v>944</v>
      </c>
      <c r="D14" s="101"/>
      <c r="E14" s="102" t="s">
        <v>945</v>
      </c>
      <c r="F14" s="101"/>
      <c r="G14" s="101"/>
      <c r="H14" s="101"/>
      <c r="I14" s="102" t="s">
        <v>83</v>
      </c>
      <c r="J14" s="101"/>
      <c r="K14" s="102" t="s">
        <v>83</v>
      </c>
      <c r="L14" s="102"/>
      <c r="M14" s="101"/>
      <c r="N14" s="101"/>
      <c r="O14" s="101"/>
      <c r="P14" s="103"/>
      <c r="Q14" s="102"/>
      <c r="R14" s="101"/>
      <c r="S14" s="103"/>
      <c r="T14" s="102"/>
      <c r="U14" s="101"/>
      <c r="V14" s="101"/>
      <c r="W14" s="101"/>
      <c r="X14" s="103"/>
    </row>
    <row r="15" spans="1:24" ht="15.75">
      <c r="B15" s="135"/>
      <c r="C15" s="102" t="s">
        <v>980</v>
      </c>
      <c r="D15" s="101"/>
      <c r="E15" s="102" t="s">
        <v>980</v>
      </c>
      <c r="F15" s="101"/>
      <c r="G15" s="101"/>
      <c r="H15" s="101"/>
      <c r="I15" s="102" t="s">
        <v>944</v>
      </c>
      <c r="J15" s="101"/>
      <c r="K15" s="102" t="s">
        <v>945</v>
      </c>
      <c r="L15" s="102"/>
      <c r="M15" s="101"/>
      <c r="N15" s="101"/>
      <c r="O15" s="101"/>
      <c r="P15" s="103"/>
      <c r="Q15" s="102"/>
      <c r="R15" s="101"/>
      <c r="S15" s="103"/>
      <c r="T15" s="102"/>
      <c r="U15" s="101"/>
      <c r="V15" s="101"/>
      <c r="W15" s="101"/>
      <c r="X15" s="103"/>
    </row>
    <row r="16" spans="1:24" ht="15.75">
      <c r="B16" s="102"/>
      <c r="C16" s="102" t="s">
        <v>981</v>
      </c>
      <c r="D16" s="101"/>
      <c r="E16" s="102" t="s">
        <v>1478</v>
      </c>
      <c r="F16" s="101"/>
      <c r="G16" s="103" t="s">
        <v>82</v>
      </c>
      <c r="H16" s="101"/>
      <c r="I16" s="102" t="s">
        <v>84</v>
      </c>
      <c r="J16" s="101"/>
      <c r="K16" s="102" t="s">
        <v>84</v>
      </c>
      <c r="L16" s="102"/>
      <c r="M16" s="101"/>
      <c r="N16" s="103"/>
      <c r="O16" s="101"/>
      <c r="P16" s="103"/>
      <c r="Q16" s="102"/>
      <c r="R16" s="101"/>
      <c r="S16" s="102"/>
      <c r="T16" s="102"/>
      <c r="U16" s="101"/>
      <c r="V16" s="103"/>
      <c r="W16" s="101"/>
      <c r="X16" s="103"/>
    </row>
    <row r="17" spans="1:24">
      <c r="A17" s="104"/>
      <c r="B17" s="94"/>
      <c r="C17" s="105"/>
      <c r="D17" s="94"/>
      <c r="E17" s="105"/>
      <c r="F17" s="94"/>
      <c r="G17" s="105"/>
      <c r="H17" s="94"/>
      <c r="I17" s="105"/>
      <c r="J17" s="94"/>
      <c r="K17" s="105"/>
      <c r="L17" s="94"/>
      <c r="M17" s="94"/>
      <c r="N17" s="94"/>
      <c r="O17" s="94"/>
      <c r="P17" s="94"/>
      <c r="Q17" s="94"/>
      <c r="R17" s="94"/>
      <c r="S17" s="94"/>
      <c r="T17" s="94"/>
      <c r="U17" s="94"/>
      <c r="V17" s="94"/>
      <c r="W17" s="94"/>
      <c r="X17" s="94"/>
    </row>
    <row r="18" spans="1:24" ht="15.75">
      <c r="A18" s="19" t="s">
        <v>13</v>
      </c>
      <c r="C18" s="454"/>
      <c r="E18" s="454"/>
    </row>
    <row r="19" spans="1:24">
      <c r="A19" s="594" t="s">
        <v>85</v>
      </c>
      <c r="B19" s="667"/>
      <c r="C19" s="454"/>
      <c r="E19" s="454"/>
      <c r="H19" s="667"/>
    </row>
    <row r="20" spans="1:24">
      <c r="A20" s="594" t="s">
        <v>86</v>
      </c>
      <c r="B20" s="667" t="s">
        <v>14</v>
      </c>
      <c r="C20" s="482">
        <v>13015</v>
      </c>
      <c r="D20" s="481"/>
      <c r="E20" s="482">
        <v>13015</v>
      </c>
      <c r="F20" s="481"/>
      <c r="G20" s="679">
        <f>+'Exhibit H'!AA16</f>
        <v>12990.5</v>
      </c>
      <c r="H20" s="481"/>
      <c r="I20" s="479">
        <f t="shared" ref="I20:I26" si="0">G20-C20</f>
        <v>-24.5</v>
      </c>
      <c r="K20" s="479">
        <f>+G20-E20</f>
        <v>-24.5</v>
      </c>
      <c r="L20" s="479"/>
    </row>
    <row r="21" spans="1:24">
      <c r="A21" s="594" t="s">
        <v>87</v>
      </c>
      <c r="B21" s="454" t="s">
        <v>14</v>
      </c>
      <c r="C21" s="480">
        <v>4598</v>
      </c>
      <c r="D21" s="467"/>
      <c r="E21" s="480">
        <v>4598</v>
      </c>
      <c r="F21" s="467"/>
      <c r="G21" s="467">
        <f>+'Exhibit H'!AA20</f>
        <v>4659.8999999999996</v>
      </c>
      <c r="H21" s="467"/>
      <c r="I21" s="467">
        <f t="shared" si="0"/>
        <v>61.899999999999636</v>
      </c>
      <c r="J21" s="467"/>
      <c r="K21" s="467">
        <f t="shared" ref="K21:K26" si="1">+G21-E21</f>
        <v>61.899999999999636</v>
      </c>
      <c r="L21" s="479"/>
    </row>
    <row r="22" spans="1:24">
      <c r="A22" s="594" t="s">
        <v>88</v>
      </c>
      <c r="C22" s="480">
        <v>2517</v>
      </c>
      <c r="D22" s="467"/>
      <c r="E22" s="480">
        <v>2517</v>
      </c>
      <c r="F22" s="467"/>
      <c r="G22" s="467">
        <f>'Exhibit H'!AA23</f>
        <v>2957.7</v>
      </c>
      <c r="H22" s="467"/>
      <c r="I22" s="467">
        <f t="shared" si="0"/>
        <v>440.69999999999982</v>
      </c>
      <c r="J22" s="467"/>
      <c r="K22" s="467">
        <f t="shared" si="1"/>
        <v>440.69999999999982</v>
      </c>
      <c r="L22" s="479"/>
    </row>
    <row r="23" spans="1:24">
      <c r="A23" s="594" t="s">
        <v>89</v>
      </c>
      <c r="B23" s="454" t="s">
        <v>14</v>
      </c>
      <c r="C23" s="480">
        <v>548</v>
      </c>
      <c r="D23" s="467"/>
      <c r="E23" s="480">
        <v>548</v>
      </c>
      <c r="F23" s="467"/>
      <c r="G23" s="467">
        <f>+'Exhibit H'!AA27</f>
        <v>509.3</v>
      </c>
      <c r="H23" s="467"/>
      <c r="I23" s="467">
        <f t="shared" si="0"/>
        <v>-38.699999999999989</v>
      </c>
      <c r="J23" s="467"/>
      <c r="K23" s="467">
        <f t="shared" si="1"/>
        <v>-38.699999999999989</v>
      </c>
      <c r="L23" s="479"/>
    </row>
    <row r="24" spans="1:24" ht="15" customHeight="1">
      <c r="A24" s="594" t="s">
        <v>19</v>
      </c>
      <c r="B24" s="454" t="s">
        <v>14</v>
      </c>
      <c r="C24" s="480">
        <v>226</v>
      </c>
      <c r="D24" s="467"/>
      <c r="E24" s="480">
        <v>226</v>
      </c>
      <c r="F24" s="467"/>
      <c r="G24" s="467">
        <f>+'Exhibit H'!AA50</f>
        <v>336.1</v>
      </c>
      <c r="H24" s="467"/>
      <c r="I24" s="467">
        <f t="shared" si="0"/>
        <v>110.10000000000002</v>
      </c>
      <c r="J24" s="467"/>
      <c r="K24" s="467">
        <f t="shared" si="1"/>
        <v>110.10000000000002</v>
      </c>
      <c r="L24" s="479"/>
    </row>
    <row r="25" spans="1:24" ht="15" customHeight="1">
      <c r="A25" s="594" t="s">
        <v>20</v>
      </c>
      <c r="B25" s="454" t="s">
        <v>14</v>
      </c>
      <c r="C25" s="480">
        <v>36</v>
      </c>
      <c r="D25" s="467"/>
      <c r="E25" s="480">
        <v>36</v>
      </c>
      <c r="F25" s="467"/>
      <c r="G25" s="467">
        <f>+'Exhibit H'!AA52</f>
        <v>34.9</v>
      </c>
      <c r="H25" s="467"/>
      <c r="I25" s="467">
        <f t="shared" si="0"/>
        <v>-1.1000000000000014</v>
      </c>
      <c r="J25" s="467"/>
      <c r="K25" s="467">
        <f t="shared" si="1"/>
        <v>-1.1000000000000014</v>
      </c>
      <c r="L25" s="479"/>
      <c r="N25" s="669"/>
      <c r="P25" s="669"/>
      <c r="Q25" s="681"/>
    </row>
    <row r="26" spans="1:24">
      <c r="A26" s="594" t="s">
        <v>46</v>
      </c>
      <c r="B26" s="681" t="s">
        <v>14</v>
      </c>
      <c r="C26" s="480">
        <v>772</v>
      </c>
      <c r="D26" s="467"/>
      <c r="E26" s="480">
        <v>772</v>
      </c>
      <c r="F26" s="467"/>
      <c r="G26" s="670">
        <f>+'Exhibit H'!AA68</f>
        <v>644.1</v>
      </c>
      <c r="H26" s="467"/>
      <c r="I26" s="467">
        <f t="shared" si="0"/>
        <v>-127.89999999999998</v>
      </c>
      <c r="J26" s="467"/>
      <c r="K26" s="467">
        <f t="shared" si="1"/>
        <v>-127.89999999999998</v>
      </c>
      <c r="L26" s="479"/>
      <c r="N26" s="669"/>
      <c r="P26" s="669"/>
      <c r="Q26" s="681"/>
    </row>
    <row r="27" spans="1:24" ht="18" customHeight="1">
      <c r="A27" s="118" t="s">
        <v>106</v>
      </c>
      <c r="B27" s="101" t="s">
        <v>14</v>
      </c>
      <c r="C27" s="143">
        <f>ROUND(SUM(C20:C26),1)</f>
        <v>21712</v>
      </c>
      <c r="D27" s="42"/>
      <c r="E27" s="143">
        <f>ROUND(SUM(E20:E26),1)</f>
        <v>21712</v>
      </c>
      <c r="F27" s="42"/>
      <c r="G27" s="143">
        <f>ROUND(SUM(G20:G26),1)</f>
        <v>22132.5</v>
      </c>
      <c r="H27" s="42"/>
      <c r="I27" s="143">
        <f>ROUND(SUM(I20:I26),1)</f>
        <v>420.5</v>
      </c>
      <c r="J27" s="42"/>
      <c r="K27" s="143">
        <f>ROUND(SUM(K20:K26),1)</f>
        <v>420.5</v>
      </c>
      <c r="L27" s="479"/>
      <c r="M27" s="101"/>
      <c r="N27" s="101"/>
      <c r="O27" s="101"/>
      <c r="P27" s="101"/>
      <c r="Q27" s="101"/>
      <c r="R27" s="101"/>
      <c r="S27" s="101"/>
      <c r="T27" s="101"/>
      <c r="U27" s="101"/>
      <c r="V27" s="101"/>
      <c r="W27" s="101"/>
      <c r="X27" s="101"/>
    </row>
    <row r="28" spans="1:24">
      <c r="C28" s="497"/>
      <c r="D28" s="467"/>
      <c r="E28" s="497"/>
      <c r="F28" s="467"/>
      <c r="G28" s="497"/>
      <c r="H28" s="467"/>
      <c r="I28" s="497"/>
      <c r="J28" s="467"/>
      <c r="K28" s="497"/>
      <c r="L28" s="479"/>
    </row>
    <row r="29" spans="1:24" ht="15.75">
      <c r="A29" s="19" t="s">
        <v>22</v>
      </c>
      <c r="C29" s="467"/>
      <c r="D29" s="467"/>
      <c r="E29" s="467"/>
      <c r="F29" s="467"/>
      <c r="G29" s="467"/>
      <c r="H29" s="467"/>
      <c r="I29" s="467"/>
      <c r="J29" s="467"/>
      <c r="K29" s="467"/>
      <c r="L29" s="479"/>
    </row>
    <row r="30" spans="1:24">
      <c r="A30" s="594" t="s">
        <v>92</v>
      </c>
      <c r="B30" s="667" t="s">
        <v>14</v>
      </c>
      <c r="C30" s="480">
        <v>8</v>
      </c>
      <c r="D30" s="467"/>
      <c r="E30" s="480">
        <v>8</v>
      </c>
      <c r="F30" s="467"/>
      <c r="G30" s="493">
        <f>+'Exhibit H'!AA58</f>
        <v>36.700000000000003</v>
      </c>
      <c r="H30" s="467"/>
      <c r="I30" s="467">
        <f>G30-C30</f>
        <v>28.700000000000003</v>
      </c>
      <c r="J30" s="467"/>
      <c r="K30" s="467">
        <f t="shared" ref="K30:K32" si="2">+G30-E30</f>
        <v>28.700000000000003</v>
      </c>
      <c r="L30" s="479"/>
      <c r="N30" s="667"/>
      <c r="P30" s="669"/>
      <c r="S30" s="669"/>
      <c r="T30" s="669"/>
      <c r="V30" s="669"/>
      <c r="X30" s="669"/>
    </row>
    <row r="31" spans="1:24" ht="14.25" customHeight="1">
      <c r="A31" s="594" t="s">
        <v>93</v>
      </c>
      <c r="B31" s="681" t="s">
        <v>14</v>
      </c>
      <c r="C31" s="480">
        <v>1087</v>
      </c>
      <c r="D31" s="467"/>
      <c r="E31" s="480">
        <v>1087</v>
      </c>
      <c r="F31" s="467"/>
      <c r="G31" s="480">
        <f>+'Exhibit H'!AA60</f>
        <v>561.4</v>
      </c>
      <c r="H31" s="467"/>
      <c r="I31" s="467">
        <f>G31-C31</f>
        <v>-525.6</v>
      </c>
      <c r="J31" s="467"/>
      <c r="K31" s="467">
        <f t="shared" si="2"/>
        <v>-525.6</v>
      </c>
      <c r="L31" s="479"/>
      <c r="N31" s="667"/>
      <c r="S31" s="669"/>
      <c r="T31" s="669"/>
      <c r="V31" s="669"/>
      <c r="X31" s="669"/>
    </row>
    <row r="32" spans="1:24">
      <c r="A32" s="594" t="s">
        <v>96</v>
      </c>
      <c r="B32" s="681" t="s">
        <v>14</v>
      </c>
      <c r="C32" s="480">
        <v>20441</v>
      </c>
      <c r="D32" s="467"/>
      <c r="E32" s="480">
        <v>20441</v>
      </c>
      <c r="F32" s="467"/>
      <c r="G32" s="493">
        <f>-'Exhibit H'!AA69</f>
        <v>21500.6</v>
      </c>
      <c r="H32" s="467"/>
      <c r="I32" s="467">
        <f>G32-C32</f>
        <v>1059.5999999999985</v>
      </c>
      <c r="J32" s="467"/>
      <c r="K32" s="467">
        <f t="shared" si="2"/>
        <v>1059.5999999999985</v>
      </c>
      <c r="L32" s="479"/>
      <c r="N32" s="669"/>
      <c r="P32" s="669"/>
      <c r="Q32" s="681"/>
    </row>
    <row r="33" spans="1:24" ht="18" customHeight="1">
      <c r="A33" s="118" t="s">
        <v>115</v>
      </c>
      <c r="B33" s="101" t="s">
        <v>14</v>
      </c>
      <c r="C33" s="143">
        <f>ROUND(SUM(C30:C32),1)</f>
        <v>21536</v>
      </c>
      <c r="D33" s="42"/>
      <c r="E33" s="143">
        <f>ROUND(SUM(E30:E32),1)</f>
        <v>21536</v>
      </c>
      <c r="F33" s="42"/>
      <c r="G33" s="143">
        <f>ROUND(SUM(G30:G32),1)</f>
        <v>22098.7</v>
      </c>
      <c r="H33" s="42"/>
      <c r="I33" s="143">
        <f>ROUND(SUM(I30:I32),1)</f>
        <v>562.70000000000005</v>
      </c>
      <c r="J33" s="42"/>
      <c r="K33" s="143">
        <f>ROUND(SUM(K30:K32),1)</f>
        <v>562.70000000000005</v>
      </c>
      <c r="L33" s="479"/>
      <c r="M33" s="101"/>
      <c r="N33" s="101"/>
      <c r="O33" s="101"/>
      <c r="P33" s="101"/>
      <c r="Q33" s="101"/>
      <c r="R33" s="101"/>
      <c r="S33" s="101"/>
      <c r="T33" s="101"/>
      <c r="U33" s="101"/>
      <c r="V33" s="101"/>
      <c r="W33" s="101"/>
      <c r="X33" s="101"/>
    </row>
    <row r="34" spans="1:24">
      <c r="C34" s="497"/>
      <c r="D34" s="467"/>
      <c r="E34" s="497"/>
      <c r="F34" s="467"/>
      <c r="G34" s="497"/>
      <c r="H34" s="467"/>
      <c r="I34" s="497"/>
      <c r="J34" s="467"/>
      <c r="K34" s="497"/>
      <c r="L34" s="479"/>
    </row>
    <row r="35" spans="1:24" ht="15.75">
      <c r="A35" s="19" t="s">
        <v>116</v>
      </c>
      <c r="C35" s="467"/>
      <c r="D35" s="467"/>
      <c r="E35" s="467"/>
      <c r="F35" s="467"/>
      <c r="G35" s="467"/>
      <c r="H35" s="467"/>
      <c r="I35" s="467"/>
      <c r="J35" s="467"/>
      <c r="K35" s="467"/>
      <c r="L35" s="479"/>
    </row>
    <row r="36" spans="1:24" ht="15.75">
      <c r="A36" s="19" t="s">
        <v>117</v>
      </c>
      <c r="C36" s="467"/>
      <c r="D36" s="467"/>
      <c r="E36" s="467"/>
      <c r="F36" s="467"/>
      <c r="G36" s="467"/>
      <c r="H36" s="467"/>
      <c r="I36" s="467"/>
      <c r="J36" s="467"/>
      <c r="K36" s="467"/>
      <c r="L36" s="479"/>
    </row>
    <row r="37" spans="1:24" ht="15.75">
      <c r="A37" s="118" t="s">
        <v>100</v>
      </c>
      <c r="B37" s="665" t="s">
        <v>14</v>
      </c>
      <c r="C37" s="42">
        <f>C27-C33</f>
        <v>176</v>
      </c>
      <c r="D37" s="57"/>
      <c r="E37" s="42">
        <f>E27-E33</f>
        <v>176</v>
      </c>
      <c r="F37" s="57"/>
      <c r="G37" s="42">
        <f>ROUND(SUM(G27)-SUM(G33),1)</f>
        <v>33.799999999999997</v>
      </c>
      <c r="H37" s="57"/>
      <c r="I37" s="42">
        <f>ROUND(SUM(I27)-SUM(I33),1)</f>
        <v>-142.19999999999999</v>
      </c>
      <c r="J37" s="57"/>
      <c r="K37" s="42">
        <f>ROUND(SUM(K27)-SUM(K33),1)</f>
        <v>-142.19999999999999</v>
      </c>
      <c r="L37" s="479"/>
      <c r="M37" s="119"/>
      <c r="N37" s="101"/>
      <c r="O37" s="119"/>
      <c r="P37" s="101"/>
      <c r="Q37" s="101"/>
      <c r="R37" s="119"/>
      <c r="S37" s="101"/>
      <c r="T37" s="101"/>
      <c r="U37" s="119"/>
      <c r="V37" s="101"/>
      <c r="W37" s="119"/>
      <c r="X37" s="101"/>
    </row>
    <row r="38" spans="1:24" ht="15" customHeight="1">
      <c r="C38" s="467"/>
      <c r="D38" s="467"/>
      <c r="E38" s="467"/>
      <c r="F38" s="467"/>
      <c r="G38" s="467"/>
      <c r="H38" s="467"/>
      <c r="I38" s="467"/>
      <c r="J38" s="467"/>
      <c r="K38" s="467"/>
      <c r="L38" s="479"/>
    </row>
    <row r="39" spans="1:24" ht="15.75">
      <c r="A39" s="118" t="str">
        <f>'Exh D-Governmental  '!A49</f>
        <v>Fund Balances (Deficits) at April 1</v>
      </c>
      <c r="B39" s="454" t="s">
        <v>14</v>
      </c>
      <c r="C39" s="42">
        <v>159</v>
      </c>
      <c r="D39" s="467"/>
      <c r="E39" s="42">
        <f>C39</f>
        <v>159</v>
      </c>
      <c r="F39" s="467"/>
      <c r="G39" s="42">
        <f>'Exhibit H'!AA12</f>
        <v>159.4</v>
      </c>
      <c r="H39" s="467"/>
      <c r="I39" s="42">
        <f>G39-C39</f>
        <v>0.40000000000000568</v>
      </c>
      <c r="J39" s="467"/>
      <c r="K39" s="42">
        <f>+G39-E39</f>
        <v>0.40000000000000568</v>
      </c>
      <c r="L39" s="479"/>
    </row>
    <row r="40" spans="1:24" ht="18" customHeight="1" thickBot="1">
      <c r="A40" s="118" t="str">
        <f>+'Exh D-Governmental  '!A50</f>
        <v xml:space="preserve">Fund Balances (Deficits) at September 30, 2023 </v>
      </c>
      <c r="B40" s="121" t="s">
        <v>14</v>
      </c>
      <c r="C40" s="69">
        <f>ROUND(SUM(C37:C39),1)</f>
        <v>335</v>
      </c>
      <c r="D40" s="122"/>
      <c r="E40" s="69">
        <f>ROUND(SUM(E37:E39),1)</f>
        <v>335</v>
      </c>
      <c r="F40" s="122"/>
      <c r="G40" s="69">
        <f>ROUND(SUM(G37:G39),1)</f>
        <v>193.2</v>
      </c>
      <c r="H40" s="122"/>
      <c r="I40" s="69">
        <f>ROUND(SUM(I37:I39),1)</f>
        <v>-141.80000000000001</v>
      </c>
      <c r="K40" s="69">
        <f>ROUND(SUM(K37:K39),1)</f>
        <v>-141.80000000000001</v>
      </c>
      <c r="L40" s="479"/>
    </row>
    <row r="41" spans="1:24" ht="15" customHeight="1" thickTop="1">
      <c r="A41" s="104"/>
      <c r="C41" s="498"/>
      <c r="D41" s="479"/>
      <c r="E41" s="498"/>
      <c r="F41" s="479"/>
      <c r="G41" s="479"/>
      <c r="H41" s="479"/>
      <c r="I41" s="479"/>
      <c r="K41" s="479"/>
    </row>
    <row r="42" spans="1:24">
      <c r="A42" s="674" t="str">
        <f>'Exh D-Governmental  '!A52</f>
        <v xml:space="preserve">(*)    Source: 2023-24 Enacted Financial Plan dated June 9, 2023. </v>
      </c>
    </row>
    <row r="43" spans="1:24">
      <c r="A43" s="674" t="str">
        <f>'Exh D-Governmental  '!A53</f>
        <v>(**)   Source: 2023-24 First Quarter Update dated July 27, 2023, which made no changes to the Enacted Financial Plan.</v>
      </c>
    </row>
    <row r="44" spans="1:24">
      <c r="A44" s="594"/>
    </row>
    <row r="45" spans="1:24">
      <c r="A45" s="594"/>
    </row>
    <row r="47" spans="1:24">
      <c r="A47" s="137"/>
    </row>
    <row r="48" spans="1:24">
      <c r="A48" s="137"/>
    </row>
  </sheetData>
  <mergeCells count="2">
    <mergeCell ref="C11:I11"/>
    <mergeCell ref="A5:E5"/>
  </mergeCells>
  <printOptions horizontalCentered="1"/>
  <pageMargins left="0.75" right="0.75" top="0.75" bottom="0.75" header="0.5" footer="0.25"/>
  <pageSetup scale="76" firstPageNumber="12" orientation="landscape" useFirstPageNumber="1" r:id="rId1"/>
  <headerFooter scaleWithDoc="0" alignWithMargins="0">
    <oddFooter>&amp;C&amp;8&amp;P</oddFooter>
  </headerFooter>
  <customProperties>
    <customPr name="SheetOptions"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AH47"/>
  <sheetViews>
    <sheetView showGridLines="0" zoomScale="90" zoomScaleNormal="110" workbookViewId="0"/>
  </sheetViews>
  <sheetFormatPr defaultColWidth="8.88671875" defaultRowHeight="15"/>
  <cols>
    <col min="1" max="1" width="54" style="499" customWidth="1"/>
    <col min="2" max="2" width="2.109375" style="454" customWidth="1"/>
    <col min="3" max="3" width="18.109375" style="302" bestFit="1" customWidth="1"/>
    <col min="4" max="4" width="0.88671875" style="454" customWidth="1"/>
    <col min="5" max="5" width="15.44140625" style="302" customWidth="1"/>
    <col min="6" max="6" width="0.88671875" style="454" customWidth="1"/>
    <col min="7" max="7" width="14" style="454" customWidth="1"/>
    <col min="8" max="8" width="1.44140625" style="454" customWidth="1"/>
    <col min="9" max="9" width="15" style="454" customWidth="1"/>
    <col min="10" max="10" width="1.5546875" style="454" customWidth="1"/>
    <col min="11" max="11" width="15" style="454" customWidth="1"/>
    <col min="12" max="12" width="1" style="454" customWidth="1"/>
    <col min="13" max="13" width="15.109375" style="454" customWidth="1"/>
    <col min="14" max="14" width="1" style="454" customWidth="1"/>
    <col min="15" max="15" width="14" style="454" customWidth="1"/>
    <col min="16" max="19" width="8.88671875" style="454"/>
    <col min="20" max="16384" width="8.88671875" style="499"/>
  </cols>
  <sheetData>
    <row r="1" spans="1:34">
      <c r="A1" s="468" t="s">
        <v>841</v>
      </c>
    </row>
    <row r="2" spans="1:34" ht="16.5">
      <c r="A2" s="126"/>
      <c r="B2" s="127"/>
      <c r="C2" s="298"/>
      <c r="D2" s="127"/>
      <c r="E2" s="298"/>
      <c r="F2" s="127"/>
      <c r="G2" s="127"/>
      <c r="H2" s="127"/>
      <c r="I2" s="127"/>
      <c r="J2" s="127"/>
      <c r="K2" s="127"/>
      <c r="L2" s="127"/>
      <c r="M2" s="127"/>
    </row>
    <row r="3" spans="1:34" ht="19.5" customHeight="1">
      <c r="A3" s="129" t="s">
        <v>0</v>
      </c>
      <c r="B3" s="94"/>
      <c r="C3" s="299"/>
      <c r="D3" s="94"/>
      <c r="E3" s="299"/>
      <c r="F3" s="94"/>
      <c r="G3" s="94"/>
      <c r="H3" s="94"/>
      <c r="I3" s="94"/>
      <c r="J3" s="94"/>
      <c r="K3" s="94"/>
      <c r="L3" s="94"/>
      <c r="M3" s="596"/>
      <c r="O3" s="596" t="s">
        <v>81</v>
      </c>
    </row>
    <row r="4" spans="1:34" ht="19.5" customHeight="1">
      <c r="A4" s="129" t="s">
        <v>80</v>
      </c>
      <c r="B4" s="94"/>
      <c r="C4" s="299"/>
      <c r="D4" s="94"/>
      <c r="E4" s="299"/>
      <c r="F4" s="94"/>
      <c r="G4" s="94"/>
      <c r="H4" s="94"/>
      <c r="I4" s="94"/>
      <c r="J4" s="94"/>
      <c r="K4" s="94"/>
      <c r="L4" s="94"/>
      <c r="M4" s="597"/>
      <c r="O4" s="597"/>
    </row>
    <row r="5" spans="1:34" ht="19.5" customHeight="1">
      <c r="A5" s="2325" t="str">
        <f>'Exh D-Governmental  '!A5:E5</f>
        <v>FISCAL YEAR 2023-2024</v>
      </c>
      <c r="B5" s="2326"/>
      <c r="C5" s="2326"/>
      <c r="D5" s="2326"/>
      <c r="E5" s="2326"/>
      <c r="F5" s="94"/>
      <c r="G5" s="94"/>
      <c r="H5" s="94"/>
      <c r="I5" s="94"/>
      <c r="J5" s="94"/>
      <c r="K5" s="94"/>
      <c r="L5" s="94"/>
      <c r="M5" s="94"/>
    </row>
    <row r="6" spans="1:34" ht="19.5" customHeight="1">
      <c r="A6" s="967" t="str">
        <f>+'Exh D-Governmental  '!A6</f>
        <v xml:space="preserve">FOR SIX MONTHS ENDED SEPTEMBER 30, 2023    </v>
      </c>
      <c r="B6" s="94"/>
      <c r="C6" s="299"/>
      <c r="D6" s="94"/>
      <c r="E6" s="299"/>
      <c r="F6" s="94"/>
      <c r="G6" s="94"/>
      <c r="H6" s="94"/>
      <c r="I6" s="94"/>
      <c r="J6" s="94"/>
      <c r="K6" s="94"/>
      <c r="L6" s="94"/>
      <c r="M6" s="94"/>
      <c r="N6" s="94"/>
      <c r="O6" s="94"/>
      <c r="P6" s="94"/>
      <c r="Q6" s="94"/>
      <c r="R6" s="94"/>
      <c r="S6" s="94"/>
      <c r="T6" s="94"/>
      <c r="U6" s="94"/>
      <c r="V6" s="94"/>
      <c r="W6" s="94"/>
      <c r="X6" s="94"/>
      <c r="Y6" s="94"/>
      <c r="Z6" s="94"/>
      <c r="AA6" s="94"/>
      <c r="AB6" s="94"/>
      <c r="AC6" s="454"/>
      <c r="AD6" s="454"/>
      <c r="AE6" s="454"/>
      <c r="AF6" s="454"/>
      <c r="AG6" s="454"/>
      <c r="AH6" s="454"/>
    </row>
    <row r="7" spans="1:34" ht="19.5" customHeight="1">
      <c r="A7" s="129" t="s">
        <v>1200</v>
      </c>
      <c r="B7" s="94"/>
      <c r="C7" s="299"/>
      <c r="D7" s="94"/>
      <c r="E7" s="299"/>
      <c r="F7" s="94"/>
      <c r="G7" s="94"/>
      <c r="H7" s="94"/>
      <c r="I7" s="94"/>
      <c r="J7" s="94"/>
      <c r="K7" s="94"/>
      <c r="L7" s="94"/>
      <c r="M7" s="94"/>
    </row>
    <row r="8" spans="1:34" ht="18">
      <c r="A8" s="99"/>
      <c r="B8" s="94"/>
      <c r="C8" s="299"/>
      <c r="D8" s="94"/>
      <c r="E8" s="299"/>
      <c r="F8" s="94"/>
      <c r="G8" s="94"/>
      <c r="H8" s="94"/>
      <c r="I8" s="94"/>
      <c r="J8" s="94"/>
      <c r="K8" s="94"/>
      <c r="L8" s="94"/>
      <c r="M8" s="94"/>
    </row>
    <row r="9" spans="1:34">
      <c r="A9" s="100"/>
      <c r="B9" s="94"/>
      <c r="C9" s="299"/>
      <c r="D9" s="94"/>
      <c r="E9" s="299"/>
      <c r="F9" s="94"/>
      <c r="G9" s="94"/>
      <c r="H9" s="94"/>
      <c r="I9" s="94"/>
      <c r="J9" s="94"/>
      <c r="K9" s="94"/>
      <c r="L9" s="94"/>
      <c r="M9" s="94"/>
    </row>
    <row r="10" spans="1:34">
      <c r="A10" s="100"/>
      <c r="B10" s="94"/>
      <c r="C10" s="299"/>
      <c r="D10" s="94"/>
      <c r="E10" s="299"/>
      <c r="F10" s="94"/>
      <c r="G10" s="94"/>
      <c r="H10" s="94"/>
      <c r="I10" s="94"/>
      <c r="J10" s="94"/>
      <c r="K10" s="94"/>
      <c r="L10" s="94"/>
      <c r="M10" s="94"/>
    </row>
    <row r="11" spans="1:34" ht="15.75">
      <c r="B11" s="101"/>
      <c r="C11" s="808"/>
      <c r="D11" s="805"/>
      <c r="E11" s="808"/>
      <c r="F11" s="812"/>
      <c r="G11" s="554"/>
      <c r="H11" s="812"/>
      <c r="I11" s="554" t="s">
        <v>997</v>
      </c>
      <c r="J11" s="1059"/>
      <c r="K11" s="1059"/>
      <c r="L11" s="1059"/>
      <c r="M11" s="812"/>
      <c r="N11" s="806"/>
      <c r="O11" s="806"/>
    </row>
    <row r="12" spans="1:34" ht="15.75">
      <c r="B12" s="101"/>
      <c r="C12" s="101"/>
      <c r="D12" s="101"/>
      <c r="E12" s="101"/>
      <c r="F12" s="101"/>
      <c r="G12" s="101"/>
      <c r="H12" s="101"/>
      <c r="I12" s="101"/>
      <c r="J12" s="101"/>
      <c r="K12" s="101"/>
      <c r="L12" s="101"/>
      <c r="M12" s="102" t="s">
        <v>82</v>
      </c>
      <c r="N12" s="102"/>
      <c r="O12" s="102" t="s">
        <v>82</v>
      </c>
    </row>
    <row r="13" spans="1:34" ht="15.75">
      <c r="B13" s="101"/>
      <c r="C13" s="101"/>
      <c r="D13" s="101"/>
      <c r="E13" s="101"/>
      <c r="F13" s="101"/>
      <c r="G13" s="101"/>
      <c r="H13" s="101"/>
      <c r="I13" s="101"/>
      <c r="J13" s="101"/>
      <c r="K13" s="101"/>
      <c r="L13" s="101"/>
      <c r="M13" s="102" t="s">
        <v>758</v>
      </c>
      <c r="N13" s="102"/>
      <c r="O13" s="102" t="s">
        <v>758</v>
      </c>
    </row>
    <row r="14" spans="1:34" ht="15.75">
      <c r="B14" s="101"/>
      <c r="C14" s="103" t="s">
        <v>944</v>
      </c>
      <c r="D14" s="101"/>
      <c r="E14" s="102" t="s">
        <v>945</v>
      </c>
      <c r="F14" s="101"/>
      <c r="G14" s="101"/>
      <c r="H14" s="101"/>
      <c r="I14" s="101"/>
      <c r="J14" s="101"/>
      <c r="K14" s="101"/>
      <c r="L14" s="101"/>
      <c r="M14" s="102" t="s">
        <v>83</v>
      </c>
      <c r="N14" s="102"/>
      <c r="O14" s="102" t="s">
        <v>83</v>
      </c>
    </row>
    <row r="15" spans="1:34" ht="15.75" customHeight="1">
      <c r="B15" s="101"/>
      <c r="C15" s="102" t="s">
        <v>980</v>
      </c>
      <c r="D15" s="101"/>
      <c r="E15" s="102" t="s">
        <v>980</v>
      </c>
      <c r="F15" s="101"/>
      <c r="G15" s="101"/>
      <c r="H15" s="101"/>
      <c r="I15" s="101"/>
      <c r="J15" s="101"/>
      <c r="K15" s="101"/>
      <c r="L15" s="101"/>
      <c r="M15" s="102" t="s">
        <v>944</v>
      </c>
      <c r="N15" s="102"/>
      <c r="O15" s="102" t="s">
        <v>945</v>
      </c>
    </row>
    <row r="16" spans="1:34" ht="15.75">
      <c r="B16" s="101"/>
      <c r="C16" s="102" t="s">
        <v>981</v>
      </c>
      <c r="D16" s="101"/>
      <c r="E16" s="102" t="s">
        <v>1478</v>
      </c>
      <c r="F16" s="101"/>
      <c r="G16" s="103" t="s">
        <v>82</v>
      </c>
      <c r="H16" s="101"/>
      <c r="I16" s="823" t="s">
        <v>1104</v>
      </c>
      <c r="J16" s="101"/>
      <c r="K16" s="823" t="s">
        <v>686</v>
      </c>
      <c r="L16" s="101"/>
      <c r="M16" s="102" t="s">
        <v>84</v>
      </c>
      <c r="N16" s="102"/>
      <c r="O16" s="102" t="s">
        <v>84</v>
      </c>
    </row>
    <row r="17" spans="1:34">
      <c r="A17" s="104"/>
      <c r="B17" s="94"/>
      <c r="C17" s="105"/>
      <c r="D17" s="94"/>
      <c r="E17" s="105"/>
      <c r="F17" s="94"/>
      <c r="G17" s="105"/>
      <c r="H17" s="94"/>
      <c r="I17" s="94"/>
      <c r="J17" s="94"/>
      <c r="K17" s="94"/>
      <c r="L17" s="94"/>
      <c r="M17" s="105"/>
      <c r="O17" s="105"/>
    </row>
    <row r="18" spans="1:34" ht="15.75">
      <c r="A18" s="19" t="s">
        <v>13</v>
      </c>
      <c r="C18" s="454"/>
      <c r="E18" s="454"/>
      <c r="G18" s="454" t="s">
        <v>14</v>
      </c>
    </row>
    <row r="19" spans="1:34">
      <c r="A19" s="594" t="s">
        <v>85</v>
      </c>
      <c r="B19" s="667" t="s">
        <v>14</v>
      </c>
      <c r="C19" s="479"/>
      <c r="D19" s="479"/>
      <c r="E19" s="479"/>
      <c r="F19" s="479"/>
      <c r="G19" s="683"/>
      <c r="H19" s="481"/>
      <c r="I19" s="481"/>
      <c r="J19" s="481"/>
      <c r="K19" s="481"/>
      <c r="L19" s="481"/>
      <c r="M19" s="479"/>
      <c r="O19" s="479"/>
      <c r="T19" s="454"/>
      <c r="U19" s="454"/>
      <c r="V19" s="454"/>
      <c r="W19" s="454"/>
      <c r="X19" s="454"/>
      <c r="Y19" s="454"/>
      <c r="Z19" s="454"/>
      <c r="AA19" s="454"/>
      <c r="AB19" s="454"/>
      <c r="AC19" s="454"/>
      <c r="AD19" s="454"/>
      <c r="AE19" s="454"/>
      <c r="AF19" s="454"/>
      <c r="AG19" s="454"/>
      <c r="AH19" s="454"/>
    </row>
    <row r="20" spans="1:34">
      <c r="A20" s="594" t="s">
        <v>87</v>
      </c>
      <c r="B20" s="454" t="s">
        <v>14</v>
      </c>
      <c r="C20" s="679">
        <f>'Exh D Captl Projects State Fed'!C20+'Exh D Captl Projects State Fed'!M20</f>
        <v>326</v>
      </c>
      <c r="D20" s="467"/>
      <c r="E20" s="679">
        <f>+'Exh D Captl Projects State Fed'!E20+'Exh D Captl Projects State Fed'!O20</f>
        <v>326</v>
      </c>
      <c r="F20" s="480"/>
      <c r="G20" s="679">
        <f>+'Exh D Captl Projects State Fed'!G20</f>
        <v>325.3</v>
      </c>
      <c r="H20" s="480"/>
      <c r="I20" s="679">
        <v>0</v>
      </c>
      <c r="J20" s="480"/>
      <c r="K20" s="1062">
        <f>+G20+I20</f>
        <v>325.3</v>
      </c>
      <c r="L20" s="480"/>
      <c r="M20" s="479">
        <f t="shared" ref="M20:M26" si="0">K20-C20</f>
        <v>-0.69999999999998863</v>
      </c>
      <c r="O20" s="479">
        <f t="shared" ref="O20:O26" si="1">K20-E20</f>
        <v>-0.69999999999998863</v>
      </c>
      <c r="T20" s="454"/>
      <c r="U20" s="454"/>
      <c r="V20" s="454"/>
      <c r="W20" s="454"/>
      <c r="X20" s="454"/>
      <c r="Y20" s="454"/>
      <c r="Z20" s="454"/>
      <c r="AA20" s="454"/>
      <c r="AB20" s="454"/>
      <c r="AC20" s="454"/>
      <c r="AD20" s="454"/>
      <c r="AE20" s="454"/>
      <c r="AF20" s="454"/>
      <c r="AG20" s="454"/>
      <c r="AH20" s="454"/>
    </row>
    <row r="21" spans="1:34">
      <c r="A21" s="594" t="s">
        <v>88</v>
      </c>
      <c r="B21" s="667" t="s">
        <v>14</v>
      </c>
      <c r="C21" s="495">
        <f>'Exh D Captl Projects State Fed'!C21+'Exh D Captl Projects State Fed'!M21</f>
        <v>321</v>
      </c>
      <c r="D21" s="467"/>
      <c r="E21" s="495">
        <f>+'Exh D Captl Projects State Fed'!E21+'Exh D Captl Projects State Fed'!O21</f>
        <v>321</v>
      </c>
      <c r="F21" s="480"/>
      <c r="G21" s="495">
        <f>+'Exh D Captl Projects State Fed'!G21</f>
        <v>332.6</v>
      </c>
      <c r="H21" s="480"/>
      <c r="I21" s="480">
        <v>0</v>
      </c>
      <c r="J21" s="480"/>
      <c r="K21" s="1063">
        <f t="shared" ref="K21:K26" si="2">+G21+I21</f>
        <v>332.6</v>
      </c>
      <c r="L21" s="480"/>
      <c r="M21" s="467">
        <f t="shared" si="0"/>
        <v>11.600000000000023</v>
      </c>
      <c r="N21" s="667"/>
      <c r="O21" s="467">
        <f t="shared" si="1"/>
        <v>11.600000000000023</v>
      </c>
      <c r="Q21" s="667"/>
      <c r="S21" s="667"/>
      <c r="T21" s="454"/>
      <c r="U21" s="454"/>
      <c r="V21" s="667"/>
      <c r="W21" s="454"/>
      <c r="X21" s="454"/>
      <c r="Y21" s="667"/>
      <c r="Z21" s="136"/>
      <c r="AA21" s="667"/>
      <c r="AB21" s="454"/>
      <c r="AC21" s="454"/>
      <c r="AD21" s="454"/>
      <c r="AE21" s="454"/>
      <c r="AF21" s="454"/>
      <c r="AG21" s="454"/>
      <c r="AH21" s="454"/>
    </row>
    <row r="22" spans="1:34">
      <c r="A22" s="594" t="s">
        <v>89</v>
      </c>
      <c r="B22" s="454" t="s">
        <v>14</v>
      </c>
      <c r="C22" s="495">
        <f>'Exh D Captl Projects State Fed'!C22+'Exh D Captl Projects State Fed'!M22</f>
        <v>104</v>
      </c>
      <c r="D22" s="467"/>
      <c r="E22" s="495">
        <f>+'Exh D Captl Projects State Fed'!E22+'Exh D Captl Projects State Fed'!O22</f>
        <v>104</v>
      </c>
      <c r="F22" s="480"/>
      <c r="G22" s="495">
        <f>+'Exh D Captl Projects State Fed'!G22</f>
        <v>102.9</v>
      </c>
      <c r="H22" s="480"/>
      <c r="I22" s="480">
        <v>0</v>
      </c>
      <c r="J22" s="480"/>
      <c r="K22" s="1063">
        <f>+G22+I22</f>
        <v>102.9</v>
      </c>
      <c r="L22" s="480"/>
      <c r="M22" s="467">
        <f t="shared" si="0"/>
        <v>-1.0999999999999943</v>
      </c>
      <c r="O22" s="467">
        <f t="shared" si="1"/>
        <v>-1.0999999999999943</v>
      </c>
      <c r="T22" s="454"/>
      <c r="U22" s="454"/>
      <c r="V22" s="454"/>
      <c r="W22" s="454"/>
      <c r="X22" s="454"/>
      <c r="Y22" s="454"/>
      <c r="Z22" s="454"/>
      <c r="AA22" s="454"/>
      <c r="AB22" s="454"/>
      <c r="AC22" s="454"/>
      <c r="AD22" s="454"/>
      <c r="AE22" s="454"/>
      <c r="AF22" s="454"/>
      <c r="AG22" s="454"/>
      <c r="AH22" s="454"/>
    </row>
    <row r="23" spans="1:34">
      <c r="A23" s="594" t="s">
        <v>19</v>
      </c>
      <c r="B23" s="454" t="s">
        <v>14</v>
      </c>
      <c r="C23" s="495">
        <f>'Exh D Captl Projects State Fed'!C23+'Exh D Captl Projects State Fed'!M23</f>
        <v>3779</v>
      </c>
      <c r="D23" s="467"/>
      <c r="E23" s="495">
        <f>+'Exh D Captl Projects State Fed'!E23+'Exh D Captl Projects State Fed'!O23</f>
        <v>3779</v>
      </c>
      <c r="F23" s="467"/>
      <c r="G23" s="467">
        <f>+'Exh D Captl Projects State Fed'!G23+'Exh D Captl Projects State Fed'!Q23</f>
        <v>3439.5</v>
      </c>
      <c r="H23" s="467"/>
      <c r="I23" s="467">
        <v>0</v>
      </c>
      <c r="J23" s="467"/>
      <c r="K23" s="1063">
        <f t="shared" si="2"/>
        <v>3439.5</v>
      </c>
      <c r="L23" s="467"/>
      <c r="M23" s="467">
        <f t="shared" si="0"/>
        <v>-339.5</v>
      </c>
      <c r="O23" s="467">
        <f t="shared" si="1"/>
        <v>-339.5</v>
      </c>
    </row>
    <row r="24" spans="1:34">
      <c r="A24" s="594" t="s">
        <v>20</v>
      </c>
      <c r="B24" s="454" t="s">
        <v>14</v>
      </c>
      <c r="C24" s="495">
        <f>'Exh D Captl Projects State Fed'!C24+'Exh D Captl Projects State Fed'!M24</f>
        <v>1698</v>
      </c>
      <c r="D24" s="467"/>
      <c r="E24" s="495">
        <f>+'Exh D Captl Projects State Fed'!E24+'Exh D Captl Projects State Fed'!O24</f>
        <v>1698</v>
      </c>
      <c r="F24" s="467"/>
      <c r="G24" s="467">
        <f>+'Exh D Captl Projects State Fed'!G24+'Exh D Captl Projects State Fed'!Q24</f>
        <v>1433</v>
      </c>
      <c r="H24" s="467"/>
      <c r="I24" s="467">
        <v>0</v>
      </c>
      <c r="J24" s="467"/>
      <c r="K24" s="1063">
        <f t="shared" si="2"/>
        <v>1433</v>
      </c>
      <c r="L24" s="467"/>
      <c r="M24" s="467">
        <f t="shared" si="0"/>
        <v>-265</v>
      </c>
      <c r="O24" s="467">
        <f t="shared" si="1"/>
        <v>-265</v>
      </c>
    </row>
    <row r="25" spans="1:34">
      <c r="A25" s="594" t="s">
        <v>95</v>
      </c>
      <c r="B25" s="454" t="s">
        <v>14</v>
      </c>
      <c r="C25" s="495">
        <f>'Exh D Captl Projects State Fed'!C25+'Exh D Captl Projects State Fed'!M25</f>
        <v>0</v>
      </c>
      <c r="D25" s="647"/>
      <c r="E25" s="495">
        <f>+'Exh D Captl Projects State Fed'!E25+'Exh D Captl Projects State Fed'!O25</f>
        <v>0</v>
      </c>
      <c r="F25" s="467"/>
      <c r="G25" s="480">
        <f>+'Exh D Captl Projects State Fed'!G25+'Exh D Captl Projects State Fed'!Q25</f>
        <v>0</v>
      </c>
      <c r="H25" s="467"/>
      <c r="I25" s="467">
        <v>0</v>
      </c>
      <c r="J25" s="467"/>
      <c r="K25" s="480">
        <f t="shared" si="2"/>
        <v>0</v>
      </c>
      <c r="L25" s="467"/>
      <c r="M25" s="467">
        <f t="shared" si="0"/>
        <v>0</v>
      </c>
      <c r="O25" s="467">
        <f t="shared" si="1"/>
        <v>0</v>
      </c>
    </row>
    <row r="26" spans="1:34">
      <c r="A26" s="594" t="s">
        <v>46</v>
      </c>
      <c r="B26" s="454" t="s">
        <v>14</v>
      </c>
      <c r="C26" s="495">
        <f>'Exh D Captl Projects State Fed'!C26+'Exh D Captl Projects State Fed'!M26</f>
        <v>1347</v>
      </c>
      <c r="D26" s="467"/>
      <c r="E26" s="495">
        <f>+'Exh D Captl Projects State Fed'!E26+'Exh D Captl Projects State Fed'!O26</f>
        <v>1347</v>
      </c>
      <c r="F26" s="467"/>
      <c r="G26" s="493">
        <f>+'Exh D Captl Projects State Fed'!G26+'Exh D Captl Projects State Fed'!Q26</f>
        <v>583.79999999999995</v>
      </c>
      <c r="H26" s="467"/>
      <c r="I26" s="467">
        <f>'Exhibit I'!AC93</f>
        <v>0</v>
      </c>
      <c r="J26" s="467"/>
      <c r="K26" s="1063">
        <f t="shared" si="2"/>
        <v>583.79999999999995</v>
      </c>
      <c r="L26" s="467"/>
      <c r="M26" s="467">
        <f t="shared" si="0"/>
        <v>-763.2</v>
      </c>
      <c r="O26" s="467">
        <f t="shared" si="1"/>
        <v>-763.2</v>
      </c>
    </row>
    <row r="27" spans="1:34" ht="18" customHeight="1">
      <c r="A27" s="118" t="s">
        <v>106</v>
      </c>
      <c r="B27" s="101" t="s">
        <v>14</v>
      </c>
      <c r="C27" s="1160">
        <f>ROUND(SUM(C20:C26),1)</f>
        <v>7575</v>
      </c>
      <c r="D27" s="42"/>
      <c r="E27" s="1160">
        <f>ROUND(SUM(E20:E26),1)</f>
        <v>7575</v>
      </c>
      <c r="F27" s="42"/>
      <c r="G27" s="143">
        <f>ROUND(SUM(G20:G26),1)</f>
        <v>6217.1</v>
      </c>
      <c r="H27" s="42"/>
      <c r="I27" s="1006">
        <f>ROUND(SUM(I20:I26),1)</f>
        <v>0</v>
      </c>
      <c r="J27" s="42"/>
      <c r="K27" s="1006">
        <f>ROUND(SUM(K20:K26),1)</f>
        <v>6217.1</v>
      </c>
      <c r="L27" s="42"/>
      <c r="M27" s="143">
        <f>ROUND(SUM(M20:M26),1)</f>
        <v>-1357.9</v>
      </c>
      <c r="O27" s="143">
        <f>ROUND(SUM(O20:O26),1)</f>
        <v>-1357.9</v>
      </c>
    </row>
    <row r="28" spans="1:34">
      <c r="B28" s="454" t="s">
        <v>14</v>
      </c>
      <c r="C28" s="1158"/>
      <c r="D28" s="467"/>
      <c r="E28" s="1158"/>
      <c r="F28" s="467"/>
      <c r="G28" s="497"/>
      <c r="H28" s="467"/>
      <c r="I28" s="467"/>
      <c r="J28" s="467"/>
      <c r="K28" s="467"/>
      <c r="L28" s="467"/>
      <c r="M28" s="497" t="s">
        <v>14</v>
      </c>
      <c r="O28" s="497" t="s">
        <v>14</v>
      </c>
    </row>
    <row r="29" spans="1:34" ht="15.75">
      <c r="A29" s="19" t="s">
        <v>22</v>
      </c>
      <c r="B29" s="454" t="s">
        <v>14</v>
      </c>
      <c r="C29" s="467"/>
      <c r="D29" s="467"/>
      <c r="E29" s="467"/>
      <c r="F29" s="467"/>
      <c r="G29" s="467"/>
      <c r="H29" s="467"/>
      <c r="I29" s="467"/>
      <c r="J29" s="467"/>
      <c r="K29" s="467"/>
      <c r="L29" s="467"/>
      <c r="M29" s="467"/>
      <c r="O29" s="467"/>
    </row>
    <row r="30" spans="1:34">
      <c r="A30" s="594" t="s">
        <v>91</v>
      </c>
      <c r="B30" s="454" t="s">
        <v>14</v>
      </c>
      <c r="C30" s="495">
        <f>'Exh D Captl Projects State Fed'!C30+'Exh D Captl Projects State Fed'!M30</f>
        <v>2419</v>
      </c>
      <c r="D30" s="467"/>
      <c r="E30" s="495">
        <f>+'Exh D Captl Projects State Fed'!E30+'Exh D Captl Projects State Fed'!O30</f>
        <v>2419</v>
      </c>
      <c r="F30" s="467"/>
      <c r="G30" s="467">
        <f>+'Exh D Captl Projects State Fed'!G30+'Exh D Captl Projects State Fed'!Q30</f>
        <v>2340.1999999999998</v>
      </c>
      <c r="H30" s="467"/>
      <c r="I30" s="467">
        <v>0</v>
      </c>
      <c r="J30" s="467"/>
      <c r="K30" s="1063">
        <f>+G30+I30</f>
        <v>2340.1999999999998</v>
      </c>
      <c r="L30" s="467"/>
      <c r="M30" s="467">
        <f>K30-C30</f>
        <v>-78.800000000000182</v>
      </c>
      <c r="O30" s="467">
        <f>K30-E30</f>
        <v>-78.800000000000182</v>
      </c>
    </row>
    <row r="31" spans="1:34">
      <c r="A31" s="594" t="s">
        <v>41</v>
      </c>
      <c r="B31" s="454" t="s">
        <v>14</v>
      </c>
      <c r="C31" s="495">
        <f>'Exh D Captl Projects State Fed'!C31+'Exh D Captl Projects State Fed'!M31</f>
        <v>5540</v>
      </c>
      <c r="D31" s="647"/>
      <c r="E31" s="495">
        <f>+'Exh D Captl Projects State Fed'!E31+'Exh D Captl Projects State Fed'!O31</f>
        <v>5540</v>
      </c>
      <c r="F31" s="467"/>
      <c r="G31" s="467">
        <f>+'Exh D Captl Projects State Fed'!G31+'Exh D Captl Projects State Fed'!Q31</f>
        <v>4196.8999999999996</v>
      </c>
      <c r="H31" s="467"/>
      <c r="I31" s="467">
        <v>0</v>
      </c>
      <c r="J31" s="467"/>
      <c r="K31" s="1063">
        <f>+G31+I31</f>
        <v>4196.8999999999996</v>
      </c>
      <c r="L31" s="467"/>
      <c r="M31" s="467">
        <f>K31-C31</f>
        <v>-1343.1000000000004</v>
      </c>
      <c r="O31" s="467">
        <f>K31-E31</f>
        <v>-1343.1000000000004</v>
      </c>
    </row>
    <row r="32" spans="1:34">
      <c r="A32" s="594" t="s">
        <v>96</v>
      </c>
      <c r="B32" s="454" t="s">
        <v>14</v>
      </c>
      <c r="C32" s="495">
        <f>'Exh D Captl Projects State Fed'!C32+'Exh D Captl Projects State Fed'!M32</f>
        <v>251</v>
      </c>
      <c r="D32" s="467"/>
      <c r="E32" s="495">
        <f>+'Exh D Captl Projects State Fed'!E32+'Exh D Captl Projects State Fed'!O32</f>
        <v>251</v>
      </c>
      <c r="F32" s="467"/>
      <c r="G32" s="467">
        <f>+'Exh D Captl Projects State Fed'!G32+'Exh D Captl Projects State Fed'!Q32</f>
        <v>55.2</v>
      </c>
      <c r="H32" s="467"/>
      <c r="I32" s="467">
        <f>-'Exhibit I'!AC94</f>
        <v>0</v>
      </c>
      <c r="J32" s="467"/>
      <c r="K32" s="1063">
        <f>+G32+I32</f>
        <v>55.2</v>
      </c>
      <c r="L32" s="467"/>
      <c r="M32" s="467">
        <f>K32-C32</f>
        <v>-195.8</v>
      </c>
      <c r="O32" s="467">
        <f>K32-E32</f>
        <v>-195.8</v>
      </c>
    </row>
    <row r="33" spans="1:34" ht="18" customHeight="1">
      <c r="A33" s="118" t="s">
        <v>115</v>
      </c>
      <c r="B33" s="101" t="s">
        <v>14</v>
      </c>
      <c r="C33" s="1160">
        <f>ROUND(SUM(C30:C32),1)</f>
        <v>8210</v>
      </c>
      <c r="D33" s="42"/>
      <c r="E33" s="1160">
        <f>ROUND(SUM(E30:E32),1)</f>
        <v>8210</v>
      </c>
      <c r="F33" s="42"/>
      <c r="G33" s="143">
        <f>ROUND(SUM(G30:G32),1)</f>
        <v>6592.3</v>
      </c>
      <c r="H33" s="42"/>
      <c r="I33" s="1006">
        <f>ROUND(SUM(I30:I32),1)</f>
        <v>0</v>
      </c>
      <c r="J33" s="42"/>
      <c r="K33" s="1006">
        <f>ROUND(SUM(K30:K32),1)</f>
        <v>6592.3</v>
      </c>
      <c r="L33" s="42"/>
      <c r="M33" s="143">
        <f>ROUND(SUM(M30:M32),1)</f>
        <v>-1617.7</v>
      </c>
      <c r="O33" s="143">
        <f>ROUND(SUM(O30:O32),1)</f>
        <v>-1617.7</v>
      </c>
    </row>
    <row r="34" spans="1:34">
      <c r="B34" s="454" t="s">
        <v>14</v>
      </c>
      <c r="C34" s="1158"/>
      <c r="D34" s="467"/>
      <c r="E34" s="1158"/>
      <c r="F34" s="467"/>
      <c r="G34" s="497"/>
      <c r="H34" s="467"/>
      <c r="I34" s="467"/>
      <c r="J34" s="467"/>
      <c r="K34" s="467"/>
      <c r="L34" s="467"/>
      <c r="M34" s="497"/>
      <c r="O34" s="497"/>
    </row>
    <row r="35" spans="1:34" ht="15.75">
      <c r="A35" s="19" t="s">
        <v>98</v>
      </c>
      <c r="C35" s="467"/>
      <c r="D35" s="467"/>
      <c r="E35" s="467"/>
      <c r="F35" s="467"/>
      <c r="G35" s="467"/>
      <c r="H35" s="467"/>
      <c r="I35" s="467"/>
      <c r="J35" s="467"/>
      <c r="K35" s="467"/>
      <c r="L35" s="467"/>
      <c r="M35" s="467"/>
      <c r="O35" s="467"/>
    </row>
    <row r="36" spans="1:34" ht="15.75">
      <c r="A36" s="19" t="s">
        <v>99</v>
      </c>
      <c r="C36" s="467"/>
      <c r="D36" s="467"/>
      <c r="E36" s="467"/>
      <c r="F36" s="467"/>
      <c r="G36" s="467"/>
      <c r="H36" s="467"/>
      <c r="I36" s="467"/>
      <c r="J36" s="467"/>
      <c r="K36" s="467"/>
      <c r="L36" s="467"/>
      <c r="M36" s="467"/>
      <c r="O36" s="467"/>
    </row>
    <row r="37" spans="1:34" ht="15.75">
      <c r="A37" s="118" t="s">
        <v>100</v>
      </c>
      <c r="B37" s="119"/>
      <c r="C37" s="42">
        <f>ROUND(SUM(C27)-SUM(C33),1)</f>
        <v>-635</v>
      </c>
      <c r="D37" s="42"/>
      <c r="E37" s="42">
        <f>ROUND(SUM(E27)-SUM(E33),1)</f>
        <v>-635</v>
      </c>
      <c r="F37" s="57"/>
      <c r="G37" s="42">
        <f>ROUND(SUM(G27)-SUM(G33),1)</f>
        <v>-375.2</v>
      </c>
      <c r="H37" s="57"/>
      <c r="I37" s="57">
        <v>0</v>
      </c>
      <c r="J37" s="57"/>
      <c r="K37" s="42">
        <f>ROUND(SUM(K27)-SUM(K33),1)</f>
        <v>-375.2</v>
      </c>
      <c r="L37" s="57"/>
      <c r="M37" s="42">
        <f>K37-C37</f>
        <v>259.8</v>
      </c>
      <c r="O37" s="42">
        <f>ROUND(SUM(O27)-SUM(O33),1)</f>
        <v>259.8</v>
      </c>
    </row>
    <row r="38" spans="1:34" ht="15.75">
      <c r="C38" s="467"/>
      <c r="D38" s="42"/>
      <c r="E38" s="467"/>
      <c r="F38" s="467"/>
      <c r="G38" s="467"/>
      <c r="H38" s="467"/>
      <c r="I38" s="467"/>
      <c r="J38" s="467"/>
      <c r="K38" s="467"/>
      <c r="L38" s="467"/>
      <c r="M38" s="467"/>
      <c r="O38" s="467"/>
    </row>
    <row r="39" spans="1:34" ht="15.75">
      <c r="A39" s="118" t="str">
        <f>+'Exh D-Governmental  '!A49</f>
        <v>Fund Balances (Deficits) at April 1</v>
      </c>
      <c r="B39" s="673" t="s">
        <v>14</v>
      </c>
      <c r="C39" s="83">
        <f>'Exh D Captl Projects State Fed'!C39+'Exh D Captl Projects State Fed'!M39</f>
        <v>-1594</v>
      </c>
      <c r="D39" s="42"/>
      <c r="E39" s="83">
        <f>+'Exh D Captl Projects State Fed'!E39+'Exh D Captl Projects State Fed'!O39</f>
        <v>-1594</v>
      </c>
      <c r="F39" s="467"/>
      <c r="G39" s="42">
        <f>'Exhibit I'!E15</f>
        <v>-1594.5</v>
      </c>
      <c r="H39" s="467"/>
      <c r="I39" s="42">
        <v>0</v>
      </c>
      <c r="J39" s="467"/>
      <c r="K39" s="1162">
        <f>+G39+I39</f>
        <v>-1594.5</v>
      </c>
      <c r="L39" s="467"/>
      <c r="M39" s="42">
        <f>K39-C39</f>
        <v>-0.5</v>
      </c>
      <c r="O39" s="691">
        <f>K39-E39</f>
        <v>-0.5</v>
      </c>
      <c r="T39" s="454"/>
      <c r="U39" s="454"/>
      <c r="V39" s="454"/>
      <c r="W39" s="454"/>
      <c r="X39" s="454"/>
      <c r="Y39" s="454"/>
      <c r="Z39" s="454"/>
      <c r="AA39" s="454"/>
      <c r="AB39" s="454"/>
      <c r="AC39" s="454"/>
      <c r="AD39" s="454"/>
      <c r="AE39" s="454"/>
      <c r="AF39" s="454"/>
      <c r="AG39" s="454"/>
      <c r="AH39" s="454"/>
    </row>
    <row r="40" spans="1:34" ht="16.5" thickBot="1">
      <c r="A40" s="118" t="str">
        <f>+'Exh D-Governmental  '!A50</f>
        <v xml:space="preserve">Fund Balances (Deficits) at September 30, 2023 </v>
      </c>
      <c r="B40" s="121" t="s">
        <v>14</v>
      </c>
      <c r="C40" s="69">
        <f>ROUND(SUM(C37:C39),1)</f>
        <v>-2229</v>
      </c>
      <c r="D40" s="65"/>
      <c r="E40" s="69">
        <f>ROUND(SUM(E37:E39),1)</f>
        <v>-2229</v>
      </c>
      <c r="F40" s="122"/>
      <c r="G40" s="69">
        <f>ROUND(SUM(G37:G39),1)</f>
        <v>-1969.7</v>
      </c>
      <c r="H40" s="122"/>
      <c r="I40" s="69">
        <f>ROUND(SUM(I37:I39),1)</f>
        <v>0</v>
      </c>
      <c r="J40" s="122"/>
      <c r="K40" s="69">
        <f>ROUND(SUM(K37:K39),1)</f>
        <v>-1969.7</v>
      </c>
      <c r="L40" s="122"/>
      <c r="M40" s="69">
        <f>ROUND(SUM(M37:M39),1)</f>
        <v>259.3</v>
      </c>
      <c r="O40" s="69">
        <f>ROUND(SUM(O37:O39),1)</f>
        <v>259.3</v>
      </c>
      <c r="T40" s="454"/>
      <c r="U40" s="454"/>
      <c r="V40" s="454"/>
      <c r="W40" s="454"/>
      <c r="X40" s="454"/>
      <c r="Y40" s="454"/>
      <c r="Z40" s="454"/>
      <c r="AA40" s="454"/>
      <c r="AB40" s="454"/>
      <c r="AC40" s="454"/>
      <c r="AD40" s="454"/>
      <c r="AE40" s="454"/>
      <c r="AF40" s="454"/>
      <c r="AG40" s="454"/>
      <c r="AH40" s="454"/>
    </row>
    <row r="41" spans="1:34" ht="15.75" thickTop="1">
      <c r="C41" s="454"/>
      <c r="E41" s="454"/>
      <c r="G41" s="472"/>
    </row>
    <row r="42" spans="1:34">
      <c r="A42" s="1299" t="str">
        <f>'Exh D-Governmental  '!A52</f>
        <v xml:space="preserve">(*)    Source: 2023-24 Enacted Financial Plan dated June 9, 2023. </v>
      </c>
    </row>
    <row r="43" spans="1:34">
      <c r="A43" s="1299" t="str">
        <f>'Exh D-Governmental  '!A53</f>
        <v>(**)   Source: 2023-24 First Quarter Update dated July 27, 2023, which made no changes to the Enacted Financial Plan.</v>
      </c>
      <c r="G43" s="669"/>
      <c r="M43" s="669"/>
      <c r="O43" s="681"/>
    </row>
    <row r="44" spans="1:34">
      <c r="A44" s="594"/>
    </row>
    <row r="45" spans="1:34">
      <c r="A45" s="594"/>
    </row>
    <row r="46" spans="1:34">
      <c r="A46" s="737"/>
    </row>
    <row r="47" spans="1:34">
      <c r="A47" s="124"/>
    </row>
  </sheetData>
  <mergeCells count="1">
    <mergeCell ref="A5:E5"/>
  </mergeCells>
  <printOptions horizontalCentered="1"/>
  <pageMargins left="0.7" right="0.7" top="0.75" bottom="0.75" header="0.3" footer="0.3"/>
  <pageSetup scale="60" firstPageNumber="13" orientation="landscape" useFirstPageNumber="1" r:id="rId1"/>
  <headerFooter scaleWithDoc="0" alignWithMargins="0">
    <oddFooter>&amp;C&amp;8&amp;P</oddFooter>
  </headerFooter>
  <customProperties>
    <customPr name="SheetOptions"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pageSetUpPr fitToPage="1"/>
  </sheetPr>
  <dimension ref="A1:AV52"/>
  <sheetViews>
    <sheetView showGridLines="0" zoomScale="90" zoomScaleNormal="110" workbookViewId="0"/>
  </sheetViews>
  <sheetFormatPr defaultColWidth="8.88671875" defaultRowHeight="15"/>
  <cols>
    <col min="1" max="1" width="51.88671875" style="499" customWidth="1"/>
    <col min="2" max="2" width="2.109375" style="454" customWidth="1"/>
    <col min="3" max="3" width="15.88671875" style="302" customWidth="1"/>
    <col min="4" max="4" width="1.109375" style="454" customWidth="1"/>
    <col min="5" max="5" width="15.88671875" style="302" customWidth="1"/>
    <col min="6" max="6" width="1.109375" style="454" customWidth="1"/>
    <col min="7" max="7" width="15.88671875" style="454" customWidth="1"/>
    <col min="8" max="8" width="0.88671875" style="454" customWidth="1"/>
    <col min="9" max="9" width="19.44140625" style="454" customWidth="1"/>
    <col min="10" max="10" width="1.109375" style="454" customWidth="1"/>
    <col min="11" max="11" width="19.44140625" style="454" customWidth="1"/>
    <col min="12" max="12" width="1.109375" style="454" customWidth="1"/>
    <col min="13" max="13" width="15.88671875" style="454" customWidth="1"/>
    <col min="14" max="14" width="1.109375" style="454" customWidth="1"/>
    <col min="15" max="15" width="15.88671875" style="454" customWidth="1"/>
    <col min="16" max="16" width="1.109375" style="454" customWidth="1"/>
    <col min="17" max="17" width="15.88671875" style="454" customWidth="1"/>
    <col min="18" max="18" width="1.109375" style="454" customWidth="1"/>
    <col min="19" max="19" width="15.88671875" style="454" customWidth="1"/>
    <col min="20" max="20" width="1.88671875" style="454" customWidth="1"/>
    <col min="21" max="21" width="15.88671875" style="302" customWidth="1"/>
    <col min="22" max="22" width="0.88671875" style="454" customWidth="1"/>
    <col min="23" max="23" width="15.88671875" style="302" customWidth="1"/>
    <col min="24" max="24" width="1.109375" style="454" customWidth="1"/>
    <col min="25" max="25" width="15.88671875" style="454" customWidth="1"/>
    <col min="26" max="26" width="1" style="454" customWidth="1"/>
    <col min="27" max="27" width="15.88671875" style="454" customWidth="1"/>
    <col min="28" max="28" width="3.88671875" style="454" bestFit="1" customWidth="1"/>
    <col min="29" max="33" width="8.88671875" style="454"/>
    <col min="34" max="16384" width="8.88671875" style="499"/>
  </cols>
  <sheetData>
    <row r="1" spans="1:48">
      <c r="A1" s="675" t="s">
        <v>841</v>
      </c>
    </row>
    <row r="2" spans="1:48" ht="16.5">
      <c r="A2" s="126"/>
      <c r="B2" s="127"/>
      <c r="C2" s="298"/>
      <c r="D2" s="127"/>
      <c r="E2" s="298"/>
      <c r="F2" s="127"/>
      <c r="G2" s="127"/>
      <c r="H2" s="127"/>
      <c r="I2" s="127"/>
      <c r="J2" s="127"/>
      <c r="K2" s="127"/>
      <c r="L2" s="127"/>
      <c r="M2" s="127"/>
      <c r="N2" s="127"/>
      <c r="O2" s="127"/>
      <c r="P2" s="127"/>
      <c r="Q2" s="127"/>
      <c r="R2" s="127"/>
      <c r="S2" s="127"/>
      <c r="T2" s="127"/>
      <c r="U2" s="298"/>
      <c r="V2" s="127"/>
      <c r="W2" s="298"/>
      <c r="X2" s="127"/>
      <c r="Y2" s="127"/>
      <c r="Z2" s="127"/>
      <c r="AA2" s="127"/>
    </row>
    <row r="3" spans="1:48" ht="20.25" customHeight="1">
      <c r="A3" s="129" t="s">
        <v>0</v>
      </c>
      <c r="B3" s="94"/>
      <c r="C3" s="299"/>
      <c r="D3" s="94"/>
      <c r="E3" s="299"/>
      <c r="F3" s="94"/>
      <c r="G3" s="94"/>
      <c r="H3" s="94"/>
      <c r="I3" s="94"/>
      <c r="J3" s="94"/>
      <c r="K3" s="94"/>
      <c r="L3" s="94"/>
      <c r="M3" s="94"/>
      <c r="N3" s="94"/>
      <c r="O3" s="94"/>
      <c r="P3" s="94"/>
      <c r="Q3" s="94"/>
      <c r="R3" s="94"/>
      <c r="S3" s="596"/>
      <c r="T3" s="94"/>
      <c r="U3" s="596" t="s">
        <v>81</v>
      </c>
      <c r="V3" s="94"/>
      <c r="W3" s="299"/>
      <c r="X3" s="94"/>
      <c r="Y3" s="94"/>
      <c r="Z3" s="94"/>
      <c r="AA3" s="596"/>
    </row>
    <row r="4" spans="1:48" ht="20.25" customHeight="1">
      <c r="A4" s="129" t="s">
        <v>1051</v>
      </c>
      <c r="B4" s="94"/>
      <c r="C4" s="299"/>
      <c r="D4" s="94"/>
      <c r="E4" s="299"/>
      <c r="F4" s="94"/>
      <c r="G4" s="94"/>
      <c r="H4" s="94"/>
      <c r="I4" s="94"/>
      <c r="J4" s="94"/>
      <c r="K4" s="94"/>
      <c r="L4" s="94"/>
      <c r="M4" s="94"/>
      <c r="N4" s="94"/>
      <c r="O4" s="94"/>
      <c r="P4" s="94"/>
      <c r="Q4" s="94"/>
      <c r="R4" s="94"/>
      <c r="S4" s="597"/>
      <c r="T4" s="94"/>
      <c r="U4" s="597"/>
      <c r="V4" s="94"/>
      <c r="W4" s="299"/>
      <c r="X4" s="94"/>
      <c r="Y4" s="94"/>
      <c r="Z4" s="94"/>
      <c r="AA4" s="597"/>
    </row>
    <row r="5" spans="1:48" ht="20.25" customHeight="1">
      <c r="A5" s="2325" t="str">
        <f>'Exh D-Governmental  '!A5:E5</f>
        <v>FISCAL YEAR 2023-2024</v>
      </c>
      <c r="B5" s="2326"/>
      <c r="C5" s="2326"/>
      <c r="D5" s="2326"/>
      <c r="E5" s="2326"/>
      <c r="F5" s="94"/>
      <c r="G5" s="94"/>
      <c r="H5" s="94"/>
      <c r="I5" s="94"/>
      <c r="J5" s="94"/>
      <c r="K5" s="94"/>
      <c r="L5" s="94"/>
      <c r="M5" s="94"/>
      <c r="N5" s="94"/>
      <c r="O5" s="94"/>
      <c r="P5" s="94"/>
      <c r="Q5" s="94"/>
      <c r="R5" s="94"/>
      <c r="S5" s="94"/>
      <c r="T5" s="94"/>
      <c r="U5" s="299"/>
      <c r="V5" s="94"/>
      <c r="W5" s="299"/>
      <c r="X5" s="94"/>
      <c r="Y5" s="94"/>
      <c r="Z5" s="94"/>
      <c r="AA5" s="94"/>
    </row>
    <row r="6" spans="1:48" ht="20.25" customHeight="1">
      <c r="A6" s="967" t="str">
        <f>'Exh D-Governmental  '!A6</f>
        <v xml:space="preserve">FOR SIX MONTHS ENDED SEPTEMBER 30, 2023    </v>
      </c>
      <c r="B6" s="94"/>
      <c r="C6" s="299"/>
      <c r="D6" s="94"/>
      <c r="E6" s="299"/>
      <c r="F6" s="94"/>
      <c r="G6" s="94"/>
      <c r="H6" s="94"/>
      <c r="I6" s="94"/>
      <c r="J6" s="94"/>
      <c r="K6" s="94"/>
      <c r="L6" s="94"/>
      <c r="M6" s="94"/>
      <c r="N6" s="94"/>
      <c r="O6" s="94"/>
      <c r="P6" s="94"/>
      <c r="Q6" s="94"/>
      <c r="R6" s="94"/>
      <c r="S6" s="94"/>
      <c r="T6" s="94"/>
      <c r="U6" s="299"/>
      <c r="V6" s="94"/>
      <c r="W6" s="299"/>
      <c r="X6" s="94"/>
      <c r="Y6" s="94"/>
      <c r="Z6" s="94"/>
      <c r="AA6" s="94"/>
      <c r="AB6" s="94"/>
      <c r="AC6" s="94"/>
      <c r="AD6" s="94"/>
      <c r="AE6" s="94"/>
      <c r="AF6" s="94"/>
      <c r="AG6" s="94"/>
      <c r="AH6" s="94"/>
      <c r="AI6" s="94"/>
      <c r="AJ6" s="94"/>
      <c r="AK6" s="94"/>
      <c r="AL6" s="94"/>
      <c r="AM6" s="94"/>
      <c r="AN6" s="94"/>
      <c r="AO6" s="94"/>
      <c r="AP6" s="94"/>
      <c r="AQ6" s="454"/>
      <c r="AR6" s="454"/>
      <c r="AS6" s="454"/>
      <c r="AT6" s="454"/>
      <c r="AU6" s="454"/>
      <c r="AV6" s="454"/>
    </row>
    <row r="7" spans="1:48" ht="20.25" customHeight="1">
      <c r="A7" s="129" t="s">
        <v>1200</v>
      </c>
      <c r="B7" s="94"/>
      <c r="C7" s="299"/>
      <c r="D7" s="94"/>
      <c r="E7" s="299"/>
      <c r="F7" s="94"/>
      <c r="G7" s="94"/>
      <c r="H7" s="94"/>
      <c r="I7" s="94"/>
      <c r="J7" s="94"/>
      <c r="K7" s="94"/>
      <c r="L7" s="94"/>
      <c r="M7" s="94"/>
      <c r="N7" s="94"/>
      <c r="O7" s="94"/>
      <c r="P7" s="94"/>
      <c r="Q7" s="94"/>
      <c r="R7" s="94"/>
      <c r="S7" s="94"/>
      <c r="T7" s="94"/>
      <c r="U7" s="299"/>
      <c r="V7" s="94"/>
      <c r="W7" s="299"/>
      <c r="X7" s="94"/>
      <c r="Y7" s="94"/>
      <c r="Z7" s="94"/>
      <c r="AA7" s="94"/>
    </row>
    <row r="8" spans="1:48" ht="18">
      <c r="A8" s="99"/>
      <c r="B8" s="94"/>
      <c r="C8" s="299"/>
      <c r="D8" s="94"/>
      <c r="E8" s="299"/>
      <c r="F8" s="94"/>
      <c r="G8" s="94"/>
      <c r="H8" s="94"/>
      <c r="I8" s="94"/>
      <c r="J8" s="94"/>
      <c r="K8" s="94"/>
      <c r="L8" s="94"/>
      <c r="M8" s="94"/>
      <c r="N8" s="94"/>
      <c r="O8" s="94"/>
      <c r="P8" s="94"/>
      <c r="Q8" s="94"/>
      <c r="R8" s="94"/>
      <c r="S8" s="94"/>
      <c r="T8" s="94"/>
      <c r="U8" s="299"/>
      <c r="V8" s="94"/>
      <c r="W8" s="299"/>
      <c r="X8" s="94"/>
      <c r="Y8" s="94"/>
      <c r="Z8" s="94"/>
      <c r="AA8" s="94"/>
    </row>
    <row r="9" spans="1:48">
      <c r="A9" s="100"/>
      <c r="B9" s="94"/>
      <c r="C9" s="299"/>
      <c r="D9" s="94"/>
      <c r="E9" s="299"/>
      <c r="F9" s="94"/>
      <c r="G9" s="94"/>
      <c r="H9" s="94"/>
      <c r="I9" s="94"/>
      <c r="J9" s="94"/>
      <c r="K9" s="94"/>
      <c r="L9" s="94"/>
      <c r="M9" s="94"/>
      <c r="N9" s="94"/>
      <c r="O9" s="94"/>
      <c r="P9" s="94"/>
      <c r="Q9" s="94"/>
      <c r="R9" s="94"/>
      <c r="S9" s="94"/>
      <c r="T9" s="94"/>
      <c r="U9" s="299"/>
      <c r="V9" s="94"/>
      <c r="W9" s="299"/>
      <c r="X9" s="94"/>
      <c r="Y9" s="94"/>
      <c r="Z9" s="94"/>
      <c r="AA9" s="94"/>
    </row>
    <row r="10" spans="1:48">
      <c r="A10" s="100"/>
      <c r="B10" s="94"/>
      <c r="C10" s="299"/>
      <c r="D10" s="94"/>
      <c r="E10" s="299"/>
      <c r="F10" s="94"/>
      <c r="G10" s="94"/>
      <c r="H10" s="94"/>
      <c r="I10" s="94"/>
      <c r="J10" s="94"/>
      <c r="K10" s="94"/>
      <c r="L10" s="94"/>
      <c r="M10" s="299"/>
      <c r="N10" s="94"/>
      <c r="O10" s="299"/>
      <c r="P10" s="94"/>
      <c r="Q10" s="94"/>
      <c r="R10" s="94"/>
      <c r="S10" s="94"/>
      <c r="T10" s="94"/>
      <c r="U10" s="299"/>
      <c r="V10" s="94"/>
      <c r="W10" s="299"/>
      <c r="X10" s="94"/>
      <c r="Y10" s="94"/>
      <c r="Z10" s="94"/>
      <c r="AA10" s="94"/>
    </row>
    <row r="11" spans="1:48" ht="15.75">
      <c r="B11" s="101"/>
      <c r="C11" s="2321" t="s">
        <v>998</v>
      </c>
      <c r="D11" s="2321"/>
      <c r="E11" s="2321"/>
      <c r="F11" s="2321"/>
      <c r="G11" s="2321"/>
      <c r="H11" s="2321"/>
      <c r="I11" s="2321"/>
      <c r="J11" s="554"/>
      <c r="K11" s="554"/>
      <c r="L11" s="131"/>
      <c r="M11" s="2321" t="s">
        <v>999</v>
      </c>
      <c r="N11" s="2321"/>
      <c r="O11" s="2321"/>
      <c r="P11" s="2321"/>
      <c r="Q11" s="2321"/>
      <c r="R11" s="2321"/>
      <c r="S11" s="2321"/>
      <c r="T11" s="806"/>
      <c r="U11" s="554"/>
      <c r="V11" s="554"/>
      <c r="W11" s="133"/>
      <c r="X11" s="133"/>
      <c r="Y11" s="133"/>
      <c r="Z11" s="133"/>
      <c r="AA11" s="133"/>
    </row>
    <row r="12" spans="1:48" ht="15.75">
      <c r="B12" s="101"/>
      <c r="C12" s="301"/>
      <c r="D12" s="101"/>
      <c r="E12" s="301"/>
      <c r="F12" s="101"/>
      <c r="G12" s="101"/>
      <c r="H12" s="101"/>
      <c r="I12" s="133" t="s">
        <v>82</v>
      </c>
      <c r="J12" s="133"/>
      <c r="K12" s="133" t="s">
        <v>82</v>
      </c>
      <c r="L12" s="676"/>
      <c r="M12" s="301"/>
      <c r="N12" s="101"/>
      <c r="O12" s="301"/>
      <c r="P12" s="101"/>
      <c r="Q12" s="101"/>
      <c r="R12" s="101"/>
      <c r="S12" s="133" t="s">
        <v>82</v>
      </c>
      <c r="T12" s="101"/>
      <c r="U12" s="133" t="s">
        <v>82</v>
      </c>
      <c r="V12" s="101"/>
      <c r="W12" s="301"/>
      <c r="X12" s="101"/>
      <c r="Y12" s="101"/>
      <c r="Z12" s="101"/>
      <c r="AA12" s="133"/>
    </row>
    <row r="13" spans="1:48" ht="15.75">
      <c r="B13" s="101"/>
      <c r="C13" s="301"/>
      <c r="D13" s="101"/>
      <c r="E13" s="301"/>
      <c r="F13" s="101"/>
      <c r="G13" s="101"/>
      <c r="H13" s="101"/>
      <c r="I13" s="102" t="s">
        <v>758</v>
      </c>
      <c r="J13" s="102"/>
      <c r="K13" s="102" t="s">
        <v>758</v>
      </c>
      <c r="L13" s="676"/>
      <c r="M13" s="301"/>
      <c r="N13" s="101"/>
      <c r="O13" s="301"/>
      <c r="P13" s="101"/>
      <c r="Q13" s="101"/>
      <c r="R13" s="101"/>
      <c r="S13" s="102" t="s">
        <v>758</v>
      </c>
      <c r="T13" s="101"/>
      <c r="U13" s="102" t="s">
        <v>758</v>
      </c>
      <c r="V13" s="101"/>
      <c r="W13" s="301"/>
      <c r="X13" s="101"/>
      <c r="Y13" s="101"/>
      <c r="Z13" s="101"/>
      <c r="AA13" s="102"/>
    </row>
    <row r="14" spans="1:48" ht="15.75" customHeight="1">
      <c r="B14" s="101"/>
      <c r="C14" s="103" t="s">
        <v>944</v>
      </c>
      <c r="D14" s="499"/>
      <c r="E14" s="103" t="s">
        <v>945</v>
      </c>
      <c r="F14" s="101"/>
      <c r="G14" s="101"/>
      <c r="H14" s="101"/>
      <c r="I14" s="102" t="s">
        <v>83</v>
      </c>
      <c r="J14" s="102"/>
      <c r="K14" s="102" t="s">
        <v>83</v>
      </c>
      <c r="L14" s="676"/>
      <c r="M14" s="103" t="s">
        <v>944</v>
      </c>
      <c r="N14" s="499"/>
      <c r="O14" s="103" t="s">
        <v>945</v>
      </c>
      <c r="P14" s="101"/>
      <c r="Q14" s="101"/>
      <c r="R14" s="101"/>
      <c r="S14" s="102" t="s">
        <v>83</v>
      </c>
      <c r="T14" s="135"/>
      <c r="U14" s="102" t="s">
        <v>83</v>
      </c>
      <c r="V14" s="499"/>
      <c r="W14" s="103"/>
      <c r="X14" s="101"/>
      <c r="Y14" s="101"/>
      <c r="Z14" s="101"/>
      <c r="AA14" s="102"/>
    </row>
    <row r="15" spans="1:48" ht="15.75" customHeight="1">
      <c r="B15" s="101"/>
      <c r="C15" s="102" t="s">
        <v>980</v>
      </c>
      <c r="D15" s="101"/>
      <c r="E15" s="102" t="s">
        <v>980</v>
      </c>
      <c r="F15" s="101"/>
      <c r="G15" s="101"/>
      <c r="H15" s="101"/>
      <c r="I15" s="102" t="s">
        <v>944</v>
      </c>
      <c r="J15" s="103"/>
      <c r="K15" s="103" t="s">
        <v>945</v>
      </c>
      <c r="L15" s="690"/>
      <c r="M15" s="102" t="s">
        <v>980</v>
      </c>
      <c r="N15" s="101"/>
      <c r="O15" s="102" t="s">
        <v>980</v>
      </c>
      <c r="P15" s="101"/>
      <c r="Q15" s="101"/>
      <c r="R15" s="101"/>
      <c r="S15" s="102" t="s">
        <v>944</v>
      </c>
      <c r="T15" s="135"/>
      <c r="U15" s="103" t="s">
        <v>945</v>
      </c>
      <c r="V15" s="101"/>
      <c r="W15" s="102"/>
      <c r="X15" s="101"/>
      <c r="Y15" s="101"/>
      <c r="Z15" s="101"/>
      <c r="AA15" s="103"/>
    </row>
    <row r="16" spans="1:48" ht="15.75">
      <c r="B16" s="101"/>
      <c r="C16" s="102" t="s">
        <v>981</v>
      </c>
      <c r="D16" s="101"/>
      <c r="E16" s="102" t="s">
        <v>1478</v>
      </c>
      <c r="F16" s="101"/>
      <c r="G16" s="103" t="s">
        <v>82</v>
      </c>
      <c r="H16" s="101"/>
      <c r="I16" s="102" t="s">
        <v>84</v>
      </c>
      <c r="J16" s="102"/>
      <c r="K16" s="102" t="s">
        <v>84</v>
      </c>
      <c r="L16" s="676"/>
      <c r="M16" s="102" t="s">
        <v>981</v>
      </c>
      <c r="N16" s="101"/>
      <c r="O16" s="102" t="s">
        <v>1478</v>
      </c>
      <c r="P16" s="101"/>
      <c r="Q16" s="103" t="s">
        <v>82</v>
      </c>
      <c r="R16" s="101"/>
      <c r="S16" s="102" t="s">
        <v>84</v>
      </c>
      <c r="T16" s="102"/>
      <c r="U16" s="102" t="s">
        <v>84</v>
      </c>
      <c r="V16" s="101"/>
      <c r="W16" s="102"/>
      <c r="X16" s="101"/>
      <c r="Y16" s="103"/>
      <c r="Z16" s="101"/>
      <c r="AA16" s="102"/>
    </row>
    <row r="17" spans="1:48">
      <c r="A17" s="104"/>
      <c r="B17" s="94"/>
      <c r="C17" s="105"/>
      <c r="D17" s="94"/>
      <c r="E17" s="105"/>
      <c r="F17" s="94"/>
      <c r="G17" s="105"/>
      <c r="H17" s="94"/>
      <c r="I17" s="105"/>
      <c r="J17" s="94"/>
      <c r="K17" s="105"/>
      <c r="L17" s="677"/>
      <c r="M17" s="105"/>
      <c r="N17" s="94"/>
      <c r="O17" s="105"/>
      <c r="P17" s="94"/>
      <c r="Q17" s="105"/>
      <c r="R17" s="94"/>
      <c r="S17" s="105"/>
      <c r="T17" s="94"/>
      <c r="U17" s="105"/>
      <c r="V17" s="94"/>
      <c r="W17" s="94"/>
      <c r="X17" s="94"/>
      <c r="Y17" s="94"/>
      <c r="Z17" s="94"/>
      <c r="AA17" s="94"/>
    </row>
    <row r="18" spans="1:48" ht="15.75">
      <c r="A18" s="19" t="s">
        <v>13</v>
      </c>
      <c r="C18" s="454"/>
      <c r="E18" s="454"/>
      <c r="G18" s="472" t="s">
        <v>14</v>
      </c>
      <c r="L18" s="678"/>
      <c r="Q18" s="454" t="s">
        <v>14</v>
      </c>
      <c r="U18" s="454"/>
      <c r="W18" s="454"/>
    </row>
    <row r="19" spans="1:48">
      <c r="A19" s="594" t="s">
        <v>85</v>
      </c>
      <c r="B19" s="667" t="s">
        <v>14</v>
      </c>
      <c r="C19" s="479"/>
      <c r="D19" s="481"/>
      <c r="E19" s="479"/>
      <c r="F19" s="481"/>
      <c r="G19" s="479"/>
      <c r="H19" s="481"/>
      <c r="I19" s="479"/>
      <c r="J19" s="479"/>
      <c r="K19" s="479"/>
      <c r="L19" s="682"/>
      <c r="M19" s="479"/>
      <c r="N19" s="479"/>
      <c r="O19" s="479"/>
      <c r="P19" s="479"/>
      <c r="Q19" s="683"/>
      <c r="R19" s="481"/>
      <c r="S19" s="479"/>
      <c r="T19" s="481"/>
      <c r="U19" s="479"/>
      <c r="V19" s="479"/>
      <c r="W19" s="479"/>
      <c r="X19" s="479"/>
      <c r="Y19" s="683"/>
      <c r="Z19" s="481"/>
      <c r="AA19" s="479"/>
      <c r="AH19" s="454"/>
      <c r="AI19" s="454"/>
      <c r="AJ19" s="454"/>
      <c r="AK19" s="454"/>
      <c r="AL19" s="454"/>
      <c r="AM19" s="454"/>
      <c r="AN19" s="454"/>
      <c r="AO19" s="454"/>
      <c r="AP19" s="454"/>
      <c r="AQ19" s="454"/>
      <c r="AR19" s="454"/>
      <c r="AS19" s="454"/>
      <c r="AT19" s="454"/>
      <c r="AU19" s="454"/>
      <c r="AV19" s="454"/>
    </row>
    <row r="20" spans="1:48">
      <c r="A20" s="594" t="s">
        <v>87</v>
      </c>
      <c r="B20" s="454" t="s">
        <v>14</v>
      </c>
      <c r="C20" s="482">
        <v>326</v>
      </c>
      <c r="D20" s="479"/>
      <c r="E20" s="482">
        <v>326</v>
      </c>
      <c r="F20" s="479"/>
      <c r="G20" s="679">
        <f>+'Exhibit I State'!AD22</f>
        <v>325.3</v>
      </c>
      <c r="H20" s="479"/>
      <c r="I20" s="479">
        <f>G20-C20</f>
        <v>-0.69999999999998863</v>
      </c>
      <c r="J20" s="479"/>
      <c r="K20" s="479">
        <f>G20-E20</f>
        <v>-0.69999999999998863</v>
      </c>
      <c r="L20" s="682"/>
      <c r="M20" s="482">
        <v>0</v>
      </c>
      <c r="N20" s="482"/>
      <c r="O20" s="482">
        <v>0</v>
      </c>
      <c r="P20" s="482"/>
      <c r="Q20" s="679">
        <v>0</v>
      </c>
      <c r="R20" s="482"/>
      <c r="S20" s="479">
        <f>Q20-M20</f>
        <v>0</v>
      </c>
      <c r="T20" s="479"/>
      <c r="U20" s="479">
        <f t="shared" ref="U20:U26" si="0">+Q20-O20</f>
        <v>0</v>
      </c>
      <c r="V20" s="482"/>
      <c r="W20" s="679"/>
      <c r="X20" s="482"/>
      <c r="Y20" s="679"/>
      <c r="Z20" s="482"/>
      <c r="AA20" s="479"/>
      <c r="AH20" s="454"/>
      <c r="AI20" s="454"/>
      <c r="AJ20" s="454"/>
      <c r="AK20" s="454"/>
      <c r="AL20" s="454"/>
      <c r="AM20" s="454"/>
      <c r="AN20" s="454"/>
      <c r="AO20" s="454"/>
      <c r="AP20" s="454"/>
      <c r="AQ20" s="454"/>
      <c r="AR20" s="454"/>
      <c r="AS20" s="454"/>
      <c r="AT20" s="454"/>
      <c r="AU20" s="454"/>
      <c r="AV20" s="454"/>
    </row>
    <row r="21" spans="1:48">
      <c r="A21" s="594" t="s">
        <v>88</v>
      </c>
      <c r="B21" s="667" t="s">
        <v>14</v>
      </c>
      <c r="C21" s="480">
        <v>321</v>
      </c>
      <c r="D21" s="493"/>
      <c r="E21" s="480">
        <v>321</v>
      </c>
      <c r="F21" s="493"/>
      <c r="G21" s="495">
        <f>+'Exhibit I State'!AD27</f>
        <v>332.6</v>
      </c>
      <c r="H21" s="493"/>
      <c r="I21" s="467">
        <f>G21-C21</f>
        <v>11.600000000000023</v>
      </c>
      <c r="J21" s="467"/>
      <c r="K21" s="467">
        <f>G21-E21</f>
        <v>11.600000000000023</v>
      </c>
      <c r="L21" s="2145"/>
      <c r="M21" s="480">
        <v>0</v>
      </c>
      <c r="N21" s="480"/>
      <c r="O21" s="480">
        <v>0</v>
      </c>
      <c r="P21" s="480"/>
      <c r="Q21" s="495">
        <v>0</v>
      </c>
      <c r="R21" s="480"/>
      <c r="S21" s="467">
        <f t="shared" ref="S21:S26" si="1">ROUND(SUM(Q21)-SUM(M21),1)</f>
        <v>0</v>
      </c>
      <c r="T21" s="493"/>
      <c r="U21" s="467">
        <f t="shared" si="0"/>
        <v>0</v>
      </c>
      <c r="V21" s="480"/>
      <c r="W21" s="495"/>
      <c r="X21" s="480"/>
      <c r="Y21" s="495"/>
      <c r="Z21" s="480"/>
      <c r="AA21" s="467"/>
      <c r="AB21" s="667"/>
      <c r="AE21" s="667"/>
      <c r="AG21" s="667"/>
      <c r="AH21" s="454"/>
      <c r="AI21" s="454"/>
      <c r="AJ21" s="667"/>
      <c r="AK21" s="454"/>
      <c r="AL21" s="454"/>
      <c r="AM21" s="667"/>
      <c r="AN21" s="136"/>
      <c r="AO21" s="667"/>
      <c r="AP21" s="454"/>
      <c r="AQ21" s="454"/>
      <c r="AR21" s="454"/>
      <c r="AS21" s="454"/>
      <c r="AT21" s="454"/>
      <c r="AU21" s="454"/>
      <c r="AV21" s="454"/>
    </row>
    <row r="22" spans="1:48">
      <c r="A22" s="594" t="s">
        <v>89</v>
      </c>
      <c r="B22" s="454" t="s">
        <v>14</v>
      </c>
      <c r="C22" s="480">
        <v>104</v>
      </c>
      <c r="D22" s="467"/>
      <c r="E22" s="480">
        <v>104</v>
      </c>
      <c r="F22" s="467"/>
      <c r="G22" s="495">
        <f>+'Exhibit I State'!AD30</f>
        <v>102.9</v>
      </c>
      <c r="H22" s="467"/>
      <c r="I22" s="467">
        <f>G22-C22</f>
        <v>-1.0999999999999943</v>
      </c>
      <c r="J22" s="467"/>
      <c r="K22" s="467">
        <f t="shared" ref="K22:K26" si="2">G22-E22</f>
        <v>-1.0999999999999943</v>
      </c>
      <c r="L22" s="2145"/>
      <c r="M22" s="480">
        <v>0</v>
      </c>
      <c r="N22" s="480"/>
      <c r="O22" s="480">
        <v>0</v>
      </c>
      <c r="P22" s="480"/>
      <c r="Q22" s="495">
        <v>0</v>
      </c>
      <c r="R22" s="480"/>
      <c r="S22" s="467">
        <f t="shared" si="1"/>
        <v>0</v>
      </c>
      <c r="T22" s="467"/>
      <c r="U22" s="467">
        <f t="shared" si="0"/>
        <v>0</v>
      </c>
      <c r="V22" s="480"/>
      <c r="W22" s="495"/>
      <c r="X22" s="480"/>
      <c r="Y22" s="495"/>
      <c r="Z22" s="480"/>
      <c r="AA22" s="467"/>
      <c r="AH22" s="454"/>
      <c r="AI22" s="454"/>
      <c r="AJ22" s="454"/>
      <c r="AK22" s="454"/>
      <c r="AL22" s="454"/>
      <c r="AM22" s="454"/>
      <c r="AN22" s="454"/>
      <c r="AO22" s="454"/>
      <c r="AP22" s="454"/>
      <c r="AQ22" s="454"/>
      <c r="AR22" s="454"/>
      <c r="AS22" s="454"/>
      <c r="AT22" s="454"/>
      <c r="AU22" s="454"/>
      <c r="AV22" s="454"/>
    </row>
    <row r="23" spans="1:48">
      <c r="A23" s="594" t="s">
        <v>19</v>
      </c>
      <c r="B23" s="454" t="s">
        <v>14</v>
      </c>
      <c r="C23" s="480">
        <v>3647</v>
      </c>
      <c r="D23" s="467"/>
      <c r="E23" s="480">
        <v>3647</v>
      </c>
      <c r="F23" s="467"/>
      <c r="G23" s="495">
        <f>+'Exhibit I State'!AD60</f>
        <v>3439.5</v>
      </c>
      <c r="H23" s="467"/>
      <c r="I23" s="467">
        <f>G23-C23</f>
        <v>-207.5</v>
      </c>
      <c r="J23" s="467"/>
      <c r="K23" s="467">
        <f t="shared" si="2"/>
        <v>-207.5</v>
      </c>
      <c r="L23" s="2145"/>
      <c r="M23" s="480">
        <v>132</v>
      </c>
      <c r="N23" s="467"/>
      <c r="O23" s="480">
        <v>132</v>
      </c>
      <c r="P23" s="467"/>
      <c r="Q23" s="467">
        <f>+'Exhibit I Federal'!AD42</f>
        <v>0</v>
      </c>
      <c r="R23" s="467"/>
      <c r="S23" s="467">
        <f t="shared" si="1"/>
        <v>-132</v>
      </c>
      <c r="T23" s="467"/>
      <c r="U23" s="467">
        <f t="shared" si="0"/>
        <v>-132</v>
      </c>
      <c r="V23" s="467"/>
      <c r="W23" s="495"/>
      <c r="X23" s="467"/>
      <c r="Y23" s="495"/>
      <c r="Z23" s="467"/>
      <c r="AA23" s="467"/>
    </row>
    <row r="24" spans="1:48">
      <c r="A24" s="594" t="s">
        <v>20</v>
      </c>
      <c r="B24" s="454" t="s">
        <v>14</v>
      </c>
      <c r="C24" s="480">
        <v>2</v>
      </c>
      <c r="D24" s="467"/>
      <c r="E24" s="480">
        <v>2</v>
      </c>
      <c r="F24" s="467"/>
      <c r="G24" s="495">
        <f>+'Exhibit I State'!AD62</f>
        <v>2.2999999999999998</v>
      </c>
      <c r="H24" s="467"/>
      <c r="I24" s="467">
        <f t="shared" ref="I24:I25" si="3">ROUND(SUM(G24)-SUM(C24),1)</f>
        <v>0.3</v>
      </c>
      <c r="J24" s="467"/>
      <c r="K24" s="467">
        <f t="shared" si="2"/>
        <v>0.29999999999999982</v>
      </c>
      <c r="L24" s="2145"/>
      <c r="M24" s="480">
        <v>1696</v>
      </c>
      <c r="N24" s="467"/>
      <c r="O24" s="480">
        <v>1696</v>
      </c>
      <c r="P24" s="467"/>
      <c r="Q24" s="467">
        <f>+'Exhibit I Federal'!AD44</f>
        <v>1430.7</v>
      </c>
      <c r="R24" s="467"/>
      <c r="S24" s="467">
        <f t="shared" si="1"/>
        <v>-265.3</v>
      </c>
      <c r="T24" s="467"/>
      <c r="U24" s="467">
        <f t="shared" si="0"/>
        <v>-265.29999999999995</v>
      </c>
      <c r="V24" s="467"/>
      <c r="W24" s="495"/>
      <c r="X24" s="467"/>
      <c r="Y24" s="495"/>
      <c r="Z24" s="467"/>
      <c r="AA24" s="467"/>
    </row>
    <row r="25" spans="1:48">
      <c r="A25" s="594" t="s">
        <v>95</v>
      </c>
      <c r="B25" s="454" t="s">
        <v>14</v>
      </c>
      <c r="C25" s="480">
        <v>0</v>
      </c>
      <c r="D25" s="467"/>
      <c r="E25" s="480">
        <v>0</v>
      </c>
      <c r="F25" s="467"/>
      <c r="G25" s="495">
        <f>+'Exhibit I State'!AA91</f>
        <v>0</v>
      </c>
      <c r="H25" s="467"/>
      <c r="I25" s="467">
        <f t="shared" si="3"/>
        <v>0</v>
      </c>
      <c r="J25" s="467"/>
      <c r="K25" s="467">
        <f t="shared" si="2"/>
        <v>0</v>
      </c>
      <c r="L25" s="2146"/>
      <c r="M25" s="480">
        <v>0</v>
      </c>
      <c r="N25" s="467"/>
      <c r="O25" s="480">
        <v>0</v>
      </c>
      <c r="P25" s="467"/>
      <c r="Q25" s="480">
        <v>0</v>
      </c>
      <c r="R25" s="467"/>
      <c r="S25" s="467">
        <f t="shared" si="1"/>
        <v>0</v>
      </c>
      <c r="T25" s="493"/>
      <c r="U25" s="467">
        <f t="shared" si="0"/>
        <v>0</v>
      </c>
      <c r="V25" s="467"/>
      <c r="W25" s="495"/>
      <c r="X25" s="467"/>
      <c r="Y25" s="495"/>
      <c r="Z25" s="467"/>
      <c r="AA25" s="467"/>
    </row>
    <row r="26" spans="1:48">
      <c r="A26" s="594" t="s">
        <v>46</v>
      </c>
      <c r="B26" s="454" t="s">
        <v>14</v>
      </c>
      <c r="C26" s="480">
        <v>1329</v>
      </c>
      <c r="D26" s="467"/>
      <c r="E26" s="480">
        <v>1329</v>
      </c>
      <c r="F26" s="467"/>
      <c r="G26" s="493">
        <f>+'Exhibit I State'!AD92</f>
        <v>583.79999999999995</v>
      </c>
      <c r="H26" s="467"/>
      <c r="I26" s="467">
        <f>G26-C26</f>
        <v>-745.2</v>
      </c>
      <c r="J26" s="467"/>
      <c r="K26" s="467">
        <f t="shared" si="2"/>
        <v>-745.2</v>
      </c>
      <c r="L26" s="2145"/>
      <c r="M26" s="480">
        <v>18</v>
      </c>
      <c r="N26" s="467"/>
      <c r="O26" s="480">
        <v>18</v>
      </c>
      <c r="P26" s="467"/>
      <c r="Q26" s="493">
        <f>+'Exhibit I Federal'!AD73</f>
        <v>0</v>
      </c>
      <c r="R26" s="467"/>
      <c r="S26" s="467">
        <f t="shared" si="1"/>
        <v>-18</v>
      </c>
      <c r="T26" s="493"/>
      <c r="U26" s="467">
        <f t="shared" si="0"/>
        <v>-18</v>
      </c>
      <c r="V26" s="467"/>
      <c r="W26" s="495"/>
      <c r="X26" s="467"/>
      <c r="Y26" s="495"/>
      <c r="Z26" s="467"/>
      <c r="AA26" s="467"/>
    </row>
    <row r="27" spans="1:48" ht="18" customHeight="1">
      <c r="A27" s="118" t="s">
        <v>106</v>
      </c>
      <c r="B27" s="101" t="s">
        <v>14</v>
      </c>
      <c r="C27" s="1160">
        <f>ROUND(SUM(C20:C26),1)</f>
        <v>5729</v>
      </c>
      <c r="D27" s="42"/>
      <c r="E27" s="1160">
        <f>ROUND(SUM(E20:E26),1)</f>
        <v>5729</v>
      </c>
      <c r="F27" s="42"/>
      <c r="G27" s="143">
        <f>ROUND(SUM(G20:G26),1)</f>
        <v>4786.3999999999996</v>
      </c>
      <c r="H27" s="42"/>
      <c r="I27" s="143">
        <f>ROUND(SUM(I20:I26),1)</f>
        <v>-942.6</v>
      </c>
      <c r="J27" s="42"/>
      <c r="K27" s="143">
        <f>ROUND(SUM(K20:K26),1)</f>
        <v>-942.6</v>
      </c>
      <c r="L27" s="2147"/>
      <c r="M27" s="1160">
        <f>ROUND(SUM(M20:M26),1)</f>
        <v>1846</v>
      </c>
      <c r="N27" s="42"/>
      <c r="O27" s="1160">
        <f>ROUND(SUM(O20:O26),1)</f>
        <v>1846</v>
      </c>
      <c r="P27" s="42"/>
      <c r="Q27" s="143">
        <f>ROUND(SUM(Q20:Q26),1)</f>
        <v>1430.7</v>
      </c>
      <c r="R27" s="42"/>
      <c r="S27" s="143">
        <f>ROUND(SUM(S20:S26),1)</f>
        <v>-415.3</v>
      </c>
      <c r="T27" s="42"/>
      <c r="U27" s="143">
        <f>ROUND(SUM(U20:U26),1)</f>
        <v>-415.3</v>
      </c>
      <c r="V27" s="42"/>
      <c r="W27" s="42"/>
      <c r="X27" s="42"/>
      <c r="Y27" s="42"/>
      <c r="Z27" s="42"/>
      <c r="AA27" s="42"/>
    </row>
    <row r="28" spans="1:48">
      <c r="B28" s="454" t="s">
        <v>14</v>
      </c>
      <c r="C28" s="1158"/>
      <c r="D28" s="467"/>
      <c r="E28" s="1158"/>
      <c r="F28" s="467"/>
      <c r="G28" s="497"/>
      <c r="H28" s="467"/>
      <c r="I28" s="497"/>
      <c r="J28" s="467"/>
      <c r="K28" s="497"/>
      <c r="L28" s="2145"/>
      <c r="M28" s="1158"/>
      <c r="N28" s="467"/>
      <c r="O28" s="1158"/>
      <c r="P28" s="467"/>
      <c r="Q28" s="497"/>
      <c r="R28" s="467"/>
      <c r="S28" s="497" t="s">
        <v>14</v>
      </c>
      <c r="T28" s="467"/>
      <c r="U28" s="497"/>
      <c r="V28" s="467"/>
      <c r="W28" s="467"/>
      <c r="X28" s="467"/>
      <c r="Y28" s="467"/>
      <c r="Z28" s="467"/>
      <c r="AA28" s="467"/>
    </row>
    <row r="29" spans="1:48" ht="15.75">
      <c r="A29" s="19" t="s">
        <v>22</v>
      </c>
      <c r="B29" s="454" t="s">
        <v>14</v>
      </c>
      <c r="C29" s="467"/>
      <c r="D29" s="467"/>
      <c r="E29" s="467"/>
      <c r="F29" s="467"/>
      <c r="G29" s="467" t="s">
        <v>14</v>
      </c>
      <c r="H29" s="467"/>
      <c r="I29" s="467"/>
      <c r="J29" s="467"/>
      <c r="K29" s="467"/>
      <c r="L29" s="2145"/>
      <c r="M29" s="467"/>
      <c r="N29" s="467"/>
      <c r="O29" s="467"/>
      <c r="P29" s="467"/>
      <c r="Q29" s="467"/>
      <c r="R29" s="467"/>
      <c r="S29" s="467"/>
      <c r="T29" s="467"/>
      <c r="U29" s="467"/>
      <c r="V29" s="467"/>
      <c r="W29" s="467"/>
      <c r="X29" s="467"/>
      <c r="Y29" s="467"/>
      <c r="Z29" s="467"/>
      <c r="AA29" s="467"/>
    </row>
    <row r="30" spans="1:48">
      <c r="A30" s="594" t="s">
        <v>91</v>
      </c>
      <c r="B30" s="454" t="s">
        <v>14</v>
      </c>
      <c r="C30" s="480">
        <v>1876</v>
      </c>
      <c r="D30" s="467"/>
      <c r="E30" s="480">
        <v>1876</v>
      </c>
      <c r="F30" s="467"/>
      <c r="G30" s="480">
        <f>+'Exhibit I State'!AD78</f>
        <v>1820.2</v>
      </c>
      <c r="H30" s="467"/>
      <c r="I30" s="467">
        <f>G30-C30</f>
        <v>-55.799999999999955</v>
      </c>
      <c r="J30" s="467"/>
      <c r="K30" s="467">
        <f>G30-E30</f>
        <v>-55.799999999999955</v>
      </c>
      <c r="L30" s="2145"/>
      <c r="M30" s="480">
        <v>543</v>
      </c>
      <c r="N30" s="467"/>
      <c r="O30" s="480">
        <v>543</v>
      </c>
      <c r="P30" s="467"/>
      <c r="Q30" s="467">
        <f>+'Exhibit I Federal'!AD60</f>
        <v>520</v>
      </c>
      <c r="R30" s="467"/>
      <c r="S30" s="467">
        <f>Q30-M30</f>
        <v>-23</v>
      </c>
      <c r="T30" s="467"/>
      <c r="U30" s="467">
        <f t="shared" ref="U30:U32" si="4">+Q30-O30</f>
        <v>-23</v>
      </c>
      <c r="V30" s="467"/>
      <c r="W30" s="495"/>
      <c r="X30" s="467"/>
      <c r="Y30" s="495"/>
      <c r="Z30" s="467"/>
      <c r="AA30" s="467"/>
    </row>
    <row r="31" spans="1:48">
      <c r="A31" s="594" t="s">
        <v>41</v>
      </c>
      <c r="B31" s="454" t="s">
        <v>14</v>
      </c>
      <c r="C31" s="480">
        <v>4402</v>
      </c>
      <c r="D31" s="467"/>
      <c r="E31" s="480">
        <v>4402</v>
      </c>
      <c r="F31" s="467"/>
      <c r="G31" s="480">
        <f>+'Exhibit I State'!AD83</f>
        <v>3238.4</v>
      </c>
      <c r="H31" s="467"/>
      <c r="I31" s="467">
        <f>G31-C31</f>
        <v>-1163.5999999999999</v>
      </c>
      <c r="J31" s="467"/>
      <c r="K31" s="467">
        <f t="shared" ref="K31:K32" si="5">G31-E31</f>
        <v>-1163.5999999999999</v>
      </c>
      <c r="L31" s="2146"/>
      <c r="M31" s="480">
        <v>1138</v>
      </c>
      <c r="N31" s="467"/>
      <c r="O31" s="480">
        <v>1138</v>
      </c>
      <c r="P31" s="467"/>
      <c r="Q31" s="467">
        <f>+'Exhibit I Federal'!AD65</f>
        <v>958.5</v>
      </c>
      <c r="R31" s="467"/>
      <c r="S31" s="467">
        <f t="shared" ref="S31:S32" si="6">Q31-M31</f>
        <v>-179.5</v>
      </c>
      <c r="T31" s="467"/>
      <c r="U31" s="467">
        <f t="shared" si="4"/>
        <v>-179.5</v>
      </c>
      <c r="V31" s="467"/>
      <c r="W31" s="495"/>
      <c r="X31" s="467"/>
      <c r="Y31" s="495"/>
      <c r="Z31" s="467"/>
      <c r="AA31" s="467"/>
    </row>
    <row r="32" spans="1:48">
      <c r="A32" s="594" t="s">
        <v>96</v>
      </c>
      <c r="B32" s="454" t="s">
        <v>14</v>
      </c>
      <c r="C32" s="480">
        <v>251</v>
      </c>
      <c r="D32" s="467"/>
      <c r="E32" s="480">
        <v>251</v>
      </c>
      <c r="F32" s="467"/>
      <c r="G32" s="493">
        <f>-'Exhibit I State'!AD93</f>
        <v>55</v>
      </c>
      <c r="H32" s="467"/>
      <c r="I32" s="467">
        <f>G32-C32</f>
        <v>-196</v>
      </c>
      <c r="J32" s="467"/>
      <c r="K32" s="467">
        <f t="shared" si="5"/>
        <v>-196</v>
      </c>
      <c r="L32" s="2145"/>
      <c r="M32" s="480">
        <v>0</v>
      </c>
      <c r="N32" s="467"/>
      <c r="O32" s="480">
        <v>0</v>
      </c>
      <c r="P32" s="467"/>
      <c r="Q32" s="493">
        <f>-'Exhibit I Federal'!AD74</f>
        <v>0.2</v>
      </c>
      <c r="R32" s="467"/>
      <c r="S32" s="467">
        <f t="shared" si="6"/>
        <v>0.2</v>
      </c>
      <c r="T32" s="493"/>
      <c r="U32" s="467">
        <f t="shared" si="4"/>
        <v>0.2</v>
      </c>
      <c r="V32" s="467"/>
      <c r="W32" s="495"/>
      <c r="X32" s="467"/>
      <c r="Y32" s="495"/>
      <c r="Z32" s="467"/>
      <c r="AA32" s="467"/>
    </row>
    <row r="33" spans="1:48" ht="18" customHeight="1">
      <c r="A33" s="118" t="s">
        <v>115</v>
      </c>
      <c r="B33" s="101" t="s">
        <v>14</v>
      </c>
      <c r="C33" s="1160">
        <f>ROUND(SUM(C30:C32),1)</f>
        <v>6529</v>
      </c>
      <c r="D33" s="42"/>
      <c r="E33" s="1160">
        <f>ROUND(SUM(E30:E32),1)</f>
        <v>6529</v>
      </c>
      <c r="F33" s="42"/>
      <c r="G33" s="143">
        <f>ROUND(SUM(G30:G32),1)</f>
        <v>5113.6000000000004</v>
      </c>
      <c r="H33" s="42"/>
      <c r="I33" s="143">
        <f>ROUND(SUM(I30:I32),1)</f>
        <v>-1415.4</v>
      </c>
      <c r="J33" s="42"/>
      <c r="K33" s="143">
        <f>ROUND(SUM(K30:K32),1)</f>
        <v>-1415.4</v>
      </c>
      <c r="L33" s="2147"/>
      <c r="M33" s="1160">
        <f>ROUND(SUM(M30:M32),1)</f>
        <v>1681</v>
      </c>
      <c r="N33" s="42"/>
      <c r="O33" s="1160">
        <f>ROUND(SUM(O30:O32),1)</f>
        <v>1681</v>
      </c>
      <c r="P33" s="42"/>
      <c r="Q33" s="143">
        <f>ROUND(SUM(Q30:Q32),1)</f>
        <v>1478.7</v>
      </c>
      <c r="R33" s="42"/>
      <c r="S33" s="143">
        <f>ROUND(SUM(S30:S32),1)</f>
        <v>-202.3</v>
      </c>
      <c r="T33" s="42"/>
      <c r="U33" s="143">
        <f>ROUND(SUM(U30:U32),1)</f>
        <v>-202.3</v>
      </c>
      <c r="V33" s="42"/>
      <c r="W33" s="42"/>
      <c r="X33" s="42"/>
      <c r="Y33" s="42"/>
      <c r="Z33" s="42"/>
      <c r="AA33" s="42"/>
    </row>
    <row r="34" spans="1:48">
      <c r="B34" s="454" t="s">
        <v>14</v>
      </c>
      <c r="C34" s="1158"/>
      <c r="D34" s="467"/>
      <c r="E34" s="1158"/>
      <c r="F34" s="467"/>
      <c r="G34" s="497"/>
      <c r="H34" s="467"/>
      <c r="I34" s="497"/>
      <c r="J34" s="467"/>
      <c r="K34" s="497"/>
      <c r="L34" s="2145"/>
      <c r="M34" s="1158"/>
      <c r="N34" s="467"/>
      <c r="O34" s="1158"/>
      <c r="P34" s="467"/>
      <c r="Q34" s="497"/>
      <c r="R34" s="467"/>
      <c r="S34" s="497"/>
      <c r="T34" s="467"/>
      <c r="U34" s="497"/>
      <c r="V34" s="467"/>
      <c r="W34" s="467"/>
      <c r="X34" s="467"/>
      <c r="Y34" s="467"/>
      <c r="Z34" s="467"/>
      <c r="AA34" s="467"/>
    </row>
    <row r="35" spans="1:48" ht="15.75">
      <c r="A35" s="19" t="s">
        <v>98</v>
      </c>
      <c r="C35" s="467"/>
      <c r="D35" s="467"/>
      <c r="E35" s="467"/>
      <c r="F35" s="467"/>
      <c r="G35" s="467"/>
      <c r="H35" s="467"/>
      <c r="I35" s="467"/>
      <c r="J35" s="467"/>
      <c r="K35" s="467"/>
      <c r="L35" s="2145"/>
      <c r="M35" s="467"/>
      <c r="N35" s="467"/>
      <c r="O35" s="467"/>
      <c r="P35" s="467"/>
      <c r="Q35" s="467"/>
      <c r="R35" s="467"/>
      <c r="S35" s="467"/>
      <c r="T35" s="467"/>
      <c r="U35" s="467"/>
      <c r="V35" s="467"/>
      <c r="W35" s="467"/>
      <c r="X35" s="467"/>
      <c r="Y35" s="467"/>
      <c r="Z35" s="467"/>
      <c r="AA35" s="467"/>
    </row>
    <row r="36" spans="1:48" ht="15.75">
      <c r="A36" s="19" t="s">
        <v>99</v>
      </c>
      <c r="C36" s="467"/>
      <c r="D36" s="467"/>
      <c r="E36" s="467"/>
      <c r="F36" s="467"/>
      <c r="G36" s="467"/>
      <c r="H36" s="467"/>
      <c r="I36" s="467"/>
      <c r="J36" s="467"/>
      <c r="K36" s="467"/>
      <c r="L36" s="2145"/>
      <c r="M36" s="467"/>
      <c r="N36" s="467"/>
      <c r="O36" s="467"/>
      <c r="P36" s="467"/>
      <c r="Q36" s="467"/>
      <c r="R36" s="467"/>
      <c r="S36" s="467"/>
      <c r="T36" s="467"/>
      <c r="U36" s="467"/>
      <c r="V36" s="467"/>
      <c r="W36" s="467"/>
      <c r="X36" s="467"/>
      <c r="Y36" s="467"/>
      <c r="Z36" s="467"/>
      <c r="AA36" s="467"/>
    </row>
    <row r="37" spans="1:48" ht="15.75">
      <c r="A37" s="118" t="s">
        <v>100</v>
      </c>
      <c r="B37" s="119" t="s">
        <v>14</v>
      </c>
      <c r="C37" s="42">
        <f>ROUND(SUM(C27)-SUM(C33),1)</f>
        <v>-800</v>
      </c>
      <c r="D37" s="57"/>
      <c r="E37" s="42">
        <f>ROUND(SUM(E27)-SUM(E33),1)</f>
        <v>-800</v>
      </c>
      <c r="F37" s="57"/>
      <c r="G37" s="42">
        <f>ROUND(SUM(G27)-SUM(G33),1)</f>
        <v>-327.2</v>
      </c>
      <c r="H37" s="57"/>
      <c r="I37" s="42">
        <f>G37-C37</f>
        <v>472.8</v>
      </c>
      <c r="J37" s="42"/>
      <c r="K37" s="42">
        <f>ROUND(SUM(K27)-SUM(K33),1)</f>
        <v>472.8</v>
      </c>
      <c r="L37" s="2147"/>
      <c r="M37" s="42">
        <f>ROUND(SUM(M27)-SUM(M33),1)</f>
        <v>165</v>
      </c>
      <c r="N37" s="57"/>
      <c r="O37" s="42">
        <f>ROUND(SUM(O27)-SUM(O33),1)</f>
        <v>165</v>
      </c>
      <c r="P37" s="57"/>
      <c r="Q37" s="42">
        <f>ROUND(SUM(Q27)-SUM(Q33),1)</f>
        <v>-48</v>
      </c>
      <c r="R37" s="57"/>
      <c r="S37" s="42">
        <f>Q37-M37</f>
        <v>-213</v>
      </c>
      <c r="T37" s="42"/>
      <c r="U37" s="42">
        <f>ROUND(SUM(U27)-SUM(U33),1)</f>
        <v>-213</v>
      </c>
      <c r="V37" s="57"/>
      <c r="W37" s="42"/>
      <c r="X37" s="57"/>
      <c r="Y37" s="42"/>
      <c r="Z37" s="57"/>
      <c r="AA37" s="42"/>
    </row>
    <row r="38" spans="1:48" ht="15.75">
      <c r="C38" s="467"/>
      <c r="D38" s="467"/>
      <c r="E38" s="467"/>
      <c r="F38" s="467"/>
      <c r="G38" s="467"/>
      <c r="H38" s="467"/>
      <c r="I38" s="467"/>
      <c r="J38" s="467"/>
      <c r="K38" s="42"/>
      <c r="L38" s="2147"/>
      <c r="M38" s="467"/>
      <c r="N38" s="467"/>
      <c r="O38" s="467"/>
      <c r="P38" s="467"/>
      <c r="Q38" s="467"/>
      <c r="R38" s="467"/>
      <c r="S38" s="467"/>
      <c r="T38" s="467"/>
      <c r="U38" s="467"/>
      <c r="V38" s="467"/>
      <c r="W38" s="467"/>
      <c r="X38" s="467"/>
      <c r="Y38" s="467"/>
      <c r="Z38" s="467"/>
      <c r="AA38" s="467"/>
    </row>
    <row r="39" spans="1:48" ht="15.75">
      <c r="A39" s="118" t="s">
        <v>101</v>
      </c>
      <c r="B39" s="673" t="s">
        <v>14</v>
      </c>
      <c r="C39" s="42">
        <v>-1114</v>
      </c>
      <c r="D39" s="467"/>
      <c r="E39" s="42">
        <f>C39</f>
        <v>-1114</v>
      </c>
      <c r="F39" s="467"/>
      <c r="G39" s="42">
        <f>'Exhibit I State'!E14</f>
        <v>-1114.7</v>
      </c>
      <c r="H39" s="467"/>
      <c r="I39" s="42">
        <f>G39-C39</f>
        <v>-0.70000000000004547</v>
      </c>
      <c r="J39" s="54"/>
      <c r="K39" s="42">
        <f>G39-E39</f>
        <v>-0.70000000000004547</v>
      </c>
      <c r="L39" s="2147"/>
      <c r="M39" s="42">
        <v>-480</v>
      </c>
      <c r="N39" s="467"/>
      <c r="O39" s="42">
        <f>M39</f>
        <v>-480</v>
      </c>
      <c r="P39" s="467"/>
      <c r="Q39" s="42">
        <f>'Exhibit I Federal'!E14</f>
        <v>-479.8</v>
      </c>
      <c r="R39" s="467"/>
      <c r="S39" s="42">
        <f>Q39-M39</f>
        <v>0.19999999999998863</v>
      </c>
      <c r="T39" s="467"/>
      <c r="U39" s="42">
        <f t="shared" ref="U39" si="7">+Q39-O39</f>
        <v>0.19999999999998863</v>
      </c>
      <c r="V39" s="467"/>
      <c r="W39" s="42"/>
      <c r="X39" s="467"/>
      <c r="Y39" s="42"/>
      <c r="Z39" s="467"/>
      <c r="AA39" s="54"/>
      <c r="AH39" s="454"/>
      <c r="AI39" s="454"/>
      <c r="AJ39" s="454"/>
      <c r="AK39" s="454"/>
      <c r="AL39" s="454"/>
      <c r="AM39" s="454"/>
      <c r="AN39" s="454"/>
      <c r="AO39" s="454"/>
      <c r="AP39" s="454"/>
      <c r="AQ39" s="454"/>
      <c r="AR39" s="454"/>
      <c r="AS39" s="454"/>
      <c r="AT39" s="454"/>
      <c r="AU39" s="454"/>
      <c r="AV39" s="454"/>
    </row>
    <row r="40" spans="1:48" ht="16.5" thickBot="1">
      <c r="A40" s="118" t="str">
        <f>+'Exh D-Governmental  '!A50</f>
        <v xml:space="preserve">Fund Balances (Deficits) at September 30, 2023 </v>
      </c>
      <c r="B40" s="121" t="s">
        <v>14</v>
      </c>
      <c r="C40" s="69">
        <f>ROUND(SUM(C37:C39),1)</f>
        <v>-1914</v>
      </c>
      <c r="D40" s="122"/>
      <c r="E40" s="69">
        <f>ROUND(SUM(E37:E39),1)</f>
        <v>-1914</v>
      </c>
      <c r="F40" s="122"/>
      <c r="G40" s="69">
        <f>ROUND(SUM(G37:G39),1)</f>
        <v>-1441.9</v>
      </c>
      <c r="H40" s="122"/>
      <c r="I40" s="69">
        <f>ROUND(SUM(I37:I39),1)</f>
        <v>472.1</v>
      </c>
      <c r="J40" s="65"/>
      <c r="K40" s="69">
        <f>ROUND(SUM(K37:K39),1)</f>
        <v>472.1</v>
      </c>
      <c r="L40" s="2148"/>
      <c r="M40" s="69">
        <f>ROUND(SUM(M37:M39),1)</f>
        <v>-315</v>
      </c>
      <c r="N40" s="122"/>
      <c r="O40" s="69">
        <f>ROUND(SUM(O37:O39),1)</f>
        <v>-315</v>
      </c>
      <c r="P40" s="122"/>
      <c r="Q40" s="69">
        <f>ROUND(SUM(Q37:Q39),1)</f>
        <v>-527.79999999999995</v>
      </c>
      <c r="R40" s="122"/>
      <c r="S40" s="69">
        <f>ROUND(SUM(S37:S39),1)</f>
        <v>-212.8</v>
      </c>
      <c r="T40" s="122"/>
      <c r="U40" s="69">
        <f>ROUND(SUM(U37:U39),1)</f>
        <v>-212.8</v>
      </c>
      <c r="V40" s="122"/>
      <c r="W40" s="65"/>
      <c r="X40" s="122"/>
      <c r="Y40" s="65"/>
      <c r="Z40" s="122"/>
      <c r="AA40" s="65"/>
      <c r="AH40" s="454"/>
      <c r="AI40" s="454"/>
      <c r="AJ40" s="454"/>
      <c r="AK40" s="454"/>
      <c r="AL40" s="454"/>
      <c r="AM40" s="454"/>
      <c r="AN40" s="454"/>
      <c r="AO40" s="454"/>
      <c r="AP40" s="454"/>
      <c r="AQ40" s="454"/>
      <c r="AR40" s="454"/>
      <c r="AS40" s="454"/>
      <c r="AT40" s="454"/>
      <c r="AU40" s="454"/>
      <c r="AV40" s="454"/>
    </row>
    <row r="41" spans="1:48" ht="15.75" thickTop="1">
      <c r="Q41" s="472"/>
      <c r="U41" s="454"/>
      <c r="W41" s="454"/>
      <c r="Y41" s="472"/>
    </row>
    <row r="42" spans="1:48">
      <c r="A42" s="674" t="str">
        <f>'Exh D-Governmental  '!A52</f>
        <v xml:space="preserve">(*)    Source: 2023-24 Enacted Financial Plan dated June 9, 2023. </v>
      </c>
      <c r="S42" s="945"/>
    </row>
    <row r="43" spans="1:48">
      <c r="A43" s="674" t="str">
        <f>'Exh D-Governmental  '!A53</f>
        <v>(**)   Source: 2023-24 First Quarter Update dated July 27, 2023, which made no changes to the Enacted Financial Plan.</v>
      </c>
      <c r="L43" s="302"/>
      <c r="U43" s="454"/>
      <c r="W43" s="454"/>
      <c r="AH43" s="454"/>
      <c r="AI43" s="454"/>
      <c r="AJ43" s="454"/>
      <c r="AK43" s="454"/>
    </row>
    <row r="44" spans="1:48">
      <c r="A44" s="594"/>
      <c r="Y44" s="669"/>
      <c r="AA44" s="669"/>
      <c r="AC44" s="681"/>
    </row>
    <row r="45" spans="1:48">
      <c r="A45" s="594"/>
    </row>
    <row r="46" spans="1:48">
      <c r="A46" s="737"/>
    </row>
    <row r="47" spans="1:48">
      <c r="A47" s="124"/>
    </row>
    <row r="52" spans="7:7">
      <c r="G52" s="472"/>
    </row>
  </sheetData>
  <mergeCells count="3">
    <mergeCell ref="A5:E5"/>
    <mergeCell ref="C11:I11"/>
    <mergeCell ref="M11:S11"/>
  </mergeCells>
  <printOptions horizontalCentered="1"/>
  <pageMargins left="0.2" right="0.2" top="0.75" bottom="0.75" header="0.3" footer="0.3"/>
  <pageSetup scale="49" firstPageNumber="14" orientation="landscape" useFirstPageNumber="1" r:id="rId1"/>
  <headerFooter scaleWithDoc="0" alignWithMargins="0">
    <oddFooter>&amp;C&amp;8&amp;P</oddFooter>
  </headerFooter>
  <customProperties>
    <customPr name="SheetOptions"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ransitionEntry="1" codeName="Sheet42">
    <pageSetUpPr fitToPage="1"/>
  </sheetPr>
  <dimension ref="A1:AL65"/>
  <sheetViews>
    <sheetView showGridLines="0" zoomScale="80" zoomScaleNormal="80" workbookViewId="0"/>
  </sheetViews>
  <sheetFormatPr defaultColWidth="9.88671875" defaultRowHeight="12.75"/>
  <cols>
    <col min="1" max="1" width="32.109375" style="1571" customWidth="1"/>
    <col min="2" max="2" width="10.88671875" style="1571" customWidth="1"/>
    <col min="3" max="3" width="3.44140625" style="1571" customWidth="1"/>
    <col min="4" max="4" width="12.109375" style="1571" customWidth="1"/>
    <col min="5" max="5" width="1.88671875" style="1571" customWidth="1"/>
    <col min="6" max="6" width="17" style="1571" bestFit="1" customWidth="1"/>
    <col min="7" max="7" width="1.88671875" style="1571" customWidth="1"/>
    <col min="8" max="8" width="12.109375" style="1571" customWidth="1"/>
    <col min="9" max="9" width="1.88671875" style="1571" customWidth="1"/>
    <col min="10" max="10" width="12.109375" style="1571" customWidth="1"/>
    <col min="11" max="11" width="1.88671875" style="1571" customWidth="1"/>
    <col min="12" max="12" width="12.109375" style="1571" customWidth="1"/>
    <col min="13" max="13" width="1.88671875" style="1571" customWidth="1"/>
    <col min="14" max="14" width="13" style="1571" customWidth="1"/>
    <col min="15" max="15" width="1.88671875" style="1571" customWidth="1"/>
    <col min="16" max="16" width="12.109375" style="1571" customWidth="1"/>
    <col min="17" max="17" width="1.88671875" style="1571" customWidth="1"/>
    <col min="18" max="18" width="12.109375" style="1571" customWidth="1"/>
    <col min="19" max="19" width="1.88671875" style="1571" customWidth="1"/>
    <col min="20" max="20" width="1" style="1571" customWidth="1"/>
    <col min="21" max="21" width="1.88671875" style="1571" customWidth="1"/>
    <col min="22" max="22" width="15.5546875" style="1571" customWidth="1"/>
    <col min="23" max="23" width="1.88671875" style="1571" customWidth="1"/>
    <col min="24" max="24" width="17" style="1571" bestFit="1" customWidth="1"/>
    <col min="25" max="25" width="1.88671875" style="1571" customWidth="1"/>
    <col min="26" max="26" width="1" style="1571" customWidth="1"/>
    <col min="27" max="27" width="1.88671875" style="1571" customWidth="1"/>
    <col min="28" max="28" width="17.109375" style="1571" customWidth="1"/>
    <col min="29" max="29" width="2" style="1571" customWidth="1"/>
    <col min="30" max="30" width="16.109375" style="1571" customWidth="1"/>
    <col min="31" max="31" width="1.5546875" style="1571" customWidth="1"/>
    <col min="32" max="32" width="0.44140625" style="1571" customWidth="1"/>
    <col min="33" max="33" width="1.5546875" style="1571" customWidth="1"/>
    <col min="34" max="34" width="14.5546875" style="1571" bestFit="1" customWidth="1"/>
    <col min="35" max="35" width="1.88671875" style="1571" customWidth="1"/>
    <col min="36" max="36" width="13.109375" style="1571" customWidth="1"/>
    <col min="37" max="37" width="2.109375" style="1571" customWidth="1"/>
    <col min="38" max="38" width="1.88671875" style="1571" customWidth="1"/>
    <col min="39" max="16384" width="9.88671875" style="1571"/>
  </cols>
  <sheetData>
    <row r="1" spans="1:38" s="1563" customFormat="1" ht="15">
      <c r="A1" s="489" t="s">
        <v>841</v>
      </c>
    </row>
    <row r="2" spans="1:38" s="1566" customFormat="1">
      <c r="A2" s="1564"/>
      <c r="B2" s="1565"/>
      <c r="C2" s="1565"/>
      <c r="D2" s="1563"/>
      <c r="E2" s="1565"/>
      <c r="F2" s="1565"/>
      <c r="G2" s="1565"/>
      <c r="H2" s="1565"/>
      <c r="I2" s="1565"/>
      <c r="J2" s="1565"/>
      <c r="K2" s="1565"/>
      <c r="L2" s="1565"/>
      <c r="M2" s="1565"/>
      <c r="N2" s="1565"/>
      <c r="O2" s="1565"/>
      <c r="P2" s="1565"/>
      <c r="Q2" s="1565"/>
      <c r="R2" s="1565"/>
      <c r="S2" s="1565"/>
      <c r="T2" s="1565"/>
      <c r="U2" s="1565"/>
      <c r="V2" s="1565"/>
      <c r="W2" s="1565"/>
      <c r="X2" s="1565"/>
      <c r="Y2" s="1565"/>
      <c r="Z2" s="1565"/>
      <c r="AA2" s="1565"/>
      <c r="AB2" s="1565"/>
      <c r="AC2" s="1565"/>
      <c r="AD2" s="1565"/>
      <c r="AE2" s="1565"/>
      <c r="AF2" s="1565"/>
      <c r="AG2" s="1565"/>
      <c r="AH2" s="1565"/>
    </row>
    <row r="3" spans="1:38" ht="18">
      <c r="A3" s="1567" t="s">
        <v>0</v>
      </c>
      <c r="B3" s="1568"/>
      <c r="C3" s="1568"/>
      <c r="D3" s="1563"/>
      <c r="E3" s="1568"/>
      <c r="F3" s="1568"/>
      <c r="G3" s="1568"/>
      <c r="H3" s="1568"/>
      <c r="I3" s="1568"/>
      <c r="J3" s="1568"/>
      <c r="K3" s="1568"/>
      <c r="L3" s="1569"/>
      <c r="M3" s="1569"/>
      <c r="N3" s="1569"/>
      <c r="O3" s="1569"/>
      <c r="P3" s="1568"/>
      <c r="Q3" s="1568"/>
      <c r="R3" s="1568"/>
      <c r="S3" s="1569"/>
      <c r="T3" s="1568"/>
      <c r="U3" s="1569"/>
      <c r="V3" s="1569"/>
      <c r="W3" s="1569"/>
      <c r="X3" s="1569"/>
      <c r="Y3" s="1569"/>
      <c r="Z3" s="1569"/>
      <c r="AA3" s="1569"/>
      <c r="AB3" s="1569"/>
      <c r="AC3" s="1569"/>
      <c r="AD3" s="1569"/>
      <c r="AE3" s="1569"/>
      <c r="AF3" s="1568"/>
      <c r="AG3" s="1568"/>
      <c r="AH3" s="1570"/>
      <c r="AI3" s="1570"/>
    </row>
    <row r="4" spans="1:38" ht="18">
      <c r="A4" s="1572" t="s">
        <v>1</v>
      </c>
      <c r="B4" s="1568"/>
      <c r="C4" s="1568"/>
      <c r="D4" s="1563"/>
      <c r="E4" s="1568"/>
      <c r="F4" s="1568"/>
      <c r="G4" s="1568"/>
      <c r="H4" s="1568"/>
      <c r="I4" s="1568"/>
      <c r="J4" s="1568"/>
      <c r="K4" s="1568"/>
      <c r="L4" s="1569"/>
      <c r="M4" s="1569"/>
      <c r="N4" s="1569"/>
      <c r="O4" s="1569"/>
      <c r="P4" s="1568"/>
      <c r="Q4" s="1568"/>
      <c r="R4" s="1568"/>
      <c r="S4" s="1569"/>
      <c r="T4" s="1568"/>
      <c r="U4" s="1569"/>
      <c r="V4" s="1569"/>
      <c r="W4" s="1569"/>
      <c r="X4" s="1569"/>
      <c r="Y4" s="1569"/>
      <c r="Z4" s="1569"/>
      <c r="AA4" s="1569"/>
      <c r="AB4" s="1569"/>
      <c r="AC4" s="1569"/>
      <c r="AD4" s="1569"/>
      <c r="AE4" s="1569"/>
      <c r="AF4" s="1568"/>
      <c r="AG4" s="1568"/>
      <c r="AH4" s="1570"/>
      <c r="AI4" s="1570"/>
    </row>
    <row r="5" spans="1:38" ht="18">
      <c r="A5" s="1567" t="s">
        <v>1299</v>
      </c>
      <c r="B5" s="1568"/>
      <c r="C5" s="1568"/>
      <c r="D5" s="1563"/>
      <c r="E5" s="1568"/>
      <c r="F5" s="1568"/>
      <c r="G5" s="1568"/>
      <c r="H5" s="1569"/>
      <c r="I5" s="1569"/>
      <c r="J5" s="1569"/>
      <c r="K5" s="1568"/>
      <c r="L5" s="1569"/>
      <c r="M5" s="1569"/>
      <c r="N5" s="1569" t="s">
        <v>14</v>
      </c>
      <c r="O5" s="1569"/>
      <c r="P5" s="1568"/>
      <c r="Q5" s="1568"/>
      <c r="R5" s="1568"/>
      <c r="S5" s="1569"/>
      <c r="T5" s="1568"/>
      <c r="U5" s="1569"/>
      <c r="V5" s="1569"/>
      <c r="W5" s="1569"/>
      <c r="X5" s="1569"/>
      <c r="Y5" s="1569"/>
      <c r="Z5" s="1569"/>
      <c r="AA5" s="1569"/>
      <c r="AB5" s="1569"/>
      <c r="AC5" s="1569"/>
      <c r="AD5" s="1569"/>
      <c r="AE5" s="1569"/>
      <c r="AF5" s="1568"/>
      <c r="AG5" s="1568"/>
      <c r="AH5" s="1570"/>
      <c r="AI5" s="1570"/>
    </row>
    <row r="6" spans="1:38" ht="18">
      <c r="A6" s="1567" t="s">
        <v>1199</v>
      </c>
      <c r="B6" s="1568"/>
      <c r="C6" s="1568"/>
      <c r="D6" s="1563"/>
      <c r="E6" s="1568"/>
      <c r="F6" s="1568"/>
      <c r="G6" s="1568"/>
      <c r="H6" s="1568"/>
      <c r="I6" s="1568"/>
      <c r="J6" s="1568"/>
      <c r="K6" s="1568"/>
      <c r="L6" s="1569"/>
      <c r="M6" s="1569"/>
      <c r="N6" s="1569"/>
      <c r="O6" s="1569"/>
      <c r="P6" s="1568"/>
      <c r="Q6" s="1568"/>
      <c r="R6" s="1568"/>
      <c r="S6" s="1569"/>
      <c r="T6" s="1568"/>
      <c r="U6" s="1569"/>
      <c r="V6" s="1569"/>
      <c r="W6" s="1569"/>
      <c r="X6" s="1569"/>
      <c r="Y6" s="1569"/>
      <c r="Z6" s="1569"/>
      <c r="AA6" s="1569"/>
      <c r="AB6" s="1569"/>
      <c r="AC6" s="1569"/>
      <c r="AD6" s="1569"/>
      <c r="AE6" s="1569"/>
      <c r="AF6" s="1568"/>
      <c r="AG6" s="1568"/>
      <c r="AH6" s="1570"/>
      <c r="AI6" s="1570"/>
    </row>
    <row r="7" spans="1:38" ht="18">
      <c r="A7" s="1568"/>
      <c r="B7" s="1568"/>
      <c r="C7" s="1568"/>
      <c r="D7" s="1563"/>
      <c r="E7" s="1568"/>
      <c r="F7" s="1568"/>
      <c r="G7" s="1568"/>
      <c r="H7" s="1568"/>
      <c r="I7" s="1568"/>
      <c r="J7" s="1568"/>
      <c r="K7" s="1568"/>
      <c r="L7" s="1569"/>
      <c r="M7" s="1569"/>
      <c r="N7" s="1569"/>
      <c r="O7" s="1569"/>
      <c r="P7" s="1569"/>
      <c r="Q7" s="1569"/>
      <c r="R7" s="1569"/>
      <c r="S7" s="1569"/>
      <c r="T7" s="1569"/>
      <c r="U7" s="1569"/>
      <c r="V7" s="1569"/>
      <c r="W7" s="1569"/>
      <c r="X7" s="1569"/>
      <c r="Y7" s="1569"/>
      <c r="Z7" s="1569"/>
      <c r="AA7" s="1569"/>
      <c r="AB7" s="1741"/>
      <c r="AC7" s="1741"/>
      <c r="AD7" s="1741"/>
      <c r="AE7" s="1741"/>
      <c r="AF7" s="1568"/>
      <c r="AG7" s="1568"/>
      <c r="AH7" s="1570"/>
      <c r="AI7" s="1570"/>
      <c r="AJ7" s="1573" t="s">
        <v>773</v>
      </c>
    </row>
    <row r="8" spans="1:38" ht="15.75">
      <c r="A8" s="489"/>
      <c r="B8" s="489"/>
      <c r="C8" s="489"/>
      <c r="D8" s="1563"/>
      <c r="E8" s="489"/>
      <c r="F8" s="489"/>
      <c r="G8" s="489"/>
      <c r="H8" s="489"/>
      <c r="I8" s="489"/>
      <c r="J8" s="489"/>
      <c r="K8" s="489"/>
      <c r="L8" s="490"/>
      <c r="M8" s="490"/>
      <c r="N8" s="490"/>
      <c r="O8" s="490"/>
      <c r="P8" s="490"/>
      <c r="Q8" s="490"/>
      <c r="R8" s="490"/>
      <c r="S8" s="490"/>
      <c r="T8" s="490"/>
      <c r="U8" s="490"/>
      <c r="V8" s="490"/>
      <c r="W8" s="490"/>
      <c r="X8" s="490"/>
      <c r="Y8" s="490"/>
      <c r="Z8" s="490"/>
      <c r="AA8" s="490"/>
      <c r="AB8" s="490"/>
      <c r="AC8" s="490"/>
      <c r="AD8" s="490"/>
      <c r="AE8" s="490"/>
      <c r="AF8" s="489"/>
      <c r="AG8" s="489"/>
      <c r="AH8" s="1570"/>
      <c r="AI8" s="1570"/>
    </row>
    <row r="9" spans="1:38" ht="15.75">
      <c r="A9" s="489"/>
      <c r="B9" s="489"/>
      <c r="C9" s="489"/>
      <c r="D9" s="1563"/>
      <c r="E9" s="490"/>
      <c r="F9" s="490"/>
      <c r="G9" s="490"/>
      <c r="H9" s="490"/>
      <c r="I9" s="490"/>
      <c r="J9" s="490"/>
      <c r="K9" s="490"/>
      <c r="L9" s="490"/>
      <c r="M9" s="490"/>
      <c r="N9" s="490"/>
      <c r="O9" s="490"/>
      <c r="P9" s="490"/>
      <c r="Q9" s="490"/>
      <c r="R9" s="490"/>
      <c r="S9" s="490"/>
      <c r="T9" s="490"/>
      <c r="U9" s="490"/>
      <c r="V9" s="1569"/>
      <c r="W9" s="1569"/>
      <c r="X9" s="1569"/>
      <c r="Y9" s="1569"/>
      <c r="Z9" s="1569"/>
      <c r="AA9" s="1569"/>
      <c r="AB9" s="1569"/>
      <c r="AC9" s="1569"/>
      <c r="AD9" s="1569"/>
      <c r="AE9" s="1569"/>
      <c r="AF9" s="490"/>
      <c r="AG9" s="490"/>
      <c r="AH9" s="1574"/>
      <c r="AI9" s="1574"/>
    </row>
    <row r="10" spans="1:38" ht="4.3499999999999996" customHeight="1">
      <c r="A10" s="489"/>
      <c r="B10" s="489"/>
      <c r="C10" s="489"/>
      <c r="D10" s="489"/>
      <c r="E10" s="489"/>
      <c r="F10" s="489"/>
      <c r="G10" s="489"/>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1570"/>
      <c r="AI10" s="1570"/>
    </row>
    <row r="11" spans="1:38" ht="15" customHeight="1">
      <c r="A11" s="489"/>
      <c r="B11" s="489"/>
      <c r="C11" s="489"/>
      <c r="D11" s="1575" t="s">
        <v>2</v>
      </c>
      <c r="E11" s="1575"/>
      <c r="F11" s="1575"/>
      <c r="G11" s="489"/>
      <c r="H11" s="1575" t="s">
        <v>55</v>
      </c>
      <c r="I11" s="1575"/>
      <c r="J11" s="1575"/>
      <c r="K11" s="489"/>
      <c r="L11" s="1575" t="s">
        <v>4</v>
      </c>
      <c r="M11" s="1575"/>
      <c r="N11" s="1575"/>
      <c r="O11" s="489"/>
      <c r="P11" s="1575" t="s">
        <v>118</v>
      </c>
      <c r="Q11" s="1575"/>
      <c r="R11" s="1575"/>
      <c r="S11" s="489"/>
      <c r="T11" s="489"/>
      <c r="U11" s="489"/>
      <c r="V11" s="1821" t="s">
        <v>774</v>
      </c>
      <c r="W11" s="1575"/>
      <c r="X11" s="1575"/>
      <c r="Y11" s="1575"/>
      <c r="Z11" s="1576"/>
      <c r="AA11" s="1576"/>
      <c r="AB11" s="1575"/>
      <c r="AC11" s="1575"/>
      <c r="AD11" s="1575"/>
      <c r="AE11" s="1819"/>
      <c r="AF11" s="1820"/>
      <c r="AG11" s="490"/>
      <c r="AH11" s="1821" t="s">
        <v>775</v>
      </c>
      <c r="AI11" s="1575"/>
      <c r="AJ11" s="1575"/>
    </row>
    <row r="12" spans="1:38" ht="15.75">
      <c r="A12" s="489"/>
      <c r="B12" s="489"/>
      <c r="C12" s="489"/>
      <c r="D12" s="981" t="s">
        <v>6</v>
      </c>
      <c r="E12" s="981"/>
      <c r="F12" s="1577" t="str">
        <f>'Exhibit A'!F11</f>
        <v>6 MOS. ENDED</v>
      </c>
      <c r="G12" s="490"/>
      <c r="H12" s="981" t="s">
        <v>6</v>
      </c>
      <c r="I12" s="982"/>
      <c r="J12" s="981" t="str">
        <f>F12</f>
        <v>6 MOS. ENDED</v>
      </c>
      <c r="K12" s="490"/>
      <c r="L12" s="981" t="s">
        <v>6</v>
      </c>
      <c r="M12" s="982"/>
      <c r="N12" s="981" t="str">
        <f>F12</f>
        <v>6 MOS. ENDED</v>
      </c>
      <c r="O12" s="490"/>
      <c r="P12" s="981" t="s">
        <v>6</v>
      </c>
      <c r="Q12" s="982"/>
      <c r="R12" s="981" t="str">
        <f>F12</f>
        <v>6 MOS. ENDED</v>
      </c>
      <c r="S12" s="490"/>
      <c r="T12" s="490"/>
      <c r="U12" s="490"/>
      <c r="V12" s="981" t="s">
        <v>6</v>
      </c>
      <c r="W12" s="981"/>
      <c r="X12" s="981" t="str">
        <f>F12</f>
        <v>6 MOS. ENDED</v>
      </c>
      <c r="Y12" s="981"/>
      <c r="Z12" s="983"/>
      <c r="AA12" s="983"/>
      <c r="AB12" s="981" t="s">
        <v>6</v>
      </c>
      <c r="AC12" s="981"/>
      <c r="AD12" s="981" t="str">
        <f>F12</f>
        <v>6 MOS. ENDED</v>
      </c>
      <c r="AE12" s="983"/>
      <c r="AF12" s="983"/>
      <c r="AG12" s="1822"/>
      <c r="AH12" s="1577" t="s">
        <v>7</v>
      </c>
      <c r="AI12" s="982"/>
      <c r="AJ12" s="1577" t="s">
        <v>8</v>
      </c>
      <c r="AK12" s="1578"/>
      <c r="AL12" s="1570"/>
    </row>
    <row r="13" spans="1:38" ht="15.75">
      <c r="A13" s="489"/>
      <c r="B13" s="489"/>
      <c r="C13" s="489"/>
      <c r="D13" s="984" t="str">
        <f>'Exhibit A'!D12</f>
        <v>SEP. 2023</v>
      </c>
      <c r="E13" s="986"/>
      <c r="F13" s="984" t="str">
        <f>'Exhibit A'!F12</f>
        <v>SEP. 30, 2023</v>
      </c>
      <c r="G13" s="490"/>
      <c r="H13" s="984" t="str">
        <f>D13</f>
        <v>SEP. 2023</v>
      </c>
      <c r="I13" s="986"/>
      <c r="J13" s="984" t="str">
        <f>F13</f>
        <v>SEP. 30, 2023</v>
      </c>
      <c r="K13" s="490"/>
      <c r="L13" s="984" t="str">
        <f>D13</f>
        <v>SEP. 2023</v>
      </c>
      <c r="M13" s="986"/>
      <c r="N13" s="984" t="str">
        <f>F13</f>
        <v>SEP. 30, 2023</v>
      </c>
      <c r="O13" s="490"/>
      <c r="P13" s="984" t="str">
        <f>D13</f>
        <v>SEP. 2023</v>
      </c>
      <c r="Q13" s="986"/>
      <c r="R13" s="984" t="str">
        <f>F13</f>
        <v>SEP. 30, 2023</v>
      </c>
      <c r="S13" s="490"/>
      <c r="T13" s="490"/>
      <c r="U13" s="490"/>
      <c r="V13" s="985" t="str">
        <f>D13</f>
        <v>SEP. 2023</v>
      </c>
      <c r="W13" s="985"/>
      <c r="X13" s="985" t="str">
        <f>'Exhibit A'!V12</f>
        <v>SEP. 2023</v>
      </c>
      <c r="Y13" s="985"/>
      <c r="Z13" s="983"/>
      <c r="AA13" s="983"/>
      <c r="AB13" s="986" t="str">
        <f>'Exhibit A'!AB12</f>
        <v>SEP. 2022</v>
      </c>
      <c r="AC13" s="986"/>
      <c r="AD13" s="986" t="str">
        <f>'Exhibit A'!AD12</f>
        <v>SEP. 30, 2022</v>
      </c>
      <c r="AE13" s="986"/>
      <c r="AF13" s="983"/>
      <c r="AG13" s="985"/>
      <c r="AH13" s="984" t="s">
        <v>11</v>
      </c>
      <c r="AI13" s="986"/>
      <c r="AJ13" s="984" t="s">
        <v>12</v>
      </c>
      <c r="AK13" s="1578"/>
      <c r="AL13" s="1570"/>
    </row>
    <row r="14" spans="1:38" ht="15">
      <c r="A14" s="489"/>
      <c r="B14" s="489"/>
      <c r="C14" s="489"/>
      <c r="D14" s="489"/>
      <c r="E14" s="489"/>
      <c r="F14" s="489"/>
      <c r="G14" s="489"/>
      <c r="H14" s="489"/>
      <c r="I14" s="489"/>
      <c r="J14" s="489"/>
      <c r="K14" s="489"/>
      <c r="L14" s="489"/>
      <c r="M14" s="489"/>
      <c r="N14" s="489"/>
      <c r="O14" s="489"/>
      <c r="P14" s="489"/>
      <c r="Q14" s="489"/>
      <c r="R14" s="489"/>
      <c r="S14" s="489"/>
      <c r="T14" s="1579"/>
      <c r="U14" s="1579"/>
      <c r="V14" s="1868"/>
      <c r="W14" s="489"/>
      <c r="X14" s="1868"/>
      <c r="Y14" s="489"/>
      <c r="Z14" s="1580"/>
      <c r="AA14" s="489"/>
      <c r="AB14" s="1868"/>
      <c r="AC14" s="489"/>
      <c r="AD14" s="1868"/>
      <c r="AE14" s="489"/>
      <c r="AF14" s="1895"/>
      <c r="AG14" s="489"/>
      <c r="AH14" s="489"/>
      <c r="AI14" s="489"/>
      <c r="AK14" s="1570"/>
      <c r="AL14" s="1570"/>
    </row>
    <row r="15" spans="1:38" ht="18" customHeight="1">
      <c r="A15" s="1581" t="s">
        <v>1030</v>
      </c>
      <c r="B15" s="565"/>
      <c r="C15" s="565"/>
      <c r="D15" s="489"/>
      <c r="E15" s="489"/>
      <c r="F15" s="489"/>
      <c r="G15" s="489"/>
      <c r="H15" s="489"/>
      <c r="I15" s="489"/>
      <c r="J15" s="489"/>
      <c r="K15" s="489"/>
      <c r="L15" s="489"/>
      <c r="M15" s="489"/>
      <c r="N15" s="489"/>
      <c r="O15" s="489"/>
      <c r="P15" s="489"/>
      <c r="Q15" s="489"/>
      <c r="R15" s="489"/>
      <c r="S15" s="489"/>
      <c r="T15" s="1579"/>
      <c r="U15" s="1579"/>
      <c r="V15" s="489"/>
      <c r="W15" s="489"/>
      <c r="X15" s="489"/>
      <c r="Y15" s="489"/>
      <c r="Z15" s="1580"/>
      <c r="AA15" s="489"/>
      <c r="AB15" s="489"/>
      <c r="AC15" s="489"/>
      <c r="AD15" s="489"/>
      <c r="AE15" s="489"/>
      <c r="AF15" s="1895"/>
      <c r="AG15" s="489"/>
      <c r="AH15" s="489"/>
      <c r="AI15" s="489"/>
      <c r="AK15" s="1570"/>
      <c r="AL15" s="1570"/>
    </row>
    <row r="16" spans="1:38" ht="18" customHeight="1">
      <c r="A16" s="565" t="s">
        <v>1433</v>
      </c>
      <c r="B16" s="565"/>
      <c r="C16" s="1355"/>
      <c r="D16" s="911">
        <f>'Exhibit F'!N17</f>
        <v>3450.4000000000015</v>
      </c>
      <c r="E16" s="911"/>
      <c r="F16" s="911">
        <f>'Exhibit F'!AC17</f>
        <v>23006</v>
      </c>
      <c r="G16" s="911"/>
      <c r="H16" s="1120">
        <v>0</v>
      </c>
      <c r="I16" s="911"/>
      <c r="J16" s="1120">
        <v>0</v>
      </c>
      <c r="K16" s="911"/>
      <c r="L16" s="1120">
        <v>0</v>
      </c>
      <c r="M16" s="911"/>
      <c r="N16" s="1120">
        <v>0</v>
      </c>
      <c r="O16" s="911"/>
      <c r="P16" s="1120">
        <v>0</v>
      </c>
      <c r="Q16" s="911"/>
      <c r="R16" s="1120">
        <v>0</v>
      </c>
      <c r="S16" s="911"/>
      <c r="T16" s="1582"/>
      <c r="U16" s="1583"/>
      <c r="V16" s="1134">
        <f>SUM(D16)+SUM(H16)+SUM(L16)+SUM(P16)</f>
        <v>3450.4000000000015</v>
      </c>
      <c r="W16" s="911"/>
      <c r="X16" s="1134">
        <f>SUM(F16)+SUM(J16)+SUM(N16)+SUM(R16)</f>
        <v>23006</v>
      </c>
      <c r="Y16" s="1120"/>
      <c r="Z16" s="1584"/>
      <c r="AA16" s="911"/>
      <c r="AB16" s="2212">
        <v>3486.4</v>
      </c>
      <c r="AC16" s="911"/>
      <c r="AD16" s="1134">
        <f>'Cashflow Governmental'!AE21</f>
        <v>22335.8</v>
      </c>
      <c r="AE16" s="1134"/>
      <c r="AF16" s="1895"/>
      <c r="AG16" s="1120"/>
      <c r="AH16" s="1134">
        <f>ROUND(SUM(X16)-SUM(AD16),1)</f>
        <v>670.2</v>
      </c>
      <c r="AI16" s="451"/>
      <c r="AJ16" s="1135">
        <f>ROUND(AH16/AD16,3)</f>
        <v>0.03</v>
      </c>
      <c r="AK16" s="987"/>
      <c r="AL16" s="1570"/>
    </row>
    <row r="17" spans="1:38" ht="18" customHeight="1">
      <c r="A17" s="1585" t="s">
        <v>838</v>
      </c>
      <c r="B17" s="565"/>
      <c r="C17" s="1586"/>
      <c r="D17" s="449">
        <f>'Exhibit F'!N18</f>
        <v>1473.4000000000005</v>
      </c>
      <c r="E17" s="449"/>
      <c r="F17" s="449">
        <f>'Exhibit F'!AC18</f>
        <v>7930.6</v>
      </c>
      <c r="G17" s="449"/>
      <c r="H17" s="452">
        <v>0</v>
      </c>
      <c r="I17" s="1118"/>
      <c r="J17" s="452">
        <v>0</v>
      </c>
      <c r="K17" s="449"/>
      <c r="L17" s="452">
        <v>0</v>
      </c>
      <c r="M17" s="1118"/>
      <c r="N17" s="452">
        <v>0</v>
      </c>
      <c r="O17" s="449"/>
      <c r="P17" s="452">
        <v>0</v>
      </c>
      <c r="Q17" s="1118"/>
      <c r="R17" s="452">
        <v>0</v>
      </c>
      <c r="S17" s="449"/>
      <c r="T17" s="1587"/>
      <c r="U17" s="1587"/>
      <c r="V17" s="1118">
        <f t="shared" ref="V17:V20" si="0">SUM(D17)+SUM(H17)+SUM(L17)+SUM(P17)</f>
        <v>1473.4000000000005</v>
      </c>
      <c r="W17" s="449"/>
      <c r="X17" s="1118">
        <f t="shared" ref="X17:X23" si="1">SUM(F17)+SUM(J17)+SUM(N17)+SUM(R17)</f>
        <v>7930.6</v>
      </c>
      <c r="Y17" s="1588"/>
      <c r="Z17" s="1589"/>
      <c r="AA17" s="449"/>
      <c r="AB17" s="912">
        <v>1985.3</v>
      </c>
      <c r="AC17" s="449"/>
      <c r="AD17" s="1118">
        <f>'Cashflow Governmental'!AE22</f>
        <v>15177.7</v>
      </c>
      <c r="AE17" s="1118"/>
      <c r="AF17" s="1895"/>
      <c r="AG17" s="1588"/>
      <c r="AH17" s="1118">
        <f>ROUND(SUM(X17)-SUM(AD17),1)</f>
        <v>-7247.1</v>
      </c>
      <c r="AI17" s="1590"/>
      <c r="AJ17" s="987">
        <f>ROUND(AH17/AD17,3)</f>
        <v>-0.47699999999999998</v>
      </c>
      <c r="AK17" s="987"/>
      <c r="AL17" s="1570"/>
    </row>
    <row r="18" spans="1:38" ht="18" customHeight="1">
      <c r="A18" s="565" t="s">
        <v>776</v>
      </c>
      <c r="B18" s="565" t="s">
        <v>14</v>
      </c>
      <c r="C18" s="565"/>
      <c r="D18" s="449">
        <f>'Exhibit F'!N19</f>
        <v>87.800000000000182</v>
      </c>
      <c r="E18" s="449"/>
      <c r="F18" s="449">
        <f>'Exhibit F'!AC19</f>
        <v>2525.5</v>
      </c>
      <c r="G18" s="449"/>
      <c r="H18" s="452">
        <v>0</v>
      </c>
      <c r="I18" s="1118"/>
      <c r="J18" s="452">
        <v>0</v>
      </c>
      <c r="K18" s="449"/>
      <c r="L18" s="452">
        <v>0</v>
      </c>
      <c r="M18" s="1118"/>
      <c r="N18" s="452">
        <v>0</v>
      </c>
      <c r="O18" s="449"/>
      <c r="P18" s="452">
        <v>0</v>
      </c>
      <c r="Q18" s="1118"/>
      <c r="R18" s="452">
        <v>0</v>
      </c>
      <c r="S18" s="449"/>
      <c r="T18" s="1587"/>
      <c r="U18" s="1587"/>
      <c r="V18" s="1118">
        <f t="shared" si="0"/>
        <v>87.800000000000182</v>
      </c>
      <c r="W18" s="449"/>
      <c r="X18" s="1118">
        <f t="shared" si="1"/>
        <v>2525.5</v>
      </c>
      <c r="Y18" s="1588"/>
      <c r="Z18" s="1589"/>
      <c r="AA18" s="449"/>
      <c r="AB18" s="912">
        <v>114.1</v>
      </c>
      <c r="AC18" s="449"/>
      <c r="AD18" s="1118">
        <f>'Cashflow Governmental'!AE23</f>
        <v>3815.6</v>
      </c>
      <c r="AE18" s="1118"/>
      <c r="AF18" s="1895"/>
      <c r="AG18" s="1588"/>
      <c r="AH18" s="1118">
        <f>ROUND(SUM(X18)-SUM(AD18),1)</f>
        <v>-1290.0999999999999</v>
      </c>
      <c r="AI18" s="1590"/>
      <c r="AJ18" s="987">
        <f>ROUND(AH18/AD18,3)</f>
        <v>-0.33800000000000002</v>
      </c>
      <c r="AK18" s="987"/>
      <c r="AL18" s="1570"/>
    </row>
    <row r="19" spans="1:38" ht="18" customHeight="1">
      <c r="A19" s="1585" t="s">
        <v>777</v>
      </c>
      <c r="B19" s="565"/>
      <c r="C19" s="565"/>
      <c r="D19" s="449">
        <f>'Exhibit F'!N20</f>
        <v>-119.69999999999993</v>
      </c>
      <c r="E19" s="449"/>
      <c r="F19" s="449">
        <f>'Exhibit F'!AC20</f>
        <v>-892.4</v>
      </c>
      <c r="G19" s="449"/>
      <c r="H19" s="452">
        <v>0</v>
      </c>
      <c r="I19" s="1118"/>
      <c r="J19" s="452">
        <v>0</v>
      </c>
      <c r="K19" s="449"/>
      <c r="L19" s="452">
        <v>0</v>
      </c>
      <c r="M19" s="1118"/>
      <c r="N19" s="452">
        <v>0</v>
      </c>
      <c r="O19" s="449"/>
      <c r="P19" s="452">
        <v>0</v>
      </c>
      <c r="Q19" s="1118"/>
      <c r="R19" s="452">
        <v>0</v>
      </c>
      <c r="S19" s="449"/>
      <c r="T19" s="1587"/>
      <c r="U19" s="1587"/>
      <c r="V19" s="1118">
        <f t="shared" si="0"/>
        <v>-119.69999999999993</v>
      </c>
      <c r="W19" s="449"/>
      <c r="X19" s="1118">
        <f t="shared" si="1"/>
        <v>-892.4</v>
      </c>
      <c r="Y19" s="1588"/>
      <c r="Z19" s="1589"/>
      <c r="AA19" s="449"/>
      <c r="AB19" s="912">
        <v>-90.2</v>
      </c>
      <c r="AC19" s="449"/>
      <c r="AD19" s="1118">
        <f>'Cashflow Governmental'!AE24</f>
        <v>-746.5</v>
      </c>
      <c r="AE19" s="1118"/>
      <c r="AF19" s="1895"/>
      <c r="AG19" s="1588"/>
      <c r="AH19" s="1118">
        <f>-ROUND(SUM(X19)-SUM(AD19),1)</f>
        <v>145.9</v>
      </c>
      <c r="AI19" s="1590"/>
      <c r="AJ19" s="987">
        <f>-ROUND(AH19/AD19,3)</f>
        <v>0.19500000000000001</v>
      </c>
      <c r="AK19" s="987"/>
      <c r="AL19" s="1570"/>
    </row>
    <row r="20" spans="1:38" ht="18" customHeight="1">
      <c r="A20" s="1585" t="s">
        <v>778</v>
      </c>
      <c r="B20" s="565" t="s">
        <v>14</v>
      </c>
      <c r="C20" s="565"/>
      <c r="D20" s="449">
        <f>'Exhibit F'!N21</f>
        <v>113.3000000000001</v>
      </c>
      <c r="E20" s="449"/>
      <c r="F20" s="449">
        <f>'Exhibit F'!AC21</f>
        <v>868.7</v>
      </c>
      <c r="G20" s="449"/>
      <c r="H20" s="452">
        <v>0</v>
      </c>
      <c r="I20" s="1118"/>
      <c r="J20" s="452">
        <v>0</v>
      </c>
      <c r="K20" s="449"/>
      <c r="L20" s="452">
        <v>0</v>
      </c>
      <c r="M20" s="1118"/>
      <c r="N20" s="452">
        <v>0</v>
      </c>
      <c r="O20" s="449"/>
      <c r="P20" s="452">
        <v>0</v>
      </c>
      <c r="Q20" s="1118"/>
      <c r="R20" s="452">
        <v>0</v>
      </c>
      <c r="S20" s="449"/>
      <c r="T20" s="1587"/>
      <c r="U20" s="1587"/>
      <c r="V20" s="1118">
        <f t="shared" si="0"/>
        <v>113.3000000000001</v>
      </c>
      <c r="W20" s="449"/>
      <c r="X20" s="1118">
        <f t="shared" si="1"/>
        <v>868.7</v>
      </c>
      <c r="Y20" s="1588"/>
      <c r="Z20" s="1589"/>
      <c r="AA20" s="449"/>
      <c r="AB20" s="912">
        <v>124.6</v>
      </c>
      <c r="AC20" s="449"/>
      <c r="AD20" s="1118">
        <f>'Cashflow Governmental'!AE25</f>
        <v>859</v>
      </c>
      <c r="AE20" s="1118"/>
      <c r="AF20" s="1895"/>
      <c r="AG20" s="1588"/>
      <c r="AH20" s="1118">
        <f>ROUND(SUM(X20)-SUM(AD20),1)</f>
        <v>9.6999999999999993</v>
      </c>
      <c r="AI20" s="1590"/>
      <c r="AJ20" s="1879">
        <f>ROUND(AH20/AD20,3)</f>
        <v>1.0999999999999999E-2</v>
      </c>
      <c r="AK20" s="987"/>
      <c r="AL20" s="1570"/>
    </row>
    <row r="21" spans="1:38" s="1597" customFormat="1" ht="18" customHeight="1">
      <c r="A21" s="1581" t="s">
        <v>779</v>
      </c>
      <c r="B21" s="1581"/>
      <c r="C21" s="1581"/>
      <c r="D21" s="1121">
        <f>ROUND(SUM(D16:D20),1)</f>
        <v>5005.2</v>
      </c>
      <c r="E21" s="16"/>
      <c r="F21" s="1121">
        <f>ROUND(SUM(F16:F20),1)</f>
        <v>33438.400000000001</v>
      </c>
      <c r="G21" s="16"/>
      <c r="H21" s="1121">
        <f>ROUND(SUM(H16:H20),1)</f>
        <v>0</v>
      </c>
      <c r="I21" s="1591"/>
      <c r="J21" s="1121">
        <f>ROUND(SUM(J16:J20),1)</f>
        <v>0</v>
      </c>
      <c r="K21" s="16"/>
      <c r="L21" s="1121">
        <f>ROUND(SUM(L16:L20),1)</f>
        <v>0</v>
      </c>
      <c r="M21" s="1591"/>
      <c r="N21" s="1121">
        <f>ROUND(SUM(N16:N20),1)</f>
        <v>0</v>
      </c>
      <c r="O21" s="16"/>
      <c r="P21" s="1121">
        <f>ROUND(SUM(P16:P20),1)</f>
        <v>0</v>
      </c>
      <c r="Q21" s="1591"/>
      <c r="R21" s="1121">
        <f>ROUND(SUM(R16:R20),1)</f>
        <v>0</v>
      </c>
      <c r="S21" s="16"/>
      <c r="T21" s="1592"/>
      <c r="U21" s="1592"/>
      <c r="V21" s="1593">
        <f>ROUND(SUM(V16:V20),1)</f>
        <v>5005.2</v>
      </c>
      <c r="W21" s="16"/>
      <c r="X21" s="1593">
        <f>ROUND(SUM(X16:X20),1)</f>
        <v>33438.400000000001</v>
      </c>
      <c r="Y21" s="1594"/>
      <c r="Z21" s="1372"/>
      <c r="AA21" s="16"/>
      <c r="AB21" s="179">
        <f>ROUND(SUM(AB16:AB20),1)</f>
        <v>5620.2</v>
      </c>
      <c r="AC21" s="16"/>
      <c r="AD21" s="2057">
        <f>ROUND(SUM(AD16:AD20),1)</f>
        <v>41441.599999999999</v>
      </c>
      <c r="AE21" s="1591"/>
      <c r="AF21" s="1895"/>
      <c r="AG21" s="1594"/>
      <c r="AH21" s="1914">
        <f>ROUND(SUM(X21)-SUM(AD21),1)</f>
        <v>-8003.2</v>
      </c>
      <c r="AI21" s="4"/>
      <c r="AJ21" s="1880">
        <f>ROUND(AH21/AD21,3)</f>
        <v>-0.193</v>
      </c>
      <c r="AK21" s="1595"/>
      <c r="AL21" s="1596"/>
    </row>
    <row r="22" spans="1:38" ht="18" customHeight="1">
      <c r="A22" s="1585" t="s">
        <v>780</v>
      </c>
      <c r="B22" s="565"/>
      <c r="C22" s="565"/>
      <c r="D22" s="912">
        <f>'Exhibit F'!N23</f>
        <v>0</v>
      </c>
      <c r="E22" s="1118"/>
      <c r="F22" s="912">
        <f>'Exhibit F'!AC23</f>
        <v>0</v>
      </c>
      <c r="G22" s="449"/>
      <c r="H22" s="449">
        <f>'Exhibit G'!N17</f>
        <v>0</v>
      </c>
      <c r="I22" s="1118"/>
      <c r="J22" s="912">
        <f>'Exhibit G'!AD17</f>
        <v>0</v>
      </c>
      <c r="K22" s="449"/>
      <c r="L22" s="1122">
        <v>0</v>
      </c>
      <c r="M22" s="1118"/>
      <c r="N22" s="1122">
        <v>0</v>
      </c>
      <c r="O22" s="449"/>
      <c r="P22" s="1122">
        <v>0</v>
      </c>
      <c r="Q22" s="1118"/>
      <c r="R22" s="1122">
        <v>0</v>
      </c>
      <c r="S22" s="449"/>
      <c r="T22" s="1587"/>
      <c r="U22" s="1587"/>
      <c r="V22" s="1598">
        <f>SUM(D22)+SUM(H22)+SUM(L22)+SUM(P22)</f>
        <v>0</v>
      </c>
      <c r="W22" s="449"/>
      <c r="X22" s="1598">
        <f t="shared" si="1"/>
        <v>0</v>
      </c>
      <c r="Y22" s="1588"/>
      <c r="Z22" s="1589"/>
      <c r="AA22" s="449"/>
      <c r="AB22" s="912">
        <v>0</v>
      </c>
      <c r="AC22" s="449"/>
      <c r="AD22" s="1118">
        <f>'Cashflow Governmental'!AE27</f>
        <v>0</v>
      </c>
      <c r="AE22" s="452"/>
      <c r="AF22" s="1895"/>
      <c r="AG22" s="1588"/>
      <c r="AH22" s="452">
        <f>ROUND(SUM(X22)-SUM(AD22),1)</f>
        <v>0</v>
      </c>
      <c r="AI22" s="1590"/>
      <c r="AJ22" s="469">
        <f>ROUND(IF(AD22=0,0,AH22/(AD22)),3)</f>
        <v>0</v>
      </c>
      <c r="AK22" s="1599"/>
      <c r="AL22" s="1570"/>
    </row>
    <row r="23" spans="1:38" ht="18" customHeight="1">
      <c r="A23" s="1585" t="s">
        <v>781</v>
      </c>
      <c r="B23" s="565"/>
      <c r="C23" s="565"/>
      <c r="D23" s="912">
        <f>'Exhibit F'!N24</f>
        <v>-2158.6000000000004</v>
      </c>
      <c r="E23" s="449"/>
      <c r="F23" s="912">
        <f>'Exhibit F'!AC24</f>
        <v>-12990.5</v>
      </c>
      <c r="G23" s="449"/>
      <c r="H23" s="452">
        <v>0</v>
      </c>
      <c r="I23" s="1118"/>
      <c r="J23" s="452">
        <v>0</v>
      </c>
      <c r="K23" s="449"/>
      <c r="L23" s="1118">
        <f>'Exhibit H'!L16</f>
        <v>2158.6000000000004</v>
      </c>
      <c r="M23" s="1118"/>
      <c r="N23" s="1118">
        <f>'Exhibit H'!AA16</f>
        <v>12990.5</v>
      </c>
      <c r="O23" s="449"/>
      <c r="P23" s="452">
        <v>0</v>
      </c>
      <c r="Q23" s="1118"/>
      <c r="R23" s="452">
        <v>0</v>
      </c>
      <c r="S23" s="449"/>
      <c r="T23" s="1587"/>
      <c r="U23" s="1587"/>
      <c r="V23" s="1118">
        <f>ROUND(SUM(D23)+SUM(H23)+SUM(L23)+SUM(P23),1)</f>
        <v>0</v>
      </c>
      <c r="W23" s="449"/>
      <c r="X23" s="1118">
        <f t="shared" si="1"/>
        <v>0</v>
      </c>
      <c r="Y23" s="1588"/>
      <c r="Z23" s="1589"/>
      <c r="AA23" s="449"/>
      <c r="AB23" s="912">
        <v>0</v>
      </c>
      <c r="AC23" s="449"/>
      <c r="AD23" s="1118">
        <f>'Cashflow Governmental'!AE28</f>
        <v>0</v>
      </c>
      <c r="AE23" s="452"/>
      <c r="AF23" s="1895"/>
      <c r="AG23" s="1588"/>
      <c r="AH23" s="452">
        <f>ROUND(SUM(X23)-SUM(AD23),1)</f>
        <v>0</v>
      </c>
      <c r="AI23" s="1590"/>
      <c r="AJ23" s="469">
        <f>ROUND(IF(AD23=0,0,AH23/(AD23)),3)</f>
        <v>0</v>
      </c>
      <c r="AK23" s="1599"/>
      <c r="AL23" s="1570"/>
    </row>
    <row r="24" spans="1:38" ht="18" customHeight="1">
      <c r="A24" s="565" t="s">
        <v>782</v>
      </c>
      <c r="B24" s="565"/>
      <c r="C24" s="565"/>
      <c r="D24" s="912">
        <f>'Exhibit F'!N25</f>
        <v>-687.99999999999955</v>
      </c>
      <c r="E24" s="449"/>
      <c r="F24" s="912">
        <f>'Exhibit F'!AC25</f>
        <v>-7457.4</v>
      </c>
      <c r="G24" s="449"/>
      <c r="H24" s="452">
        <v>0</v>
      </c>
      <c r="I24" s="1118"/>
      <c r="J24" s="452">
        <v>0</v>
      </c>
      <c r="K24" s="449"/>
      <c r="L24" s="452">
        <v>0</v>
      </c>
      <c r="M24" s="1118"/>
      <c r="N24" s="452">
        <v>0</v>
      </c>
      <c r="O24" s="449"/>
      <c r="P24" s="452">
        <v>0</v>
      </c>
      <c r="Q24" s="1118"/>
      <c r="R24" s="452">
        <v>0</v>
      </c>
      <c r="S24" s="449"/>
      <c r="T24" s="1587"/>
      <c r="U24" s="1587"/>
      <c r="V24" s="1118">
        <f>SUM(D24)+SUM(H24)+SUM(L24)+SUM(P24)</f>
        <v>-687.99999999999955</v>
      </c>
      <c r="W24" s="449"/>
      <c r="X24" s="1118">
        <f>SUM(F24)+SUM(J24)+SUM(N24)+SUM(R24)</f>
        <v>-7457.4</v>
      </c>
      <c r="Y24" s="1588"/>
      <c r="Z24" s="1589"/>
      <c r="AA24" s="449"/>
      <c r="AB24" s="912">
        <v>-761</v>
      </c>
      <c r="AC24" s="449"/>
      <c r="AD24" s="1118">
        <f>'Cashflow Governmental'!AE29</f>
        <v>-8263</v>
      </c>
      <c r="AE24" s="1118"/>
      <c r="AF24" s="1895"/>
      <c r="AG24" s="1588"/>
      <c r="AH24" s="1118">
        <f>-ROUND(SUM(X24)-SUM(AD24),1)</f>
        <v>-805.6</v>
      </c>
      <c r="AI24" s="1590"/>
      <c r="AJ24" s="1136">
        <f>-ROUND(AH24/AD24,3)</f>
        <v>-9.7000000000000003E-2</v>
      </c>
      <c r="AK24" s="987"/>
      <c r="AL24" s="1570"/>
    </row>
    <row r="25" spans="1:38" ht="18" customHeight="1">
      <c r="A25" s="1600" t="s">
        <v>783</v>
      </c>
      <c r="B25" s="565"/>
      <c r="C25" s="565"/>
      <c r="D25" s="1123">
        <f>ROUND(SUM(D21:D24),1)</f>
        <v>2158.6</v>
      </c>
      <c r="E25" s="16"/>
      <c r="F25" s="1123">
        <f>ROUND(SUM(F21:F24),1)</f>
        <v>12990.5</v>
      </c>
      <c r="G25" s="16"/>
      <c r="H25" s="1123">
        <f>ROUND(SUM(H21:H24),1)</f>
        <v>0</v>
      </c>
      <c r="I25" s="1591"/>
      <c r="J25" s="1123">
        <f>ROUND(SUM(J21:J24),1)</f>
        <v>0</v>
      </c>
      <c r="K25" s="16"/>
      <c r="L25" s="1123">
        <f>ROUND(SUM(L21:L24),1)</f>
        <v>2158.6</v>
      </c>
      <c r="M25" s="1591"/>
      <c r="N25" s="1123">
        <f>ROUND(SUM(N21:N24),1)</f>
        <v>12990.5</v>
      </c>
      <c r="O25" s="16"/>
      <c r="P25" s="1123">
        <f>ROUND(SUM(P21:P24),1)</f>
        <v>0</v>
      </c>
      <c r="Q25" s="1591"/>
      <c r="R25" s="1123">
        <f>ROUND(SUM(R21:R24),1)</f>
        <v>0</v>
      </c>
      <c r="S25" s="16"/>
      <c r="T25" s="1592"/>
      <c r="U25" s="1592"/>
      <c r="V25" s="1593">
        <f>ROUND(SUM(V21:V24),1)</f>
        <v>4317.2</v>
      </c>
      <c r="W25" s="16"/>
      <c r="X25" s="1593">
        <f>ROUND(SUM(X21:X24),1)</f>
        <v>25981</v>
      </c>
      <c r="Y25" s="1601"/>
      <c r="Z25" s="1372"/>
      <c r="AA25" s="16"/>
      <c r="AB25" s="2213">
        <f>ROUND(SUM(AB21:AB24),1)</f>
        <v>4859.2</v>
      </c>
      <c r="AC25" s="16"/>
      <c r="AD25" s="1593">
        <f>ROUND(SUM(AD21:AD24),1)</f>
        <v>33178.6</v>
      </c>
      <c r="AE25" s="16" t="s">
        <v>14</v>
      </c>
      <c r="AF25" s="1895"/>
      <c r="AG25" s="1594"/>
      <c r="AH25" s="1137">
        <f>ROUND(SUM(X25)-SUM(AD25),1)</f>
        <v>-7197.6</v>
      </c>
      <c r="AI25" s="4"/>
      <c r="AJ25" s="988">
        <f>ROUND(AH25/AD25,3)</f>
        <v>-0.217</v>
      </c>
      <c r="AK25" s="1595"/>
      <c r="AL25" s="1596"/>
    </row>
    <row r="26" spans="1:38" ht="18" customHeight="1">
      <c r="A26" s="565"/>
      <c r="B26" s="565"/>
      <c r="C26" s="565"/>
      <c r="D26" s="1124"/>
      <c r="E26" s="449"/>
      <c r="F26" s="1124" t="s">
        <v>14</v>
      </c>
      <c r="G26" s="449"/>
      <c r="H26" s="1124"/>
      <c r="I26" s="449"/>
      <c r="J26" s="1124" t="s">
        <v>1109</v>
      </c>
      <c r="K26" s="449"/>
      <c r="L26" s="1124" t="s">
        <v>14</v>
      </c>
      <c r="M26" s="449"/>
      <c r="N26" s="1124" t="s">
        <v>14</v>
      </c>
      <c r="O26" s="449"/>
      <c r="P26" s="1124"/>
      <c r="Q26" s="449"/>
      <c r="R26" s="1124"/>
      <c r="S26" s="449"/>
      <c r="T26" s="1587"/>
      <c r="U26" s="1587"/>
      <c r="V26" s="1124"/>
      <c r="W26" s="449"/>
      <c r="X26" s="1124"/>
      <c r="Y26" s="449"/>
      <c r="Z26" s="1589"/>
      <c r="AA26" s="449"/>
      <c r="AB26" s="1124"/>
      <c r="AC26" s="449"/>
      <c r="AD26" s="1124"/>
      <c r="AE26" s="449"/>
      <c r="AF26" s="1895"/>
      <c r="AG26" s="449"/>
      <c r="AH26" s="449"/>
      <c r="AI26" s="451"/>
      <c r="AJ26" s="1602"/>
      <c r="AK26" s="1599"/>
      <c r="AL26" s="1570"/>
    </row>
    <row r="27" spans="1:38" ht="18" customHeight="1">
      <c r="A27" s="1600" t="s">
        <v>1031</v>
      </c>
      <c r="B27" s="565"/>
      <c r="C27" s="1586"/>
      <c r="D27" s="2192"/>
      <c r="E27" s="449"/>
      <c r="F27" s="449"/>
      <c r="G27" s="449"/>
      <c r="H27" s="449"/>
      <c r="I27" s="449"/>
      <c r="J27" s="449"/>
      <c r="K27" s="449"/>
      <c r="L27" s="449"/>
      <c r="M27" s="449"/>
      <c r="N27" s="449"/>
      <c r="O27" s="449"/>
      <c r="P27" s="449"/>
      <c r="Q27" s="449"/>
      <c r="R27" s="449"/>
      <c r="S27" s="449"/>
      <c r="T27" s="1587"/>
      <c r="U27" s="1587"/>
      <c r="V27" s="449"/>
      <c r="W27" s="449"/>
      <c r="X27" s="449"/>
      <c r="Y27" s="449"/>
      <c r="Z27" s="1589"/>
      <c r="AA27" s="449"/>
      <c r="AB27" s="449"/>
      <c r="AC27" s="449"/>
      <c r="AD27" s="449"/>
      <c r="AE27" s="449"/>
      <c r="AF27" s="1895"/>
      <c r="AG27" s="449"/>
      <c r="AH27" s="449"/>
      <c r="AI27" s="451"/>
      <c r="AJ27" s="1602"/>
      <c r="AK27" s="1599"/>
      <c r="AL27" s="1570"/>
    </row>
    <row r="28" spans="1:38" ht="18" customHeight="1">
      <c r="A28" s="565" t="s">
        <v>784</v>
      </c>
      <c r="B28" s="565"/>
      <c r="C28" s="565"/>
      <c r="D28" s="449">
        <f>'Exhibit F'!N28</f>
        <v>917.60000000000036</v>
      </c>
      <c r="E28" s="449"/>
      <c r="F28" s="449">
        <f>'Exhibit F'!AC28</f>
        <v>4663.8</v>
      </c>
      <c r="G28" s="449"/>
      <c r="H28" s="449">
        <f>'Exhibit G'!N20</f>
        <v>123.29999999999993</v>
      </c>
      <c r="I28" s="449"/>
      <c r="J28" s="449">
        <f>'Exhibit G'!AD20</f>
        <v>694.3</v>
      </c>
      <c r="K28" s="449"/>
      <c r="L28" s="1118">
        <f>'Exhibit H'!L19</f>
        <v>917.19999999999982</v>
      </c>
      <c r="M28" s="1118"/>
      <c r="N28" s="1118">
        <f>'Exhibit H'!AA19</f>
        <v>4659.8999999999996</v>
      </c>
      <c r="O28" s="449"/>
      <c r="P28" s="452">
        <v>0</v>
      </c>
      <c r="Q28" s="1118"/>
      <c r="R28" s="452">
        <v>0</v>
      </c>
      <c r="S28" s="449"/>
      <c r="T28" s="1587"/>
      <c r="U28" s="1587"/>
      <c r="V28" s="1118">
        <f t="shared" ref="V28:V34" si="2">SUM(D28)+SUM(H28)+SUM(L28)+SUM(P28)</f>
        <v>1958.1000000000001</v>
      </c>
      <c r="W28" s="449"/>
      <c r="X28" s="1118">
        <f t="shared" ref="X28:X35" si="3">SUM(F28)+SUM(J28)+SUM(N28)+SUM(R28)</f>
        <v>10018</v>
      </c>
      <c r="Y28" s="449"/>
      <c r="Z28" s="1589"/>
      <c r="AA28" s="449"/>
      <c r="AB28" s="912">
        <v>1892.9</v>
      </c>
      <c r="AC28" s="449"/>
      <c r="AD28" s="1118">
        <f>'Cashflow Governmental'!AE32</f>
        <v>9454.9</v>
      </c>
      <c r="AE28" s="1118"/>
      <c r="AF28" s="1895"/>
      <c r="AG28" s="449"/>
      <c r="AH28" s="449">
        <f t="shared" ref="AH28:AH38" si="4">ROUND(SUM(X28)-SUM(AD28),1)</f>
        <v>563.1</v>
      </c>
      <c r="AI28" s="1590"/>
      <c r="AJ28" s="987">
        <f t="shared" ref="AJ28:AJ38" si="5">ROUND(AH28/AD28,3)</f>
        <v>0.06</v>
      </c>
      <c r="AK28" s="987"/>
      <c r="AL28" s="1570"/>
    </row>
    <row r="29" spans="1:38" ht="18" customHeight="1">
      <c r="A29" s="1585" t="s">
        <v>785</v>
      </c>
      <c r="B29" s="565"/>
      <c r="C29" s="492"/>
      <c r="D29" s="449">
        <f>'Exhibit F'!N29</f>
        <v>0</v>
      </c>
      <c r="E29" s="1118"/>
      <c r="F29" s="449">
        <f>'Exhibit F'!AC29</f>
        <v>0</v>
      </c>
      <c r="G29" s="449"/>
      <c r="H29" s="449">
        <f>'Exhibit G'!N21</f>
        <v>10.1</v>
      </c>
      <c r="I29" s="1118"/>
      <c r="J29" s="449">
        <f>'Exhibit G'!AD21</f>
        <v>18.899999999999999</v>
      </c>
      <c r="K29" s="449"/>
      <c r="L29" s="452">
        <v>0</v>
      </c>
      <c r="M29" s="1118"/>
      <c r="N29" s="452">
        <v>0</v>
      </c>
      <c r="O29" s="449"/>
      <c r="P29" s="912">
        <f>'Exhibit I'!O20</f>
        <v>30.299999999999997</v>
      </c>
      <c r="Q29" s="449"/>
      <c r="R29" s="912">
        <f>'Exhibit I'!AF20</f>
        <v>61.6</v>
      </c>
      <c r="S29" s="449"/>
      <c r="T29" s="1587"/>
      <c r="U29" s="1587"/>
      <c r="V29" s="1118">
        <f t="shared" si="2"/>
        <v>40.4</v>
      </c>
      <c r="W29" s="449"/>
      <c r="X29" s="1118">
        <f t="shared" si="3"/>
        <v>80.5</v>
      </c>
      <c r="Y29" s="1588"/>
      <c r="Z29" s="1589"/>
      <c r="AA29" s="449"/>
      <c r="AB29" s="912">
        <v>38.799999999999997</v>
      </c>
      <c r="AC29" s="449"/>
      <c r="AD29" s="1118">
        <f>'Cashflow Governmental'!AE33</f>
        <v>77.7</v>
      </c>
      <c r="AE29" s="1118"/>
      <c r="AF29" s="1895"/>
      <c r="AG29" s="1588"/>
      <c r="AH29" s="1118">
        <f t="shared" si="4"/>
        <v>2.8</v>
      </c>
      <c r="AI29" s="1603"/>
      <c r="AJ29" s="987">
        <f t="shared" si="5"/>
        <v>3.5999999999999997E-2</v>
      </c>
      <c r="AK29" s="987"/>
      <c r="AL29" s="1570"/>
    </row>
    <row r="30" spans="1:38" ht="18" customHeight="1">
      <c r="A30" s="565" t="s">
        <v>786</v>
      </c>
      <c r="B30" s="565"/>
      <c r="C30" s="565"/>
      <c r="D30" s="449">
        <f>'Exhibit F'!N30</f>
        <v>25.399999999999974</v>
      </c>
      <c r="E30" s="449"/>
      <c r="F30" s="449">
        <f>'Exhibit F'!AC30</f>
        <v>139.79999999999998</v>
      </c>
      <c r="G30" s="449"/>
      <c r="H30" s="449">
        <f>'Exhibit G'!N22</f>
        <v>46.899999999999977</v>
      </c>
      <c r="I30" s="1118"/>
      <c r="J30" s="449">
        <f>'Exhibit G'!AD22</f>
        <v>300.5</v>
      </c>
      <c r="K30" s="449"/>
      <c r="L30" s="452">
        <v>0</v>
      </c>
      <c r="M30" s="1118"/>
      <c r="N30" s="452">
        <v>0</v>
      </c>
      <c r="O30" s="449"/>
      <c r="P30" s="452">
        <v>0</v>
      </c>
      <c r="Q30" s="1118"/>
      <c r="R30" s="452">
        <v>0</v>
      </c>
      <c r="S30" s="449"/>
      <c r="T30" s="1587"/>
      <c r="U30" s="1587"/>
      <c r="V30" s="1118">
        <f t="shared" si="2"/>
        <v>72.299999999999955</v>
      </c>
      <c r="W30" s="449"/>
      <c r="X30" s="1118">
        <f t="shared" si="3"/>
        <v>440.29999999999995</v>
      </c>
      <c r="Y30" s="1588"/>
      <c r="Z30" s="1589"/>
      <c r="AA30" s="449"/>
      <c r="AB30" s="912">
        <v>77.699999999999989</v>
      </c>
      <c r="AC30" s="449"/>
      <c r="AD30" s="1118">
        <f>'Cashflow Governmental'!AE34</f>
        <v>481.2</v>
      </c>
      <c r="AE30" s="912"/>
      <c r="AF30" s="1896"/>
      <c r="AG30" s="1588"/>
      <c r="AH30" s="1118">
        <f t="shared" si="4"/>
        <v>-40.9</v>
      </c>
      <c r="AI30" s="1590"/>
      <c r="AJ30" s="987">
        <f t="shared" si="5"/>
        <v>-8.5000000000000006E-2</v>
      </c>
      <c r="AK30" s="987"/>
      <c r="AL30" s="1570"/>
    </row>
    <row r="31" spans="1:38" ht="18" customHeight="1">
      <c r="A31" s="565" t="s">
        <v>1390</v>
      </c>
      <c r="B31" s="449"/>
      <c r="C31" s="565"/>
      <c r="D31" s="449">
        <v>0</v>
      </c>
      <c r="E31" s="449"/>
      <c r="F31" s="449">
        <v>0</v>
      </c>
      <c r="G31" s="449"/>
      <c r="H31" s="449">
        <f>'Exhibit G'!N23</f>
        <v>6.9999999999999991</v>
      </c>
      <c r="I31" s="1118"/>
      <c r="J31" s="449">
        <f>'Exhibit G'!AD23</f>
        <v>13.5</v>
      </c>
      <c r="K31" s="449"/>
      <c r="L31" s="452">
        <v>0</v>
      </c>
      <c r="M31" s="1118"/>
      <c r="N31" s="452">
        <v>0</v>
      </c>
      <c r="O31" s="449"/>
      <c r="P31" s="452">
        <v>0</v>
      </c>
      <c r="Q31" s="1118"/>
      <c r="R31" s="452">
        <v>0</v>
      </c>
      <c r="S31" s="449"/>
      <c r="T31" s="1587"/>
      <c r="U31" s="1587"/>
      <c r="V31" s="1118">
        <f>SUM(D31)+SUM(H31)+SUM(L31)+SUM(P31)</f>
        <v>6.9999999999999991</v>
      </c>
      <c r="W31" s="449"/>
      <c r="X31" s="1118">
        <f>SUM(F31)+SUM(J31)+SUM(N31)+SUM(R31)</f>
        <v>13.5</v>
      </c>
      <c r="Y31" s="1588"/>
      <c r="Z31" s="1589"/>
      <c r="AA31" s="449"/>
      <c r="AB31" s="912">
        <v>1</v>
      </c>
      <c r="AC31" s="449"/>
      <c r="AD31" s="1118">
        <f>'Cashflow Governmental'!AE35</f>
        <v>6.1</v>
      </c>
      <c r="AE31" s="912"/>
      <c r="AF31" s="1896"/>
      <c r="AG31" s="1588"/>
      <c r="AH31" s="1118">
        <f>ROUND(SUM(X31)-SUM(AD31),1)</f>
        <v>7.4</v>
      </c>
      <c r="AI31" s="1590"/>
      <c r="AJ31" s="469">
        <f>ROUND(IF(AD31=0,0,AH31/(AD31)),3)</f>
        <v>1.2130000000000001</v>
      </c>
      <c r="AK31" s="987"/>
      <c r="AL31" s="1570"/>
    </row>
    <row r="32" spans="1:38" ht="18" customHeight="1">
      <c r="A32" s="565" t="s">
        <v>787</v>
      </c>
      <c r="B32" s="565"/>
      <c r="C32" s="565"/>
      <c r="D32" s="449">
        <f>'Exhibit F'!N31</f>
        <v>0</v>
      </c>
      <c r="E32" s="1118"/>
      <c r="F32" s="449">
        <f>'Exhibit F'!AC31</f>
        <v>0</v>
      </c>
      <c r="G32" s="449"/>
      <c r="H32" s="449">
        <f>'Exhibit G'!N24</f>
        <v>9.5999999999999943</v>
      </c>
      <c r="I32" s="1118"/>
      <c r="J32" s="449">
        <f>'Exhibit G'!AD24</f>
        <v>53.5</v>
      </c>
      <c r="K32" s="449"/>
      <c r="L32" s="452">
        <v>0</v>
      </c>
      <c r="M32" s="1118"/>
      <c r="N32" s="452">
        <v>0</v>
      </c>
      <c r="O32" s="449"/>
      <c r="P32" s="449">
        <f>'Exhibit I'!O21</f>
        <v>35.400000000000013</v>
      </c>
      <c r="Q32" s="1118"/>
      <c r="R32" s="449">
        <f>'Exhibit I'!AF21</f>
        <v>196.5</v>
      </c>
      <c r="S32" s="449"/>
      <c r="T32" s="1587"/>
      <c r="U32" s="1587"/>
      <c r="V32" s="1118">
        <f t="shared" si="2"/>
        <v>45.000000000000007</v>
      </c>
      <c r="W32" s="449"/>
      <c r="X32" s="1118">
        <f t="shared" si="3"/>
        <v>250</v>
      </c>
      <c r="Y32" s="449"/>
      <c r="Z32" s="1589"/>
      <c r="AA32" s="449"/>
      <c r="AB32" s="912">
        <v>-1.7</v>
      </c>
      <c r="AC32" s="449"/>
      <c r="AD32" s="1118">
        <f>'Cashflow Governmental'!AE36</f>
        <v>80.5</v>
      </c>
      <c r="AE32" s="1118"/>
      <c r="AF32" s="1896"/>
      <c r="AG32" s="449"/>
      <c r="AH32" s="1118">
        <f t="shared" si="4"/>
        <v>169.5</v>
      </c>
      <c r="AI32" s="451"/>
      <c r="AJ32" s="987">
        <f t="shared" si="5"/>
        <v>2.1059999999999999</v>
      </c>
      <c r="AK32" s="987"/>
      <c r="AL32" s="1570"/>
    </row>
    <row r="33" spans="1:38" ht="18" customHeight="1">
      <c r="A33" s="753" t="s">
        <v>1431</v>
      </c>
      <c r="B33" s="565"/>
      <c r="C33" s="565"/>
      <c r="D33" s="449">
        <f>'Exhibit F'!N32</f>
        <v>0.4</v>
      </c>
      <c r="E33" s="1118"/>
      <c r="F33" s="449">
        <f>'Exhibit F'!AC32</f>
        <v>-0.6</v>
      </c>
      <c r="G33" s="449"/>
      <c r="H33" s="449">
        <f>'Exhibit G'!N25</f>
        <v>9.9999999999999978E-2</v>
      </c>
      <c r="I33" s="1118"/>
      <c r="J33" s="449">
        <f>'Exhibit G'!AD25</f>
        <v>0.3</v>
      </c>
      <c r="K33" s="449"/>
      <c r="L33" s="452">
        <v>0</v>
      </c>
      <c r="M33" s="1118"/>
      <c r="N33" s="452">
        <v>0</v>
      </c>
      <c r="O33" s="449"/>
      <c r="P33" s="449">
        <v>0</v>
      </c>
      <c r="Q33" s="1118"/>
      <c r="R33" s="449">
        <v>0</v>
      </c>
      <c r="S33" s="449"/>
      <c r="T33" s="1587"/>
      <c r="U33" s="1587"/>
      <c r="V33" s="1118">
        <f t="shared" si="2"/>
        <v>0.5</v>
      </c>
      <c r="W33" s="449"/>
      <c r="X33" s="1118">
        <f t="shared" si="3"/>
        <v>-0.3</v>
      </c>
      <c r="Y33" s="449"/>
      <c r="Z33" s="1589"/>
      <c r="AA33" s="449"/>
      <c r="AB33" s="912">
        <v>0</v>
      </c>
      <c r="AC33" s="449"/>
      <c r="AD33" s="1118">
        <f>'Cashflow Governmental'!AE37</f>
        <v>0</v>
      </c>
      <c r="AE33" s="1118"/>
      <c r="AF33" s="1896"/>
      <c r="AG33" s="449"/>
      <c r="AH33" s="1118">
        <f t="shared" ref="AH33" si="6">ROUND(SUM(X33)-SUM(AD33),1)</f>
        <v>-0.3</v>
      </c>
      <c r="AI33" s="451"/>
      <c r="AJ33" s="469">
        <f>-ROUND(IF(AD33=0,1,AH33/(AD33)),3)</f>
        <v>-1</v>
      </c>
      <c r="AK33" s="987"/>
      <c r="AL33" s="1570"/>
    </row>
    <row r="34" spans="1:38" ht="18" customHeight="1">
      <c r="A34" s="565" t="s">
        <v>788</v>
      </c>
      <c r="B34" s="565"/>
      <c r="C34" s="565"/>
      <c r="D34" s="449">
        <f>'Exhibit F'!N33</f>
        <v>26.600000000000026</v>
      </c>
      <c r="E34" s="449"/>
      <c r="F34" s="449">
        <f>'Exhibit F'!AC33</f>
        <v>143.80000000000001</v>
      </c>
      <c r="G34" s="449"/>
      <c r="H34" s="449">
        <f>'Exhibit G'!N26</f>
        <v>0</v>
      </c>
      <c r="I34" s="1118"/>
      <c r="J34" s="449">
        <f>'Exhibit G'!AD26</f>
        <v>0</v>
      </c>
      <c r="K34" s="449"/>
      <c r="L34" s="452">
        <v>0</v>
      </c>
      <c r="M34" s="1118"/>
      <c r="N34" s="452">
        <v>0</v>
      </c>
      <c r="O34" s="449"/>
      <c r="P34" s="452">
        <v>0</v>
      </c>
      <c r="Q34" s="1118"/>
      <c r="R34" s="452">
        <v>0</v>
      </c>
      <c r="S34" s="449"/>
      <c r="T34" s="1587"/>
      <c r="U34" s="1587"/>
      <c r="V34" s="1118">
        <f t="shared" si="2"/>
        <v>26.600000000000026</v>
      </c>
      <c r="W34" s="449"/>
      <c r="X34" s="1118">
        <f t="shared" si="3"/>
        <v>143.80000000000001</v>
      </c>
      <c r="Y34" s="1588"/>
      <c r="Z34" s="1589"/>
      <c r="AA34" s="449"/>
      <c r="AB34" s="912">
        <v>26.3</v>
      </c>
      <c r="AC34" s="449"/>
      <c r="AD34" s="1118">
        <f>'Cashflow Governmental'!AE38</f>
        <v>147.4</v>
      </c>
      <c r="AE34" s="1118"/>
      <c r="AF34" s="1896"/>
      <c r="AG34" s="1588"/>
      <c r="AH34" s="1118">
        <f t="shared" si="4"/>
        <v>-3.6</v>
      </c>
      <c r="AI34" s="1590"/>
      <c r="AJ34" s="987">
        <f t="shared" si="5"/>
        <v>-2.4E-2</v>
      </c>
      <c r="AK34" s="987"/>
      <c r="AL34" s="1570"/>
    </row>
    <row r="35" spans="1:38" ht="18" customHeight="1">
      <c r="A35" s="565" t="s">
        <v>789</v>
      </c>
      <c r="B35" s="565"/>
      <c r="C35" s="565"/>
      <c r="D35" s="449">
        <f>'Exhibit F'!N34</f>
        <v>0</v>
      </c>
      <c r="E35" s="1118"/>
      <c r="F35" s="449">
        <f>'Exhibit F'!AC34</f>
        <v>0</v>
      </c>
      <c r="G35" s="449"/>
      <c r="H35" s="449">
        <f>'Exhibit G'!N27</f>
        <v>0</v>
      </c>
      <c r="I35" s="1118"/>
      <c r="J35" s="449">
        <f>'Exhibit G'!AD27</f>
        <v>0.3</v>
      </c>
      <c r="K35" s="449"/>
      <c r="L35" s="452">
        <v>0</v>
      </c>
      <c r="M35" s="1118"/>
      <c r="N35" s="452">
        <v>0</v>
      </c>
      <c r="O35" s="449"/>
      <c r="P35" s="449">
        <f>'Exhibit I'!O22</f>
        <v>10.300000000000004</v>
      </c>
      <c r="Q35" s="1118"/>
      <c r="R35" s="449">
        <f>'Exhibit I'!AF22</f>
        <v>67.2</v>
      </c>
      <c r="S35" s="449"/>
      <c r="T35" s="1587"/>
      <c r="U35" s="1587"/>
      <c r="V35" s="1118">
        <f>SUM(D35)+SUM(H35)+SUM(L35)+SUM(P35)</f>
        <v>10.300000000000004</v>
      </c>
      <c r="W35" s="449"/>
      <c r="X35" s="1118">
        <f t="shared" si="3"/>
        <v>67.5</v>
      </c>
      <c r="Y35" s="1588"/>
      <c r="Z35" s="1589"/>
      <c r="AA35" s="449"/>
      <c r="AB35" s="912">
        <v>9.9</v>
      </c>
      <c r="AC35" s="449"/>
      <c r="AD35" s="1118">
        <f>'Cashflow Governmental'!AE39</f>
        <v>65.099999999999994</v>
      </c>
      <c r="AE35" s="912"/>
      <c r="AF35" s="1896"/>
      <c r="AG35" s="1588"/>
      <c r="AH35" s="452">
        <f t="shared" si="4"/>
        <v>2.4</v>
      </c>
      <c r="AI35" s="1603"/>
      <c r="AJ35" s="987">
        <f>ROUND(AH35/AD35,3)</f>
        <v>3.6999999999999998E-2</v>
      </c>
      <c r="AK35" s="987"/>
      <c r="AL35" s="1570"/>
    </row>
    <row r="36" spans="1:38" ht="18" customHeight="1">
      <c r="A36" s="565" t="s">
        <v>1262</v>
      </c>
      <c r="B36" s="565"/>
      <c r="C36" s="565"/>
      <c r="D36" s="449">
        <f>'Exhibit F'!N35</f>
        <v>0</v>
      </c>
      <c r="E36" s="1118"/>
      <c r="F36" s="449">
        <f>'Exhibit F'!AC35</f>
        <v>0</v>
      </c>
      <c r="G36" s="449"/>
      <c r="H36" s="449">
        <f>'Exhibit G'!N28</f>
        <v>6.3999999999999995</v>
      </c>
      <c r="I36" s="1118"/>
      <c r="J36" s="449">
        <f>'Exhibit G'!AD28</f>
        <v>13.1</v>
      </c>
      <c r="K36" s="449"/>
      <c r="L36" s="452">
        <v>0</v>
      </c>
      <c r="M36" s="1118"/>
      <c r="N36" s="452">
        <v>0</v>
      </c>
      <c r="O36" s="449"/>
      <c r="P36" s="449">
        <v>0</v>
      </c>
      <c r="Q36" s="1118"/>
      <c r="R36" s="449">
        <v>0</v>
      </c>
      <c r="S36" s="449"/>
      <c r="T36" s="1587"/>
      <c r="U36" s="1587"/>
      <c r="V36" s="1118">
        <f>SUM(D36)+SUM(H36)+SUM(L36)+SUM(P36)</f>
        <v>6.3999999999999995</v>
      </c>
      <c r="W36" s="449"/>
      <c r="X36" s="1118">
        <f>SUM(F36)+SUM(J36)+SUM(N36)+SUM(R36)</f>
        <v>13.1</v>
      </c>
      <c r="Y36" s="1588"/>
      <c r="Z36" s="1589"/>
      <c r="AA36" s="449"/>
      <c r="AB36" s="912">
        <v>6.3000000000000007</v>
      </c>
      <c r="AC36" s="449"/>
      <c r="AD36" s="1118">
        <f>'Cashflow Governmental'!AE40</f>
        <v>12.6</v>
      </c>
      <c r="AE36" s="912"/>
      <c r="AF36" s="1896"/>
      <c r="AG36" s="1588"/>
      <c r="AH36" s="452">
        <f>ROUND(SUM(X36)-SUM(AD36),1)</f>
        <v>0.5</v>
      </c>
      <c r="AI36" s="1603"/>
      <c r="AJ36" s="469">
        <f>ROUND(IF(AD36=0,1,AH36/(AD36)),3)</f>
        <v>0.04</v>
      </c>
      <c r="AK36" s="987"/>
      <c r="AL36" s="1570"/>
    </row>
    <row r="37" spans="1:38" ht="18" customHeight="1">
      <c r="A37" s="565" t="s">
        <v>1263</v>
      </c>
      <c r="B37" s="565"/>
      <c r="C37" s="565"/>
      <c r="D37" s="449">
        <f>'Exhibit F'!N36</f>
        <v>9.9999999999999645E-2</v>
      </c>
      <c r="E37" s="1118"/>
      <c r="F37" s="449">
        <f>'Exhibit F'!AC36</f>
        <v>10.9</v>
      </c>
      <c r="G37" s="449"/>
      <c r="H37" s="449">
        <v>0</v>
      </c>
      <c r="I37" s="1118"/>
      <c r="J37" s="449">
        <v>0</v>
      </c>
      <c r="K37" s="449"/>
      <c r="L37" s="452">
        <v>0</v>
      </c>
      <c r="M37" s="1118"/>
      <c r="N37" s="452">
        <v>0</v>
      </c>
      <c r="O37" s="449"/>
      <c r="P37" s="449">
        <v>0</v>
      </c>
      <c r="Q37" s="1118"/>
      <c r="R37" s="449">
        <v>0</v>
      </c>
      <c r="S37" s="449"/>
      <c r="T37" s="1587"/>
      <c r="U37" s="1587"/>
      <c r="V37" s="1118">
        <f>SUM(D37)+SUM(H37)+SUM(L37)+SUM(P37)</f>
        <v>9.9999999999999645E-2</v>
      </c>
      <c r="W37" s="449"/>
      <c r="X37" s="1118">
        <f t="shared" ref="X37" si="7">SUM(F37)+SUM(J37)+SUM(N37)+SUM(R37)</f>
        <v>10.9</v>
      </c>
      <c r="Y37" s="1588"/>
      <c r="Z37" s="1589"/>
      <c r="AA37" s="449"/>
      <c r="AB37" s="912">
        <v>0</v>
      </c>
      <c r="AC37" s="449"/>
      <c r="AD37" s="1118">
        <f>'Cashflow Governmental'!AE41</f>
        <v>13.4</v>
      </c>
      <c r="AE37" s="912"/>
      <c r="AF37" s="1896"/>
      <c r="AG37" s="1588"/>
      <c r="AH37" s="452">
        <f t="shared" ref="AH37" si="8">ROUND(SUM(X37)-SUM(AD37),1)</f>
        <v>-2.5</v>
      </c>
      <c r="AI37" s="1603"/>
      <c r="AJ37" s="469">
        <f>ROUND(IF(AD37=0,1,AH37/(AD37)),3)</f>
        <v>-0.187</v>
      </c>
      <c r="AK37" s="987"/>
      <c r="AL37" s="1570"/>
    </row>
    <row r="38" spans="1:38" ht="18" customHeight="1">
      <c r="A38" s="1581" t="s">
        <v>790</v>
      </c>
      <c r="B38" s="565"/>
      <c r="C38" s="565"/>
      <c r="D38" s="1123">
        <f>ROUND(SUM(D28:D37),1)</f>
        <v>970.1</v>
      </c>
      <c r="E38" s="16"/>
      <c r="F38" s="1123">
        <f>ROUND(SUM(F28:F37),1)</f>
        <v>4957.7</v>
      </c>
      <c r="G38" s="16"/>
      <c r="H38" s="1123">
        <f>ROUND(SUM(H28:H37),1)</f>
        <v>203.4</v>
      </c>
      <c r="I38" s="16"/>
      <c r="J38" s="1123">
        <f>ROUND(SUM(J28:J37),1)</f>
        <v>1094.4000000000001</v>
      </c>
      <c r="K38" s="16"/>
      <c r="L38" s="1123">
        <f>ROUND(SUM(L28:L37),1)</f>
        <v>917.2</v>
      </c>
      <c r="M38" s="16"/>
      <c r="N38" s="1123">
        <f>ROUND(SUM(N28:N37),1)</f>
        <v>4659.8999999999996</v>
      </c>
      <c r="O38" s="16"/>
      <c r="P38" s="1123">
        <f>ROUND(SUM(P28:P37),1)</f>
        <v>76</v>
      </c>
      <c r="Q38" s="16"/>
      <c r="R38" s="1123">
        <f>ROUND(SUM(R28:R37),1)</f>
        <v>325.3</v>
      </c>
      <c r="S38" s="16"/>
      <c r="T38" s="1592"/>
      <c r="U38" s="1592"/>
      <c r="V38" s="1123">
        <f>ROUND(SUM(V28:V37),1)</f>
        <v>2166.6999999999998</v>
      </c>
      <c r="W38" s="16"/>
      <c r="X38" s="1123">
        <f>ROUND(SUM(X28:X37),1)</f>
        <v>11037.3</v>
      </c>
      <c r="Y38" s="2287"/>
      <c r="Z38" s="1372"/>
      <c r="AA38" s="16"/>
      <c r="AB38" s="1123">
        <f>ROUND(SUM(AB28:AB37),1)</f>
        <v>2051.1999999999998</v>
      </c>
      <c r="AC38" s="16"/>
      <c r="AD38" s="1123">
        <f>ROUND(SUM(AD28:AD37),1)</f>
        <v>10338.9</v>
      </c>
      <c r="AE38" s="16"/>
      <c r="AF38" s="1897"/>
      <c r="AG38" s="16"/>
      <c r="AH38" s="1137">
        <f t="shared" si="4"/>
        <v>698.4</v>
      </c>
      <c r="AI38" s="1354"/>
      <c r="AJ38" s="988">
        <f t="shared" si="5"/>
        <v>6.8000000000000005E-2</v>
      </c>
      <c r="AK38" s="1595"/>
      <c r="AL38" s="1596"/>
    </row>
    <row r="39" spans="1:38" ht="18" customHeight="1">
      <c r="A39" s="565"/>
      <c r="B39" s="565"/>
      <c r="C39" s="565"/>
      <c r="D39" s="1124"/>
      <c r="E39" s="449"/>
      <c r="F39" s="1124"/>
      <c r="G39" s="449"/>
      <c r="H39" s="1124"/>
      <c r="I39" s="449"/>
      <c r="J39" s="1124"/>
      <c r="K39" s="449"/>
      <c r="L39" s="1124"/>
      <c r="M39" s="449"/>
      <c r="N39" s="1124"/>
      <c r="O39" s="449"/>
      <c r="P39" s="1124"/>
      <c r="Q39" s="449"/>
      <c r="R39" s="1124"/>
      <c r="S39" s="449"/>
      <c r="T39" s="1587"/>
      <c r="U39" s="1587"/>
      <c r="V39" s="1124"/>
      <c r="W39" s="449"/>
      <c r="X39" s="1124"/>
      <c r="Y39" s="449"/>
      <c r="Z39" s="1589"/>
      <c r="AA39" s="449"/>
      <c r="AB39" s="1124"/>
      <c r="AC39" s="449"/>
      <c r="AD39" s="1124"/>
      <c r="AE39" s="449"/>
      <c r="AF39" s="1896"/>
      <c r="AG39" s="449"/>
      <c r="AH39" s="449"/>
      <c r="AI39" s="451"/>
      <c r="AJ39" s="1602"/>
      <c r="AK39" s="1599"/>
      <c r="AL39" s="1570"/>
    </row>
    <row r="40" spans="1:38" ht="18" customHeight="1">
      <c r="A40" s="1581" t="s">
        <v>1032</v>
      </c>
      <c r="B40" s="565"/>
      <c r="C40" s="565"/>
      <c r="D40" s="449"/>
      <c r="E40" s="449"/>
      <c r="F40" s="449"/>
      <c r="G40" s="449"/>
      <c r="H40" s="449"/>
      <c r="I40" s="449"/>
      <c r="J40" s="449"/>
      <c r="K40" s="449"/>
      <c r="L40" s="449"/>
      <c r="M40" s="449"/>
      <c r="N40" s="449"/>
      <c r="O40" s="449"/>
      <c r="P40" s="449"/>
      <c r="Q40" s="449"/>
      <c r="R40" s="449"/>
      <c r="S40" s="449"/>
      <c r="T40" s="1587"/>
      <c r="U40" s="1587"/>
      <c r="V40" s="449"/>
      <c r="W40" s="449"/>
      <c r="X40" s="449"/>
      <c r="Y40" s="449"/>
      <c r="Z40" s="1589"/>
      <c r="AA40" s="449"/>
      <c r="AB40" s="947"/>
      <c r="AC40" s="449"/>
      <c r="AD40" s="947"/>
      <c r="AE40" s="449"/>
      <c r="AF40" s="1896"/>
      <c r="AG40" s="449"/>
      <c r="AH40" s="449"/>
      <c r="AI40" s="451"/>
      <c r="AJ40" s="987"/>
      <c r="AK40" s="1599"/>
      <c r="AL40" s="1570"/>
    </row>
    <row r="41" spans="1:38" ht="18" customHeight="1">
      <c r="A41" s="565" t="s">
        <v>791</v>
      </c>
      <c r="B41" s="565"/>
      <c r="C41" s="565"/>
      <c r="D41" s="449">
        <f>'Exhibit F'!N39</f>
        <v>1370.5</v>
      </c>
      <c r="E41" s="449"/>
      <c r="F41" s="449">
        <f>'Exhibit F'!AC39</f>
        <v>3942.6</v>
      </c>
      <c r="G41" s="449"/>
      <c r="H41" s="449">
        <f>'Exhibit G'!N31</f>
        <v>304.59999999999997</v>
      </c>
      <c r="I41" s="449"/>
      <c r="J41" s="449">
        <f>'Exhibit G'!AD31</f>
        <v>928.3</v>
      </c>
      <c r="K41" s="449"/>
      <c r="L41" s="452">
        <v>0</v>
      </c>
      <c r="M41" s="1118"/>
      <c r="N41" s="452">
        <v>0</v>
      </c>
      <c r="O41" s="449"/>
      <c r="P41" s="452">
        <f>'Exhibit I'!O25</f>
        <v>0</v>
      </c>
      <c r="Q41" s="1118"/>
      <c r="R41" s="452">
        <f>'Exhibit I'!AF25</f>
        <v>0</v>
      </c>
      <c r="S41" s="449"/>
      <c r="T41" s="1587"/>
      <c r="U41" s="1587"/>
      <c r="V41" s="1118">
        <f t="shared" ref="V41:V46" si="9">SUM(D41)+SUM(H41)+SUM(L41)+SUM(P41)</f>
        <v>1675.1</v>
      </c>
      <c r="W41" s="449"/>
      <c r="X41" s="1118">
        <f t="shared" ref="X41:X46" si="10">SUM(F41)+SUM(J41)+SUM(N41)+SUM(R41)</f>
        <v>4870.8999999999996</v>
      </c>
      <c r="Y41" s="449"/>
      <c r="Z41" s="1589"/>
      <c r="AA41" s="449"/>
      <c r="AB41" s="912">
        <v>1516.3</v>
      </c>
      <c r="AC41" s="449"/>
      <c r="AD41" s="912">
        <f>'Cashflow Governmental'!AE44</f>
        <v>4636.7</v>
      </c>
      <c r="AE41" s="1118"/>
      <c r="AF41" s="1896"/>
      <c r="AG41" s="449"/>
      <c r="AH41" s="1118">
        <f t="shared" ref="AH41:AH47" si="11">ROUND(SUM(X41)-SUM(AD41),1)</f>
        <v>234.2</v>
      </c>
      <c r="AI41" s="1590"/>
      <c r="AJ41" s="987">
        <f t="shared" ref="AJ41:AJ47" si="12">ROUND(AH41/AD41,3)</f>
        <v>5.0999999999999997E-2</v>
      </c>
      <c r="AK41" s="987"/>
      <c r="AL41" s="1570"/>
    </row>
    <row r="42" spans="1:38" ht="18" customHeight="1">
      <c r="A42" s="565" t="s">
        <v>792</v>
      </c>
      <c r="B42" s="565"/>
      <c r="C42" s="565"/>
      <c r="D42" s="449">
        <f>'Exhibit F'!N40</f>
        <v>76.300000000000011</v>
      </c>
      <c r="E42" s="449"/>
      <c r="F42" s="449">
        <f>'Exhibit F'!AC40</f>
        <v>153.30000000000001</v>
      </c>
      <c r="G42" s="449"/>
      <c r="H42" s="449">
        <f>'Exhibit G'!N32</f>
        <v>19.399999999999999</v>
      </c>
      <c r="I42" s="449"/>
      <c r="J42" s="1118">
        <f>'Exhibit G'!AD32</f>
        <v>58.3</v>
      </c>
      <c r="K42" s="449"/>
      <c r="L42" s="452">
        <v>0</v>
      </c>
      <c r="M42" s="1118"/>
      <c r="N42" s="452">
        <v>0</v>
      </c>
      <c r="O42" s="449"/>
      <c r="P42" s="449">
        <f>'Exhibit I'!O26</f>
        <v>1.7000000000000002</v>
      </c>
      <c r="Q42" s="1118"/>
      <c r="R42" s="449">
        <f>'Exhibit I'!AF26</f>
        <v>8.4</v>
      </c>
      <c r="S42" s="449"/>
      <c r="T42" s="1587"/>
      <c r="U42" s="1587"/>
      <c r="V42" s="1118">
        <f t="shared" si="9"/>
        <v>97.40000000000002</v>
      </c>
      <c r="W42" s="449"/>
      <c r="X42" s="1118">
        <f t="shared" si="10"/>
        <v>220.00000000000003</v>
      </c>
      <c r="Y42" s="449"/>
      <c r="Z42" s="1589"/>
      <c r="AA42" s="449"/>
      <c r="AB42" s="912">
        <v>83.8</v>
      </c>
      <c r="AC42" s="449"/>
      <c r="AD42" s="912">
        <f>'Cashflow Governmental'!AE45</f>
        <v>193.79999999999998</v>
      </c>
      <c r="AE42" s="1118"/>
      <c r="AF42" s="1896"/>
      <c r="AG42" s="449"/>
      <c r="AH42" s="1118">
        <f t="shared" si="11"/>
        <v>26.2</v>
      </c>
      <c r="AI42" s="1590"/>
      <c r="AJ42" s="2073">
        <f t="shared" si="12"/>
        <v>0.13500000000000001</v>
      </c>
      <c r="AK42" s="987"/>
      <c r="AL42" s="1570"/>
    </row>
    <row r="43" spans="1:38" ht="18" customHeight="1">
      <c r="A43" s="565" t="s">
        <v>793</v>
      </c>
      <c r="B43" s="565"/>
      <c r="C43" s="565"/>
      <c r="D43" s="449">
        <f>'Exhibit F'!N41</f>
        <v>464.80000000000007</v>
      </c>
      <c r="E43" s="449"/>
      <c r="F43" s="449">
        <f>'Exhibit F'!AC41</f>
        <v>1067.7</v>
      </c>
      <c r="G43" s="449"/>
      <c r="H43" s="449">
        <f>'Exhibit G'!N33</f>
        <v>57.3</v>
      </c>
      <c r="I43" s="449"/>
      <c r="J43" s="449">
        <f>'Exhibit G'!AD33</f>
        <v>140.5</v>
      </c>
      <c r="K43" s="449"/>
      <c r="L43" s="452">
        <v>0</v>
      </c>
      <c r="M43" s="1118"/>
      <c r="N43" s="452">
        <v>0</v>
      </c>
      <c r="O43" s="449"/>
      <c r="P43" s="452">
        <v>0</v>
      </c>
      <c r="Q43" s="1118"/>
      <c r="R43" s="452">
        <v>0</v>
      </c>
      <c r="S43" s="449"/>
      <c r="T43" s="1587"/>
      <c r="U43" s="1587"/>
      <c r="V43" s="1118">
        <f t="shared" si="9"/>
        <v>522.1</v>
      </c>
      <c r="W43" s="449"/>
      <c r="X43" s="1118">
        <f t="shared" si="10"/>
        <v>1208.2</v>
      </c>
      <c r="Y43" s="449"/>
      <c r="Z43" s="1589"/>
      <c r="AA43" s="449"/>
      <c r="AB43" s="912">
        <v>500.70000000000005</v>
      </c>
      <c r="AC43" s="449"/>
      <c r="AD43" s="912">
        <f>'Cashflow Governmental'!AE46</f>
        <v>1227.3</v>
      </c>
      <c r="AE43" s="1118"/>
      <c r="AF43" s="1896"/>
      <c r="AG43" s="449"/>
      <c r="AH43" s="1118">
        <f t="shared" si="11"/>
        <v>-19.100000000000001</v>
      </c>
      <c r="AI43" s="1590"/>
      <c r="AJ43" s="987">
        <f>ROUND(AH43/AD43,3)</f>
        <v>-1.6E-2</v>
      </c>
      <c r="AK43" s="987"/>
      <c r="AL43" s="1570"/>
    </row>
    <row r="44" spans="1:38" ht="18" customHeight="1">
      <c r="A44" s="565" t="s">
        <v>794</v>
      </c>
      <c r="B44" s="565"/>
      <c r="C44" s="565"/>
      <c r="D44" s="449">
        <f>'Exhibit F'!N42</f>
        <v>0.10000000000000009</v>
      </c>
      <c r="E44" s="449"/>
      <c r="F44" s="449">
        <f>'Exhibit F'!AC42</f>
        <v>-1</v>
      </c>
      <c r="G44" s="449"/>
      <c r="H44" s="449">
        <f>'Exhibit G'!N34</f>
        <v>-9.9999999999999978E-2</v>
      </c>
      <c r="I44" s="449"/>
      <c r="J44" s="449">
        <f>'Exhibit G'!AD34</f>
        <v>0.2</v>
      </c>
      <c r="K44" s="449"/>
      <c r="L44" s="452">
        <v>0</v>
      </c>
      <c r="M44" s="1118"/>
      <c r="N44" s="452">
        <v>0</v>
      </c>
      <c r="O44" s="449"/>
      <c r="P44" s="452">
        <v>0</v>
      </c>
      <c r="Q44" s="1118"/>
      <c r="R44" s="452">
        <v>0</v>
      </c>
      <c r="S44" s="449"/>
      <c r="T44" s="1587"/>
      <c r="U44" s="1587"/>
      <c r="V44" s="1118">
        <f>ROUND(SUM(D44)+SUM(H44)+SUM(L44)+SUM(P44),1)</f>
        <v>0</v>
      </c>
      <c r="W44" s="449"/>
      <c r="X44" s="1118">
        <f t="shared" si="10"/>
        <v>-0.8</v>
      </c>
      <c r="Y44" s="449"/>
      <c r="Z44" s="1589"/>
      <c r="AA44" s="449"/>
      <c r="AB44" s="912">
        <v>0.2</v>
      </c>
      <c r="AC44" s="449"/>
      <c r="AD44" s="912">
        <f>'Cashflow Governmental'!AE47</f>
        <v>-6.1</v>
      </c>
      <c r="AE44" s="1118"/>
      <c r="AF44" s="1896"/>
      <c r="AG44" s="449"/>
      <c r="AH44" s="1118">
        <f>ROUND(SUM(X44)-SUM(AD44),1)</f>
        <v>5.3</v>
      </c>
      <c r="AI44" s="1590"/>
      <c r="AJ44" s="469">
        <f>ROUND(IF(AD44=0,1,-AH44/(AD44)),3)</f>
        <v>0.86899999999999999</v>
      </c>
      <c r="AK44" s="987"/>
      <c r="AL44" s="1570"/>
    </row>
    <row r="45" spans="1:38" ht="18" customHeight="1">
      <c r="A45" s="565" t="s">
        <v>1397</v>
      </c>
      <c r="B45" s="565"/>
      <c r="C45" s="565"/>
      <c r="D45" s="449">
        <f>'Exhibit F'!N43</f>
        <v>1486.6000000000001</v>
      </c>
      <c r="E45" s="449"/>
      <c r="F45" s="449">
        <f>'Exhibit F'!AC43</f>
        <v>2957.7</v>
      </c>
      <c r="G45" s="449"/>
      <c r="H45" s="449">
        <v>0</v>
      </c>
      <c r="I45" s="449"/>
      <c r="J45" s="449">
        <v>0</v>
      </c>
      <c r="K45" s="449"/>
      <c r="L45" s="452">
        <f>'Exhibit H'!L22</f>
        <v>1486.6000000000001</v>
      </c>
      <c r="M45" s="1118"/>
      <c r="N45" s="452">
        <f>'Exhibit H'!AA22</f>
        <v>2957.7</v>
      </c>
      <c r="O45" s="449"/>
      <c r="P45" s="452">
        <v>0</v>
      </c>
      <c r="Q45" s="1118"/>
      <c r="R45" s="452">
        <v>0</v>
      </c>
      <c r="S45" s="449"/>
      <c r="T45" s="1587"/>
      <c r="U45" s="1587"/>
      <c r="V45" s="1118">
        <f t="shared" si="9"/>
        <v>2973.2000000000003</v>
      </c>
      <c r="W45" s="449"/>
      <c r="X45" s="1118">
        <f t="shared" si="10"/>
        <v>5915.4</v>
      </c>
      <c r="Y45" s="449"/>
      <c r="Z45" s="1589"/>
      <c r="AA45" s="449"/>
      <c r="AB45" s="912">
        <v>3361.1</v>
      </c>
      <c r="AC45" s="449"/>
      <c r="AD45" s="912">
        <f>'Cashflow Governmental'!AE48</f>
        <v>6313.1</v>
      </c>
      <c r="AE45" s="1118"/>
      <c r="AF45" s="1896"/>
      <c r="AG45" s="449"/>
      <c r="AH45" s="1118">
        <f>ROUND(SUM(X45)-SUM(AD45),1)</f>
        <v>-397.7</v>
      </c>
      <c r="AI45" s="1590"/>
      <c r="AJ45" s="469">
        <f>ROUND(IF(AD45=0,1,AH45/(AD45)),3)</f>
        <v>-6.3E-2</v>
      </c>
      <c r="AK45" s="987"/>
      <c r="AL45" s="1570"/>
    </row>
    <row r="46" spans="1:38" ht="18" customHeight="1">
      <c r="A46" s="565" t="s">
        <v>795</v>
      </c>
      <c r="B46" s="565"/>
      <c r="C46" s="565"/>
      <c r="D46" s="449">
        <f>'Exhibit F'!N44</f>
        <v>0</v>
      </c>
      <c r="E46" s="1118"/>
      <c r="F46" s="449">
        <f>'Exhibit F'!AC44</f>
        <v>0</v>
      </c>
      <c r="G46" s="449"/>
      <c r="H46" s="449">
        <f>'Exhibit G'!N35</f>
        <v>41.799999999999976</v>
      </c>
      <c r="I46" s="1118"/>
      <c r="J46" s="449">
        <f>'Exhibit G'!AD35</f>
        <v>253.6</v>
      </c>
      <c r="K46" s="449"/>
      <c r="L46" s="452">
        <v>0</v>
      </c>
      <c r="M46" s="1118"/>
      <c r="N46" s="452">
        <v>0</v>
      </c>
      <c r="O46" s="449"/>
      <c r="P46" s="449">
        <f>'Exhibit I'!O27</f>
        <v>64.800000000000026</v>
      </c>
      <c r="Q46" s="1118"/>
      <c r="R46" s="449">
        <f>'Exhibit I'!AF27</f>
        <v>324.2</v>
      </c>
      <c r="S46" s="449"/>
      <c r="T46" s="1587"/>
      <c r="U46" s="1587"/>
      <c r="V46" s="1118">
        <f t="shared" si="9"/>
        <v>106.6</v>
      </c>
      <c r="W46" s="449"/>
      <c r="X46" s="1118">
        <f t="shared" si="10"/>
        <v>577.79999999999995</v>
      </c>
      <c r="Y46" s="449"/>
      <c r="Z46" s="1589"/>
      <c r="AA46" s="449"/>
      <c r="AB46" s="912">
        <v>103.2</v>
      </c>
      <c r="AC46" s="449"/>
      <c r="AD46" s="912">
        <f>'Cashflow Governmental'!AE49</f>
        <v>556</v>
      </c>
      <c r="AE46" s="1118"/>
      <c r="AF46" s="1896"/>
      <c r="AG46" s="449"/>
      <c r="AH46" s="1118">
        <f t="shared" si="11"/>
        <v>21.8</v>
      </c>
      <c r="AI46" s="1603"/>
      <c r="AJ46" s="987">
        <f t="shared" si="12"/>
        <v>3.9E-2</v>
      </c>
      <c r="AK46" s="987"/>
      <c r="AL46" s="1570"/>
    </row>
    <row r="47" spans="1:38" ht="18" customHeight="1">
      <c r="A47" s="1581" t="s">
        <v>790</v>
      </c>
      <c r="B47" s="565"/>
      <c r="C47" s="565"/>
      <c r="D47" s="1123">
        <f>ROUND(SUM(D41:D46),1)</f>
        <v>3398.3</v>
      </c>
      <c r="E47" s="16"/>
      <c r="F47" s="1123">
        <f>ROUND(SUM(F41:F46),1)</f>
        <v>8120.3</v>
      </c>
      <c r="G47" s="16"/>
      <c r="H47" s="1123">
        <f>ROUND(SUM(H41:H46),1)</f>
        <v>423</v>
      </c>
      <c r="I47" s="16"/>
      <c r="J47" s="1123">
        <f>ROUND(SUM(J41:J46),1)</f>
        <v>1380.9</v>
      </c>
      <c r="K47" s="16"/>
      <c r="L47" s="2288">
        <f>ROUND(SUM(L41:L46),1)</f>
        <v>1486.6</v>
      </c>
      <c r="M47" s="1591"/>
      <c r="N47" s="2288">
        <f>ROUND(SUM(N41:N46),1)</f>
        <v>2957.7</v>
      </c>
      <c r="O47" s="16"/>
      <c r="P47" s="1123">
        <f>ROUND(SUM(P41:P46),1)</f>
        <v>66.5</v>
      </c>
      <c r="Q47" s="16"/>
      <c r="R47" s="1123">
        <f>ROUND(SUM(R41:R46),1)</f>
        <v>332.6</v>
      </c>
      <c r="S47" s="16"/>
      <c r="T47" s="1592"/>
      <c r="U47" s="1592"/>
      <c r="V47" s="1123">
        <f>ROUND(SUM(V41:V46),1)</f>
        <v>5374.4</v>
      </c>
      <c r="W47" s="16"/>
      <c r="X47" s="1123">
        <f>ROUND(SUM(X41:X46),1)</f>
        <v>12791.5</v>
      </c>
      <c r="Y47" s="2287"/>
      <c r="Z47" s="1372"/>
      <c r="AA47" s="16"/>
      <c r="AB47" s="1123">
        <f>ROUND(SUM(AB41:AB46),1)</f>
        <v>5565.3</v>
      </c>
      <c r="AC47" s="16"/>
      <c r="AD47" s="1123">
        <f>ROUND(SUM(AD41:AD46),1)</f>
        <v>12920.8</v>
      </c>
      <c r="AE47" s="16"/>
      <c r="AF47" s="1897"/>
      <c r="AG47" s="16"/>
      <c r="AH47" s="1823">
        <f t="shared" si="11"/>
        <v>-129.30000000000001</v>
      </c>
      <c r="AI47" s="1354"/>
      <c r="AJ47" s="988">
        <f t="shared" si="12"/>
        <v>-0.01</v>
      </c>
      <c r="AK47" s="1595"/>
      <c r="AL47" s="1596"/>
    </row>
    <row r="48" spans="1:38" ht="18" customHeight="1">
      <c r="A48" s="565"/>
      <c r="B48" s="565"/>
      <c r="C48" s="565"/>
      <c r="D48" s="1124"/>
      <c r="E48" s="449"/>
      <c r="F48" s="1124"/>
      <c r="G48" s="449"/>
      <c r="H48" s="1124"/>
      <c r="I48" s="449"/>
      <c r="J48" s="1124" t="s">
        <v>14</v>
      </c>
      <c r="K48" s="449"/>
      <c r="L48" s="1124"/>
      <c r="M48" s="449"/>
      <c r="N48" s="1124"/>
      <c r="O48" s="449"/>
      <c r="P48" s="1124"/>
      <c r="Q48" s="449"/>
      <c r="R48" s="1124"/>
      <c r="S48" s="449"/>
      <c r="T48" s="1587"/>
      <c r="U48" s="1587"/>
      <c r="V48" s="1124"/>
      <c r="W48" s="449"/>
      <c r="X48" s="1124" t="s">
        <v>14</v>
      </c>
      <c r="Y48" s="449"/>
      <c r="Z48" s="1589"/>
      <c r="AA48" s="449"/>
      <c r="AB48" s="1124"/>
      <c r="AC48" s="449"/>
      <c r="AD48" s="1124"/>
      <c r="AE48" s="449"/>
      <c r="AF48" s="1896"/>
      <c r="AG48" s="449"/>
      <c r="AH48" s="449"/>
      <c r="AI48" s="451"/>
      <c r="AJ48" s="1602"/>
      <c r="AK48" s="1599"/>
      <c r="AL48" s="1570"/>
    </row>
    <row r="49" spans="1:38" ht="18" customHeight="1">
      <c r="A49" s="1600" t="s">
        <v>1033</v>
      </c>
      <c r="B49" s="565"/>
      <c r="C49" s="565"/>
      <c r="D49" s="449"/>
      <c r="E49" s="449"/>
      <c r="F49" s="449"/>
      <c r="G49" s="449"/>
      <c r="H49" s="449" t="s">
        <v>14</v>
      </c>
      <c r="I49" s="449"/>
      <c r="J49" s="449"/>
      <c r="K49" s="449"/>
      <c r="L49" s="449"/>
      <c r="M49" s="449"/>
      <c r="N49" s="449"/>
      <c r="O49" s="449"/>
      <c r="P49" s="449"/>
      <c r="Q49" s="449"/>
      <c r="R49" s="449"/>
      <c r="S49" s="449"/>
      <c r="T49" s="1587"/>
      <c r="U49" s="1587"/>
      <c r="V49" s="449"/>
      <c r="W49" s="449"/>
      <c r="X49" s="449"/>
      <c r="Y49" s="449"/>
      <c r="Z49" s="1589"/>
      <c r="AA49" s="449"/>
      <c r="AB49" s="449"/>
      <c r="AC49" s="449"/>
      <c r="AD49" s="449"/>
      <c r="AE49" s="449"/>
      <c r="AF49" s="1896"/>
      <c r="AG49" s="449"/>
      <c r="AH49" s="449"/>
      <c r="AI49" s="451"/>
      <c r="AJ49" s="987"/>
      <c r="AK49" s="1599"/>
      <c r="AL49" s="1570"/>
    </row>
    <row r="50" spans="1:38" ht="18" customHeight="1">
      <c r="A50" s="565" t="s">
        <v>796</v>
      </c>
      <c r="B50" s="565"/>
      <c r="C50" s="565"/>
      <c r="D50" s="452">
        <f>'Exhibit F'!N47</f>
        <v>0</v>
      </c>
      <c r="E50" s="449"/>
      <c r="F50" s="449">
        <f>'Exhibit F'!AC47</f>
        <v>0</v>
      </c>
      <c r="G50" s="449"/>
      <c r="H50" s="452">
        <v>0</v>
      </c>
      <c r="I50" s="1118"/>
      <c r="J50" s="452">
        <v>0</v>
      </c>
      <c r="K50" s="449"/>
      <c r="L50" s="452">
        <v>0</v>
      </c>
      <c r="M50" s="452"/>
      <c r="N50" s="452">
        <v>0</v>
      </c>
      <c r="O50" s="449"/>
      <c r="P50" s="452">
        <v>0</v>
      </c>
      <c r="Q50" s="1118"/>
      <c r="R50" s="452">
        <v>0</v>
      </c>
      <c r="S50" s="449"/>
      <c r="T50" s="1587"/>
      <c r="U50" s="1587"/>
      <c r="V50" s="452">
        <f t="shared" ref="V50:V54" si="13">SUM(D50)+SUM(H50)+SUM(L50)+SUM(P50)</f>
        <v>0</v>
      </c>
      <c r="W50" s="449"/>
      <c r="X50" s="1118">
        <f t="shared" ref="X50:X54" si="14">SUM(F50)+SUM(J50)+SUM(N50)+SUM(R50)</f>
        <v>0</v>
      </c>
      <c r="Y50" s="1588"/>
      <c r="Z50" s="1589"/>
      <c r="AA50" s="449"/>
      <c r="AB50" s="912">
        <v>0</v>
      </c>
      <c r="AC50" s="449"/>
      <c r="AD50" s="912">
        <f>'Cashflow Governmental'!AE52</f>
        <v>0</v>
      </c>
      <c r="AE50" s="1118"/>
      <c r="AF50" s="1896"/>
      <c r="AG50" s="1588"/>
      <c r="AH50" s="1118">
        <f t="shared" ref="AH50:AH56" si="15">ROUND(SUM(X50)-SUM(AD50),1)</f>
        <v>0</v>
      </c>
      <c r="AI50" s="1590"/>
      <c r="AJ50" s="469">
        <f>ROUND(IF(AD50=0,0,-AH50/(AD50)),3)</f>
        <v>0</v>
      </c>
      <c r="AK50" s="987"/>
      <c r="AL50" s="1570"/>
    </row>
    <row r="51" spans="1:38" ht="18" customHeight="1">
      <c r="A51" s="565" t="s">
        <v>797</v>
      </c>
      <c r="B51" s="565"/>
      <c r="C51" s="565"/>
      <c r="D51" s="452">
        <f>'Exhibit F'!N48</f>
        <v>167.59999999999991</v>
      </c>
      <c r="E51" s="449"/>
      <c r="F51" s="449">
        <f>'Exhibit F'!AC48</f>
        <v>1057.0999999999999</v>
      </c>
      <c r="G51" s="449"/>
      <c r="H51" s="452">
        <v>0</v>
      </c>
      <c r="I51" s="1118"/>
      <c r="J51" s="452">
        <v>0</v>
      </c>
      <c r="K51" s="449"/>
      <c r="L51" s="452">
        <v>0</v>
      </c>
      <c r="M51" s="452"/>
      <c r="N51" s="452">
        <v>0</v>
      </c>
      <c r="O51" s="449"/>
      <c r="P51" s="452">
        <v>0</v>
      </c>
      <c r="Q51" s="1118"/>
      <c r="R51" s="452">
        <v>0</v>
      </c>
      <c r="S51" s="449"/>
      <c r="T51" s="1587"/>
      <c r="U51" s="1587"/>
      <c r="V51" s="1118">
        <f t="shared" si="13"/>
        <v>167.59999999999991</v>
      </c>
      <c r="W51" s="449"/>
      <c r="X51" s="1118">
        <f t="shared" si="14"/>
        <v>1057.0999999999999</v>
      </c>
      <c r="Y51" s="1588"/>
      <c r="Z51" s="1589"/>
      <c r="AA51" s="449"/>
      <c r="AB51" s="912">
        <v>399.8</v>
      </c>
      <c r="AC51" s="449"/>
      <c r="AD51" s="912">
        <f>'Cashflow Governmental'!AE53</f>
        <v>1066.2</v>
      </c>
      <c r="AE51" s="912"/>
      <c r="AF51" s="1896"/>
      <c r="AG51" s="1588"/>
      <c r="AH51" s="1118">
        <f t="shared" si="15"/>
        <v>-9.1</v>
      </c>
      <c r="AI51" s="1590"/>
      <c r="AJ51" s="987">
        <f>ROUND(AH51/AD51,3)</f>
        <v>-8.9999999999999993E-3</v>
      </c>
      <c r="AK51" s="987"/>
      <c r="AL51" s="1570"/>
    </row>
    <row r="52" spans="1:38" ht="18" customHeight="1">
      <c r="A52" s="565" t="s">
        <v>798</v>
      </c>
      <c r="B52" s="565"/>
      <c r="C52" s="565"/>
      <c r="D52" s="452">
        <f>'Exhibit F'!N49</f>
        <v>1.6999999999999988</v>
      </c>
      <c r="E52" s="449"/>
      <c r="F52" s="449">
        <f>'Exhibit F'!AC49</f>
        <v>8.4</v>
      </c>
      <c r="G52" s="449"/>
      <c r="H52" s="452">
        <v>0</v>
      </c>
      <c r="I52" s="1118"/>
      <c r="J52" s="452">
        <v>0</v>
      </c>
      <c r="K52" s="449"/>
      <c r="L52" s="452">
        <v>0</v>
      </c>
      <c r="M52" s="452"/>
      <c r="N52" s="452">
        <v>0</v>
      </c>
      <c r="O52" s="449"/>
      <c r="P52" s="452">
        <v>0</v>
      </c>
      <c r="Q52" s="1118"/>
      <c r="R52" s="452">
        <v>0</v>
      </c>
      <c r="S52" s="449"/>
      <c r="T52" s="1587"/>
      <c r="U52" s="1587"/>
      <c r="V52" s="1118">
        <f t="shared" si="13"/>
        <v>1.6999999999999988</v>
      </c>
      <c r="W52" s="449"/>
      <c r="X52" s="1118">
        <f t="shared" si="14"/>
        <v>8.4</v>
      </c>
      <c r="Y52" s="1588"/>
      <c r="Z52" s="1589"/>
      <c r="AA52" s="449"/>
      <c r="AB52" s="912">
        <v>1.9</v>
      </c>
      <c r="AC52" s="449"/>
      <c r="AD52" s="912">
        <f>'Cashflow Governmental'!AE54</f>
        <v>9</v>
      </c>
      <c r="AE52" s="912"/>
      <c r="AF52" s="1896"/>
      <c r="AG52" s="1588"/>
      <c r="AH52" s="1118">
        <f t="shared" si="15"/>
        <v>-0.6</v>
      </c>
      <c r="AI52" s="1590"/>
      <c r="AJ52" s="987">
        <f>ROUND(AH52/AD52,3)</f>
        <v>-6.7000000000000004E-2</v>
      </c>
      <c r="AK52" s="987"/>
      <c r="AL52" s="1570"/>
    </row>
    <row r="53" spans="1:38" ht="18" customHeight="1">
      <c r="A53" s="565" t="s">
        <v>799</v>
      </c>
      <c r="B53" s="565"/>
      <c r="C53" s="565"/>
      <c r="D53" s="452">
        <f>'Exhibit F'!N50</f>
        <v>0</v>
      </c>
      <c r="E53" s="1118"/>
      <c r="F53" s="449">
        <f>'Exhibit F'!AC50</f>
        <v>0</v>
      </c>
      <c r="G53" s="449"/>
      <c r="H53" s="452">
        <v>0</v>
      </c>
      <c r="I53" s="1118"/>
      <c r="J53" s="452">
        <v>0</v>
      </c>
      <c r="K53" s="449"/>
      <c r="L53" s="1118">
        <f>'Exhibit H'!L25</f>
        <v>90.1</v>
      </c>
      <c r="M53" s="1118"/>
      <c r="N53" s="1118">
        <f>'Exhibit H'!AA25</f>
        <v>508</v>
      </c>
      <c r="O53" s="449"/>
      <c r="P53" s="912">
        <f>'Exhibit I'!O30</f>
        <v>25.700000000000006</v>
      </c>
      <c r="Q53" s="1118"/>
      <c r="R53" s="912">
        <f>'Exhibit I'!AF30</f>
        <v>102.9</v>
      </c>
      <c r="S53" s="449"/>
      <c r="T53" s="1587"/>
      <c r="U53" s="1587"/>
      <c r="V53" s="1118">
        <f t="shared" si="13"/>
        <v>115.8</v>
      </c>
      <c r="W53" s="449"/>
      <c r="X53" s="1118">
        <f t="shared" si="14"/>
        <v>610.9</v>
      </c>
      <c r="Y53" s="1588"/>
      <c r="Z53" s="1589"/>
      <c r="AA53" s="449"/>
      <c r="AB53" s="912">
        <v>136</v>
      </c>
      <c r="AC53" s="449"/>
      <c r="AD53" s="912">
        <f>'Cashflow Governmental'!AE55</f>
        <v>874</v>
      </c>
      <c r="AE53" s="1118"/>
      <c r="AF53" s="1896"/>
      <c r="AG53" s="1588"/>
      <c r="AH53" s="1118">
        <f t="shared" si="15"/>
        <v>-263.10000000000002</v>
      </c>
      <c r="AI53" s="1604"/>
      <c r="AJ53" s="987">
        <f>ROUND(AH53/AD53,3)</f>
        <v>-0.30099999999999999</v>
      </c>
      <c r="AK53" s="987"/>
      <c r="AL53" s="1570"/>
    </row>
    <row r="54" spans="1:38" ht="18" customHeight="1">
      <c r="A54" s="565" t="s">
        <v>1398</v>
      </c>
      <c r="B54" s="565"/>
      <c r="C54" s="565"/>
      <c r="D54" s="452">
        <f>'Exhibit F'!N51</f>
        <v>0</v>
      </c>
      <c r="E54" s="449"/>
      <c r="F54" s="449">
        <f>'Exhibit F'!AC51</f>
        <v>0.2</v>
      </c>
      <c r="G54" s="449"/>
      <c r="H54" s="452">
        <v>0</v>
      </c>
      <c r="I54" s="1118"/>
      <c r="J54" s="452">
        <v>0</v>
      </c>
      <c r="K54" s="449"/>
      <c r="L54" s="452">
        <v>0</v>
      </c>
      <c r="M54" s="452"/>
      <c r="N54" s="452">
        <v>0</v>
      </c>
      <c r="O54" s="449"/>
      <c r="P54" s="452">
        <v>0</v>
      </c>
      <c r="Q54" s="1118"/>
      <c r="R54" s="452">
        <v>0</v>
      </c>
      <c r="S54" s="449"/>
      <c r="T54" s="1587"/>
      <c r="U54" s="1587"/>
      <c r="V54" s="1118">
        <f t="shared" si="13"/>
        <v>0</v>
      </c>
      <c r="W54" s="449"/>
      <c r="X54" s="1118">
        <f t="shared" si="14"/>
        <v>0.2</v>
      </c>
      <c r="Y54" s="1588"/>
      <c r="Z54" s="1589"/>
      <c r="AA54" s="449"/>
      <c r="AB54" s="912">
        <v>0</v>
      </c>
      <c r="AC54" s="449"/>
      <c r="AD54" s="912">
        <f>'Cashflow Governmental'!AE56</f>
        <v>0.7</v>
      </c>
      <c r="AE54" s="1118"/>
      <c r="AF54" s="1896"/>
      <c r="AG54" s="1588"/>
      <c r="AH54" s="1118">
        <f t="shared" si="15"/>
        <v>-0.5</v>
      </c>
      <c r="AI54" s="1604"/>
      <c r="AJ54" s="987">
        <f>ROUND(AH54/AD54,3)</f>
        <v>-0.71399999999999997</v>
      </c>
      <c r="AK54" s="987"/>
      <c r="AL54" s="1570"/>
    </row>
    <row r="55" spans="1:38" ht="18" customHeight="1">
      <c r="A55" s="752" t="s">
        <v>1207</v>
      </c>
      <c r="B55" s="565"/>
      <c r="C55" s="565"/>
      <c r="D55" s="452">
        <f>'Exhibit F'!N52</f>
        <v>0.1999999999999999</v>
      </c>
      <c r="E55" s="449"/>
      <c r="F55" s="449">
        <f>'Exhibit F'!AC52</f>
        <v>1.3</v>
      </c>
      <c r="G55" s="449"/>
      <c r="H55" s="449">
        <v>0</v>
      </c>
      <c r="I55" s="1118"/>
      <c r="J55" s="1118">
        <v>0</v>
      </c>
      <c r="K55" s="449"/>
      <c r="L55" s="452">
        <f>'Exhibit H'!L26</f>
        <v>0.1999999999999999</v>
      </c>
      <c r="M55" s="1118"/>
      <c r="N55" s="452">
        <f>'Exhibit H'!AA26</f>
        <v>1.3</v>
      </c>
      <c r="O55" s="449"/>
      <c r="P55" s="452">
        <v>0</v>
      </c>
      <c r="Q55" s="1118"/>
      <c r="R55" s="452">
        <v>0</v>
      </c>
      <c r="S55" s="449"/>
      <c r="T55" s="1587"/>
      <c r="U55" s="1587"/>
      <c r="V55" s="1118">
        <f t="shared" ref="V55" si="16">SUM(D55)+SUM(H55)+SUM(L55)+SUM(P55)</f>
        <v>0.3999999999999998</v>
      </c>
      <c r="W55" s="449"/>
      <c r="X55" s="1118">
        <f t="shared" ref="X55" si="17">SUM(F55)+SUM(J55)+SUM(N55)+SUM(R55)</f>
        <v>2.6</v>
      </c>
      <c r="Y55" s="1588"/>
      <c r="Z55" s="1589"/>
      <c r="AA55" s="449"/>
      <c r="AB55" s="912">
        <v>0.4</v>
      </c>
      <c r="AC55" s="449"/>
      <c r="AD55" s="912">
        <f>'Cashflow Governmental'!AE57</f>
        <v>2</v>
      </c>
      <c r="AE55" s="1118"/>
      <c r="AF55" s="1896"/>
      <c r="AG55" s="1588"/>
      <c r="AH55" s="452">
        <f t="shared" ref="AH55" si="18">ROUND(SUM(X55)-SUM(AD55),1)</f>
        <v>0.6</v>
      </c>
      <c r="AI55" s="1604"/>
      <c r="AJ55" s="469">
        <f>ROUND(IF(AD55=0,1,AH55/(AD55)),3)</f>
        <v>0.3</v>
      </c>
      <c r="AK55" s="987"/>
      <c r="AL55" s="1570"/>
    </row>
    <row r="56" spans="1:38" ht="18" customHeight="1">
      <c r="A56" s="1581" t="s">
        <v>790</v>
      </c>
      <c r="B56" s="565"/>
      <c r="C56" s="565"/>
      <c r="D56" s="1123">
        <f>ROUND(SUM(D50:D55),1)</f>
        <v>169.5</v>
      </c>
      <c r="E56" s="16"/>
      <c r="F56" s="1123">
        <f>ROUND(SUM(F50:F55),1)</f>
        <v>1067</v>
      </c>
      <c r="G56" s="16"/>
      <c r="H56" s="1593">
        <f>ROUND(SUM(H50:H55),1)</f>
        <v>0</v>
      </c>
      <c r="I56" s="1591"/>
      <c r="J56" s="1593">
        <f>ROUND(SUM(J50:J55),1)</f>
        <v>0</v>
      </c>
      <c r="K56" s="16"/>
      <c r="L56" s="1123">
        <f>ROUND(SUM(L50:L55),1)</f>
        <v>90.3</v>
      </c>
      <c r="M56" s="16"/>
      <c r="N56" s="1123">
        <f>ROUND(SUM(N50:N55),1)</f>
        <v>509.3</v>
      </c>
      <c r="O56" s="16" t="s">
        <v>14</v>
      </c>
      <c r="P56" s="1123">
        <f>ROUND(SUM(P50:P55),1)</f>
        <v>25.7</v>
      </c>
      <c r="Q56" s="16"/>
      <c r="R56" s="1123">
        <f>ROUND(SUM(R50:R55),1)</f>
        <v>102.9</v>
      </c>
      <c r="S56" s="16"/>
      <c r="T56" s="1592"/>
      <c r="U56" s="1592"/>
      <c r="V56" s="1593">
        <f>ROUND(SUM(V50:V55),1)</f>
        <v>285.5</v>
      </c>
      <c r="W56" s="16"/>
      <c r="X56" s="1593">
        <f>ROUND(SUM(X50:X55),1)</f>
        <v>1679.2</v>
      </c>
      <c r="Y56" s="1601"/>
      <c r="Z56" s="1372"/>
      <c r="AA56" s="16"/>
      <c r="AB56" s="1593">
        <f>ROUND(SUM(AB50:AB55),1)</f>
        <v>538.1</v>
      </c>
      <c r="AC56" s="16"/>
      <c r="AD56" s="1593">
        <f>ROUND(SUM(AD50:AD55),1)</f>
        <v>1951.9</v>
      </c>
      <c r="AE56" s="1591"/>
      <c r="AF56" s="1897"/>
      <c r="AG56" s="1594"/>
      <c r="AH56" s="1137">
        <f t="shared" si="15"/>
        <v>-272.7</v>
      </c>
      <c r="AI56" s="1354"/>
      <c r="AJ56" s="988">
        <f>ROUND(AH56/AD56,3)</f>
        <v>-0.14000000000000001</v>
      </c>
      <c r="AK56" s="1595"/>
      <c r="AL56" s="1596"/>
    </row>
    <row r="57" spans="1:38" ht="18" customHeight="1">
      <c r="A57" s="565"/>
      <c r="B57" s="565"/>
      <c r="C57" s="565"/>
      <c r="D57" s="1869"/>
      <c r="E57" s="1354"/>
      <c r="F57" s="1869"/>
      <c r="G57" s="490"/>
      <c r="H57" s="1869"/>
      <c r="I57" s="1354"/>
      <c r="J57" s="1869"/>
      <c r="K57" s="490"/>
      <c r="L57" s="1869"/>
      <c r="M57" s="1354"/>
      <c r="N57" s="1869"/>
      <c r="O57" s="490"/>
      <c r="P57" s="1869"/>
      <c r="Q57" s="1354"/>
      <c r="R57" s="1869"/>
      <c r="S57" s="490"/>
      <c r="T57" s="2027"/>
      <c r="U57" s="2027"/>
      <c r="V57" s="1869"/>
      <c r="W57" s="490"/>
      <c r="X57" s="1869"/>
      <c r="Y57" s="1354"/>
      <c r="Z57" s="2028"/>
      <c r="AA57" s="490"/>
      <c r="AB57" s="1869"/>
      <c r="AC57" s="490"/>
      <c r="AD57" s="1869"/>
      <c r="AE57" s="1354"/>
      <c r="AF57" s="1898"/>
      <c r="AG57" s="1354"/>
      <c r="AH57" s="1824"/>
      <c r="AI57" s="1354"/>
      <c r="AJ57" s="989"/>
      <c r="AK57" s="1596"/>
      <c r="AL57" s="1596"/>
    </row>
    <row r="58" spans="1:38" ht="18" customHeight="1" thickBot="1">
      <c r="A58" s="1581" t="s">
        <v>800</v>
      </c>
      <c r="B58" s="565"/>
      <c r="C58" s="565"/>
      <c r="D58" s="2029">
        <f>ROUND(SUM(D25)+SUM(D38)+SUM(D47)+SUM(D56),1)</f>
        <v>6696.5</v>
      </c>
      <c r="E58" s="1375"/>
      <c r="F58" s="2029">
        <f>ROUND(SUM(F25)+SUM(F38)+SUM(F47)+SUM(F56),1)</f>
        <v>27135.5</v>
      </c>
      <c r="G58" s="2030"/>
      <c r="H58" s="2029">
        <f>ROUND(SUM(H25)+SUM(H38)+SUM(H47)+SUM(H56),1)</f>
        <v>626.4</v>
      </c>
      <c r="I58" s="1375"/>
      <c r="J58" s="2029">
        <f>ROUND(SUM(J25)+SUM(J38)+SUM(J47)+SUM(J56),1)</f>
        <v>2475.3000000000002</v>
      </c>
      <c r="K58" s="1375"/>
      <c r="L58" s="2029">
        <f>ROUND(SUM(L25)+SUM(L38)+SUM(L47)+SUM(L56),1)</f>
        <v>4652.7</v>
      </c>
      <c r="M58" s="1375"/>
      <c r="N58" s="2029">
        <f>ROUND(SUM(N25)+SUM(N38)+SUM(N47)+SUM(N56),1)</f>
        <v>21117.4</v>
      </c>
      <c r="O58" s="1375"/>
      <c r="P58" s="2029">
        <f>ROUND(SUM(P25)+SUM(P38)+SUM(P47)+SUM(P56),1)</f>
        <v>168.2</v>
      </c>
      <c r="Q58" s="1375"/>
      <c r="R58" s="2029">
        <f>ROUND(SUM(R25)+SUM(R38)+SUM(R47)+SUM(R56),1)</f>
        <v>760.8</v>
      </c>
      <c r="S58" s="1375"/>
      <c r="T58" s="2031"/>
      <c r="U58" s="1375"/>
      <c r="V58" s="1870">
        <f>ROUND(SUM(V25)+SUM(V38)+SUM(V47)+SUM(V56),1)</f>
        <v>12143.8</v>
      </c>
      <c r="W58" s="1375"/>
      <c r="X58" s="1870">
        <f>ROUND(SUM(X25)+SUM(X38)+SUM(X47)+SUM(X56),1)</f>
        <v>51489</v>
      </c>
      <c r="Y58" s="2032"/>
      <c r="Z58" s="1377"/>
      <c r="AA58" s="1375"/>
      <c r="AB58" s="1870">
        <f>ROUND(SUM(AB25)+SUM(AB38)+SUM(AB47)+SUM(AB56),1)</f>
        <v>13013.8</v>
      </c>
      <c r="AC58" s="1375"/>
      <c r="AD58" s="1870">
        <f>ROUND(SUM(AD25)+SUM(AD38)+SUM(AD47)+SUM(AD56),1)</f>
        <v>58390.2</v>
      </c>
      <c r="AE58" s="1375"/>
      <c r="AF58" s="1899"/>
      <c r="AG58" s="1375"/>
      <c r="AH58" s="18">
        <f>ROUND(SUM(X58)-SUM(AD58),1)</f>
        <v>-6901.2</v>
      </c>
      <c r="AI58" s="1354"/>
      <c r="AJ58" s="990">
        <f>ROUND(AH58/AD58,3)</f>
        <v>-0.11799999999999999</v>
      </c>
      <c r="AK58" s="1595"/>
      <c r="AL58" s="1596"/>
    </row>
    <row r="59" spans="1:38" ht="15" customHeight="1" thickTop="1">
      <c r="F59" s="1571" t="s">
        <v>14</v>
      </c>
      <c r="N59" s="1571" t="s">
        <v>14</v>
      </c>
      <c r="R59" s="1571" t="s">
        <v>14</v>
      </c>
    </row>
    <row r="60" spans="1:38" ht="15" customHeight="1"/>
    <row r="61" spans="1:38">
      <c r="H61" s="1571" t="s">
        <v>14</v>
      </c>
      <c r="V61" s="1571" t="s">
        <v>14</v>
      </c>
    </row>
    <row r="62" spans="1:38">
      <c r="H62" s="1571" t="s">
        <v>14</v>
      </c>
    </row>
    <row r="63" spans="1:38">
      <c r="H63" s="1571" t="s">
        <v>14</v>
      </c>
    </row>
    <row r="65" ht="15" customHeight="1"/>
  </sheetData>
  <pageMargins left="0.4" right="0.25" top="0.5" bottom="0.40277777777777801" header="0" footer="0.25"/>
  <pageSetup scale="40" firstPageNumber="15" orientation="landscape" useFirstPageNumber="1" r:id="rId1"/>
  <headerFooter scaleWithDoc="0" alignWithMargins="0">
    <oddFooter>&amp;C&amp;8&amp;P</oddFooter>
  </headerFooter>
  <customProperties>
    <customPr name="SheetOptions" r:id="rId2"/>
  </customProperties>
  <ignoredErrors>
    <ignoredError sqref="F38 R38 F47 AJ50 AJ22:AJ23" unlockedFormula="1"/>
    <ignoredError sqref="AH24 AJ19 AH19 V31 V21:X21 AJ21 W22:X22 AJ33 V23 V44 AJ55" formula="1"/>
    <ignoredError sqref="AJ31" formula="1" unlockedFormula="1"/>
    <ignoredError sqref="AC21 AB23:AD23 AC22:AD22 AB26:AD27 AB39:AD40 AB47:AD49 AC46:AD46 AB57:AD57 AC17:AD17 J44 H47:I47 K47 O47:Q47 X44 V47:X47 V57:X58 E54:R54 D58:E58 G58:Q58 D57:R57 E50:R52 E53:K53 M53:O53 Q53:R53 V50:X54 E56 G56 I56 K56 M56 O56 Q56 W56 AC56 AC34:AD35 AC50:AD54 AC24:AD25 AC58:AD58 AC16 AC42:AD42 M47 AC19:AD20 AC18 AC29:AD31 AC38:AD38 AC28 AC32 AC41 AC44:AD44 AC43" evalError="1"/>
    <ignoredError sqref="R47 N47 J47 R58 F58" evalError="1" unlockedFormula="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autoPageBreaks="0"/>
  </sheetPr>
  <dimension ref="A1:BG163"/>
  <sheetViews>
    <sheetView showGridLines="0" zoomScale="80" zoomScaleNormal="80" workbookViewId="0"/>
  </sheetViews>
  <sheetFormatPr defaultColWidth="8.88671875" defaultRowHeight="16.5" customHeight="1"/>
  <cols>
    <col min="1" max="1" width="43.88671875" style="142" customWidth="1"/>
    <col min="2" max="2" width="1.88671875" style="142" customWidth="1"/>
    <col min="3" max="3" width="13.44140625" style="142" customWidth="1"/>
    <col min="4" max="4" width="1.88671875" style="142" customWidth="1"/>
    <col min="5" max="5" width="13.109375" style="142" customWidth="1"/>
    <col min="6" max="6" width="1.88671875" style="142" customWidth="1"/>
    <col min="7" max="7" width="15.109375" style="142" customWidth="1"/>
    <col min="8" max="8" width="1.88671875" style="142" customWidth="1"/>
    <col min="9" max="9" width="14.88671875" style="142" customWidth="1"/>
    <col min="10" max="10" width="1.88671875" style="142" customWidth="1"/>
    <col min="11" max="11" width="13.109375" style="142" customWidth="1"/>
    <col min="12" max="12" width="1.88671875" style="142" customWidth="1"/>
    <col min="13" max="13" width="13.109375" style="142" customWidth="1"/>
    <col min="14" max="14" width="1.88671875" style="142" customWidth="1"/>
    <col min="15" max="15" width="13.109375" style="142" customWidth="1"/>
    <col min="16" max="16" width="1.88671875" style="142" customWidth="1"/>
    <col min="17" max="17" width="13.44140625" style="142" customWidth="1"/>
    <col min="18" max="18" width="1.88671875" style="142" customWidth="1"/>
    <col min="19" max="19" width="13.109375" style="142" customWidth="1"/>
    <col min="20" max="20" width="1.88671875" style="142" customWidth="1"/>
    <col min="21" max="21" width="13" style="142" customWidth="1"/>
    <col min="22" max="22" width="1.88671875" style="142" customWidth="1"/>
    <col min="23" max="23" width="13.88671875" style="142" customWidth="1"/>
    <col min="24" max="24" width="1.88671875" style="142" customWidth="1"/>
    <col min="25" max="25" width="12.88671875" style="142" customWidth="1"/>
    <col min="26" max="27" width="1.88671875" style="142" customWidth="1"/>
    <col min="28" max="28" width="15.109375" style="142" customWidth="1"/>
    <col min="29" max="30" width="1.88671875" style="142" customWidth="1"/>
    <col min="31" max="31" width="17.44140625" style="142" customWidth="1"/>
    <col min="32" max="32" width="0.88671875" style="142" customWidth="1"/>
    <col min="33" max="33" width="1.88671875" style="142" customWidth="1"/>
    <col min="34" max="34" width="12.88671875" style="142" bestFit="1" customWidth="1"/>
    <col min="35" max="35" width="1.109375" style="142" customWidth="1"/>
    <col min="36" max="36" width="11.109375" style="142" customWidth="1"/>
    <col min="37" max="16384" width="8.88671875" style="142"/>
  </cols>
  <sheetData>
    <row r="1" spans="1:37" ht="16.5" customHeight="1">
      <c r="A1" s="468" t="s">
        <v>841</v>
      </c>
    </row>
    <row r="2" spans="1:37" ht="16.5" customHeight="1">
      <c r="A2" s="598"/>
    </row>
    <row r="3" spans="1:37" ht="23.1" customHeight="1">
      <c r="A3" s="149" t="s">
        <v>0</v>
      </c>
      <c r="B3" s="152"/>
      <c r="C3" s="152"/>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c r="AF3" s="152"/>
      <c r="AG3" s="152"/>
      <c r="AI3" s="152"/>
    </row>
    <row r="4" spans="1:37" ht="23.25" customHeight="1">
      <c r="A4" s="149" t="s">
        <v>120</v>
      </c>
      <c r="B4" s="152"/>
      <c r="C4" s="152"/>
      <c r="D4" s="152"/>
      <c r="E4" s="152"/>
      <c r="F4" s="152"/>
      <c r="G4" s="152"/>
      <c r="H4" s="152"/>
      <c r="I4" s="152" t="s">
        <v>14</v>
      </c>
      <c r="J4" s="152"/>
      <c r="K4" s="152"/>
      <c r="L4" s="152"/>
      <c r="M4" s="152"/>
      <c r="N4" s="152"/>
      <c r="O4" s="152"/>
      <c r="P4" s="152"/>
      <c r="Q4" s="152"/>
      <c r="R4" s="152"/>
      <c r="S4" s="152"/>
      <c r="T4" s="152"/>
      <c r="U4" s="152"/>
      <c r="V4" s="152"/>
      <c r="W4" s="152"/>
      <c r="X4" s="152"/>
      <c r="Y4" s="152" t="s">
        <v>14</v>
      </c>
      <c r="Z4" s="152"/>
      <c r="AA4" s="152"/>
      <c r="AB4" s="152"/>
      <c r="AC4" s="152"/>
      <c r="AD4" s="152"/>
      <c r="AE4" s="152"/>
      <c r="AF4" s="152"/>
      <c r="AG4" s="152"/>
      <c r="AI4" s="152"/>
    </row>
    <row r="5" spans="1:37" ht="23.25" customHeight="1">
      <c r="A5" s="151" t="s">
        <v>121</v>
      </c>
      <c r="B5" s="152"/>
      <c r="C5" s="152"/>
      <c r="D5" s="152"/>
      <c r="E5" s="152"/>
      <c r="F5" s="152"/>
      <c r="G5" s="152"/>
      <c r="H5" s="152"/>
      <c r="I5" s="152"/>
      <c r="J5" s="152"/>
      <c r="K5" s="152"/>
      <c r="L5" s="152"/>
      <c r="M5" s="152"/>
      <c r="N5" s="152"/>
      <c r="O5" s="152"/>
      <c r="P5" s="152"/>
      <c r="Q5" s="152"/>
      <c r="R5" s="152"/>
      <c r="S5" s="152"/>
      <c r="T5" s="152"/>
      <c r="U5" s="152"/>
      <c r="V5" s="152"/>
      <c r="W5" s="152"/>
      <c r="X5" s="152"/>
      <c r="Y5" s="152"/>
      <c r="Z5" s="152"/>
      <c r="AA5" s="152"/>
      <c r="AC5" s="2327"/>
      <c r="AD5" s="2328"/>
      <c r="AE5" s="2328"/>
      <c r="AF5" s="2328"/>
      <c r="AG5" s="2328"/>
      <c r="AH5" s="2328"/>
      <c r="AI5" s="2328"/>
      <c r="AJ5" s="2328"/>
    </row>
    <row r="6" spans="1:37" ht="23.25" customHeight="1">
      <c r="A6" s="151" t="s">
        <v>1436</v>
      </c>
      <c r="B6" s="152"/>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I6" s="152"/>
    </row>
    <row r="7" spans="1:37" ht="23.25" customHeight="1">
      <c r="A7" s="149" t="s">
        <v>1199</v>
      </c>
      <c r="B7" s="152"/>
      <c r="C7" s="152"/>
      <c r="D7" s="152"/>
      <c r="E7" s="152"/>
      <c r="F7" s="152"/>
      <c r="G7" s="152"/>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c r="AG7" s="152"/>
      <c r="AI7" s="152"/>
    </row>
    <row r="8" spans="1:37" ht="16.5" customHeight="1">
      <c r="A8" s="152"/>
      <c r="B8" s="152"/>
      <c r="C8" s="152"/>
      <c r="D8" s="152"/>
      <c r="E8" s="152"/>
      <c r="F8" s="152"/>
      <c r="G8" s="152"/>
      <c r="H8" s="152"/>
      <c r="I8" s="152"/>
      <c r="J8" s="152"/>
      <c r="K8" s="152"/>
      <c r="L8" s="152"/>
      <c r="M8" s="152"/>
      <c r="N8" s="152"/>
      <c r="O8" s="152"/>
      <c r="P8" s="152"/>
      <c r="Q8" s="152"/>
      <c r="R8" s="152"/>
      <c r="S8" s="152"/>
      <c r="T8" s="152"/>
      <c r="U8" s="152"/>
      <c r="V8" s="152"/>
      <c r="W8" s="152"/>
      <c r="X8" s="152"/>
      <c r="Y8" s="152"/>
      <c r="Z8" s="152"/>
      <c r="AA8" s="152"/>
      <c r="AB8" s="152"/>
      <c r="AC8" s="152"/>
      <c r="AD8" s="152"/>
      <c r="AE8" s="152"/>
      <c r="AF8" s="152"/>
      <c r="AG8" s="152"/>
      <c r="AI8" s="152"/>
    </row>
    <row r="9" spans="1:37" ht="16.5" customHeight="1">
      <c r="A9" s="152"/>
      <c r="B9" s="152"/>
      <c r="C9" s="152"/>
      <c r="D9" s="152"/>
      <c r="E9" s="152"/>
      <c r="F9" s="152"/>
      <c r="G9" s="152"/>
      <c r="H9" s="152"/>
      <c r="I9" s="152"/>
      <c r="J9" s="152"/>
      <c r="K9" s="152"/>
      <c r="L9" s="152"/>
      <c r="M9" s="152"/>
      <c r="N9" s="152"/>
      <c r="O9" s="152"/>
      <c r="P9" s="152"/>
      <c r="Q9" s="152"/>
      <c r="R9" s="152"/>
      <c r="S9" s="152"/>
      <c r="T9" s="152"/>
      <c r="U9" s="152"/>
      <c r="V9" s="152"/>
      <c r="W9" s="152"/>
      <c r="X9" s="152"/>
      <c r="Y9" s="152"/>
      <c r="Z9" s="152"/>
      <c r="AA9" s="152"/>
      <c r="AB9" s="152"/>
      <c r="AC9" s="152"/>
      <c r="AD9" s="152"/>
      <c r="AE9" s="152"/>
      <c r="AF9" s="152"/>
      <c r="AG9" s="152"/>
      <c r="AI9" s="152"/>
    </row>
    <row r="10" spans="1:37" ht="16.5" customHeight="1">
      <c r="A10" s="152"/>
      <c r="B10" s="152"/>
      <c r="C10" s="152"/>
      <c r="D10" s="152"/>
      <c r="E10" s="152"/>
      <c r="F10" s="152"/>
      <c r="G10" s="152"/>
      <c r="H10" s="152"/>
      <c r="I10" s="152"/>
      <c r="J10" s="152"/>
      <c r="K10" s="152"/>
      <c r="L10" s="152"/>
      <c r="M10" s="152"/>
      <c r="N10" s="152"/>
      <c r="O10" s="152"/>
      <c r="P10" s="152"/>
      <c r="Q10" s="152"/>
      <c r="R10" s="152"/>
      <c r="S10" s="152"/>
      <c r="T10" s="152"/>
      <c r="U10" s="152"/>
      <c r="V10" s="152"/>
      <c r="W10" s="152"/>
      <c r="X10" s="152"/>
      <c r="Y10" s="152"/>
      <c r="Z10" s="152"/>
      <c r="AA10" s="152"/>
      <c r="AB10" s="152"/>
      <c r="AC10" s="152"/>
      <c r="AD10" s="152"/>
      <c r="AE10" s="152"/>
      <c r="AF10" s="152"/>
      <c r="AG10" s="152"/>
      <c r="AI10" s="152"/>
    </row>
    <row r="11" spans="1:37" ht="16.5" customHeight="1">
      <c r="A11" s="152"/>
      <c r="B11" s="152"/>
      <c r="C11" s="152"/>
      <c r="D11" s="152"/>
      <c r="E11" s="152"/>
      <c r="F11" s="152"/>
      <c r="G11" s="152"/>
      <c r="H11" s="152"/>
      <c r="I11" s="152"/>
      <c r="J11" s="152"/>
      <c r="K11" s="152"/>
      <c r="L11" s="152"/>
      <c r="M11" s="152"/>
      <c r="N11" s="152"/>
      <c r="O11" s="152"/>
      <c r="P11" s="152"/>
      <c r="Q11" s="152"/>
      <c r="R11" s="152"/>
      <c r="S11" s="152"/>
      <c r="T11" s="152"/>
      <c r="U11" s="152"/>
      <c r="V11" s="152"/>
      <c r="W11" s="152"/>
      <c r="X11" s="152"/>
      <c r="Y11" s="152"/>
      <c r="Z11" s="152"/>
      <c r="AA11" s="152"/>
      <c r="AC11" s="152"/>
      <c r="AD11" s="152"/>
      <c r="AE11" s="152"/>
      <c r="AF11" s="152"/>
      <c r="AG11" s="152"/>
      <c r="AI11" s="152"/>
    </row>
    <row r="12" spans="1:37" ht="16.5" customHeight="1">
      <c r="A12" s="152"/>
      <c r="B12" s="152"/>
      <c r="C12" s="152" t="s">
        <v>14</v>
      </c>
      <c r="D12" s="152" t="s">
        <v>14</v>
      </c>
      <c r="E12" s="152"/>
      <c r="F12" s="152"/>
      <c r="G12" s="152"/>
      <c r="H12" s="152"/>
      <c r="I12" s="152"/>
      <c r="J12" s="152"/>
      <c r="K12" s="152"/>
      <c r="L12" s="152"/>
      <c r="M12" s="152"/>
      <c r="N12" s="152"/>
      <c r="O12" s="152"/>
      <c r="P12" s="152"/>
      <c r="Q12" s="152"/>
      <c r="R12" s="152"/>
      <c r="S12" s="152"/>
      <c r="T12" s="152"/>
      <c r="U12" s="152"/>
      <c r="V12" s="152"/>
      <c r="W12" s="152"/>
      <c r="X12" s="152"/>
      <c r="Z12" s="152"/>
      <c r="AA12" s="372"/>
      <c r="AB12" s="2329" t="s">
        <v>1515</v>
      </c>
      <c r="AC12" s="2330"/>
      <c r="AD12" s="2330"/>
      <c r="AE12" s="2330"/>
      <c r="AF12" s="2330"/>
      <c r="AG12" s="2330"/>
      <c r="AH12" s="2330"/>
      <c r="AI12" s="2330"/>
      <c r="AJ12" s="2330"/>
    </row>
    <row r="13" spans="1:37" ht="16.5" customHeight="1">
      <c r="A13" s="152"/>
      <c r="B13" s="152"/>
      <c r="C13" s="1010" t="s">
        <v>1437</v>
      </c>
      <c r="D13" s="370"/>
      <c r="E13" s="370"/>
      <c r="F13" s="370"/>
      <c r="G13" s="370"/>
      <c r="H13" s="370"/>
      <c r="I13" s="370"/>
      <c r="J13" s="370"/>
      <c r="K13" s="370"/>
      <c r="L13" s="370"/>
      <c r="M13" s="370"/>
      <c r="N13" s="370"/>
      <c r="O13" s="370"/>
      <c r="P13" s="370"/>
      <c r="Q13" s="370"/>
      <c r="R13" s="370"/>
      <c r="S13" s="370"/>
      <c r="T13" s="370"/>
      <c r="U13" s="1010">
        <v>2024</v>
      </c>
      <c r="V13" s="370"/>
      <c r="W13" s="370"/>
      <c r="X13" s="370"/>
      <c r="Y13" s="370"/>
      <c r="Z13" s="370"/>
      <c r="AA13" s="370"/>
      <c r="AB13" s="370"/>
      <c r="AC13" s="370"/>
      <c r="AD13" s="370"/>
      <c r="AE13" s="370"/>
      <c r="AF13" s="370"/>
      <c r="AG13" s="370"/>
      <c r="AH13" s="542" t="s">
        <v>7</v>
      </c>
      <c r="AI13" s="1802"/>
      <c r="AJ13" s="542" t="s">
        <v>8</v>
      </c>
    </row>
    <row r="14" spans="1:37" ht="16.5" customHeight="1">
      <c r="A14" s="152"/>
      <c r="B14" s="152"/>
      <c r="C14" s="542" t="s">
        <v>122</v>
      </c>
      <c r="D14" s="370"/>
      <c r="E14" s="542" t="s">
        <v>123</v>
      </c>
      <c r="F14" s="370"/>
      <c r="G14" s="542" t="s">
        <v>124</v>
      </c>
      <c r="H14" s="370"/>
      <c r="I14" s="542" t="s">
        <v>125</v>
      </c>
      <c r="J14" s="370"/>
      <c r="K14" s="542" t="s">
        <v>126</v>
      </c>
      <c r="L14" s="370"/>
      <c r="M14" s="542" t="s">
        <v>127</v>
      </c>
      <c r="N14" s="370"/>
      <c r="O14" s="542" t="s">
        <v>128</v>
      </c>
      <c r="P14" s="370"/>
      <c r="Q14" s="542" t="s">
        <v>129</v>
      </c>
      <c r="R14" s="370"/>
      <c r="S14" s="542" t="s">
        <v>130</v>
      </c>
      <c r="T14" s="370"/>
      <c r="U14" s="542" t="s">
        <v>131</v>
      </c>
      <c r="V14" s="370"/>
      <c r="W14" s="542" t="s">
        <v>132</v>
      </c>
      <c r="X14" s="370"/>
      <c r="Y14" s="542" t="s">
        <v>133</v>
      </c>
      <c r="Z14" s="370"/>
      <c r="AA14" s="370"/>
      <c r="AB14" s="1742">
        <v>2023</v>
      </c>
      <c r="AC14" s="370"/>
      <c r="AD14" s="370"/>
      <c r="AE14" s="1742">
        <v>2022</v>
      </c>
      <c r="AF14" s="370"/>
      <c r="AG14" s="370"/>
      <c r="AH14" s="1556" t="s">
        <v>11</v>
      </c>
      <c r="AI14" s="1802"/>
      <c r="AJ14" s="1556" t="s">
        <v>12</v>
      </c>
    </row>
    <row r="15" spans="1:37" ht="6" customHeight="1">
      <c r="A15" s="152"/>
      <c r="B15" s="152"/>
      <c r="C15" s="373"/>
      <c r="D15" s="152"/>
      <c r="E15" s="373"/>
      <c r="F15" s="152"/>
      <c r="G15" s="373"/>
      <c r="H15" s="152"/>
      <c r="I15" s="373"/>
      <c r="J15" s="152"/>
      <c r="K15" s="373"/>
      <c r="L15" s="152"/>
      <c r="M15" s="373"/>
      <c r="N15" s="152"/>
      <c r="O15" s="373" t="s">
        <v>14</v>
      </c>
      <c r="P15" s="152"/>
      <c r="Q15" s="373"/>
      <c r="R15" s="152"/>
      <c r="S15" s="373"/>
      <c r="T15" s="152"/>
      <c r="U15" s="373" t="s">
        <v>14</v>
      </c>
      <c r="V15" s="152"/>
      <c r="W15" s="373"/>
      <c r="X15" s="152"/>
      <c r="Y15" s="373"/>
      <c r="Z15" s="152"/>
      <c r="AA15" s="152"/>
      <c r="AB15" s="373"/>
      <c r="AC15" s="152"/>
      <c r="AD15" s="152"/>
      <c r="AE15" s="373"/>
      <c r="AF15" s="152"/>
      <c r="AG15" s="152"/>
      <c r="AI15" s="152"/>
    </row>
    <row r="16" spans="1:37" ht="16.5" customHeight="1">
      <c r="A16" s="371" t="s">
        <v>134</v>
      </c>
      <c r="B16" s="152"/>
      <c r="C16" s="374">
        <f>'Exhibit F'!D12+'Exhibit G'!D13+'Exhibit H'!B12+'Exhibit I'!E15</f>
        <v>65955.699999999983</v>
      </c>
      <c r="D16" s="374"/>
      <c r="E16" s="374">
        <f>C149</f>
        <v>71888.2</v>
      </c>
      <c r="F16" s="374"/>
      <c r="G16" s="374">
        <f t="shared" ref="G16" si="0">E149</f>
        <v>62748.9</v>
      </c>
      <c r="H16" s="374"/>
      <c r="I16" s="374">
        <f t="shared" ref="I16:M16" si="1">G149</f>
        <v>70773.7</v>
      </c>
      <c r="J16" s="374"/>
      <c r="K16" s="374">
        <f t="shared" si="1"/>
        <v>71732.899999999994</v>
      </c>
      <c r="L16" s="374"/>
      <c r="M16" s="374">
        <f t="shared" si="1"/>
        <v>69774.5</v>
      </c>
      <c r="N16" s="374"/>
      <c r="O16" s="374"/>
      <c r="P16" s="374"/>
      <c r="Q16" s="374"/>
      <c r="R16" s="374"/>
      <c r="S16" s="374"/>
      <c r="T16" s="374"/>
      <c r="U16" s="374"/>
      <c r="V16" s="374"/>
      <c r="W16" s="374"/>
      <c r="X16" s="374"/>
      <c r="Y16" s="374"/>
      <c r="Z16" s="374"/>
      <c r="AA16" s="375"/>
      <c r="AB16" s="374">
        <f>C16</f>
        <v>65955.699999999983</v>
      </c>
      <c r="AC16" s="374"/>
      <c r="AD16" s="1803"/>
      <c r="AE16" s="374">
        <f>'Exhibit F'!AF12+'Exhibit G'!AG13+'Exhibit H'!AD12+'Exhibit I'!AI15</f>
        <v>53548.999999999993</v>
      </c>
      <c r="AF16" s="374"/>
      <c r="AG16" s="374"/>
      <c r="AH16" s="374">
        <f>ROUND(SUM(AB16-AE16),1)</f>
        <v>12406.7</v>
      </c>
      <c r="AI16" s="370"/>
      <c r="AJ16" s="190">
        <f>ROUND(SUM(AH16/AE16),3)</f>
        <v>0.23200000000000001</v>
      </c>
      <c r="AK16" s="303"/>
    </row>
    <row r="17" spans="1:37" ht="16.5" customHeight="1">
      <c r="A17" s="152"/>
      <c r="B17" s="152"/>
      <c r="C17" s="152" t="s">
        <v>14</v>
      </c>
      <c r="D17" s="152"/>
      <c r="E17" s="376"/>
      <c r="F17" s="376"/>
      <c r="G17" s="376"/>
      <c r="H17" s="152"/>
      <c r="I17" s="376"/>
      <c r="J17" s="152"/>
      <c r="K17" s="376"/>
      <c r="L17" s="152"/>
      <c r="M17" s="376"/>
      <c r="N17" s="152"/>
      <c r="O17" s="376"/>
      <c r="P17" s="152"/>
      <c r="Q17" s="376"/>
      <c r="R17" s="152"/>
      <c r="S17" s="376"/>
      <c r="T17" s="152"/>
      <c r="U17" s="376"/>
      <c r="V17" s="152"/>
      <c r="W17" s="376"/>
      <c r="X17" s="152"/>
      <c r="Y17" s="376"/>
      <c r="Z17" s="152"/>
      <c r="AA17" s="377"/>
      <c r="AB17" s="152" t="s">
        <v>14</v>
      </c>
      <c r="AC17" s="152"/>
      <c r="AD17" s="1804"/>
      <c r="AE17" s="152" t="s">
        <v>14</v>
      </c>
      <c r="AF17" s="152"/>
      <c r="AG17" s="152"/>
      <c r="AH17" s="472"/>
      <c r="AI17" s="152"/>
      <c r="AJ17" s="472"/>
    </row>
    <row r="18" spans="1:37" ht="16.5" customHeight="1">
      <c r="A18" s="112" t="s">
        <v>13</v>
      </c>
      <c r="B18" s="152"/>
      <c r="C18" s="152"/>
      <c r="D18" s="152"/>
      <c r="E18" s="376"/>
      <c r="F18" s="376"/>
      <c r="G18" s="376"/>
      <c r="H18" s="152"/>
      <c r="I18" s="376"/>
      <c r="J18" s="152"/>
      <c r="K18" s="376"/>
      <c r="L18" s="152"/>
      <c r="M18" s="376"/>
      <c r="N18" s="152"/>
      <c r="O18" s="376"/>
      <c r="P18" s="152"/>
      <c r="Q18" s="376"/>
      <c r="R18" s="152"/>
      <c r="S18" s="376"/>
      <c r="T18" s="152"/>
      <c r="U18" s="376"/>
      <c r="V18" s="152"/>
      <c r="W18" s="376"/>
      <c r="X18" s="152"/>
      <c r="Y18" s="376"/>
      <c r="Z18" s="152"/>
      <c r="AA18" s="377"/>
      <c r="AB18" s="152"/>
      <c r="AC18" s="152"/>
      <c r="AD18" s="1804"/>
      <c r="AE18" s="152"/>
      <c r="AF18" s="152"/>
      <c r="AG18" s="152"/>
      <c r="AH18" s="472"/>
      <c r="AI18" s="152"/>
      <c r="AJ18" s="472"/>
    </row>
    <row r="19" spans="1:37" ht="16.5" customHeight="1">
      <c r="A19" s="118" t="s">
        <v>947</v>
      </c>
      <c r="B19" s="152"/>
      <c r="C19" s="152"/>
      <c r="D19" s="152"/>
      <c r="E19" s="376"/>
      <c r="F19" s="376"/>
      <c r="G19" s="376"/>
      <c r="H19" s="152"/>
      <c r="I19" s="376"/>
      <c r="J19" s="152"/>
      <c r="K19" s="376"/>
      <c r="L19" s="152"/>
      <c r="M19" s="376"/>
      <c r="N19" s="152"/>
      <c r="O19" s="376"/>
      <c r="P19" s="152"/>
      <c r="Q19" s="376"/>
      <c r="R19" s="152"/>
      <c r="S19" s="376"/>
      <c r="T19" s="152"/>
      <c r="U19" s="376"/>
      <c r="V19" s="152"/>
      <c r="W19" s="376"/>
      <c r="X19" s="152"/>
      <c r="Y19" s="376"/>
      <c r="Z19" s="152"/>
      <c r="AA19" s="377"/>
      <c r="AB19" s="152"/>
      <c r="AC19" s="152"/>
      <c r="AD19" s="1804"/>
      <c r="AE19" s="152"/>
      <c r="AF19" s="152"/>
      <c r="AG19" s="152"/>
      <c r="AH19" s="472"/>
      <c r="AI19" s="152"/>
      <c r="AJ19" s="472"/>
    </row>
    <row r="20" spans="1:37" ht="16.5" customHeight="1">
      <c r="A20" s="737" t="s">
        <v>1192</v>
      </c>
      <c r="B20" s="489"/>
      <c r="C20" s="450"/>
      <c r="D20" s="450"/>
      <c r="E20" s="450"/>
      <c r="F20" s="450"/>
      <c r="G20" s="450"/>
      <c r="H20" s="152"/>
      <c r="I20" s="376"/>
      <c r="J20" s="152"/>
      <c r="K20" s="376"/>
      <c r="L20" s="152"/>
      <c r="M20" s="376"/>
      <c r="N20" s="152"/>
      <c r="O20" s="376"/>
      <c r="P20" s="152"/>
      <c r="Q20" s="376"/>
      <c r="R20" s="152"/>
      <c r="S20" s="376"/>
      <c r="T20" s="152"/>
      <c r="U20" s="376"/>
      <c r="V20" s="152"/>
      <c r="W20" s="376"/>
      <c r="X20" s="152"/>
      <c r="Y20" s="376"/>
      <c r="Z20" s="152"/>
      <c r="AA20" s="684"/>
      <c r="AB20" s="152"/>
      <c r="AC20" s="152"/>
      <c r="AD20" s="1804"/>
      <c r="AE20" s="152"/>
      <c r="AF20" s="152"/>
      <c r="AG20" s="152"/>
      <c r="AH20" s="472"/>
      <c r="AI20" s="152"/>
      <c r="AJ20" s="472"/>
    </row>
    <row r="21" spans="1:37" ht="16.5" customHeight="1">
      <c r="A21" s="489" t="s">
        <v>953</v>
      </c>
      <c r="B21" s="489"/>
      <c r="C21" s="254">
        <f>+'Exhibit F'!D17</f>
        <v>3783.8</v>
      </c>
      <c r="D21" s="254"/>
      <c r="E21" s="254">
        <f>+'Exhibit F'!F17</f>
        <v>3939.7</v>
      </c>
      <c r="F21" s="254"/>
      <c r="G21" s="254">
        <f>+'Exhibit F'!H17</f>
        <v>4133.5</v>
      </c>
      <c r="H21" s="378"/>
      <c r="I21" s="254">
        <f>+'Exhibit F'!J17</f>
        <v>3618.8999999999987</v>
      </c>
      <c r="J21" s="378"/>
      <c r="K21" s="254">
        <f>+'Exhibit F'!L17</f>
        <v>4079.7</v>
      </c>
      <c r="L21" s="152"/>
      <c r="M21" s="254">
        <f>+'Exhibit F'!N17</f>
        <v>3450.4000000000015</v>
      </c>
      <c r="N21" s="152"/>
      <c r="O21" s="254"/>
      <c r="P21" s="152"/>
      <c r="Q21" s="254"/>
      <c r="R21" s="254"/>
      <c r="S21" s="254"/>
      <c r="T21" s="254"/>
      <c r="U21" s="254"/>
      <c r="V21" s="254"/>
      <c r="W21" s="254"/>
      <c r="X21" s="254"/>
      <c r="Y21" s="254"/>
      <c r="Z21" s="152"/>
      <c r="AA21" s="684"/>
      <c r="AB21" s="378">
        <f>ROUND(SUM(C21:Y21),1)</f>
        <v>23006</v>
      </c>
      <c r="AC21" s="152"/>
      <c r="AD21" s="1804"/>
      <c r="AE21" s="254">
        <f>+'Exhibit F'!AF17</f>
        <v>22335.8</v>
      </c>
      <c r="AF21" s="152"/>
      <c r="AG21" s="152"/>
      <c r="AH21" s="467">
        <f>ROUND(SUM(+AB21-AE21),1)</f>
        <v>670.2</v>
      </c>
      <c r="AI21" s="170"/>
      <c r="AJ21" s="661">
        <f>ROUND(IF(AE21=0,0,AH21/ABS(AE21)),3)</f>
        <v>0.03</v>
      </c>
    </row>
    <row r="22" spans="1:37" ht="16.5" customHeight="1">
      <c r="A22" s="489" t="s">
        <v>1190</v>
      </c>
      <c r="B22" s="492"/>
      <c r="C22" s="254">
        <f>+'Exhibit F'!D18</f>
        <v>4875.8999999999996</v>
      </c>
      <c r="D22" s="254"/>
      <c r="E22" s="254">
        <f>+'Exhibit F'!F18</f>
        <v>110.39999999999964</v>
      </c>
      <c r="F22" s="254"/>
      <c r="G22" s="254">
        <f>+'Exhibit F'!H18</f>
        <v>1299.6000000000004</v>
      </c>
      <c r="H22" s="378"/>
      <c r="I22" s="254">
        <f>+'Exhibit F'!J18</f>
        <v>85.800000000000182</v>
      </c>
      <c r="J22" s="378"/>
      <c r="K22" s="254">
        <f>+'Exhibit F'!L18</f>
        <v>85.5</v>
      </c>
      <c r="L22" s="152"/>
      <c r="M22" s="254">
        <f>+'Exhibit F'!N18</f>
        <v>1473.4000000000005</v>
      </c>
      <c r="N22" s="152"/>
      <c r="O22" s="254"/>
      <c r="P22" s="152"/>
      <c r="Q22" s="254"/>
      <c r="R22" s="152"/>
      <c r="S22" s="254"/>
      <c r="T22" s="152"/>
      <c r="U22" s="254"/>
      <c r="V22" s="254"/>
      <c r="W22" s="254"/>
      <c r="X22" s="254"/>
      <c r="Y22" s="254"/>
      <c r="Z22" s="152"/>
      <c r="AA22" s="684"/>
      <c r="AB22" s="378">
        <f>ROUND(SUM(C22:Y22),1)</f>
        <v>7930.6</v>
      </c>
      <c r="AC22" s="152"/>
      <c r="AD22" s="1804"/>
      <c r="AE22" s="254">
        <f>+'Exhibit F'!AF18</f>
        <v>15177.7</v>
      </c>
      <c r="AF22" s="152"/>
      <c r="AG22" s="152"/>
      <c r="AH22" s="467">
        <f>ROUND(SUM(+AB22-AE22),1)</f>
        <v>-7247.1</v>
      </c>
      <c r="AI22" s="170"/>
      <c r="AJ22" s="1805">
        <f>ROUND(IF(AE22=0,0,AH22/ABS(AE22)),3)</f>
        <v>-0.47699999999999998</v>
      </c>
    </row>
    <row r="23" spans="1:37" ht="16.5" customHeight="1">
      <c r="A23" s="489" t="s">
        <v>954</v>
      </c>
      <c r="B23" s="489"/>
      <c r="C23" s="254">
        <f>+'Exhibit F'!D19</f>
        <v>2097.1</v>
      </c>
      <c r="D23" s="254"/>
      <c r="E23" s="254">
        <f>+'Exhibit F'!F19</f>
        <v>131</v>
      </c>
      <c r="F23" s="254"/>
      <c r="G23" s="254">
        <f>+'Exhibit F'!H19</f>
        <v>85.5</v>
      </c>
      <c r="H23" s="378"/>
      <c r="I23" s="254">
        <f>+'Exhibit F'!J19</f>
        <v>61</v>
      </c>
      <c r="J23" s="378"/>
      <c r="K23" s="254">
        <f>+'Exhibit F'!L19</f>
        <v>63.099999999999909</v>
      </c>
      <c r="L23" s="152"/>
      <c r="M23" s="254">
        <f>+'Exhibit F'!N19</f>
        <v>87.800000000000182</v>
      </c>
      <c r="N23" s="152"/>
      <c r="O23" s="254"/>
      <c r="P23" s="152"/>
      <c r="Q23" s="254"/>
      <c r="R23" s="152"/>
      <c r="S23" s="254"/>
      <c r="T23" s="152"/>
      <c r="U23" s="254"/>
      <c r="V23" s="254"/>
      <c r="W23" s="254"/>
      <c r="X23" s="254"/>
      <c r="Y23" s="254"/>
      <c r="Z23" s="152"/>
      <c r="AA23" s="684"/>
      <c r="AB23" s="378">
        <f>ROUND(SUM(C23:Y23),1)</f>
        <v>2525.5</v>
      </c>
      <c r="AC23" s="152"/>
      <c r="AD23" s="1804"/>
      <c r="AE23" s="254">
        <f>+'Exhibit F'!AF19</f>
        <v>3815.6</v>
      </c>
      <c r="AF23" s="152"/>
      <c r="AG23" s="152"/>
      <c r="AH23" s="467">
        <f>ROUND(SUM(+AB23-AE23),1)</f>
        <v>-1290.0999999999999</v>
      </c>
      <c r="AI23" s="170"/>
      <c r="AJ23" s="661">
        <f>ROUND(IF(AE23=0,0,AH23/ABS(AE23)),3)</f>
        <v>-0.33800000000000002</v>
      </c>
    </row>
    <row r="24" spans="1:37" ht="16.5" customHeight="1">
      <c r="A24" s="752" t="s">
        <v>955</v>
      </c>
      <c r="B24" s="489"/>
      <c r="C24" s="254">
        <f>+'Exhibit F'!D20</f>
        <v>-509.9</v>
      </c>
      <c r="D24" s="254"/>
      <c r="E24" s="254">
        <f>+'Exhibit F'!F20</f>
        <v>-69.200000000000045</v>
      </c>
      <c r="F24" s="254"/>
      <c r="G24" s="254">
        <f>+'Exhibit F'!H20</f>
        <v>-49.399999999999977</v>
      </c>
      <c r="H24" s="378"/>
      <c r="I24" s="254">
        <f>+'Exhibit F'!J20</f>
        <v>-46.199999999999932</v>
      </c>
      <c r="J24" s="378"/>
      <c r="K24" s="254">
        <f>+'Exhibit F'!L20</f>
        <v>-98.000000000000114</v>
      </c>
      <c r="L24" s="152"/>
      <c r="M24" s="254">
        <f>+'Exhibit F'!N20</f>
        <v>-119.69999999999993</v>
      </c>
      <c r="N24" s="152"/>
      <c r="O24" s="254"/>
      <c r="P24" s="152"/>
      <c r="Q24" s="254"/>
      <c r="R24" s="152"/>
      <c r="S24" s="254"/>
      <c r="T24" s="152"/>
      <c r="U24" s="254"/>
      <c r="V24" s="254"/>
      <c r="W24" s="254"/>
      <c r="X24" s="254"/>
      <c r="Y24" s="254"/>
      <c r="Z24" s="152"/>
      <c r="AA24" s="684"/>
      <c r="AB24" s="378">
        <f t="shared" ref="AB24:AB29" si="2">ROUND(SUM(C24:Y24),1)</f>
        <v>-892.4</v>
      </c>
      <c r="AC24" s="152"/>
      <c r="AD24" s="1804"/>
      <c r="AE24" s="254">
        <f>+'Exhibit F'!AF20</f>
        <v>-746.5</v>
      </c>
      <c r="AF24" s="152"/>
      <c r="AG24" s="152"/>
      <c r="AH24" s="467">
        <f>-ROUND(SUM(+AB24-AE24),1)</f>
        <v>145.9</v>
      </c>
      <c r="AI24" s="170"/>
      <c r="AJ24" s="469">
        <f>ROUND(IF(AE24=0,0,AH24/ABS(AE24)),3)</f>
        <v>0.19500000000000001</v>
      </c>
    </row>
    <row r="25" spans="1:37" ht="16.5" customHeight="1">
      <c r="A25" s="752" t="s">
        <v>1189</v>
      </c>
      <c r="B25" s="489"/>
      <c r="C25" s="254">
        <f>+'Exhibit F'!D21</f>
        <v>242.1</v>
      </c>
      <c r="D25" s="254"/>
      <c r="E25" s="254">
        <f>+'Exhibit F'!F21</f>
        <v>174.6</v>
      </c>
      <c r="F25" s="254"/>
      <c r="G25" s="254">
        <f>+'Exhibit F'!H21</f>
        <v>128.29999999999998</v>
      </c>
      <c r="H25" s="378"/>
      <c r="I25" s="254">
        <f>+'Exhibit F'!J21</f>
        <v>109.70000000000005</v>
      </c>
      <c r="J25" s="378"/>
      <c r="K25" s="254">
        <f>+'Exhibit F'!L21</f>
        <v>100.6999999999999</v>
      </c>
      <c r="L25" s="152"/>
      <c r="M25" s="254">
        <f>+'Exhibit F'!N21</f>
        <v>113.3000000000001</v>
      </c>
      <c r="N25" s="152"/>
      <c r="O25" s="254"/>
      <c r="P25" s="152"/>
      <c r="Q25" s="254"/>
      <c r="R25" s="152"/>
      <c r="S25" s="254"/>
      <c r="T25" s="152"/>
      <c r="U25" s="254"/>
      <c r="V25" s="254"/>
      <c r="W25" s="254"/>
      <c r="X25" s="254"/>
      <c r="Y25" s="254"/>
      <c r="Z25" s="152"/>
      <c r="AA25" s="684"/>
      <c r="AB25" s="378">
        <f t="shared" si="2"/>
        <v>868.7</v>
      </c>
      <c r="AC25" s="152"/>
      <c r="AD25" s="1804"/>
      <c r="AE25" s="254">
        <f>+'Exhibit F'!AF21</f>
        <v>859</v>
      </c>
      <c r="AF25" s="152"/>
      <c r="AG25" s="152"/>
      <c r="AH25" s="467">
        <f>ROUND(SUM(+AB25-AE25),1)</f>
        <v>9.6999999999999993</v>
      </c>
      <c r="AI25" s="170"/>
      <c r="AJ25" s="469">
        <f t="shared" ref="AJ25:AJ30" si="3">ROUND(IF(AE25=0,0,AH25/ABS(AE25)),3)</f>
        <v>1.0999999999999999E-2</v>
      </c>
    </row>
    <row r="26" spans="1:37" ht="16.5" customHeight="1">
      <c r="A26" s="490" t="s">
        <v>956</v>
      </c>
      <c r="B26" s="490"/>
      <c r="C26" s="491">
        <f>ROUND(SUM(C21:C25),1)</f>
        <v>10489</v>
      </c>
      <c r="D26" s="16"/>
      <c r="E26" s="491">
        <f>ROUND(SUM(E21:E25),1)</f>
        <v>4286.5</v>
      </c>
      <c r="F26" s="16"/>
      <c r="G26" s="491">
        <f>ROUND(SUM(G21:G25),1)</f>
        <v>5597.5</v>
      </c>
      <c r="H26" s="152"/>
      <c r="I26" s="643">
        <f>ROUND(SUM(I21:I25),1)</f>
        <v>3829.2</v>
      </c>
      <c r="J26" s="152"/>
      <c r="K26" s="643">
        <f>ROUND(SUM(K21:K25),1)</f>
        <v>4231</v>
      </c>
      <c r="L26" s="152"/>
      <c r="M26" s="643">
        <f>ROUND(SUM(M21:M25),1)</f>
        <v>5005.2</v>
      </c>
      <c r="N26" s="152"/>
      <c r="O26" s="643">
        <f>ROUND(SUM(O21:O25),1)</f>
        <v>0</v>
      </c>
      <c r="P26" s="152"/>
      <c r="Q26" s="643">
        <f>ROUND(SUM(Q21:Q25),1)</f>
        <v>0</v>
      </c>
      <c r="R26" s="152"/>
      <c r="S26" s="643">
        <f>ROUND(SUM(S21:S25),1)</f>
        <v>0</v>
      </c>
      <c r="T26" s="152"/>
      <c r="U26" s="643">
        <f>ROUND(SUM(U21:U25),1)</f>
        <v>0</v>
      </c>
      <c r="V26" s="152"/>
      <c r="W26" s="643">
        <f>ROUND(SUM(W21:W25),1)</f>
        <v>0</v>
      </c>
      <c r="X26" s="152"/>
      <c r="Y26" s="643">
        <f>ROUND(SUM(Y21:Y25),1)</f>
        <v>0</v>
      </c>
      <c r="Z26" s="152"/>
      <c r="AA26" s="684"/>
      <c r="AB26" s="385">
        <f>ROUND(SUM(C26:Y26),1)</f>
        <v>33438.400000000001</v>
      </c>
      <c r="AC26" s="152"/>
      <c r="AD26" s="1804"/>
      <c r="AE26" s="643">
        <f>ROUND(SUM(AE21:AE25),1)</f>
        <v>41441.599999999999</v>
      </c>
      <c r="AF26" s="152"/>
      <c r="AG26" s="152"/>
      <c r="AH26" s="179">
        <f>ROUND(SUM(AB26-AE26),1)</f>
        <v>-8003.2</v>
      </c>
      <c r="AI26" s="170"/>
      <c r="AJ26" s="955">
        <f t="shared" si="3"/>
        <v>-0.193</v>
      </c>
      <c r="AK26" s="142" t="s">
        <v>14</v>
      </c>
    </row>
    <row r="27" spans="1:37" ht="16.5" customHeight="1">
      <c r="A27" s="752" t="s">
        <v>958</v>
      </c>
      <c r="B27" s="489"/>
      <c r="C27" s="913">
        <v>0</v>
      </c>
      <c r="D27" s="913"/>
      <c r="E27" s="913">
        <v>0</v>
      </c>
      <c r="F27" s="913"/>
      <c r="G27" s="913">
        <v>0</v>
      </c>
      <c r="H27" s="378"/>
      <c r="I27" s="913">
        <v>0</v>
      </c>
      <c r="J27" s="378"/>
      <c r="K27" s="913">
        <v>0</v>
      </c>
      <c r="L27" s="152"/>
      <c r="M27" s="913">
        <v>0</v>
      </c>
      <c r="N27" s="152"/>
      <c r="O27" s="913"/>
      <c r="P27" s="152"/>
      <c r="Q27" s="913"/>
      <c r="R27" s="452"/>
      <c r="S27" s="913"/>
      <c r="T27" s="452"/>
      <c r="U27" s="452"/>
      <c r="V27" s="452"/>
      <c r="W27" s="452"/>
      <c r="X27" s="452"/>
      <c r="Y27" s="452"/>
      <c r="Z27" s="152"/>
      <c r="AA27" s="684"/>
      <c r="AB27" s="378">
        <f t="shared" si="2"/>
        <v>0</v>
      </c>
      <c r="AC27" s="152"/>
      <c r="AD27" s="1804"/>
      <c r="AE27" s="913">
        <f>+'Exhibit F'!AF23+'Exhibit G'!AG17</f>
        <v>0</v>
      </c>
      <c r="AF27" s="152"/>
      <c r="AG27" s="152"/>
      <c r="AH27" s="467">
        <f>ROUND(SUM(+AB27-AE27),1)</f>
        <v>0</v>
      </c>
      <c r="AI27" s="170"/>
      <c r="AJ27" s="469">
        <f t="shared" si="3"/>
        <v>0</v>
      </c>
    </row>
    <row r="28" spans="1:37" ht="16.5" customHeight="1">
      <c r="A28" s="752" t="s">
        <v>959</v>
      </c>
      <c r="B28" s="489"/>
      <c r="C28" s="452">
        <f>'Exhibit F'!D24+'Exhibit H'!B16</f>
        <v>0</v>
      </c>
      <c r="D28" s="452"/>
      <c r="E28" s="452">
        <f>'Exhibit F'!F24+'Exhibit H'!D16</f>
        <v>0</v>
      </c>
      <c r="F28" s="452"/>
      <c r="G28" s="452">
        <f>'Exhibit F'!H24+'Exhibit H'!F16</f>
        <v>0</v>
      </c>
      <c r="H28" s="378"/>
      <c r="I28" s="452">
        <f>'Exhibit F'!J24+'Exhibit H'!H16</f>
        <v>0</v>
      </c>
      <c r="J28" s="378"/>
      <c r="K28" s="452">
        <f>'Exhibit F'!L24+'Exhibit H'!J16</f>
        <v>0</v>
      </c>
      <c r="L28" s="152"/>
      <c r="M28" s="452">
        <f>'Exhibit F'!N24+'Exhibit H'!L16</f>
        <v>0</v>
      </c>
      <c r="N28" s="152"/>
      <c r="O28" s="452"/>
      <c r="P28" s="152"/>
      <c r="Q28" s="452"/>
      <c r="R28" s="452"/>
      <c r="S28" s="452"/>
      <c r="T28" s="452"/>
      <c r="U28" s="452"/>
      <c r="V28" s="452"/>
      <c r="W28" s="452"/>
      <c r="X28" s="452"/>
      <c r="Y28" s="452"/>
      <c r="Z28" s="152"/>
      <c r="AA28" s="684"/>
      <c r="AB28" s="378">
        <f>ROUND(SUM(C28:Y28),1)</f>
        <v>0</v>
      </c>
      <c r="AC28" s="152"/>
      <c r="AD28" s="1804"/>
      <c r="AE28" s="452">
        <f>+'Exhibit F'!AF24+'Exhibit H'!AD16</f>
        <v>0</v>
      </c>
      <c r="AF28" s="152"/>
      <c r="AG28" s="152"/>
      <c r="AH28" s="467">
        <f>ROUND(SUM(+AB28-AE28),1)</f>
        <v>0</v>
      </c>
      <c r="AI28" s="170"/>
      <c r="AJ28" s="469">
        <f>ROUND(IF(AE28=0,0,AH28/ABS(AE28)),3)</f>
        <v>0</v>
      </c>
    </row>
    <row r="29" spans="1:37" ht="16.5" customHeight="1">
      <c r="A29" s="489" t="s">
        <v>1191</v>
      </c>
      <c r="B29" s="489"/>
      <c r="C29" s="254">
        <f>+'Exhibit F'!D25</f>
        <v>-3034.6</v>
      </c>
      <c r="D29" s="254"/>
      <c r="E29" s="254">
        <f>+'Exhibit F'!F25</f>
        <v>-2197.9</v>
      </c>
      <c r="F29" s="254"/>
      <c r="G29" s="254">
        <f>+'Exhibit F'!H25</f>
        <v>-602.89999999999964</v>
      </c>
      <c r="H29" s="378"/>
      <c r="I29" s="254">
        <f>+'Exhibit F'!J25</f>
        <v>-403.30000000000018</v>
      </c>
      <c r="J29" s="378"/>
      <c r="K29" s="254">
        <f>+'Exhibit F'!L25</f>
        <v>-530.69999999999982</v>
      </c>
      <c r="L29" s="152"/>
      <c r="M29" s="254">
        <f>+'Exhibit F'!N25</f>
        <v>-687.99999999999955</v>
      </c>
      <c r="N29" s="152"/>
      <c r="O29" s="254"/>
      <c r="P29" s="152"/>
      <c r="Q29" s="254"/>
      <c r="R29" s="254"/>
      <c r="S29" s="254"/>
      <c r="T29" s="254"/>
      <c r="U29" s="254"/>
      <c r="V29" s="152"/>
      <c r="W29" s="254"/>
      <c r="X29" s="254"/>
      <c r="Y29" s="254"/>
      <c r="Z29" s="152"/>
      <c r="AA29" s="684"/>
      <c r="AB29" s="378">
        <f t="shared" si="2"/>
        <v>-7457.4</v>
      </c>
      <c r="AC29" s="152"/>
      <c r="AD29" s="1804"/>
      <c r="AE29" s="254">
        <f>+'Exhibit F'!AF25</f>
        <v>-8263</v>
      </c>
      <c r="AF29" s="152"/>
      <c r="AG29" s="152"/>
      <c r="AH29" s="467">
        <f>-ROUND(SUM(+AB29-AE29),1)</f>
        <v>-805.6</v>
      </c>
      <c r="AI29" s="170"/>
      <c r="AJ29" s="469">
        <f t="shared" si="3"/>
        <v>-9.7000000000000003E-2</v>
      </c>
    </row>
    <row r="30" spans="1:37" ht="16.5" customHeight="1">
      <c r="A30" s="218" t="s">
        <v>957</v>
      </c>
      <c r="B30" s="489"/>
      <c r="C30" s="643">
        <f>ROUND(SUM(C26)+SUM(C27)+SUM(C28)+SUM(C29),1)</f>
        <v>7454.4</v>
      </c>
      <c r="D30" s="16"/>
      <c r="E30" s="643">
        <f>ROUND(SUM(E26)+SUM(E27)+SUM(E28)+SUM(E29),1)</f>
        <v>2088.6</v>
      </c>
      <c r="F30" s="16"/>
      <c r="G30" s="643">
        <f>ROUND(SUM(G26)+SUM(G27)+SUM(G28)+SUM(G29),1)</f>
        <v>4994.6000000000004</v>
      </c>
      <c r="H30" s="152"/>
      <c r="I30" s="643">
        <f>ROUND(SUM(I26)+SUM(I27)+SUM(I28)+SUM(I29),1)</f>
        <v>3425.9</v>
      </c>
      <c r="J30" s="152"/>
      <c r="K30" s="643">
        <f>ROUND(SUM(K26)+SUM(K27)+SUM(K28)+SUM(K29),1)</f>
        <v>3700.3</v>
      </c>
      <c r="L30" s="152"/>
      <c r="M30" s="643">
        <f>ROUND(SUM(M26)+SUM(M27)+SUM(M28)+SUM(M29),1)</f>
        <v>4317.2</v>
      </c>
      <c r="N30" s="152"/>
      <c r="O30" s="643">
        <f>ROUND(SUM(O26)+SUM(O27)+SUM(O28)+SUM(O29),1)</f>
        <v>0</v>
      </c>
      <c r="P30" s="152"/>
      <c r="Q30" s="643">
        <f>ROUND(SUM(Q26)+SUM(Q27)+SUM(Q28)+SUM(Q29),1)</f>
        <v>0</v>
      </c>
      <c r="R30" s="152"/>
      <c r="S30" s="643">
        <f>ROUND(SUM(S26)+SUM(S27)+SUM(S28)+SUM(S29),1)</f>
        <v>0</v>
      </c>
      <c r="T30" s="152"/>
      <c r="U30" s="643">
        <f>ROUND(SUM(U26)+SUM(U27)+SUM(U28)+SUM(U29),1)</f>
        <v>0</v>
      </c>
      <c r="V30" s="152"/>
      <c r="W30" s="643">
        <f>ROUND(SUM(W26)+SUM(W27)+SUM(W28)+SUM(W29),1)</f>
        <v>0</v>
      </c>
      <c r="X30" s="152"/>
      <c r="Y30" s="643">
        <f>ROUND(SUM(Y26)+SUM(Y27)+SUM(Y28)+SUM(Y29),1)</f>
        <v>0</v>
      </c>
      <c r="Z30" s="152"/>
      <c r="AA30" s="684"/>
      <c r="AB30" s="385">
        <f>ROUND(SUM(C30:Y30),1)</f>
        <v>25981</v>
      </c>
      <c r="AC30" s="152"/>
      <c r="AD30" s="1804"/>
      <c r="AE30" s="643">
        <f>ROUND(SUM(AE26)+SUM(AE27)+SUM(AE28)+SUM(AE29),1)</f>
        <v>33178.6</v>
      </c>
      <c r="AF30" s="152"/>
      <c r="AG30" s="152"/>
      <c r="AH30" s="179">
        <f>ROUND(SUM(AH26+AH27+AH28-AH29),1)</f>
        <v>-7197.6</v>
      </c>
      <c r="AI30" s="467"/>
      <c r="AJ30" s="955">
        <f t="shared" si="3"/>
        <v>-0.217</v>
      </c>
      <c r="AK30" s="142" t="s">
        <v>14</v>
      </c>
    </row>
    <row r="31" spans="1:37" ht="16.5" customHeight="1">
      <c r="A31" s="737" t="s">
        <v>1006</v>
      </c>
      <c r="B31" s="492"/>
      <c r="C31" s="449"/>
      <c r="D31" s="449"/>
      <c r="E31" s="449"/>
      <c r="F31" s="449"/>
      <c r="G31" s="449"/>
      <c r="H31" s="152"/>
      <c r="I31" s="449"/>
      <c r="J31" s="152"/>
      <c r="K31" s="449"/>
      <c r="L31" s="152"/>
      <c r="M31" s="449"/>
      <c r="N31" s="152"/>
      <c r="O31" s="449"/>
      <c r="P31" s="152"/>
      <c r="Q31" s="449"/>
      <c r="R31" s="152"/>
      <c r="S31" s="449"/>
      <c r="T31" s="152"/>
      <c r="U31" s="449"/>
      <c r="V31" s="152"/>
      <c r="W31" s="449"/>
      <c r="X31" s="152"/>
      <c r="Y31" s="449"/>
      <c r="Z31" s="152"/>
      <c r="AA31" s="684"/>
      <c r="AB31" s="152"/>
      <c r="AC31" s="152"/>
      <c r="AD31" s="1804"/>
      <c r="AE31" s="376"/>
      <c r="AF31" s="152"/>
      <c r="AG31" s="152"/>
      <c r="AH31" s="42"/>
      <c r="AI31" s="467"/>
      <c r="AJ31" s="190"/>
    </row>
    <row r="32" spans="1:37" ht="16.5" customHeight="1">
      <c r="A32" s="489" t="s">
        <v>962</v>
      </c>
      <c r="B32" s="492"/>
      <c r="C32" s="254">
        <f>+'Exhibit F'!D28+'Exhibit G'!D20+'Exhibit H'!B19</f>
        <v>1512.3</v>
      </c>
      <c r="D32" s="254"/>
      <c r="E32" s="254">
        <f>+'Exhibit F'!F28+'Exhibit G'!F20+'Exhibit H'!D19</f>
        <v>1469.9</v>
      </c>
      <c r="F32" s="254"/>
      <c r="G32" s="254">
        <f>+'Exhibit F'!H28+'Exhibit G'!H20+'Exhibit H'!F19</f>
        <v>1963.8</v>
      </c>
      <c r="H32" s="378"/>
      <c r="I32" s="254">
        <f>+'Exhibit F'!J28+'Exhibit G'!J20+'Exhibit H'!H19</f>
        <v>1578.8000000000002</v>
      </c>
      <c r="J32" s="378"/>
      <c r="K32" s="254">
        <f>+'Exhibit F'!L28+'Exhibit G'!L20+'Exhibit H'!J19</f>
        <v>1535.099999999999</v>
      </c>
      <c r="L32" s="152"/>
      <c r="M32" s="254">
        <f>+'Exhibit F'!N28+'Exhibit G'!N20+'Exhibit H'!L19</f>
        <v>1958.1000000000001</v>
      </c>
      <c r="N32" s="152"/>
      <c r="O32" s="254"/>
      <c r="P32" s="152"/>
      <c r="Q32" s="254"/>
      <c r="R32" s="254"/>
      <c r="S32" s="254"/>
      <c r="T32" s="254"/>
      <c r="U32" s="254"/>
      <c r="V32" s="254"/>
      <c r="W32" s="254"/>
      <c r="X32" s="254"/>
      <c r="Y32" s="254"/>
      <c r="Z32" s="152"/>
      <c r="AA32" s="684"/>
      <c r="AB32" s="378">
        <f t="shared" ref="AB32:AB41" si="4">ROUND(SUM(C32:Y32),1)</f>
        <v>10018</v>
      </c>
      <c r="AC32" s="152"/>
      <c r="AD32" s="1804"/>
      <c r="AE32" s="254">
        <f>+'Exhibit F'!AF28+'Exhibit G'!AG20+'Exhibit H'!AD19</f>
        <v>9454.9</v>
      </c>
      <c r="AF32" s="152"/>
      <c r="AG32" s="152"/>
      <c r="AH32" s="467">
        <f t="shared" ref="AH32:AH39" si="5">ROUND(SUM(+AB32-AE32),1)</f>
        <v>563.1</v>
      </c>
      <c r="AI32" s="467"/>
      <c r="AJ32" s="661">
        <f t="shared" ref="AJ32:AJ42" si="6">ROUND(IF(AE32=0,0,AH32/ABS(AE32)),3)</f>
        <v>0.06</v>
      </c>
    </row>
    <row r="33" spans="1:38" ht="16.5" customHeight="1">
      <c r="A33" s="489" t="s">
        <v>963</v>
      </c>
      <c r="B33" s="492"/>
      <c r="C33" s="254">
        <f>+'Exhibit F'!D29+'Exhibit G'!D21+'Exhibit I'!E20</f>
        <v>11.4</v>
      </c>
      <c r="D33" s="254"/>
      <c r="E33" s="254">
        <f>+'Exhibit F'!F29+'Exhibit G'!F21+'Exhibit I'!G20</f>
        <v>9.9999999999999645E-2</v>
      </c>
      <c r="F33" s="254"/>
      <c r="G33" s="254">
        <f>+'Exhibit F'!H29+'Exhibit G'!H21+'Exhibit I'!I20</f>
        <v>28.5</v>
      </c>
      <c r="H33" s="378"/>
      <c r="I33" s="254">
        <f>+'Exhibit F'!J29+'Exhibit G'!J21+'Exhibit I'!K20</f>
        <v>0.10000000000000142</v>
      </c>
      <c r="J33" s="378"/>
      <c r="K33" s="254">
        <f>+'Exhibit F'!L29+'Exhibit G'!L21+'Exhibit I'!M20</f>
        <v>0</v>
      </c>
      <c r="L33" s="152"/>
      <c r="M33" s="254">
        <f>+'Exhibit F'!N29+'Exhibit G'!N21+'Exhibit I'!O20</f>
        <v>40.4</v>
      </c>
      <c r="N33" s="152"/>
      <c r="O33" s="254"/>
      <c r="P33" s="152"/>
      <c r="Q33" s="254"/>
      <c r="R33" s="254"/>
      <c r="S33" s="254"/>
      <c r="T33" s="254"/>
      <c r="U33" s="254"/>
      <c r="V33" s="254"/>
      <c r="W33" s="254"/>
      <c r="X33" s="254"/>
      <c r="Y33" s="254"/>
      <c r="Z33" s="152"/>
      <c r="AA33" s="684"/>
      <c r="AB33" s="378">
        <f>ROUND(SUM(C33:Y33),1)</f>
        <v>80.5</v>
      </c>
      <c r="AC33" s="152"/>
      <c r="AD33" s="1804"/>
      <c r="AE33" s="254">
        <f>+'Exhibit F'!AF29+'Exhibit G'!AG21+'Exhibit I'!AI20</f>
        <v>77.7</v>
      </c>
      <c r="AF33" s="152"/>
      <c r="AG33" s="152"/>
      <c r="AH33" s="467">
        <f t="shared" si="5"/>
        <v>2.8</v>
      </c>
      <c r="AI33" s="467"/>
      <c r="AJ33" s="661">
        <f t="shared" si="6"/>
        <v>3.5999999999999997E-2</v>
      </c>
    </row>
    <row r="34" spans="1:38" ht="16.5" customHeight="1">
      <c r="A34" s="489" t="s">
        <v>964</v>
      </c>
      <c r="B34" s="489"/>
      <c r="C34" s="254">
        <f>+'Exhibit F'!D30+'Exhibit G'!D22</f>
        <v>76.099999999999994</v>
      </c>
      <c r="D34" s="254"/>
      <c r="E34" s="254">
        <f>+'Exhibit F'!F30+'Exhibit G'!F22</f>
        <v>73.2</v>
      </c>
      <c r="F34" s="254"/>
      <c r="G34" s="254">
        <f>+'Exhibit F'!H30+'Exhibit G'!H22</f>
        <v>71.000000000000014</v>
      </c>
      <c r="H34" s="378"/>
      <c r="I34" s="254">
        <f>+'Exhibit F'!J30+'Exhibit G'!J22</f>
        <v>73.799999999999983</v>
      </c>
      <c r="J34" s="378"/>
      <c r="K34" s="254">
        <f>+'Exhibit F'!L30+'Exhibit G'!L22</f>
        <v>73.900000000000034</v>
      </c>
      <c r="L34" s="152"/>
      <c r="M34" s="254">
        <f>+'Exhibit F'!N30+'Exhibit G'!N22</f>
        <v>72.299999999999955</v>
      </c>
      <c r="N34" s="152"/>
      <c r="O34" s="254"/>
      <c r="P34" s="152"/>
      <c r="Q34" s="254"/>
      <c r="R34" s="254"/>
      <c r="S34" s="254"/>
      <c r="T34" s="254"/>
      <c r="U34" s="254"/>
      <c r="V34" s="254"/>
      <c r="W34" s="254"/>
      <c r="X34" s="254"/>
      <c r="Y34" s="254"/>
      <c r="Z34" s="152"/>
      <c r="AA34" s="684"/>
      <c r="AB34" s="378">
        <f t="shared" si="4"/>
        <v>440.3</v>
      </c>
      <c r="AC34" s="152"/>
      <c r="AD34" s="1804"/>
      <c r="AE34" s="254">
        <f>+'Exhibit F'!AF30+'Exhibit G'!AG22</f>
        <v>481.2</v>
      </c>
      <c r="AF34" s="152"/>
      <c r="AG34" s="152"/>
      <c r="AH34" s="467">
        <f t="shared" si="5"/>
        <v>-40.9</v>
      </c>
      <c r="AI34" s="467"/>
      <c r="AJ34" s="661">
        <f t="shared" si="6"/>
        <v>-8.5000000000000006E-2</v>
      </c>
    </row>
    <row r="35" spans="1:38" ht="16.5" customHeight="1">
      <c r="A35" s="489" t="s">
        <v>1391</v>
      </c>
      <c r="B35" s="489"/>
      <c r="C35" s="254">
        <f>+'Exhibit G'!D23</f>
        <v>0.9</v>
      </c>
      <c r="D35" s="254"/>
      <c r="E35" s="254">
        <f>+'Exhibit G'!F23</f>
        <v>0.79999999999999993</v>
      </c>
      <c r="F35" s="254"/>
      <c r="G35" s="254">
        <f>+'Exhibit G'!H23</f>
        <v>3.5999999999999996</v>
      </c>
      <c r="H35" s="378"/>
      <c r="I35" s="254">
        <f>+'Exhibit G'!J23</f>
        <v>0.90000000000000036</v>
      </c>
      <c r="J35" s="378"/>
      <c r="K35" s="254">
        <f>+'Exhibit G'!L23</f>
        <v>0.29999999999999982</v>
      </c>
      <c r="L35" s="152"/>
      <c r="M35" s="254">
        <f>+'Exhibit G'!N23</f>
        <v>6.9999999999999991</v>
      </c>
      <c r="N35" s="152"/>
      <c r="O35" s="254"/>
      <c r="P35" s="152"/>
      <c r="Q35" s="254"/>
      <c r="R35" s="254"/>
      <c r="S35" s="254"/>
      <c r="T35" s="254"/>
      <c r="U35" s="254"/>
      <c r="V35" s="254"/>
      <c r="W35" s="254"/>
      <c r="X35" s="254"/>
      <c r="Y35" s="254"/>
      <c r="Z35" s="152"/>
      <c r="AA35" s="684"/>
      <c r="AB35" s="378">
        <f>ROUND(SUM(C35:Y35),1)</f>
        <v>13.5</v>
      </c>
      <c r="AC35" s="152"/>
      <c r="AD35" s="1804"/>
      <c r="AE35" s="254">
        <f>'Exhibit G'!AG23</f>
        <v>6.1</v>
      </c>
      <c r="AF35" s="152"/>
      <c r="AG35" s="152"/>
      <c r="AH35" s="467">
        <f>ROUND(SUM(+AB35-AE35),1)</f>
        <v>7.4</v>
      </c>
      <c r="AI35" s="467"/>
      <c r="AJ35" s="661">
        <f>ROUND(IF(AE35=0,0,AH35/ABS(AE35)),3)</f>
        <v>1.2130000000000001</v>
      </c>
    </row>
    <row r="36" spans="1:38" ht="16.5" customHeight="1">
      <c r="A36" s="489" t="s">
        <v>965</v>
      </c>
      <c r="B36" s="489"/>
      <c r="C36" s="254">
        <f>+'Exhibit F'!D31+'Exhibit G'!D24+'Exhibit I'!E21</f>
        <v>36.200000000000003</v>
      </c>
      <c r="D36" s="254"/>
      <c r="E36" s="254">
        <f>+'Exhibit F'!F31+'Exhibit G'!F24+'Exhibit I'!G21</f>
        <v>43.5</v>
      </c>
      <c r="F36" s="254"/>
      <c r="G36" s="254">
        <f>+'Exhibit F'!H31+'Exhibit G'!H24+'Exhibit I'!I21</f>
        <v>38.600000000000009</v>
      </c>
      <c r="H36" s="378"/>
      <c r="I36" s="254">
        <f>+'Exhibit F'!J31+'Exhibit G'!J24+'Exhibit I'!K21</f>
        <v>43.499999999999993</v>
      </c>
      <c r="J36" s="378"/>
      <c r="K36" s="254">
        <f>+'Exhibit F'!L31+'Exhibit G'!L24+'Exhibit I'!M21</f>
        <v>43.199999999999989</v>
      </c>
      <c r="L36" s="152"/>
      <c r="M36" s="254">
        <f>+'Exhibit F'!N31+'Exhibit G'!N24+'Exhibit I'!O21</f>
        <v>45.000000000000007</v>
      </c>
      <c r="N36" s="152"/>
      <c r="O36" s="254"/>
      <c r="P36" s="152"/>
      <c r="Q36" s="254"/>
      <c r="R36" s="254"/>
      <c r="S36" s="254"/>
      <c r="T36" s="254"/>
      <c r="U36" s="254"/>
      <c r="V36" s="254"/>
      <c r="W36" s="254"/>
      <c r="X36" s="254"/>
      <c r="Y36" s="254"/>
      <c r="Z36" s="152"/>
      <c r="AA36" s="684"/>
      <c r="AB36" s="378">
        <f t="shared" si="4"/>
        <v>250</v>
      </c>
      <c r="AC36" s="152"/>
      <c r="AD36" s="1804"/>
      <c r="AE36" s="254">
        <f>+'Exhibit F'!AF31+'Exhibit G'!AG24+'Exhibit I'!AI21</f>
        <v>80.5</v>
      </c>
      <c r="AF36" s="152"/>
      <c r="AG36" s="152"/>
      <c r="AH36" s="467">
        <f t="shared" si="5"/>
        <v>169.5</v>
      </c>
      <c r="AI36" s="467"/>
      <c r="AJ36" s="661">
        <f t="shared" si="6"/>
        <v>2.1059999999999999</v>
      </c>
    </row>
    <row r="37" spans="1:38" ht="16.5" customHeight="1">
      <c r="A37" s="753" t="s">
        <v>1432</v>
      </c>
      <c r="B37" s="489"/>
      <c r="C37" s="254">
        <f>+'Exhibit F'!D32+'Exhibit G'!D25</f>
        <v>-1.2999999999999998</v>
      </c>
      <c r="D37" s="254"/>
      <c r="E37" s="254">
        <f>+'Exhibit F'!F32+'Exhibit G'!F25</f>
        <v>0</v>
      </c>
      <c r="F37" s="254"/>
      <c r="G37" s="254">
        <f>+'Exhibit F'!H32+'Exhibit G'!H25</f>
        <v>0.49999999999999989</v>
      </c>
      <c r="H37" s="378"/>
      <c r="I37" s="254">
        <f>+'Exhibit F'!J32+'Exhibit G'!J25</f>
        <v>0</v>
      </c>
      <c r="J37" s="378"/>
      <c r="K37" s="254">
        <f>+'Exhibit F'!L32+'Exhibit G'!L25</f>
        <v>0</v>
      </c>
      <c r="L37" s="152"/>
      <c r="M37" s="254">
        <f>+'Exhibit F'!N32+'Exhibit G'!N25</f>
        <v>0.5</v>
      </c>
      <c r="N37" s="152"/>
      <c r="O37" s="254"/>
      <c r="P37" s="152"/>
      <c r="Q37" s="254"/>
      <c r="R37" s="254"/>
      <c r="S37" s="254"/>
      <c r="T37" s="254"/>
      <c r="U37" s="254"/>
      <c r="V37" s="254"/>
      <c r="W37" s="254"/>
      <c r="X37" s="254"/>
      <c r="Y37" s="254"/>
      <c r="Z37" s="152"/>
      <c r="AA37" s="684"/>
      <c r="AB37" s="378">
        <f t="shared" ref="AB37" si="7">ROUND(SUM(C37:Y37),1)</f>
        <v>-0.3</v>
      </c>
      <c r="AC37" s="152"/>
      <c r="AD37" s="1804"/>
      <c r="AE37" s="254">
        <f>+'Exhibit F'!AF32+'Exhibit G'!AG25</f>
        <v>0</v>
      </c>
      <c r="AF37" s="152"/>
      <c r="AG37" s="152"/>
      <c r="AH37" s="467">
        <f t="shared" ref="AH37" si="8">ROUND(SUM(+AB37-AE37),1)</f>
        <v>-0.3</v>
      </c>
      <c r="AI37" s="467"/>
      <c r="AJ37" s="661">
        <f>ROUND(IF(AE37=0,1,AH37/ABS(AE37)),3)</f>
        <v>1</v>
      </c>
    </row>
    <row r="38" spans="1:38" ht="16.5" customHeight="1">
      <c r="A38" s="489" t="s">
        <v>966</v>
      </c>
      <c r="B38" s="489"/>
      <c r="C38" s="254">
        <f>+'Exhibit F'!D33+'Exhibit G'!D26</f>
        <v>21.8</v>
      </c>
      <c r="D38" s="254"/>
      <c r="E38" s="254">
        <f>+'Exhibit F'!F33+'Exhibit G'!F26</f>
        <v>20.3</v>
      </c>
      <c r="F38" s="254"/>
      <c r="G38" s="254">
        <f>+'Exhibit F'!H33+'Exhibit G'!H26</f>
        <v>25.999999999999996</v>
      </c>
      <c r="H38" s="378"/>
      <c r="I38" s="254">
        <f>+'Exhibit F'!J33+'Exhibit G'!J26</f>
        <v>27.300000000000015</v>
      </c>
      <c r="J38" s="378"/>
      <c r="K38" s="254">
        <f>+'Exhibit F'!L33+'Exhibit G'!L26</f>
        <v>21.799999999999979</v>
      </c>
      <c r="L38" s="152"/>
      <c r="M38" s="254">
        <f>+'Exhibit F'!N33+'Exhibit G'!N26</f>
        <v>26.600000000000026</v>
      </c>
      <c r="N38" s="152"/>
      <c r="O38" s="254"/>
      <c r="P38" s="152"/>
      <c r="Q38" s="254"/>
      <c r="R38" s="254"/>
      <c r="S38" s="254"/>
      <c r="T38" s="254"/>
      <c r="U38" s="254"/>
      <c r="V38" s="254"/>
      <c r="W38" s="254"/>
      <c r="X38" s="254"/>
      <c r="Y38" s="254"/>
      <c r="Z38" s="152"/>
      <c r="AA38" s="684"/>
      <c r="AB38" s="378">
        <f t="shared" si="4"/>
        <v>143.80000000000001</v>
      </c>
      <c r="AC38" s="152"/>
      <c r="AD38" s="1804"/>
      <c r="AE38" s="254">
        <f>+'Exhibit F'!AF33+'Exhibit G'!AG26</f>
        <v>147.4</v>
      </c>
      <c r="AF38" s="152"/>
      <c r="AG38" s="152"/>
      <c r="AH38" s="467">
        <f t="shared" si="5"/>
        <v>-3.6</v>
      </c>
      <c r="AI38" s="467"/>
      <c r="AJ38" s="661">
        <f t="shared" si="6"/>
        <v>-2.4E-2</v>
      </c>
    </row>
    <row r="39" spans="1:38" ht="16.5" customHeight="1">
      <c r="A39" s="489" t="s">
        <v>967</v>
      </c>
      <c r="B39" s="489"/>
      <c r="C39" s="254">
        <f>+'Exhibit F'!D34+'Exhibit G'!D27+'Exhibit I'!E22</f>
        <v>12.6</v>
      </c>
      <c r="D39" s="254"/>
      <c r="E39" s="254">
        <f>+'Exhibit F'!F34+'Exhibit G'!F27+'Exhibit I'!G22</f>
        <v>11.600000000000001</v>
      </c>
      <c r="F39" s="254"/>
      <c r="G39" s="254">
        <f>+'Exhibit F'!H34+'Exhibit G'!H27+'Exhibit I'!I22</f>
        <v>10.1</v>
      </c>
      <c r="H39" s="378"/>
      <c r="I39" s="254">
        <f>+'Exhibit F'!J34+'Exhibit G'!J27+'Exhibit I'!K22</f>
        <v>11.699999999999996</v>
      </c>
      <c r="J39" s="378"/>
      <c r="K39" s="254">
        <f>+'Exhibit F'!L34+'Exhibit G'!L27+'Exhibit I'!M22</f>
        <v>11.200000000000001</v>
      </c>
      <c r="L39" s="152"/>
      <c r="M39" s="254">
        <f>+'Exhibit F'!N34+'Exhibit G'!N27+'Exhibit I'!O22</f>
        <v>10.300000000000004</v>
      </c>
      <c r="N39" s="152"/>
      <c r="O39" s="254"/>
      <c r="P39" s="152"/>
      <c r="Q39" s="254"/>
      <c r="R39" s="254"/>
      <c r="S39" s="254"/>
      <c r="T39" s="254"/>
      <c r="U39" s="254"/>
      <c r="V39" s="254"/>
      <c r="W39" s="254"/>
      <c r="X39" s="254"/>
      <c r="Y39" s="254"/>
      <c r="Z39" s="152"/>
      <c r="AA39" s="684"/>
      <c r="AB39" s="378">
        <f t="shared" si="4"/>
        <v>67.5</v>
      </c>
      <c r="AC39" s="152"/>
      <c r="AD39" s="1804"/>
      <c r="AE39" s="254">
        <f>+'Exhibit F'!AF34+'Exhibit G'!AG27+'Exhibit I'!AI22</f>
        <v>65.099999999999994</v>
      </c>
      <c r="AF39" s="152"/>
      <c r="AG39" s="152"/>
      <c r="AH39" s="467">
        <f t="shared" si="5"/>
        <v>2.4</v>
      </c>
      <c r="AI39" s="467"/>
      <c r="AJ39" s="1805">
        <f t="shared" si="6"/>
        <v>3.6999999999999998E-2</v>
      </c>
    </row>
    <row r="40" spans="1:38" ht="16.5" customHeight="1">
      <c r="A40" s="489" t="s">
        <v>1259</v>
      </c>
      <c r="B40" s="489"/>
      <c r="C40" s="254">
        <f>'Exhibit F'!D35+'Exhibit G'!D28</f>
        <v>0.2</v>
      </c>
      <c r="D40" s="254"/>
      <c r="E40" s="254">
        <f>'Exhibit F'!F35+'Exhibit G'!F28</f>
        <v>0.3</v>
      </c>
      <c r="F40" s="254"/>
      <c r="G40" s="254">
        <f>'Exhibit F'!H35+'Exhibit G'!H28</f>
        <v>6.1</v>
      </c>
      <c r="H40" s="378"/>
      <c r="I40" s="254">
        <f>'Exhibit F'!J35+'Exhibit G'!J28</f>
        <v>0.10000000000000053</v>
      </c>
      <c r="J40" s="378"/>
      <c r="K40" s="254">
        <f>'Exhibit F'!L35+'Exhibit G'!L28</f>
        <v>0</v>
      </c>
      <c r="L40" s="152"/>
      <c r="M40" s="254">
        <f>'Exhibit F'!N35+'Exhibit G'!N28</f>
        <v>6.3999999999999995</v>
      </c>
      <c r="N40" s="152"/>
      <c r="O40" s="254"/>
      <c r="P40" s="152"/>
      <c r="Q40" s="254"/>
      <c r="R40" s="254"/>
      <c r="S40" s="254"/>
      <c r="T40" s="254"/>
      <c r="U40" s="254"/>
      <c r="V40" s="254"/>
      <c r="W40" s="254"/>
      <c r="X40" s="254"/>
      <c r="Y40" s="254"/>
      <c r="Z40" s="152"/>
      <c r="AA40" s="684"/>
      <c r="AB40" s="378">
        <f>ROUND(SUM(C40:Y40),1)</f>
        <v>13.1</v>
      </c>
      <c r="AC40" s="152"/>
      <c r="AD40" s="1804"/>
      <c r="AE40" s="254">
        <f>+'Exhibit F'!AF35+'Exhibit G'!AG28</f>
        <v>12.6</v>
      </c>
      <c r="AF40" s="152"/>
      <c r="AG40" s="152"/>
      <c r="AH40" s="467">
        <f>ROUND(SUM(+AB40-AE40),1)</f>
        <v>0.5</v>
      </c>
      <c r="AI40" s="467"/>
      <c r="AJ40" s="1805">
        <f>ROUND(IF(AE40=0,1,AH40/ABS(AE40)),3)</f>
        <v>0.04</v>
      </c>
    </row>
    <row r="41" spans="1:38" ht="16.5" customHeight="1">
      <c r="A41" s="489" t="s">
        <v>1261</v>
      </c>
      <c r="B41" s="489"/>
      <c r="C41" s="254">
        <f>'Exhibit F'!D36</f>
        <v>6</v>
      </c>
      <c r="D41" s="254"/>
      <c r="E41" s="254">
        <f>'Exhibit F'!F36</f>
        <v>0.20000000000000018</v>
      </c>
      <c r="F41" s="254"/>
      <c r="G41" s="254">
        <f>'Exhibit F'!H36</f>
        <v>0.20000000000000018</v>
      </c>
      <c r="H41" s="378"/>
      <c r="I41" s="254">
        <f>'Exhibit F'!J36</f>
        <v>4.2999999999999989</v>
      </c>
      <c r="J41" s="378"/>
      <c r="K41" s="254">
        <f>'Exhibit F'!L36</f>
        <v>0.10000000000000142</v>
      </c>
      <c r="L41" s="152"/>
      <c r="M41" s="254">
        <f>'Exhibit F'!N36</f>
        <v>9.9999999999999645E-2</v>
      </c>
      <c r="N41" s="152"/>
      <c r="O41" s="254"/>
      <c r="P41" s="152"/>
      <c r="Q41" s="254"/>
      <c r="R41" s="254"/>
      <c r="S41" s="254"/>
      <c r="T41" s="254"/>
      <c r="U41" s="254"/>
      <c r="V41" s="254"/>
      <c r="W41" s="254"/>
      <c r="X41" s="254"/>
      <c r="Y41" s="254"/>
      <c r="Z41" s="152"/>
      <c r="AA41" s="377"/>
      <c r="AB41" s="378">
        <f t="shared" si="4"/>
        <v>10.9</v>
      </c>
      <c r="AC41" s="152"/>
      <c r="AD41" s="1804"/>
      <c r="AE41" s="254">
        <f>+'Exhibit F'!AF36</f>
        <v>13.4</v>
      </c>
      <c r="AF41" s="152"/>
      <c r="AG41" s="152"/>
      <c r="AH41" s="467">
        <f t="shared" ref="AH41" si="9">ROUND(SUM(+AB41-AE41),1)</f>
        <v>-2.5</v>
      </c>
      <c r="AI41" s="467"/>
      <c r="AJ41" s="1805">
        <f>ROUND(IF(AE41=0,1,AH41/ABS(AE41)),3)</f>
        <v>-0.187</v>
      </c>
    </row>
    <row r="42" spans="1:38" ht="16.5" customHeight="1">
      <c r="A42" s="218" t="s">
        <v>961</v>
      </c>
      <c r="B42" s="489"/>
      <c r="C42" s="643">
        <f>ROUND(SUM(C32:C41),1)</f>
        <v>1676.2</v>
      </c>
      <c r="D42" s="16"/>
      <c r="E42" s="643">
        <f>ROUND(SUM(E32:E41),1)</f>
        <v>1619.9</v>
      </c>
      <c r="F42" s="16"/>
      <c r="G42" s="643">
        <f>ROUND(SUM(G32:G41),1)</f>
        <v>2148.4</v>
      </c>
      <c r="H42" s="152"/>
      <c r="I42" s="643">
        <f>ROUND(SUM(I32:I41),1)</f>
        <v>1740.5</v>
      </c>
      <c r="J42" s="152"/>
      <c r="K42" s="643">
        <f>ROUND(SUM(K32:K41),1)</f>
        <v>1685.6</v>
      </c>
      <c r="L42" s="152"/>
      <c r="M42" s="643">
        <f>ROUND(SUM(M32:M41),1)</f>
        <v>2166.6999999999998</v>
      </c>
      <c r="N42" s="152"/>
      <c r="O42" s="643">
        <f>ROUND(SUM(O32:O41),1)</f>
        <v>0</v>
      </c>
      <c r="P42" s="152"/>
      <c r="Q42" s="643">
        <f>ROUND(SUM(Q32:Q41),1)</f>
        <v>0</v>
      </c>
      <c r="R42" s="152"/>
      <c r="S42" s="643">
        <f>ROUND(SUM(S32:S41),1)</f>
        <v>0</v>
      </c>
      <c r="T42" s="152"/>
      <c r="U42" s="643">
        <f>ROUND(SUM(U32:U41),1)</f>
        <v>0</v>
      </c>
      <c r="V42" s="152"/>
      <c r="W42" s="643">
        <f>ROUND(SUM(W32:W41),1)</f>
        <v>0</v>
      </c>
      <c r="X42" s="152"/>
      <c r="Y42" s="643">
        <f>ROUND(SUM(Y32:Y41),1)</f>
        <v>0</v>
      </c>
      <c r="Z42" s="152"/>
      <c r="AA42" s="684"/>
      <c r="AB42" s="643">
        <f>ROUND(SUM(AB32:AB41),1)</f>
        <v>11037.3</v>
      </c>
      <c r="AC42" s="152"/>
      <c r="AD42" s="1804"/>
      <c r="AE42" s="643">
        <f>ROUND(SUM(AE32:AE41),1)</f>
        <v>10338.9</v>
      </c>
      <c r="AF42" s="152"/>
      <c r="AG42" s="152"/>
      <c r="AH42" s="179">
        <f>ROUND(SUM(AH32:AH41),1)</f>
        <v>698.4</v>
      </c>
      <c r="AI42" s="42"/>
      <c r="AJ42" s="13">
        <f t="shared" si="6"/>
        <v>6.8000000000000005E-2</v>
      </c>
    </row>
    <row r="43" spans="1:38" ht="16.5" customHeight="1">
      <c r="A43" s="737" t="s">
        <v>1007</v>
      </c>
      <c r="B43" s="489"/>
      <c r="C43" s="449"/>
      <c r="D43" s="449"/>
      <c r="E43" s="449"/>
      <c r="F43" s="449"/>
      <c r="G43" s="449"/>
      <c r="H43" s="152"/>
      <c r="I43" s="449"/>
      <c r="J43" s="152"/>
      <c r="K43" s="449"/>
      <c r="L43" s="152"/>
      <c r="M43" s="449"/>
      <c r="N43" s="152"/>
      <c r="O43" s="449"/>
      <c r="P43" s="152"/>
      <c r="Q43" s="449"/>
      <c r="R43" s="152"/>
      <c r="S43" s="449"/>
      <c r="T43" s="152"/>
      <c r="U43" s="449"/>
      <c r="V43" s="152"/>
      <c r="W43" s="449"/>
      <c r="X43" s="152"/>
      <c r="Y43" s="449"/>
      <c r="Z43" s="152"/>
      <c r="AA43" s="684"/>
      <c r="AB43" s="152"/>
      <c r="AC43" s="152"/>
      <c r="AD43" s="1804"/>
      <c r="AE43" s="376"/>
      <c r="AF43" s="152"/>
      <c r="AG43" s="152"/>
      <c r="AH43" s="42"/>
      <c r="AI43" s="42"/>
      <c r="AJ43" s="190"/>
    </row>
    <row r="44" spans="1:38" ht="16.5" customHeight="1">
      <c r="A44" s="489" t="s">
        <v>969</v>
      </c>
      <c r="B44" s="489"/>
      <c r="C44" s="254">
        <f>+'Exhibit F'!D39+'Exhibit G'!D31+'Exhibit I'!E25</f>
        <v>1200</v>
      </c>
      <c r="D44" s="254"/>
      <c r="E44" s="254">
        <f>+'Exhibit F'!F39+'Exhibit G'!F31+'Exhibit I'!G25</f>
        <v>87.200000000000045</v>
      </c>
      <c r="F44" s="254"/>
      <c r="G44" s="254">
        <f>+'Exhibit F'!H39+'Exhibit G'!H31+'Exhibit I'!I25</f>
        <v>1589.4</v>
      </c>
      <c r="H44" s="378"/>
      <c r="I44" s="254">
        <f>+'Exhibit F'!J39+'Exhibit G'!J31+'Exhibit I'!K25</f>
        <v>240.99999999999966</v>
      </c>
      <c r="J44" s="378"/>
      <c r="K44" s="254">
        <f>+'Exhibit F'!L39+'Exhibit G'!L31+'Exhibit I'!M25</f>
        <v>78.200000000000045</v>
      </c>
      <c r="L44" s="152"/>
      <c r="M44" s="254">
        <f>+'Exhibit F'!N39+'Exhibit G'!N31+'Exhibit I'!O25</f>
        <v>1675.1</v>
      </c>
      <c r="N44" s="152"/>
      <c r="O44" s="254"/>
      <c r="P44" s="152"/>
      <c r="Q44" s="254"/>
      <c r="R44" s="254"/>
      <c r="S44" s="254"/>
      <c r="T44" s="254"/>
      <c r="U44" s="254"/>
      <c r="V44" s="254"/>
      <c r="W44" s="254"/>
      <c r="X44" s="254"/>
      <c r="Y44" s="254"/>
      <c r="Z44" s="152"/>
      <c r="AA44" s="684"/>
      <c r="AB44" s="378">
        <f t="shared" ref="AB44:AB49" si="10">ROUND(SUM(C44:Y44),1)</f>
        <v>4870.8999999999996</v>
      </c>
      <c r="AC44" s="152"/>
      <c r="AD44" s="1804"/>
      <c r="AE44" s="254">
        <f>+'Exhibit F'!AF39+'Exhibit G'!AG31+'Exhibit I'!AI25</f>
        <v>4636.7</v>
      </c>
      <c r="AF44" s="152"/>
      <c r="AG44" s="152"/>
      <c r="AH44" s="467">
        <f t="shared" ref="AH44:AH49" si="11">ROUND(SUM(+AB44-AE44),1)</f>
        <v>234.2</v>
      </c>
      <c r="AI44" s="42"/>
      <c r="AJ44" s="661">
        <f t="shared" ref="AJ44:AJ50" si="12">ROUND(IF(AE44=0,0,AH44/ABS(AE44)),3)</f>
        <v>5.0999999999999997E-2</v>
      </c>
    </row>
    <row r="45" spans="1:38" ht="16.5" customHeight="1">
      <c r="A45" s="489" t="s">
        <v>970</v>
      </c>
      <c r="B45" s="489"/>
      <c r="C45" s="254">
        <f>+'Exhibit F'!D40+'Exhibit G'!D32+'Exhibit I'!E26</f>
        <v>41.9</v>
      </c>
      <c r="D45" s="254"/>
      <c r="E45" s="254">
        <f>+'Exhibit F'!F40+'Exhibit G'!F32+'Exhibit I'!G26</f>
        <v>0.70000000000000107</v>
      </c>
      <c r="F45" s="254"/>
      <c r="G45" s="254">
        <f>+'Exhibit F'!H40+'Exhibit G'!H32+'Exhibit I'!I26</f>
        <v>78.099999999999994</v>
      </c>
      <c r="H45" s="378"/>
      <c r="I45" s="254">
        <f>+'Exhibit F'!J40+'Exhibit G'!J32+'Exhibit I'!K26</f>
        <v>0.30000000000001137</v>
      </c>
      <c r="J45" s="378"/>
      <c r="K45" s="254">
        <f>+'Exhibit F'!L40+'Exhibit G'!L32+'Exhibit I'!M26</f>
        <v>1.5999999999999934</v>
      </c>
      <c r="L45" s="152"/>
      <c r="M45" s="254">
        <f>+'Exhibit F'!N40+'Exhibit G'!N32+'Exhibit I'!O26</f>
        <v>97.40000000000002</v>
      </c>
      <c r="N45" s="152"/>
      <c r="O45" s="254"/>
      <c r="P45" s="152"/>
      <c r="Q45" s="254"/>
      <c r="R45" s="254"/>
      <c r="S45" s="254"/>
      <c r="T45" s="254"/>
      <c r="U45" s="254"/>
      <c r="V45" s="254"/>
      <c r="W45" s="254"/>
      <c r="X45" s="254"/>
      <c r="Y45" s="254"/>
      <c r="Z45" s="152"/>
      <c r="AA45" s="684"/>
      <c r="AB45" s="378">
        <f t="shared" si="10"/>
        <v>220</v>
      </c>
      <c r="AC45" s="152"/>
      <c r="AD45" s="1804"/>
      <c r="AE45" s="254">
        <f>+'Exhibit F'!AF40+'Exhibit G'!AG32+'Exhibit I'!AI26</f>
        <v>193.79999999999998</v>
      </c>
      <c r="AF45" s="152"/>
      <c r="AG45" s="152"/>
      <c r="AH45" s="467">
        <f t="shared" si="11"/>
        <v>26.2</v>
      </c>
      <c r="AI45" s="42"/>
      <c r="AJ45" s="1805">
        <f t="shared" si="12"/>
        <v>0.13500000000000001</v>
      </c>
    </row>
    <row r="46" spans="1:38" ht="16.5" customHeight="1">
      <c r="A46" s="489" t="s">
        <v>971</v>
      </c>
      <c r="B46" s="489"/>
      <c r="C46" s="254">
        <f>+'Exhibit F'!D41+'Exhibit G'!D33</f>
        <v>98</v>
      </c>
      <c r="D46" s="254"/>
      <c r="E46" s="254">
        <f>+'Exhibit F'!F41+'Exhibit G'!F33</f>
        <v>86.800000000000011</v>
      </c>
      <c r="F46" s="254"/>
      <c r="G46" s="254">
        <f>+'Exhibit F'!H41+'Exhibit G'!H33</f>
        <v>485.2</v>
      </c>
      <c r="H46" s="378"/>
      <c r="I46" s="254">
        <f>+'Exhibit F'!J41+'Exhibit G'!J33</f>
        <v>-8.7000000000000171</v>
      </c>
      <c r="J46" s="378"/>
      <c r="K46" s="254">
        <f>+'Exhibit F'!L41+'Exhibit G'!L33</f>
        <v>24.79999999999994</v>
      </c>
      <c r="L46" s="152"/>
      <c r="M46" s="254">
        <f>+'Exhibit F'!N41+'Exhibit G'!N33</f>
        <v>522.1</v>
      </c>
      <c r="N46" s="152"/>
      <c r="O46" s="254"/>
      <c r="P46" s="152"/>
      <c r="Q46" s="254"/>
      <c r="R46" s="254"/>
      <c r="S46" s="254"/>
      <c r="T46" s="254"/>
      <c r="U46" s="254"/>
      <c r="V46" s="254"/>
      <c r="W46" s="254"/>
      <c r="X46" s="254"/>
      <c r="Y46" s="254"/>
      <c r="Z46" s="152"/>
      <c r="AA46" s="684"/>
      <c r="AB46" s="378">
        <f t="shared" si="10"/>
        <v>1208.2</v>
      </c>
      <c r="AC46" s="152"/>
      <c r="AD46" s="1804"/>
      <c r="AE46" s="254">
        <f>+'Exhibit F'!AF41+'Exhibit G'!AG33</f>
        <v>1227.3</v>
      </c>
      <c r="AF46" s="152"/>
      <c r="AG46" s="152"/>
      <c r="AH46" s="467">
        <f t="shared" si="11"/>
        <v>-19.100000000000001</v>
      </c>
      <c r="AI46" s="42"/>
      <c r="AJ46" s="661">
        <f t="shared" si="12"/>
        <v>-1.6E-2</v>
      </c>
      <c r="AL46" s="142" t="s">
        <v>14</v>
      </c>
    </row>
    <row r="47" spans="1:38" ht="16.5" customHeight="1">
      <c r="A47" s="489" t="s">
        <v>972</v>
      </c>
      <c r="B47" s="489"/>
      <c r="C47" s="254">
        <f>+'Exhibit F'!D42+'Exhibit G'!D34</f>
        <v>2.1999999999999997</v>
      </c>
      <c r="D47" s="254"/>
      <c r="E47" s="254">
        <f>+'Exhibit F'!F42+'Exhibit G'!F34</f>
        <v>0</v>
      </c>
      <c r="F47" s="254"/>
      <c r="G47" s="254">
        <f>+'Exhibit F'!H42+'Exhibit G'!H34</f>
        <v>-0.3999999999999998</v>
      </c>
      <c r="H47" s="378"/>
      <c r="I47" s="254">
        <f>+'Exhibit F'!J42+'Exhibit G'!J34</f>
        <v>0.49999999999999989</v>
      </c>
      <c r="J47" s="378"/>
      <c r="K47" s="254">
        <f>+'Exhibit F'!L42+'Exhibit G'!L34</f>
        <v>-3.1</v>
      </c>
      <c r="L47" s="152"/>
      <c r="M47" s="254">
        <f>ROUND(SUM(+'Exhibit F'!N42+'Exhibit G'!N34),1)</f>
        <v>0</v>
      </c>
      <c r="N47" s="152"/>
      <c r="O47" s="254"/>
      <c r="P47" s="152"/>
      <c r="Q47" s="254"/>
      <c r="R47" s="254"/>
      <c r="S47" s="254"/>
      <c r="T47" s="254"/>
      <c r="U47" s="254"/>
      <c r="V47" s="254"/>
      <c r="W47" s="254"/>
      <c r="X47" s="254"/>
      <c r="Y47" s="254"/>
      <c r="Z47" s="152"/>
      <c r="AA47" s="684"/>
      <c r="AB47" s="378">
        <f t="shared" si="10"/>
        <v>-0.8</v>
      </c>
      <c r="AC47" s="152"/>
      <c r="AD47" s="1804"/>
      <c r="AE47" s="254">
        <f>+'Exhibit F'!AF42+'Exhibit G'!AG34</f>
        <v>-6.1</v>
      </c>
      <c r="AF47" s="152"/>
      <c r="AG47" s="152"/>
      <c r="AH47" s="467">
        <f t="shared" si="11"/>
        <v>5.3</v>
      </c>
      <c r="AI47" s="42"/>
      <c r="AJ47" s="971">
        <f>ROUND(IF(AE47=0,1,AH47/ABS(AE47)),3)</f>
        <v>0.86899999999999999</v>
      </c>
      <c r="AL47" s="142" t="s">
        <v>14</v>
      </c>
    </row>
    <row r="48" spans="1:38" ht="16.5" customHeight="1">
      <c r="A48" s="489" t="s">
        <v>1396</v>
      </c>
      <c r="B48" s="489"/>
      <c r="C48" s="254">
        <f>+'Exhibit F'!D43+'Exhibit H'!B22</f>
        <v>98.8</v>
      </c>
      <c r="D48" s="254"/>
      <c r="E48" s="254">
        <f>+'Exhibit F'!F43+'Exhibit H'!D22</f>
        <v>131.39999999999998</v>
      </c>
      <c r="F48" s="254"/>
      <c r="G48" s="254">
        <f>+'Exhibit F'!H43+'Exhibit H'!F22</f>
        <v>2538.1999999999998</v>
      </c>
      <c r="H48" s="378"/>
      <c r="I48" s="254">
        <f>+'Exhibit F'!J43+'Exhibit H'!H22</f>
        <v>37</v>
      </c>
      <c r="J48" s="378"/>
      <c r="K48" s="254">
        <f>+'Exhibit F'!L43+'Exhibit H'!J22</f>
        <v>136.79999999999973</v>
      </c>
      <c r="L48" s="152"/>
      <c r="M48" s="254">
        <f>+'Exhibit F'!N43+'Exhibit H'!L22</f>
        <v>2973.2000000000003</v>
      </c>
      <c r="N48" s="152"/>
      <c r="O48" s="254"/>
      <c r="P48" s="152"/>
      <c r="Q48" s="254"/>
      <c r="R48" s="254"/>
      <c r="S48" s="254"/>
      <c r="T48" s="254"/>
      <c r="U48" s="254"/>
      <c r="V48" s="254"/>
      <c r="W48" s="254"/>
      <c r="X48" s="254"/>
      <c r="Y48" s="254"/>
      <c r="Z48" s="152"/>
      <c r="AA48" s="684"/>
      <c r="AB48" s="378">
        <f t="shared" si="10"/>
        <v>5915.4</v>
      </c>
      <c r="AC48" s="152"/>
      <c r="AD48" s="1804"/>
      <c r="AE48" s="254">
        <f>+'Exhibit F'!AF43+'Exhibit H'!AD22</f>
        <v>6313.1</v>
      </c>
      <c r="AF48" s="152"/>
      <c r="AG48" s="152"/>
      <c r="AH48" s="467">
        <f t="shared" si="11"/>
        <v>-397.7</v>
      </c>
      <c r="AI48" s="42"/>
      <c r="AJ48" s="971">
        <f>ROUND(IF(AE48=0,1,AH48/ABS(AE48)),3)</f>
        <v>-6.3E-2</v>
      </c>
    </row>
    <row r="49" spans="1:36" ht="16.5" customHeight="1">
      <c r="A49" s="489" t="s">
        <v>973</v>
      </c>
      <c r="B49" s="489"/>
      <c r="C49" s="254">
        <f>+'Exhibit F'!D44+'Exhibit G'!D35+'Exhibit I'!E27</f>
        <v>82.1</v>
      </c>
      <c r="D49" s="254"/>
      <c r="E49" s="254">
        <f>+'Exhibit F'!F44+'Exhibit G'!F35+'Exhibit I'!G27</f>
        <v>97.6</v>
      </c>
      <c r="F49" s="254"/>
      <c r="G49" s="254">
        <f>+'Exhibit F'!H44+'Exhibit G'!H35+'Exhibit I'!I27</f>
        <v>95.4</v>
      </c>
      <c r="H49" s="378"/>
      <c r="I49" s="254">
        <f>+'Exhibit F'!J44+'Exhibit G'!J35+'Exhibit I'!K27</f>
        <v>97.5</v>
      </c>
      <c r="J49" s="378"/>
      <c r="K49" s="254">
        <f>+'Exhibit F'!L44+'Exhibit G'!L35+'Exhibit I'!M27</f>
        <v>98.600000000000023</v>
      </c>
      <c r="L49" s="152"/>
      <c r="M49" s="254">
        <f>+'Exhibit F'!N44+'Exhibit G'!N35+'Exhibit I'!O27</f>
        <v>106.6</v>
      </c>
      <c r="N49" s="152"/>
      <c r="O49" s="254"/>
      <c r="P49" s="152"/>
      <c r="Q49" s="254"/>
      <c r="R49" s="254"/>
      <c r="S49" s="254"/>
      <c r="T49" s="254"/>
      <c r="U49" s="254"/>
      <c r="V49" s="254"/>
      <c r="W49" s="254"/>
      <c r="X49" s="254"/>
      <c r="Y49" s="254"/>
      <c r="Z49" s="152"/>
      <c r="AA49" s="684"/>
      <c r="AB49" s="378">
        <f t="shared" si="10"/>
        <v>577.79999999999995</v>
      </c>
      <c r="AC49" s="152"/>
      <c r="AD49" s="1804"/>
      <c r="AE49" s="254">
        <f>+'Exhibit F'!AF44+'Exhibit G'!AG35+'Exhibit I'!AI27</f>
        <v>556</v>
      </c>
      <c r="AF49" s="152"/>
      <c r="AG49" s="152"/>
      <c r="AH49" s="467">
        <f t="shared" si="11"/>
        <v>21.8</v>
      </c>
      <c r="AI49" s="42"/>
      <c r="AJ49" s="661">
        <f t="shared" si="12"/>
        <v>3.9E-2</v>
      </c>
    </row>
    <row r="50" spans="1:36" ht="16.5" customHeight="1">
      <c r="A50" s="218" t="s">
        <v>968</v>
      </c>
      <c r="B50" s="489"/>
      <c r="C50" s="643">
        <f>ROUND(SUM(C44:C49),1)</f>
        <v>1523</v>
      </c>
      <c r="D50" s="16"/>
      <c r="E50" s="643">
        <f>ROUND(SUM(E44:E49),1)</f>
        <v>403.7</v>
      </c>
      <c r="F50" s="16"/>
      <c r="G50" s="643">
        <f>ROUND(SUM(G44:G49),1)</f>
        <v>4785.8999999999996</v>
      </c>
      <c r="H50" s="152"/>
      <c r="I50" s="643">
        <f>ROUND(SUM(I44:I49),1)</f>
        <v>367.6</v>
      </c>
      <c r="J50" s="152"/>
      <c r="K50" s="643">
        <f>ROUND(SUM(K44:K49),1)</f>
        <v>336.9</v>
      </c>
      <c r="L50" s="152"/>
      <c r="M50" s="643">
        <f>ROUND(SUM(M44:M49),1)</f>
        <v>5374.4</v>
      </c>
      <c r="N50" s="152"/>
      <c r="O50" s="643">
        <f>ROUND(SUM(O44:O49),1)</f>
        <v>0</v>
      </c>
      <c r="P50" s="152"/>
      <c r="Q50" s="643">
        <f>ROUND(SUM(Q44:Q49),1)</f>
        <v>0</v>
      </c>
      <c r="R50" s="152"/>
      <c r="S50" s="643">
        <f>ROUND(SUM(S44:S49),1)</f>
        <v>0</v>
      </c>
      <c r="T50" s="152"/>
      <c r="U50" s="643">
        <f>ROUND(SUM(U44:U49),1)</f>
        <v>0</v>
      </c>
      <c r="V50" s="152"/>
      <c r="W50" s="643">
        <f>ROUND(SUM(W44:W49),1)</f>
        <v>0</v>
      </c>
      <c r="X50" s="152"/>
      <c r="Y50" s="643">
        <f>ROUND(SUM(Y44:Y49),1)</f>
        <v>0</v>
      </c>
      <c r="Z50" s="152"/>
      <c r="AA50" s="684"/>
      <c r="AB50" s="643">
        <f>ROUND(SUM(AB44:AB49),1)</f>
        <v>12791.5</v>
      </c>
      <c r="AC50" s="152"/>
      <c r="AD50" s="1804"/>
      <c r="AE50" s="643">
        <f>ROUND(SUM(AE44:AE49),1)</f>
        <v>12920.8</v>
      </c>
      <c r="AF50" s="152"/>
      <c r="AG50" s="152"/>
      <c r="AH50" s="643">
        <f>ROUND(SUM(AH44:AH49),1)</f>
        <v>-129.30000000000001</v>
      </c>
      <c r="AI50" s="42"/>
      <c r="AJ50" s="13">
        <f t="shared" si="12"/>
        <v>-0.01</v>
      </c>
    </row>
    <row r="51" spans="1:36" ht="16.5" customHeight="1">
      <c r="A51" s="737" t="s">
        <v>1008</v>
      </c>
      <c r="B51" s="489"/>
      <c r="C51" s="449"/>
      <c r="D51" s="449"/>
      <c r="E51" s="449"/>
      <c r="F51" s="449"/>
      <c r="G51" s="449"/>
      <c r="H51" s="152"/>
      <c r="I51" s="449"/>
      <c r="J51" s="152"/>
      <c r="K51" s="449"/>
      <c r="L51" s="152"/>
      <c r="M51" s="449"/>
      <c r="N51" s="152"/>
      <c r="O51" s="449"/>
      <c r="P51" s="152"/>
      <c r="Q51" s="449"/>
      <c r="R51" s="152"/>
      <c r="S51" s="449"/>
      <c r="T51" s="152"/>
      <c r="U51" s="449"/>
      <c r="V51" s="152"/>
      <c r="W51" s="449"/>
      <c r="X51" s="152"/>
      <c r="Y51" s="449"/>
      <c r="Z51" s="152"/>
      <c r="AA51" s="684"/>
      <c r="AB51" s="152"/>
      <c r="AC51" s="152"/>
      <c r="AD51" s="1804"/>
      <c r="AE51" s="376"/>
      <c r="AF51" s="152"/>
      <c r="AG51" s="152"/>
      <c r="AH51" s="42"/>
      <c r="AI51" s="42"/>
      <c r="AJ51" s="190"/>
    </row>
    <row r="52" spans="1:36" ht="16.5" customHeight="1">
      <c r="A52" s="489" t="s">
        <v>976</v>
      </c>
      <c r="B52" s="489"/>
      <c r="C52" s="912">
        <f>+'Exhibit F'!D47</f>
        <v>0</v>
      </c>
      <c r="D52" s="912"/>
      <c r="E52" s="912">
        <f>+'Exhibit F'!F47</f>
        <v>0</v>
      </c>
      <c r="F52" s="912"/>
      <c r="G52" s="912">
        <f>+'Exhibit F'!H47</f>
        <v>0</v>
      </c>
      <c r="H52" s="378"/>
      <c r="I52" s="912">
        <f>+'Exhibit F'!J47</f>
        <v>0</v>
      </c>
      <c r="J52" s="378"/>
      <c r="K52" s="912">
        <f>+'Exhibit F'!L47</f>
        <v>0</v>
      </c>
      <c r="L52" s="152"/>
      <c r="M52" s="912">
        <f>+'Exhibit F'!N47</f>
        <v>0</v>
      </c>
      <c r="N52" s="152"/>
      <c r="O52" s="912"/>
      <c r="P52" s="152"/>
      <c r="Q52" s="912"/>
      <c r="R52" s="912"/>
      <c r="S52" s="912"/>
      <c r="T52" s="912"/>
      <c r="U52" s="912"/>
      <c r="V52" s="912"/>
      <c r="W52" s="912"/>
      <c r="X52" s="912"/>
      <c r="Y52" s="912"/>
      <c r="Z52" s="152"/>
      <c r="AA52" s="684"/>
      <c r="AB52" s="378">
        <f t="shared" ref="AB52:AB56" si="13">ROUND(SUM(C52:Y52),1)</f>
        <v>0</v>
      </c>
      <c r="AC52" s="152"/>
      <c r="AD52" s="1804"/>
      <c r="AE52" s="912">
        <f>+'Exhibit F'!AF47</f>
        <v>0</v>
      </c>
      <c r="AF52" s="152"/>
      <c r="AG52" s="152"/>
      <c r="AH52" s="467">
        <f t="shared" ref="AH52:AH56" si="14">ROUND(SUM(+AB52-AE52),1)</f>
        <v>0</v>
      </c>
      <c r="AI52" s="42"/>
      <c r="AJ52" s="469">
        <f>-ROUND(IF(AE52=0,0,AH52/ABS(AE52)),3)</f>
        <v>0</v>
      </c>
    </row>
    <row r="53" spans="1:36" ht="16.5" customHeight="1">
      <c r="A53" s="489" t="s">
        <v>977</v>
      </c>
      <c r="B53" s="489"/>
      <c r="C53" s="254">
        <f>+'Exhibit F'!D48</f>
        <v>168.8</v>
      </c>
      <c r="D53" s="254"/>
      <c r="E53" s="254">
        <f>+'Exhibit F'!F48</f>
        <v>405.7</v>
      </c>
      <c r="F53" s="254"/>
      <c r="G53" s="254">
        <f>+'Exhibit F'!H48</f>
        <v>77.299999999999955</v>
      </c>
      <c r="H53" s="378"/>
      <c r="I53" s="254">
        <f>+'Exhibit F'!J48</f>
        <v>61.800000000000011</v>
      </c>
      <c r="J53" s="378"/>
      <c r="K53" s="254">
        <f>+'Exhibit F'!L48</f>
        <v>175.90000000000009</v>
      </c>
      <c r="L53" s="378"/>
      <c r="M53" s="254">
        <f>+'Exhibit F'!N48</f>
        <v>167.59999999999991</v>
      </c>
      <c r="N53" s="152"/>
      <c r="O53" s="254"/>
      <c r="P53" s="152"/>
      <c r="Q53" s="254"/>
      <c r="R53" s="254"/>
      <c r="S53" s="254"/>
      <c r="T53" s="254"/>
      <c r="U53" s="254"/>
      <c r="V53" s="254"/>
      <c r="W53" s="254"/>
      <c r="X53" s="254"/>
      <c r="Y53" s="254"/>
      <c r="Z53" s="152"/>
      <c r="AA53" s="684"/>
      <c r="AB53" s="378">
        <f t="shared" si="13"/>
        <v>1057.0999999999999</v>
      </c>
      <c r="AC53" s="152"/>
      <c r="AD53" s="1804"/>
      <c r="AE53" s="254">
        <f>+'Exhibit F'!AF48</f>
        <v>1066.2</v>
      </c>
      <c r="AF53" s="152"/>
      <c r="AG53" s="152"/>
      <c r="AH53" s="467">
        <f t="shared" si="14"/>
        <v>-9.1</v>
      </c>
      <c r="AI53" s="42"/>
      <c r="AJ53" s="661">
        <f t="shared" ref="AJ53:AJ58" si="15">ROUND(IF(AE53=0,0,AH53/ABS(AE53)),3)</f>
        <v>-8.9999999999999993E-3</v>
      </c>
    </row>
    <row r="54" spans="1:36" ht="16.5" customHeight="1">
      <c r="A54" s="489" t="s">
        <v>978</v>
      </c>
      <c r="B54" s="489"/>
      <c r="C54" s="254">
        <f>+'Exhibit F'!D49</f>
        <v>1.4</v>
      </c>
      <c r="D54" s="254"/>
      <c r="E54" s="254">
        <f>+'Exhibit F'!F49</f>
        <v>1</v>
      </c>
      <c r="F54" s="254"/>
      <c r="G54" s="254">
        <f>+'Exhibit F'!H49</f>
        <v>1.3000000000000003</v>
      </c>
      <c r="H54" s="378"/>
      <c r="I54" s="254">
        <f>+'Exhibit F'!J49</f>
        <v>1.2000000000000002</v>
      </c>
      <c r="J54" s="378"/>
      <c r="K54" s="254">
        <f>+'Exhibit F'!L49</f>
        <v>1.8000000000000003</v>
      </c>
      <c r="L54" s="378"/>
      <c r="M54" s="254">
        <f>+'Exhibit F'!N49</f>
        <v>1.6999999999999988</v>
      </c>
      <c r="N54" s="152"/>
      <c r="O54" s="254"/>
      <c r="P54" s="152"/>
      <c r="Q54" s="254"/>
      <c r="R54" s="254"/>
      <c r="S54" s="254"/>
      <c r="T54" s="254"/>
      <c r="U54" s="254"/>
      <c r="V54" s="254"/>
      <c r="W54" s="254"/>
      <c r="X54" s="254"/>
      <c r="Y54" s="254"/>
      <c r="Z54" s="152"/>
      <c r="AA54" s="684"/>
      <c r="AB54" s="378">
        <f t="shared" si="13"/>
        <v>8.4</v>
      </c>
      <c r="AC54" s="152"/>
      <c r="AD54" s="1804"/>
      <c r="AE54" s="254">
        <f>+'Exhibit F'!AF49</f>
        <v>9</v>
      </c>
      <c r="AF54" s="152"/>
      <c r="AG54" s="152"/>
      <c r="AH54" s="467">
        <f t="shared" si="14"/>
        <v>-0.6</v>
      </c>
      <c r="AI54" s="42"/>
      <c r="AJ54" s="661">
        <f t="shared" si="15"/>
        <v>-6.7000000000000004E-2</v>
      </c>
    </row>
    <row r="55" spans="1:36" ht="16.5" customHeight="1">
      <c r="A55" s="489" t="s">
        <v>979</v>
      </c>
      <c r="B55" s="489"/>
      <c r="C55" s="254">
        <f>+'Exhibit F'!D50+'Exhibit H'!B25+'Exhibit I'!E30</f>
        <v>83.4</v>
      </c>
      <c r="D55" s="254"/>
      <c r="E55" s="254">
        <f>+'Exhibit F'!F50+'Exhibit H'!D25+'Exhibit I'!G30</f>
        <v>86.1</v>
      </c>
      <c r="F55" s="254"/>
      <c r="G55" s="254">
        <f>+'Exhibit F'!H50+'Exhibit H'!F25+'Exhibit I'!I30</f>
        <v>109.00000000000001</v>
      </c>
      <c r="H55" s="378"/>
      <c r="I55" s="254">
        <f>+'Exhibit F'!J50+'Exhibit H'!H25+'Exhibit I'!K30</f>
        <v>101.99999999999999</v>
      </c>
      <c r="J55" s="378"/>
      <c r="K55" s="254">
        <f>+'Exhibit F'!L50+'Exhibit H'!J25+'Exhibit I'!M30</f>
        <v>114.60000000000001</v>
      </c>
      <c r="L55" s="378"/>
      <c r="M55" s="254">
        <f>+'Exhibit F'!N50+'Exhibit H'!L25+'Exhibit I'!O30</f>
        <v>115.8</v>
      </c>
      <c r="N55" s="152"/>
      <c r="O55" s="254"/>
      <c r="P55" s="152"/>
      <c r="Q55" s="254"/>
      <c r="R55" s="254"/>
      <c r="S55" s="254"/>
      <c r="T55" s="254"/>
      <c r="U55" s="254"/>
      <c r="V55" s="254"/>
      <c r="W55" s="254"/>
      <c r="X55" s="254"/>
      <c r="Y55" s="254"/>
      <c r="Z55" s="152"/>
      <c r="AA55" s="684"/>
      <c r="AB55" s="378">
        <f t="shared" si="13"/>
        <v>610.9</v>
      </c>
      <c r="AC55" s="152"/>
      <c r="AD55" s="1804"/>
      <c r="AE55" s="254">
        <f>+'Exhibit F'!AF50+'Exhibit H'!AD25+'Exhibit I'!AI30</f>
        <v>874</v>
      </c>
      <c r="AF55" s="152"/>
      <c r="AG55" s="152"/>
      <c r="AH55" s="467">
        <f t="shared" si="14"/>
        <v>-263.10000000000002</v>
      </c>
      <c r="AI55" s="42"/>
      <c r="AJ55" s="661">
        <f t="shared" si="15"/>
        <v>-0.30099999999999999</v>
      </c>
    </row>
    <row r="56" spans="1:36" ht="16.5" customHeight="1">
      <c r="A56" s="489" t="s">
        <v>1399</v>
      </c>
      <c r="B56" s="489"/>
      <c r="C56" s="254">
        <f>+'Exhibit F'!D51</f>
        <v>0</v>
      </c>
      <c r="D56" s="254"/>
      <c r="E56" s="254">
        <f>+'Exhibit F'!F51</f>
        <v>0</v>
      </c>
      <c r="F56" s="254"/>
      <c r="G56" s="254">
        <f>+'Exhibit F'!H51</f>
        <v>0.1</v>
      </c>
      <c r="H56" s="378"/>
      <c r="I56" s="254">
        <f>+'Exhibit F'!J51</f>
        <v>0</v>
      </c>
      <c r="J56" s="378"/>
      <c r="K56" s="254">
        <f>+'Exhibit F'!L51</f>
        <v>0.1</v>
      </c>
      <c r="L56" s="378"/>
      <c r="M56" s="254">
        <f>+'Exhibit F'!N51</f>
        <v>0</v>
      </c>
      <c r="N56" s="152"/>
      <c r="O56" s="254"/>
      <c r="P56" s="152"/>
      <c r="Q56" s="254"/>
      <c r="R56" s="254"/>
      <c r="S56" s="254"/>
      <c r="T56" s="254"/>
      <c r="U56" s="254"/>
      <c r="V56" s="254"/>
      <c r="W56" s="254"/>
      <c r="X56" s="254"/>
      <c r="Y56" s="254"/>
      <c r="Z56" s="152"/>
      <c r="AA56" s="684"/>
      <c r="AB56" s="378">
        <f t="shared" si="13"/>
        <v>0.2</v>
      </c>
      <c r="AC56" s="152"/>
      <c r="AD56" s="1804"/>
      <c r="AE56" s="254">
        <f>+'Exhibit F'!AF51</f>
        <v>0.7</v>
      </c>
      <c r="AF56" s="152"/>
      <c r="AG56" s="152"/>
      <c r="AH56" s="467">
        <f t="shared" si="14"/>
        <v>-0.5</v>
      </c>
      <c r="AI56" s="42"/>
      <c r="AJ56" s="469">
        <f>ROUND(IF(AE56=0,0,AH56/ABS(AE56)),3)</f>
        <v>-0.71399999999999997</v>
      </c>
    </row>
    <row r="57" spans="1:36" ht="16.5" customHeight="1">
      <c r="A57" s="752" t="s">
        <v>1206</v>
      </c>
      <c r="B57" s="489"/>
      <c r="C57" s="254">
        <f>+'Exhibit F'!D52+'Exhibit H'!B26</f>
        <v>0.4</v>
      </c>
      <c r="D57" s="254"/>
      <c r="E57" s="254">
        <f>+'Exhibit F'!F52+'Exhibit H'!D26</f>
        <v>0.4</v>
      </c>
      <c r="F57" s="254"/>
      <c r="G57" s="254">
        <f>+'Exhibit F'!H52+'Exhibit H'!F26</f>
        <v>0.19999999999999996</v>
      </c>
      <c r="H57" s="378"/>
      <c r="I57" s="254">
        <f>+'Exhibit F'!J52+'Exhibit H'!H26</f>
        <v>0.6000000000000002</v>
      </c>
      <c r="J57" s="378"/>
      <c r="K57" s="254">
        <f>+'Exhibit F'!L52+'Exhibit H'!J26</f>
        <v>0.6000000000000002</v>
      </c>
      <c r="L57" s="152"/>
      <c r="M57" s="254">
        <f>+'Exhibit F'!N52+'Exhibit H'!L26</f>
        <v>0.3999999999999998</v>
      </c>
      <c r="N57" s="152"/>
      <c r="O57" s="254"/>
      <c r="P57" s="152"/>
      <c r="Q57" s="254"/>
      <c r="R57" s="254"/>
      <c r="S57" s="254"/>
      <c r="T57" s="254"/>
      <c r="U57" s="254"/>
      <c r="V57" s="254"/>
      <c r="W57" s="254"/>
      <c r="X57" s="254"/>
      <c r="Y57" s="254"/>
      <c r="Z57" s="152"/>
      <c r="AA57" s="684"/>
      <c r="AB57" s="378">
        <f t="shared" ref="AB57" si="16">ROUND(SUM(C57:Y57),1)</f>
        <v>2.6</v>
      </c>
      <c r="AC57" s="152"/>
      <c r="AD57" s="1804"/>
      <c r="AE57" s="254">
        <f>+'Exhibit F'!AF52+'Exhibit H'!AD26</f>
        <v>2</v>
      </c>
      <c r="AF57" s="152"/>
      <c r="AG57" s="152"/>
      <c r="AH57" s="467">
        <f>ROUND(SUM(+AB57-AE57),1)</f>
        <v>0.6</v>
      </c>
      <c r="AI57" s="170"/>
      <c r="AJ57" s="954">
        <f>ROUND(IF(AE57=0,1,AH57/ABS(AE57)),3)</f>
        <v>0.3</v>
      </c>
    </row>
    <row r="58" spans="1:36" ht="16.5" customHeight="1">
      <c r="A58" s="218" t="s">
        <v>974</v>
      </c>
      <c r="B58" s="489"/>
      <c r="C58" s="643">
        <f>ROUND(SUM(C52:C57),1)</f>
        <v>254</v>
      </c>
      <c r="D58" s="16"/>
      <c r="E58" s="643">
        <f>ROUND(SUM(E52:E57),1)</f>
        <v>493.2</v>
      </c>
      <c r="F58" s="16"/>
      <c r="G58" s="643">
        <f>ROUND(SUM(G52:G57),1)</f>
        <v>187.9</v>
      </c>
      <c r="H58" s="152"/>
      <c r="I58" s="643">
        <f>ROUND(SUM(I52:I57),1)</f>
        <v>165.6</v>
      </c>
      <c r="J58" s="152"/>
      <c r="K58" s="643">
        <f>ROUND(SUM(K52:K57),1)</f>
        <v>293</v>
      </c>
      <c r="L58" s="152"/>
      <c r="M58" s="643">
        <f>ROUND(SUM(M52:M57),1)</f>
        <v>285.5</v>
      </c>
      <c r="N58" s="152"/>
      <c r="O58" s="643">
        <f>ROUND(SUM(O52:O57),1)</f>
        <v>0</v>
      </c>
      <c r="P58" s="152"/>
      <c r="Q58" s="643">
        <f>ROUND(SUM(Q52:Q57),1)</f>
        <v>0</v>
      </c>
      <c r="R58" s="152"/>
      <c r="S58" s="643">
        <f>ROUND(SUM(S52:S57),1)</f>
        <v>0</v>
      </c>
      <c r="T58" s="152"/>
      <c r="U58" s="643">
        <f>ROUND(SUM(U52:U57),1)</f>
        <v>0</v>
      </c>
      <c r="V58" s="152"/>
      <c r="W58" s="643">
        <f>ROUND(SUM(W52:W57),1)</f>
        <v>0</v>
      </c>
      <c r="X58" s="152"/>
      <c r="Y58" s="643">
        <f>ROUND(SUM(Y52:Y57),1)</f>
        <v>0</v>
      </c>
      <c r="Z58" s="152"/>
      <c r="AA58" s="684"/>
      <c r="AB58" s="643">
        <f>ROUND(SUM(AB52:AB57),1)</f>
        <v>1679.2</v>
      </c>
      <c r="AC58" s="152"/>
      <c r="AD58" s="1804"/>
      <c r="AE58" s="643">
        <f>ROUND(SUM(AE52:AE57),1)</f>
        <v>1951.9</v>
      </c>
      <c r="AF58" s="152"/>
      <c r="AG58" s="152"/>
      <c r="AH58" s="643">
        <f>ROUND(SUM(AH52:AH57),1)</f>
        <v>-272.7</v>
      </c>
      <c r="AI58" s="42"/>
      <c r="AJ58" s="13">
        <f t="shared" si="15"/>
        <v>-0.14000000000000001</v>
      </c>
    </row>
    <row r="59" spans="1:36" ht="16.5" customHeight="1">
      <c r="A59" s="218"/>
      <c r="B59" s="489"/>
      <c r="C59" s="16"/>
      <c r="D59" s="16"/>
      <c r="E59" s="16"/>
      <c r="F59" s="16"/>
      <c r="G59" s="16"/>
      <c r="H59" s="152"/>
      <c r="I59" s="16"/>
      <c r="J59" s="152"/>
      <c r="K59" s="16"/>
      <c r="L59" s="152"/>
      <c r="M59" s="16"/>
      <c r="N59" s="152"/>
      <c r="O59" s="16"/>
      <c r="P59" s="152"/>
      <c r="Q59" s="16"/>
      <c r="R59" s="152"/>
      <c r="S59" s="16"/>
      <c r="T59" s="152"/>
      <c r="U59" s="16"/>
      <c r="V59" s="152"/>
      <c r="W59" s="16"/>
      <c r="X59" s="152"/>
      <c r="Y59" s="16"/>
      <c r="Z59" s="152"/>
      <c r="AA59" s="377"/>
      <c r="AB59" s="152"/>
      <c r="AC59" s="152"/>
      <c r="AD59" s="1804"/>
      <c r="AE59" s="152"/>
      <c r="AF59" s="152"/>
      <c r="AG59" s="152"/>
      <c r="AH59" s="472"/>
      <c r="AI59" s="152"/>
      <c r="AJ59" s="472"/>
    </row>
    <row r="60" spans="1:36" ht="16.5" customHeight="1">
      <c r="A60" s="218" t="s">
        <v>975</v>
      </c>
      <c r="B60" s="20"/>
      <c r="C60" s="15">
        <f>ROUND(SUM(C58+C50+C42+C30),1)</f>
        <v>10907.6</v>
      </c>
      <c r="D60" s="36"/>
      <c r="E60" s="15">
        <f>ROUND(SUM(E58+E50+E42+E30),1)</f>
        <v>4605.3999999999996</v>
      </c>
      <c r="F60" s="36"/>
      <c r="G60" s="15">
        <f>ROUND(SUM(G58+G50+G42+G30),1)</f>
        <v>12116.8</v>
      </c>
      <c r="H60" s="36"/>
      <c r="I60" s="15">
        <f>ROUND(SUM(I58+I50+I42+I30),1)</f>
        <v>5699.6</v>
      </c>
      <c r="J60" s="36"/>
      <c r="K60" s="15">
        <f>ROUND(SUM(K58+K50+K42+K30),1)</f>
        <v>6015.8</v>
      </c>
      <c r="L60" s="36"/>
      <c r="M60" s="15">
        <f>ROUND(SUM(M58+M50+M42+M30),1)</f>
        <v>12143.8</v>
      </c>
      <c r="N60" s="36"/>
      <c r="O60" s="15">
        <f>ROUND(SUM(O58+O50+O42+O30),1)</f>
        <v>0</v>
      </c>
      <c r="P60" s="36"/>
      <c r="Q60" s="15">
        <f>ROUND(SUM(Q58+Q50+Q42+Q30),1)</f>
        <v>0</v>
      </c>
      <c r="R60" s="36"/>
      <c r="S60" s="15">
        <f>ROUND(SUM(S58+S50+S42+S30),1)</f>
        <v>0</v>
      </c>
      <c r="T60" s="36"/>
      <c r="U60" s="15">
        <f>ROUND(SUM(U58+U50+U42+U30),1)</f>
        <v>0</v>
      </c>
      <c r="V60" s="36"/>
      <c r="W60" s="15">
        <f>ROUND(SUM(W58+W50+W42+W30),1)</f>
        <v>0</v>
      </c>
      <c r="X60" s="39"/>
      <c r="Y60" s="15">
        <f>ROUND(SUM(Y58+Y50+Y42+Y30),1)</f>
        <v>0</v>
      </c>
      <c r="Z60" s="39"/>
      <c r="AA60" s="30"/>
      <c r="AB60" s="222">
        <f>ROUND(+AB58+AB50+AB42+AB30,1)</f>
        <v>51489</v>
      </c>
      <c r="AC60" s="36"/>
      <c r="AD60" s="37"/>
      <c r="AE60" s="222">
        <f>ROUND(+AE58+AE50+AE42+AE30,1)</f>
        <v>58390.2</v>
      </c>
      <c r="AF60" s="36"/>
      <c r="AG60" s="1432"/>
      <c r="AH60" s="222">
        <f>ROUND(+AH58+AH50+AH42+AH30,1)</f>
        <v>-6901.2</v>
      </c>
      <c r="AI60" s="467"/>
      <c r="AJ60" s="1806">
        <f>ROUND(IF(AE60=0,0,AH60/ABS(AE60)),3)</f>
        <v>-0.11799999999999999</v>
      </c>
    </row>
    <row r="61" spans="1:36" ht="16.5" customHeight="1">
      <c r="A61" s="152"/>
      <c r="B61" s="152"/>
      <c r="C61" s="378"/>
      <c r="D61" s="378"/>
      <c r="E61" s="378"/>
      <c r="F61" s="378"/>
      <c r="G61" s="378"/>
      <c r="H61" s="378"/>
      <c r="I61" s="378"/>
      <c r="J61" s="378"/>
      <c r="K61" s="378"/>
      <c r="L61" s="378"/>
      <c r="M61" s="378"/>
      <c r="N61" s="378"/>
      <c r="O61" s="378"/>
      <c r="P61" s="378"/>
      <c r="Q61" s="378"/>
      <c r="R61" s="378"/>
      <c r="S61" s="378"/>
      <c r="T61" s="378"/>
      <c r="U61" s="378"/>
      <c r="V61" s="378"/>
      <c r="W61" s="378"/>
      <c r="X61" s="378"/>
      <c r="Y61" s="378"/>
      <c r="Z61" s="378"/>
      <c r="AA61" s="379"/>
      <c r="AB61" s="378"/>
      <c r="AC61" s="378"/>
      <c r="AD61" s="1807"/>
      <c r="AE61" s="378"/>
      <c r="AF61" s="378"/>
      <c r="AG61" s="378"/>
      <c r="AH61" s="378"/>
      <c r="AI61" s="152"/>
      <c r="AJ61" s="488"/>
    </row>
    <row r="62" spans="1:36" ht="16.5" customHeight="1">
      <c r="A62" s="118" t="s">
        <v>886</v>
      </c>
      <c r="B62" s="646"/>
      <c r="C62" s="378"/>
      <c r="D62" s="378"/>
      <c r="E62" s="378"/>
      <c r="F62" s="378"/>
      <c r="G62" s="378"/>
      <c r="H62" s="378"/>
      <c r="I62" s="378" t="s">
        <v>14</v>
      </c>
      <c r="J62" s="378"/>
      <c r="K62" s="378" t="s">
        <v>14</v>
      </c>
      <c r="L62" s="378"/>
      <c r="M62" s="378"/>
      <c r="N62" s="378"/>
      <c r="O62" s="378"/>
      <c r="P62" s="378"/>
      <c r="Q62" s="378"/>
      <c r="R62" s="378"/>
      <c r="S62" s="378"/>
      <c r="T62" s="378"/>
      <c r="U62" s="378"/>
      <c r="V62" s="378"/>
      <c r="W62" s="378"/>
      <c r="X62" s="378"/>
      <c r="Y62" s="378"/>
      <c r="Z62" s="378"/>
      <c r="AA62" s="379"/>
      <c r="AB62" s="378"/>
      <c r="AC62" s="378"/>
      <c r="AD62" s="1807"/>
      <c r="AE62" s="378"/>
      <c r="AF62" s="378"/>
      <c r="AG62" s="378"/>
      <c r="AH62" s="378"/>
      <c r="AI62" s="152"/>
      <c r="AJ62" s="488"/>
    </row>
    <row r="63" spans="1:36" ht="16.5" customHeight="1">
      <c r="A63" s="594" t="s">
        <v>1000</v>
      </c>
      <c r="B63" s="646"/>
      <c r="C63" s="378"/>
      <c r="D63" s="378"/>
      <c r="E63" s="378"/>
      <c r="F63" s="378"/>
      <c r="G63" s="378"/>
      <c r="H63" s="378"/>
      <c r="I63" s="378"/>
      <c r="J63" s="378"/>
      <c r="K63" s="378"/>
      <c r="L63" s="378"/>
      <c r="M63" s="378"/>
      <c r="N63" s="378"/>
      <c r="O63" s="378"/>
      <c r="P63" s="378"/>
      <c r="Q63" s="378"/>
      <c r="R63" s="378"/>
      <c r="S63" s="378"/>
      <c r="T63" s="378"/>
      <c r="U63" s="378"/>
      <c r="V63" s="378"/>
      <c r="W63" s="378"/>
      <c r="X63" s="378"/>
      <c r="Y63" s="378"/>
      <c r="Z63" s="378"/>
      <c r="AA63" s="379"/>
      <c r="AB63" s="378"/>
      <c r="AC63" s="378"/>
      <c r="AD63" s="1807"/>
      <c r="AE63" s="378"/>
      <c r="AF63" s="378"/>
      <c r="AG63" s="378"/>
      <c r="AH63" s="378"/>
      <c r="AI63" s="152"/>
      <c r="AJ63" s="488"/>
    </row>
    <row r="64" spans="1:36" ht="16.5" customHeight="1">
      <c r="A64" s="594" t="s">
        <v>884</v>
      </c>
      <c r="B64" s="594"/>
      <c r="C64" s="378">
        <f>+'Exhibit F'!D59+'Exhibit G'!D42</f>
        <v>1.5</v>
      </c>
      <c r="D64" s="378"/>
      <c r="E64" s="378">
        <f>+'Exhibit F'!F59+'Exhibit G'!F42</f>
        <v>0.99999999999999989</v>
      </c>
      <c r="F64" s="378"/>
      <c r="G64" s="378">
        <f>+'Exhibit F'!H59+'Exhibit G'!H42</f>
        <v>0.79999999999999993</v>
      </c>
      <c r="H64" s="378"/>
      <c r="I64" s="378">
        <f>+'Exhibit F'!J59+'Exhibit G'!J42</f>
        <v>1.0000000000000004</v>
      </c>
      <c r="J64" s="378"/>
      <c r="K64" s="378">
        <f>+'Exhibit F'!L59+'Exhibit G'!L42</f>
        <v>11.2</v>
      </c>
      <c r="L64" s="378"/>
      <c r="M64" s="378">
        <f>+'Exhibit F'!N59+'Exhibit G'!N42</f>
        <v>101.6</v>
      </c>
      <c r="N64" s="378"/>
      <c r="O64" s="378"/>
      <c r="P64" s="378"/>
      <c r="Q64" s="378"/>
      <c r="R64" s="378"/>
      <c r="S64" s="378"/>
      <c r="T64" s="378"/>
      <c r="U64" s="378"/>
      <c r="V64" s="378"/>
      <c r="W64" s="378"/>
      <c r="X64" s="378"/>
      <c r="Y64" s="378"/>
      <c r="Z64" s="378"/>
      <c r="AA64" s="379"/>
      <c r="AB64" s="378">
        <f t="shared" ref="AB64:AB105" si="17">ROUND(SUM(C64:Y64),1)</f>
        <v>117.1</v>
      </c>
      <c r="AC64" s="378"/>
      <c r="AD64" s="1807"/>
      <c r="AE64" s="378">
        <f>+'Exhibit F'!AF59+'Exhibit G'!AG42</f>
        <v>116.9</v>
      </c>
      <c r="AF64" s="378"/>
      <c r="AG64" s="378"/>
      <c r="AH64" s="378">
        <f t="shared" ref="AH64:AH105" si="18">ROUND(SUM(AB64-AE64),1)</f>
        <v>0.2</v>
      </c>
      <c r="AI64" s="152"/>
      <c r="AJ64" s="661">
        <f>ROUND(IF(AE64=0,0,AH64/ABS(AE64)),3)</f>
        <v>2E-3</v>
      </c>
    </row>
    <row r="65" spans="1:36" ht="16.5" customHeight="1">
      <c r="A65" s="594" t="s">
        <v>885</v>
      </c>
      <c r="B65" s="594"/>
      <c r="C65" s="378">
        <f>+'Exhibit F'!D60+'Exhibit I'!E37</f>
        <v>0.4</v>
      </c>
      <c r="D65" s="378"/>
      <c r="E65" s="378">
        <f>+'Exhibit F'!F60+'Exhibit I'!G37</f>
        <v>4</v>
      </c>
      <c r="F65" s="378"/>
      <c r="G65" s="378">
        <f>+'Exhibit F'!H60+'Exhibit I'!I37</f>
        <v>34.799999999999997</v>
      </c>
      <c r="H65" s="378"/>
      <c r="I65" s="378">
        <f>+'Exhibit F'!J60+'Exhibit I'!K37</f>
        <v>0.90000000000000391</v>
      </c>
      <c r="J65" s="378"/>
      <c r="K65" s="378">
        <f>+'Exhibit F'!L60+'Exhibit I'!M37</f>
        <v>9.9999999999997868E-2</v>
      </c>
      <c r="L65" s="378"/>
      <c r="M65" s="378">
        <f>+'Exhibit F'!N60+'Exhibit I'!O37</f>
        <v>39.900000000000006</v>
      </c>
      <c r="N65" s="378"/>
      <c r="O65" s="378"/>
      <c r="P65" s="378"/>
      <c r="Q65" s="378"/>
      <c r="R65" s="378"/>
      <c r="S65" s="378"/>
      <c r="T65" s="378"/>
      <c r="U65" s="378"/>
      <c r="V65" s="378"/>
      <c r="W65" s="378"/>
      <c r="X65" s="378"/>
      <c r="Y65" s="378"/>
      <c r="Z65" s="378"/>
      <c r="AA65" s="379"/>
      <c r="AB65" s="378">
        <f t="shared" si="17"/>
        <v>80.099999999999994</v>
      </c>
      <c r="AC65" s="378"/>
      <c r="AD65" s="1807"/>
      <c r="AE65" s="378">
        <f>+'Exhibit F'!AF60+'Exhibit I'!AI37</f>
        <v>70.400000000000006</v>
      </c>
      <c r="AF65" s="378"/>
      <c r="AG65" s="378"/>
      <c r="AH65" s="378">
        <f t="shared" si="18"/>
        <v>9.6999999999999993</v>
      </c>
      <c r="AI65" s="152"/>
      <c r="AJ65" s="1805">
        <f>ROUND(IF(AE65=0,0,AH65/ABS(AE65)),3)</f>
        <v>0.13800000000000001</v>
      </c>
    </row>
    <row r="66" spans="1:36" ht="16.5" customHeight="1">
      <c r="A66" s="594" t="s">
        <v>1001</v>
      </c>
      <c r="B66" s="594"/>
      <c r="C66" s="378"/>
      <c r="D66" s="378"/>
      <c r="E66" s="378"/>
      <c r="F66" s="378"/>
      <c r="G66" s="378"/>
      <c r="H66" s="378"/>
      <c r="I66" s="378"/>
      <c r="J66" s="378"/>
      <c r="K66" s="378"/>
      <c r="L66" s="378"/>
      <c r="M66" s="378"/>
      <c r="N66" s="378"/>
      <c r="O66" s="378"/>
      <c r="P66" s="378"/>
      <c r="Q66" s="378"/>
      <c r="R66" s="378"/>
      <c r="S66" s="378"/>
      <c r="T66" s="378"/>
      <c r="U66" s="378"/>
      <c r="V66" s="378"/>
      <c r="W66" s="378"/>
      <c r="X66" s="378"/>
      <c r="Y66" s="378"/>
      <c r="Z66" s="378"/>
      <c r="AA66" s="379"/>
      <c r="AB66" s="378"/>
      <c r="AC66" s="378"/>
      <c r="AD66" s="1807"/>
      <c r="AE66" s="378"/>
      <c r="AF66" s="378"/>
      <c r="AG66" s="378"/>
      <c r="AH66" s="378"/>
      <c r="AI66" s="152"/>
      <c r="AJ66" s="661"/>
    </row>
    <row r="67" spans="1:36" ht="16.5" customHeight="1">
      <c r="A67" s="594" t="s">
        <v>889</v>
      </c>
      <c r="B67" s="594"/>
      <c r="C67" s="378">
        <f>+'Exhibit F'!D62+'Exhibit G'!D44+'Exhibit I'!E39</f>
        <v>59.5</v>
      </c>
      <c r="D67" s="378"/>
      <c r="E67" s="378">
        <f>+'Exhibit F'!F62+'Exhibit G'!F44+'Exhibit I'!G39</f>
        <v>-23.1</v>
      </c>
      <c r="F67" s="378"/>
      <c r="G67" s="378">
        <f>+'Exhibit F'!H62+'Exhibit G'!H44+'Exhibit I'!I39</f>
        <v>100</v>
      </c>
      <c r="H67" s="378"/>
      <c r="I67" s="378">
        <f>+'Exhibit F'!J62+'Exhibit G'!J44+'Exhibit I'!K39</f>
        <v>95.199999999999989</v>
      </c>
      <c r="J67" s="378"/>
      <c r="K67" s="378">
        <f>+'Exhibit F'!L62+'Exhibit G'!L44+'Exhibit I'!M39</f>
        <v>98.2</v>
      </c>
      <c r="L67" s="378"/>
      <c r="M67" s="378">
        <f>+'Exhibit F'!N62+'Exhibit G'!N44+'Exhibit I'!O39</f>
        <v>104.70000000000002</v>
      </c>
      <c r="N67" s="378"/>
      <c r="O67" s="378"/>
      <c r="P67" s="378"/>
      <c r="Q67" s="378"/>
      <c r="R67" s="378"/>
      <c r="S67" s="378"/>
      <c r="T67" s="378"/>
      <c r="U67" s="378"/>
      <c r="V67" s="378"/>
      <c r="W67" s="378"/>
      <c r="X67" s="378"/>
      <c r="Y67" s="378"/>
      <c r="Z67" s="378"/>
      <c r="AA67" s="379"/>
      <c r="AB67" s="378">
        <f>ROUND(SUM(C67:Y67),1)</f>
        <v>434.5</v>
      </c>
      <c r="AC67" s="378"/>
      <c r="AD67" s="1807"/>
      <c r="AE67" s="378">
        <f>+'Exhibit F'!AF62+'Exhibit G'!AG44+'Exhibit I'!AI39</f>
        <v>483.6</v>
      </c>
      <c r="AF67" s="378"/>
      <c r="AG67" s="378"/>
      <c r="AH67" s="378">
        <f t="shared" si="18"/>
        <v>-49.1</v>
      </c>
      <c r="AI67" s="152"/>
      <c r="AJ67" s="661">
        <f>ROUND(IF(AE67=0,0,AH67/ABS(AE67)),3)</f>
        <v>-0.10199999999999999</v>
      </c>
    </row>
    <row r="68" spans="1:36" ht="16.5" customHeight="1">
      <c r="A68" s="594" t="s">
        <v>890</v>
      </c>
      <c r="B68" s="594"/>
      <c r="C68" s="378">
        <f>+'Exhibit F'!D63+'Exhibit G'!D45</f>
        <v>632.29999999999995</v>
      </c>
      <c r="D68" s="378"/>
      <c r="E68" s="378">
        <f>+'Exhibit F'!F63+'Exhibit G'!F45</f>
        <v>621.60000000000014</v>
      </c>
      <c r="F68" s="378"/>
      <c r="G68" s="378">
        <f>+'Exhibit F'!H63+'Exhibit G'!H45</f>
        <v>592.59999999999991</v>
      </c>
      <c r="H68" s="378"/>
      <c r="I68" s="378">
        <f>+'Exhibit F'!J63+'Exhibit G'!J45</f>
        <v>648.09999999999991</v>
      </c>
      <c r="J68" s="378"/>
      <c r="K68" s="378">
        <f>+'Exhibit F'!L63+'Exhibit G'!L45</f>
        <v>655.39999999999964</v>
      </c>
      <c r="L68" s="378"/>
      <c r="M68" s="378">
        <f>+'Exhibit F'!N63+'Exhibit G'!N45</f>
        <v>600.20000000000016</v>
      </c>
      <c r="N68" s="378"/>
      <c r="O68" s="378"/>
      <c r="P68" s="378"/>
      <c r="Q68" s="378"/>
      <c r="R68" s="378"/>
      <c r="S68" s="378"/>
      <c r="T68" s="378"/>
      <c r="U68" s="378"/>
      <c r="V68" s="378"/>
      <c r="W68" s="378"/>
      <c r="X68" s="378"/>
      <c r="Y68" s="378"/>
      <c r="Z68" s="378"/>
      <c r="AA68" s="379"/>
      <c r="AB68" s="378">
        <f t="shared" si="17"/>
        <v>3750.2</v>
      </c>
      <c r="AC68" s="378"/>
      <c r="AD68" s="1807"/>
      <c r="AE68" s="378">
        <f>+'Exhibit F'!AF63+'Exhibit G'!AG45+'Exhibit H'!AD33</f>
        <v>3331.3999999999996</v>
      </c>
      <c r="AF68" s="378"/>
      <c r="AG68" s="378"/>
      <c r="AH68" s="378">
        <f t="shared" si="18"/>
        <v>418.8</v>
      </c>
      <c r="AI68" s="152"/>
      <c r="AJ68" s="661">
        <f>ROUND(IF(AE68=0,0,AH68/ABS(AE68)),3)</f>
        <v>0.126</v>
      </c>
    </row>
    <row r="69" spans="1:36" ht="16.5" customHeight="1">
      <c r="A69" s="594" t="s">
        <v>891</v>
      </c>
      <c r="B69" s="594"/>
      <c r="C69" s="378">
        <f>+'Exhibit F'!D64+'Exhibit G'!D46</f>
        <v>0.7</v>
      </c>
      <c r="D69" s="378"/>
      <c r="E69" s="378">
        <f>+'Exhibit F'!F64+'Exhibit G'!F46</f>
        <v>0</v>
      </c>
      <c r="F69" s="378"/>
      <c r="G69" s="378">
        <f>+'Exhibit F'!H64+'Exhibit G'!H46</f>
        <v>0.7</v>
      </c>
      <c r="H69" s="378"/>
      <c r="I69" s="378">
        <f>+'Exhibit F'!J64+'Exhibit G'!J46</f>
        <v>0</v>
      </c>
      <c r="J69" s="378"/>
      <c r="K69" s="378">
        <f>+'Exhibit F'!L64+'Exhibit G'!L46</f>
        <v>0.20000000000000018</v>
      </c>
      <c r="L69" s="378"/>
      <c r="M69" s="378">
        <f>+'Exhibit F'!N64+'Exhibit G'!N46</f>
        <v>61.199999999999989</v>
      </c>
      <c r="N69" s="378"/>
      <c r="O69" s="378"/>
      <c r="P69" s="378"/>
      <c r="Q69" s="378"/>
      <c r="R69" s="378"/>
      <c r="S69" s="378"/>
      <c r="T69" s="378"/>
      <c r="U69" s="378"/>
      <c r="V69" s="378"/>
      <c r="W69" s="378"/>
      <c r="X69" s="378"/>
      <c r="Y69" s="378"/>
      <c r="Z69" s="378"/>
      <c r="AA69" s="379"/>
      <c r="AB69" s="378">
        <f t="shared" si="17"/>
        <v>62.8</v>
      </c>
      <c r="AC69" s="378"/>
      <c r="AD69" s="1807"/>
      <c r="AE69" s="378">
        <f>+'Exhibit F'!AF64+'Exhibit G'!AG46</f>
        <v>64.599999999999994</v>
      </c>
      <c r="AF69" s="378"/>
      <c r="AG69" s="378"/>
      <c r="AH69" s="378">
        <f t="shared" si="18"/>
        <v>-1.8</v>
      </c>
      <c r="AI69" s="152"/>
      <c r="AJ69" s="1805">
        <f>ROUND(IF(AE69=0,0,AH69/ABS(AE69)),3)</f>
        <v>-2.8000000000000001E-2</v>
      </c>
    </row>
    <row r="70" spans="1:36" ht="16.5" customHeight="1">
      <c r="A70" s="594" t="s">
        <v>892</v>
      </c>
      <c r="B70" s="594"/>
      <c r="C70" s="378">
        <f>+'Exhibit F'!D65+'Exhibit G'!D47</f>
        <v>0</v>
      </c>
      <c r="D70" s="378"/>
      <c r="E70" s="378">
        <f>+'Exhibit F'!F65+'Exhibit G'!F47</f>
        <v>0.2</v>
      </c>
      <c r="F70" s="378"/>
      <c r="G70" s="378">
        <f>+'Exhibit F'!H65+'Exhibit G'!H47</f>
        <v>0</v>
      </c>
      <c r="H70" s="378"/>
      <c r="I70" s="378">
        <f>+'Exhibit F'!J65+'Exhibit G'!J47</f>
        <v>0</v>
      </c>
      <c r="J70" s="378"/>
      <c r="K70" s="378">
        <f>+'Exhibit F'!L65+'Exhibit G'!L47</f>
        <v>0.1</v>
      </c>
      <c r="L70" s="378"/>
      <c r="M70" s="378">
        <f>+'Exhibit F'!N65+'Exhibit G'!N47</f>
        <v>0.1</v>
      </c>
      <c r="N70" s="378"/>
      <c r="O70" s="378"/>
      <c r="P70" s="378"/>
      <c r="Q70" s="378"/>
      <c r="R70" s="378"/>
      <c r="S70" s="378"/>
      <c r="T70" s="378"/>
      <c r="U70" s="378"/>
      <c r="V70" s="378"/>
      <c r="W70" s="378"/>
      <c r="X70" s="378"/>
      <c r="Y70" s="378"/>
      <c r="Z70" s="378"/>
      <c r="AA70" s="379"/>
      <c r="AB70" s="378">
        <f t="shared" si="17"/>
        <v>0.4</v>
      </c>
      <c r="AC70" s="378"/>
      <c r="AD70" s="1807"/>
      <c r="AE70" s="378">
        <f>+'Exhibit F'!AF65+'Exhibit G'!AG47</f>
        <v>0.4</v>
      </c>
      <c r="AF70" s="378"/>
      <c r="AG70" s="378"/>
      <c r="AH70" s="378">
        <f t="shared" si="18"/>
        <v>0</v>
      </c>
      <c r="AI70" s="152"/>
      <c r="AJ70" s="661">
        <f>ROUND(IF(AE70=0,1,AH70/ABS(AE70)),3)</f>
        <v>0</v>
      </c>
    </row>
    <row r="71" spans="1:36" ht="16.5" customHeight="1">
      <c r="A71" s="594" t="s">
        <v>1005</v>
      </c>
      <c r="B71" s="594"/>
      <c r="C71" s="378"/>
      <c r="D71" s="378"/>
      <c r="E71" s="378"/>
      <c r="F71" s="378"/>
      <c r="G71" s="378"/>
      <c r="H71" s="378"/>
      <c r="I71" s="378"/>
      <c r="J71" s="378"/>
      <c r="K71" s="378"/>
      <c r="L71" s="378"/>
      <c r="M71" s="378"/>
      <c r="N71" s="378"/>
      <c r="O71" s="378"/>
      <c r="P71" s="378"/>
      <c r="Q71" s="378"/>
      <c r="R71" s="378"/>
      <c r="S71" s="378"/>
      <c r="T71" s="378"/>
      <c r="U71" s="378"/>
      <c r="V71" s="378"/>
      <c r="W71" s="378"/>
      <c r="X71" s="378"/>
      <c r="Y71" s="378"/>
      <c r="Z71" s="378"/>
      <c r="AA71" s="379"/>
      <c r="AB71" s="378"/>
      <c r="AC71" s="378"/>
      <c r="AD71" s="1807"/>
      <c r="AE71" s="378"/>
      <c r="AF71" s="378"/>
      <c r="AG71" s="378"/>
      <c r="AH71" s="378"/>
      <c r="AI71" s="152"/>
      <c r="AJ71" s="661"/>
    </row>
    <row r="72" spans="1:36" ht="16.5" customHeight="1">
      <c r="A72" s="594" t="s">
        <v>893</v>
      </c>
      <c r="B72" s="594"/>
      <c r="C72" s="378">
        <f>+'Exhibit F'!D67+'Exhibit H'!B35</f>
        <v>5.9</v>
      </c>
      <c r="D72" s="378"/>
      <c r="E72" s="378">
        <f>+'Exhibit F'!F67+'Exhibit H'!D35</f>
        <v>6.6999999999999993</v>
      </c>
      <c r="F72" s="378"/>
      <c r="G72" s="378">
        <f>+'Exhibit F'!H67+'Exhibit H'!F35</f>
        <v>5.2000000000000011</v>
      </c>
      <c r="H72" s="378"/>
      <c r="I72" s="378">
        <f>+'Exhibit F'!J67+'Exhibit H'!H35</f>
        <v>4.8999999999999968</v>
      </c>
      <c r="J72" s="378"/>
      <c r="K72" s="378">
        <f>+'Exhibit F'!L67+'Exhibit H'!J35</f>
        <v>6.1000000000000014</v>
      </c>
      <c r="L72" s="378"/>
      <c r="M72" s="378">
        <f>+'Exhibit F'!N67+'Exhibit H'!L35</f>
        <v>4.7000000000000028</v>
      </c>
      <c r="N72" s="378"/>
      <c r="O72" s="378"/>
      <c r="P72" s="378"/>
      <c r="Q72" s="378"/>
      <c r="R72" s="378"/>
      <c r="S72" s="378"/>
      <c r="T72" s="378"/>
      <c r="U72" s="378"/>
      <c r="V72" s="378"/>
      <c r="W72" s="378"/>
      <c r="X72" s="378"/>
      <c r="Y72" s="378"/>
      <c r="Z72" s="378"/>
      <c r="AA72" s="379"/>
      <c r="AB72" s="378">
        <f t="shared" si="17"/>
        <v>33.5</v>
      </c>
      <c r="AC72" s="378"/>
      <c r="AD72" s="1807"/>
      <c r="AE72" s="378">
        <f>+'Exhibit F'!AF67+'Exhibit H'!AD35</f>
        <v>34.200000000000003</v>
      </c>
      <c r="AF72" s="378"/>
      <c r="AG72" s="378"/>
      <c r="AH72" s="378">
        <f t="shared" si="18"/>
        <v>-0.7</v>
      </c>
      <c r="AI72" s="152"/>
      <c r="AJ72" s="661">
        <f t="shared" ref="AJ72:AJ79" si="19">ROUND(IF(AE72=0,0,AH72/ABS(AE72)),3)</f>
        <v>-0.02</v>
      </c>
    </row>
    <row r="73" spans="1:36" ht="16.5" customHeight="1">
      <c r="A73" s="594" t="s">
        <v>1088</v>
      </c>
      <c r="B73" s="594"/>
      <c r="C73" s="378">
        <f>'Exhibit G'!D49</f>
        <v>0.1</v>
      </c>
      <c r="D73" s="378"/>
      <c r="E73" s="378">
        <f>'Exhibit G'!F49</f>
        <v>0.19999999999999998</v>
      </c>
      <c r="F73" s="378"/>
      <c r="G73" s="378">
        <f>'Exhibit G'!H49</f>
        <v>1.9999999999999998</v>
      </c>
      <c r="H73" s="378"/>
      <c r="I73" s="378">
        <f>'Exhibit G'!J49</f>
        <v>9.9999999999999867E-2</v>
      </c>
      <c r="J73" s="378"/>
      <c r="K73" s="378">
        <f>'Exhibit G'!L49</f>
        <v>0.10000000000000009</v>
      </c>
      <c r="L73" s="378"/>
      <c r="M73" s="378">
        <f>'Exhibit G'!N49</f>
        <v>0</v>
      </c>
      <c r="N73" s="378"/>
      <c r="O73" s="378"/>
      <c r="P73" s="378"/>
      <c r="Q73" s="378"/>
      <c r="R73" s="378"/>
      <c r="S73" s="378"/>
      <c r="T73" s="378"/>
      <c r="U73" s="378"/>
      <c r="V73" s="378"/>
      <c r="W73" s="378"/>
      <c r="X73" s="378"/>
      <c r="Y73" s="378"/>
      <c r="Z73" s="378"/>
      <c r="AA73" s="685"/>
      <c r="AB73" s="378">
        <f t="shared" si="17"/>
        <v>2.5</v>
      </c>
      <c r="AC73" s="378"/>
      <c r="AD73" s="1807"/>
      <c r="AE73" s="378">
        <f>'Exhibit G'!AG49</f>
        <v>2.2000000000000002</v>
      </c>
      <c r="AF73" s="378"/>
      <c r="AG73" s="378"/>
      <c r="AH73" s="378">
        <f>ROUND(SUM(AB73-AE73),1)</f>
        <v>0.3</v>
      </c>
      <c r="AI73" s="152"/>
      <c r="AJ73" s="469">
        <f>ROUND(IF(AE73=0,1,AH73/ABS(AE73)),3)</f>
        <v>0.13600000000000001</v>
      </c>
    </row>
    <row r="74" spans="1:36" ht="16.5" customHeight="1">
      <c r="A74" s="594" t="s">
        <v>894</v>
      </c>
      <c r="B74" s="594"/>
      <c r="C74" s="378">
        <f>+'Exhibit F'!D69+'Exhibit G'!D50+'Exhibit I'!E41+'Exhibit H'!B36</f>
        <v>49.999999999999993</v>
      </c>
      <c r="D74" s="378"/>
      <c r="E74" s="378">
        <f>+'Exhibit F'!F69+'Exhibit G'!F50+'Exhibit I'!G41+'Exhibit H'!D36</f>
        <v>55.300000000000011</v>
      </c>
      <c r="F74" s="378"/>
      <c r="G74" s="378">
        <f>+'Exhibit F'!H69+'Exhibit G'!H50+'Exhibit I'!I41+'Exhibit H'!F36</f>
        <v>121.49999999999999</v>
      </c>
      <c r="H74" s="378"/>
      <c r="I74" s="378">
        <f>+'Exhibit F'!J69+'Exhibit G'!J50+'Exhibit I'!K41+'Exhibit H'!H36</f>
        <v>49.100000000000016</v>
      </c>
      <c r="J74" s="378"/>
      <c r="K74" s="378">
        <f>+'Exhibit F'!L69+'Exhibit G'!L50+'Exhibit I'!M41+'Exhibit H'!J36</f>
        <v>71.59999999999998</v>
      </c>
      <c r="L74" s="378"/>
      <c r="M74" s="378">
        <f>+'Exhibit F'!N69+'Exhibit G'!N50+'Exhibit I'!O41+'Exhibit H'!L36</f>
        <v>113.40000000000005</v>
      </c>
      <c r="N74" s="378"/>
      <c r="O74" s="378"/>
      <c r="P74" s="378"/>
      <c r="Q74" s="378"/>
      <c r="R74" s="378"/>
      <c r="S74" s="378"/>
      <c r="T74" s="378"/>
      <c r="U74" s="378"/>
      <c r="V74" s="378"/>
      <c r="W74" s="378"/>
      <c r="X74" s="378"/>
      <c r="Y74" s="378"/>
      <c r="Z74" s="378"/>
      <c r="AA74" s="379"/>
      <c r="AB74" s="378">
        <f t="shared" si="17"/>
        <v>460.9</v>
      </c>
      <c r="AC74" s="378"/>
      <c r="AD74" s="1807"/>
      <c r="AE74" s="467">
        <f>+'Exhibit F'!AF69+'Exhibit G'!AG50+'Exhibit I'!AI41+'Exhibit H'!AD36</f>
        <v>461.70000000000005</v>
      </c>
      <c r="AF74" s="378"/>
      <c r="AG74" s="378"/>
      <c r="AH74" s="378">
        <f>ROUND(SUM(AB74-AE74),1)</f>
        <v>-0.8</v>
      </c>
      <c r="AI74" s="152"/>
      <c r="AJ74" s="661">
        <f>ROUND(IF(AE74=0,1,AH74/ABS(AE74)),3)</f>
        <v>-2E-3</v>
      </c>
    </row>
    <row r="75" spans="1:36" ht="16.5" customHeight="1">
      <c r="A75" s="594" t="s">
        <v>895</v>
      </c>
      <c r="B75" s="594"/>
      <c r="C75" s="378">
        <f>+'Exhibit F'!D70+'Exhibit G'!D51+'Exhibit H'!B37</f>
        <v>22.5</v>
      </c>
      <c r="D75" s="378"/>
      <c r="E75" s="378">
        <f>+'Exhibit F'!F70+'Exhibit G'!F51+'Exhibit H'!D37</f>
        <v>11.2</v>
      </c>
      <c r="F75" s="378"/>
      <c r="G75" s="378">
        <f>+'Exhibit F'!H70+'Exhibit G'!H51+'Exhibit H'!F37</f>
        <v>11.500000000000004</v>
      </c>
      <c r="H75" s="378"/>
      <c r="I75" s="378">
        <f>+'Exhibit F'!J70+'Exhibit G'!J51+'Exhibit H'!H37</f>
        <v>25.4</v>
      </c>
      <c r="J75" s="378"/>
      <c r="K75" s="378">
        <f>+'Exhibit F'!L70+'Exhibit G'!L51+'Exhibit H'!J37</f>
        <v>39.799999999999997</v>
      </c>
      <c r="L75" s="378"/>
      <c r="M75" s="378">
        <f>+'Exhibit F'!N70+'Exhibit G'!N51+'Exhibit H'!L37</f>
        <v>28.4</v>
      </c>
      <c r="N75" s="378"/>
      <c r="O75" s="378"/>
      <c r="P75" s="378"/>
      <c r="Q75" s="378"/>
      <c r="R75" s="378"/>
      <c r="S75" s="378"/>
      <c r="T75" s="378"/>
      <c r="U75" s="378"/>
      <c r="V75" s="378"/>
      <c r="W75" s="378"/>
      <c r="X75" s="378"/>
      <c r="Y75" s="378"/>
      <c r="Z75" s="378"/>
      <c r="AA75" s="379"/>
      <c r="AB75" s="378">
        <f t="shared" si="17"/>
        <v>138.80000000000001</v>
      </c>
      <c r="AC75" s="378"/>
      <c r="AD75" s="1807"/>
      <c r="AE75" s="378">
        <f>+'Exhibit F'!AF70+'Exhibit G'!AG51+'Exhibit H'!AD37+'Exhibit I'!AI42</f>
        <v>120</v>
      </c>
      <c r="AF75" s="378"/>
      <c r="AG75" s="378"/>
      <c r="AH75" s="378">
        <f t="shared" si="18"/>
        <v>18.8</v>
      </c>
      <c r="AI75" s="152"/>
      <c r="AJ75" s="661">
        <f t="shared" si="19"/>
        <v>0.157</v>
      </c>
    </row>
    <row r="76" spans="1:36" ht="16.5" customHeight="1">
      <c r="A76" s="594" t="s">
        <v>896</v>
      </c>
      <c r="B76" s="594"/>
      <c r="C76" s="378">
        <f>+'Exhibit F'!D71+'Exhibit G'!D52+'Exhibit H'!B38</f>
        <v>0.4</v>
      </c>
      <c r="D76" s="378"/>
      <c r="E76" s="378">
        <f>+'Exhibit F'!F71+'Exhibit G'!F52+'Exhibit H'!D38</f>
        <v>0.39999999999999997</v>
      </c>
      <c r="F76" s="378"/>
      <c r="G76" s="378">
        <f>+'Exhibit F'!H71+'Exhibit G'!H52+'Exhibit H'!F38</f>
        <v>0.4</v>
      </c>
      <c r="H76" s="378"/>
      <c r="I76" s="378">
        <f>+'Exhibit F'!J71+'Exhibit G'!J52+'Exhibit H'!H38</f>
        <v>0.49999999999999994</v>
      </c>
      <c r="J76" s="378"/>
      <c r="K76" s="378">
        <f>+'Exhibit F'!L71+'Exhibit G'!L52+'Exhibit H'!J38</f>
        <v>1.2000000000000002</v>
      </c>
      <c r="L76" s="378"/>
      <c r="M76" s="378">
        <f>+'Exhibit F'!N71+'Exhibit G'!N52+'Exhibit H'!L38</f>
        <v>0.80000000000000038</v>
      </c>
      <c r="N76" s="378"/>
      <c r="O76" s="378"/>
      <c r="P76" s="378"/>
      <c r="Q76" s="378"/>
      <c r="R76" s="378"/>
      <c r="S76" s="378"/>
      <c r="T76" s="378"/>
      <c r="U76" s="378"/>
      <c r="V76" s="378"/>
      <c r="W76" s="378"/>
      <c r="X76" s="378"/>
      <c r="Y76" s="378"/>
      <c r="Z76" s="378"/>
      <c r="AA76" s="379"/>
      <c r="AB76" s="378">
        <f t="shared" si="17"/>
        <v>3.7</v>
      </c>
      <c r="AC76" s="378"/>
      <c r="AD76" s="1807"/>
      <c r="AE76" s="378">
        <f>+'Exhibit F'!AF71+'Exhibit G'!AG52+'Exhibit H'!AD38</f>
        <v>3.5999999999999996</v>
      </c>
      <c r="AF76" s="378"/>
      <c r="AG76" s="378"/>
      <c r="AH76" s="378">
        <f t="shared" si="18"/>
        <v>0.1</v>
      </c>
      <c r="AI76" s="152"/>
      <c r="AJ76" s="661">
        <f>ROUND(IF(AE76=0,0,AH76/ABS(AE76)),3)</f>
        <v>2.8000000000000001E-2</v>
      </c>
    </row>
    <row r="77" spans="1:36" ht="16.5" customHeight="1">
      <c r="A77" s="594" t="s">
        <v>897</v>
      </c>
      <c r="B77" s="594"/>
      <c r="C77" s="378">
        <f>+'Exhibit F'!D72+'Exhibit G'!D53+'Exhibit I'!E43+'Exhibit H'!B39</f>
        <v>116.3</v>
      </c>
      <c r="D77" s="378"/>
      <c r="E77" s="378">
        <f>+'Exhibit F'!F72+'Exhibit G'!F53+'Exhibit I'!G43+'Exhibit H'!D39</f>
        <v>143.4</v>
      </c>
      <c r="F77" s="378"/>
      <c r="G77" s="378">
        <f>+'Exhibit F'!H72+'Exhibit G'!H53+'Exhibit I'!I43+'Exhibit H'!F39</f>
        <v>106.9</v>
      </c>
      <c r="H77" s="378"/>
      <c r="I77" s="378">
        <f>+'Exhibit F'!J72+'Exhibit G'!J53+'Exhibit I'!K43+'Exhibit H'!H39</f>
        <v>84.499999999999972</v>
      </c>
      <c r="J77" s="378"/>
      <c r="K77" s="378">
        <f>+'Exhibit F'!L72+'Exhibit G'!L53+'Exhibit I'!M43+'Exhibit H'!J39</f>
        <v>118.60000000000002</v>
      </c>
      <c r="L77" s="378"/>
      <c r="M77" s="378">
        <f>+'Exhibit F'!N72+'Exhibit G'!N53+'Exhibit I'!O43+'Exhibit H'!L39</f>
        <v>72.399999999999963</v>
      </c>
      <c r="N77" s="378"/>
      <c r="O77" s="378"/>
      <c r="P77" s="378"/>
      <c r="Q77" s="378"/>
      <c r="R77" s="378"/>
      <c r="S77" s="378"/>
      <c r="T77" s="378"/>
      <c r="U77" s="378"/>
      <c r="V77" s="378"/>
      <c r="W77" s="378"/>
      <c r="X77" s="378"/>
      <c r="Y77" s="378"/>
      <c r="Z77" s="378"/>
      <c r="AA77" s="379"/>
      <c r="AB77" s="378">
        <f t="shared" si="17"/>
        <v>642.1</v>
      </c>
      <c r="AC77" s="378"/>
      <c r="AD77" s="1807"/>
      <c r="AE77" s="378">
        <f>+'Exhibit F'!AF72+'Exhibit G'!AG53+'Exhibit I'!AI43+'Exhibit H'!AD39</f>
        <v>584.20000000000005</v>
      </c>
      <c r="AF77" s="378"/>
      <c r="AG77" s="378"/>
      <c r="AH77" s="378">
        <f t="shared" si="18"/>
        <v>57.9</v>
      </c>
      <c r="AI77" s="152"/>
      <c r="AJ77" s="661">
        <f t="shared" si="19"/>
        <v>9.9000000000000005E-2</v>
      </c>
    </row>
    <row r="78" spans="1:36" ht="16.5" customHeight="1">
      <c r="A78" s="594" t="s">
        <v>898</v>
      </c>
      <c r="B78" s="594"/>
      <c r="C78" s="378">
        <f>+'Exhibit F'!D73+'Exhibit G'!D54+'Exhibit I'!E44+'Exhibit H'!B40</f>
        <v>74.7</v>
      </c>
      <c r="D78" s="378"/>
      <c r="E78" s="378">
        <f>+'Exhibit F'!F73+'Exhibit G'!F54+'Exhibit I'!G44+'Exhibit H'!D40</f>
        <v>39.1</v>
      </c>
      <c r="F78" s="378"/>
      <c r="G78" s="378">
        <f>+'Exhibit F'!H73+'Exhibit G'!H54+'Exhibit I'!I44+'Exhibit H'!F40</f>
        <v>60.100000000000009</v>
      </c>
      <c r="H78" s="378"/>
      <c r="I78" s="378">
        <f>+'Exhibit F'!J73+'Exhibit G'!J54+'Exhibit I'!K44+'Exhibit H'!H40</f>
        <v>76.899999999999963</v>
      </c>
      <c r="J78" s="378"/>
      <c r="K78" s="378">
        <f>+'Exhibit F'!L73+'Exhibit G'!L54+'Exhibit I'!M44+'Exhibit H'!J40</f>
        <v>142.19999999999999</v>
      </c>
      <c r="L78" s="378"/>
      <c r="M78" s="378">
        <f>+'Exhibit F'!N73+'Exhibit G'!N54+'Exhibit I'!O44+'Exhibit H'!L40</f>
        <v>160.80000000000004</v>
      </c>
      <c r="N78" s="378"/>
      <c r="O78" s="378"/>
      <c r="P78" s="378"/>
      <c r="Q78" s="378"/>
      <c r="R78" s="378"/>
      <c r="S78" s="378"/>
      <c r="T78" s="378"/>
      <c r="U78" s="378"/>
      <c r="V78" s="378"/>
      <c r="W78" s="378"/>
      <c r="X78" s="378"/>
      <c r="Y78" s="378"/>
      <c r="Z78" s="378"/>
      <c r="AA78" s="379"/>
      <c r="AB78" s="378">
        <f t="shared" si="17"/>
        <v>553.79999999999995</v>
      </c>
      <c r="AC78" s="378"/>
      <c r="AD78" s="1807"/>
      <c r="AE78" s="378">
        <f>+'Exhibit F'!AF73+'Exhibit G'!AG54+'Exhibit I'!AI44+'Exhibit H'!AD40</f>
        <v>560.30000000000007</v>
      </c>
      <c r="AF78" s="378"/>
      <c r="AG78" s="378"/>
      <c r="AH78" s="378">
        <f t="shared" si="18"/>
        <v>-6.5</v>
      </c>
      <c r="AI78" s="152"/>
      <c r="AJ78" s="661">
        <f t="shared" si="19"/>
        <v>-1.2E-2</v>
      </c>
    </row>
    <row r="79" spans="1:36" ht="16.5" customHeight="1">
      <c r="A79" s="594" t="s">
        <v>887</v>
      </c>
      <c r="B79" s="594"/>
      <c r="C79" s="378">
        <f>+'Exhibit F'!D74+'Exhibit G'!D55+'Exhibit I'!E45</f>
        <v>43</v>
      </c>
      <c r="D79" s="378"/>
      <c r="E79" s="378">
        <f>+'Exhibit F'!F74+'Exhibit G'!F55+'Exhibit I'!G45</f>
        <v>30.299999999999997</v>
      </c>
      <c r="F79" s="378"/>
      <c r="G79" s="378">
        <f>+'Exhibit F'!H74+'Exhibit G'!H55+'Exhibit I'!I45</f>
        <v>35.699999999999996</v>
      </c>
      <c r="H79" s="378"/>
      <c r="I79" s="378">
        <f>+'Exhibit F'!J74+'Exhibit G'!J55+'Exhibit I'!K45</f>
        <v>35.000000000000007</v>
      </c>
      <c r="J79" s="378"/>
      <c r="K79" s="378">
        <f>+'Exhibit F'!L74+'Exhibit G'!L55+'Exhibit I'!M45</f>
        <v>49.7</v>
      </c>
      <c r="L79" s="378"/>
      <c r="M79" s="378">
        <f>+'Exhibit F'!N74+'Exhibit G'!N55+'Exhibit I'!O45</f>
        <v>36.300000000000011</v>
      </c>
      <c r="N79" s="378"/>
      <c r="O79" s="378"/>
      <c r="P79" s="378"/>
      <c r="Q79" s="378"/>
      <c r="R79" s="378"/>
      <c r="S79" s="378"/>
      <c r="T79" s="378"/>
      <c r="U79" s="378"/>
      <c r="V79" s="378"/>
      <c r="W79" s="378"/>
      <c r="X79" s="378"/>
      <c r="Y79" s="378"/>
      <c r="Z79" s="378"/>
      <c r="AA79" s="379"/>
      <c r="AB79" s="378">
        <f t="shared" si="17"/>
        <v>230</v>
      </c>
      <c r="AC79" s="378"/>
      <c r="AD79" s="1807"/>
      <c r="AE79" s="378">
        <f>+'Exhibit F'!AF74+'Exhibit G'!AG55+'Exhibit I'!AI45</f>
        <v>232.29999999999998</v>
      </c>
      <c r="AF79" s="378"/>
      <c r="AG79" s="378"/>
      <c r="AH79" s="378">
        <f t="shared" si="18"/>
        <v>-2.2999999999999998</v>
      </c>
      <c r="AI79" s="152"/>
      <c r="AJ79" s="661">
        <f t="shared" si="19"/>
        <v>-0.01</v>
      </c>
    </row>
    <row r="80" spans="1:36" ht="16.5" customHeight="1">
      <c r="A80" s="594" t="s">
        <v>1002</v>
      </c>
      <c r="B80" s="594"/>
      <c r="C80" s="378"/>
      <c r="D80" s="378"/>
      <c r="E80" s="378"/>
      <c r="F80" s="378"/>
      <c r="G80" s="378"/>
      <c r="H80" s="378"/>
      <c r="I80" s="378"/>
      <c r="J80" s="378"/>
      <c r="K80" s="378"/>
      <c r="L80" s="378"/>
      <c r="M80" s="378"/>
      <c r="N80" s="378"/>
      <c r="O80" s="378"/>
      <c r="P80" s="378"/>
      <c r="Q80" s="378"/>
      <c r="R80" s="378"/>
      <c r="S80" s="378"/>
      <c r="T80" s="378"/>
      <c r="U80" s="378"/>
      <c r="V80" s="378"/>
      <c r="W80" s="378"/>
      <c r="X80" s="378"/>
      <c r="Y80" s="378"/>
      <c r="Z80" s="378"/>
      <c r="AA80" s="379"/>
      <c r="AB80" s="378"/>
      <c r="AC80" s="378"/>
      <c r="AD80" s="1807"/>
      <c r="AE80" s="378"/>
      <c r="AF80" s="378"/>
      <c r="AG80" s="378"/>
      <c r="AH80" s="378"/>
      <c r="AI80" s="152"/>
      <c r="AJ80" s="661"/>
    </row>
    <row r="81" spans="1:36" ht="16.5" customHeight="1">
      <c r="A81" s="594" t="s">
        <v>899</v>
      </c>
      <c r="B81" s="594"/>
      <c r="C81" s="378">
        <f>+'Exhibit G'!D57</f>
        <v>41.6</v>
      </c>
      <c r="D81" s="378"/>
      <c r="E81" s="378">
        <f>+'Exhibit G'!F57</f>
        <v>15</v>
      </c>
      <c r="F81" s="378"/>
      <c r="G81" s="378">
        <f>+'Exhibit G'!H57</f>
        <v>45.4</v>
      </c>
      <c r="H81" s="378"/>
      <c r="I81" s="378">
        <f>+'Exhibit G'!J57</f>
        <v>36.800000000000018</v>
      </c>
      <c r="J81" s="378"/>
      <c r="K81" s="378">
        <f>+'Exhibit G'!L57</f>
        <v>17</v>
      </c>
      <c r="L81" s="378"/>
      <c r="M81" s="378">
        <f>+'Exhibit G'!N57</f>
        <v>44.699999999999982</v>
      </c>
      <c r="N81" s="378"/>
      <c r="O81" s="378"/>
      <c r="P81" s="378"/>
      <c r="Q81" s="378"/>
      <c r="R81" s="378"/>
      <c r="S81" s="378"/>
      <c r="T81" s="378"/>
      <c r="U81" s="378"/>
      <c r="V81" s="378"/>
      <c r="W81" s="378"/>
      <c r="X81" s="378"/>
      <c r="Y81" s="378"/>
      <c r="Z81" s="378"/>
      <c r="AA81" s="379"/>
      <c r="AB81" s="378">
        <f t="shared" ref="AB81:AB86" si="20">ROUND(SUM(C81:Y81),1)</f>
        <v>200.5</v>
      </c>
      <c r="AC81" s="378"/>
      <c r="AD81" s="1807"/>
      <c r="AE81" s="378">
        <f>+'Exhibit G'!AG57</f>
        <v>188.9</v>
      </c>
      <c r="AF81" s="378"/>
      <c r="AG81" s="378"/>
      <c r="AH81" s="378">
        <f t="shared" ref="AH81:AH86" si="21">ROUND(SUM(AB81-AE81),1)</f>
        <v>11.6</v>
      </c>
      <c r="AI81" s="152"/>
      <c r="AJ81" s="1805">
        <f>ROUND(IF(AE81=0,1,AH81/ABS(AE81)),3)</f>
        <v>6.0999999999999999E-2</v>
      </c>
    </row>
    <row r="82" spans="1:36" ht="16.5" customHeight="1">
      <c r="A82" s="594" t="s">
        <v>1422</v>
      </c>
      <c r="B82" s="594"/>
      <c r="C82" s="378">
        <f>+'Exhibit G'!D58</f>
        <v>185</v>
      </c>
      <c r="D82" s="378"/>
      <c r="E82" s="378">
        <f>+'Exhibit G'!F58</f>
        <v>223.7</v>
      </c>
      <c r="F82" s="378"/>
      <c r="G82" s="378">
        <f>+'Exhibit G'!H58</f>
        <v>184.09999999999997</v>
      </c>
      <c r="H82" s="378"/>
      <c r="I82" s="378">
        <f>+'Exhibit G'!J58</f>
        <v>213.10000000000002</v>
      </c>
      <c r="J82" s="378"/>
      <c r="K82" s="378">
        <f>+'Exhibit G'!L58</f>
        <v>255.09999999999997</v>
      </c>
      <c r="L82" s="378"/>
      <c r="M82" s="378">
        <f>+'Exhibit G'!N58</f>
        <v>181.59999999999997</v>
      </c>
      <c r="N82" s="378"/>
      <c r="O82" s="378"/>
      <c r="P82" s="378"/>
      <c r="Q82" s="378"/>
      <c r="R82" s="378"/>
      <c r="S82" s="378"/>
      <c r="T82" s="378"/>
      <c r="U82" s="378"/>
      <c r="V82" s="378"/>
      <c r="W82" s="378"/>
      <c r="X82" s="378"/>
      <c r="Y82" s="378"/>
      <c r="Z82" s="378"/>
      <c r="AA82" s="379"/>
      <c r="AB82" s="378">
        <f t="shared" si="20"/>
        <v>1242.5999999999999</v>
      </c>
      <c r="AC82" s="378"/>
      <c r="AD82" s="1807"/>
      <c r="AE82" s="378">
        <f>+'Exhibit G'!AG58</f>
        <v>1225.5999999999999</v>
      </c>
      <c r="AF82" s="378"/>
      <c r="AG82" s="378"/>
      <c r="AH82" s="378">
        <f t="shared" si="21"/>
        <v>17</v>
      </c>
      <c r="AI82" s="152"/>
      <c r="AJ82" s="1805">
        <f>ROUND(IF(AE82=0,0,AH82/ABS(AE82)),3)</f>
        <v>1.4E-2</v>
      </c>
    </row>
    <row r="83" spans="1:36" ht="16.5" customHeight="1">
      <c r="A83" s="594" t="s">
        <v>1423</v>
      </c>
      <c r="B83" s="594"/>
      <c r="C83" s="378">
        <f>+'Exhibit G'!D59+'Exhibit F'!D76</f>
        <v>59.1</v>
      </c>
      <c r="D83" s="378"/>
      <c r="E83" s="378">
        <f>+'Exhibit G'!F59+'Exhibit F'!F76</f>
        <v>90.4</v>
      </c>
      <c r="F83" s="378"/>
      <c r="G83" s="378">
        <f>+'Exhibit G'!H59+'Exhibit F'!H76</f>
        <v>47.5</v>
      </c>
      <c r="H83" s="378"/>
      <c r="I83" s="378">
        <f>+'Exhibit G'!J59+'Exhibit F'!J76</f>
        <v>53.400000000000006</v>
      </c>
      <c r="J83" s="378"/>
      <c r="K83" s="378">
        <f>+'Exhibit G'!L59+'Exhibit F'!L76</f>
        <v>59.599999999999994</v>
      </c>
      <c r="L83" s="378"/>
      <c r="M83" s="378">
        <f>+'Exhibit G'!N59+'Exhibit F'!N76</f>
        <v>66.899999999999949</v>
      </c>
      <c r="N83" s="378"/>
      <c r="O83" s="378"/>
      <c r="P83" s="378"/>
      <c r="Q83" s="378"/>
      <c r="R83" s="378"/>
      <c r="S83" s="378"/>
      <c r="T83" s="378"/>
      <c r="U83" s="378"/>
      <c r="V83" s="378"/>
      <c r="W83" s="378"/>
      <c r="X83" s="378"/>
      <c r="Y83" s="378"/>
      <c r="Z83" s="378"/>
      <c r="AA83" s="379"/>
      <c r="AB83" s="378">
        <f t="shared" si="20"/>
        <v>376.9</v>
      </c>
      <c r="AC83" s="378"/>
      <c r="AD83" s="1807"/>
      <c r="AE83" s="378">
        <f>+'Exhibit G'!AG59+'Exhibit F'!AF76</f>
        <v>290.39999999999998</v>
      </c>
      <c r="AF83" s="378"/>
      <c r="AG83" s="378"/>
      <c r="AH83" s="378">
        <f t="shared" si="21"/>
        <v>86.5</v>
      </c>
      <c r="AI83" s="152"/>
      <c r="AJ83" s="1805">
        <f>ROUND(IF(AE83=0,1,AH83/ABS(AE83)),3)</f>
        <v>0.29799999999999999</v>
      </c>
    </row>
    <row r="84" spans="1:36" ht="16.5" customHeight="1">
      <c r="A84" s="594" t="s">
        <v>900</v>
      </c>
      <c r="B84" s="594"/>
      <c r="C84" s="378">
        <f>+'Exhibit G'!D60</f>
        <v>76.2</v>
      </c>
      <c r="D84" s="378"/>
      <c r="E84" s="378">
        <f>+'Exhibit G'!F60</f>
        <v>74.499999999999986</v>
      </c>
      <c r="F84" s="378"/>
      <c r="G84" s="378">
        <f>+'Exhibit G'!H60</f>
        <v>96.899999999999991</v>
      </c>
      <c r="H84" s="378"/>
      <c r="I84" s="378">
        <f>+'Exhibit G'!J60</f>
        <v>84.700000000000031</v>
      </c>
      <c r="J84" s="378"/>
      <c r="K84" s="378">
        <f>+'Exhibit G'!L60</f>
        <v>103.2</v>
      </c>
      <c r="L84" s="378"/>
      <c r="M84" s="378">
        <f>+'Exhibit G'!N60</f>
        <v>81.200000000000031</v>
      </c>
      <c r="N84" s="378"/>
      <c r="O84" s="378"/>
      <c r="P84" s="378"/>
      <c r="Q84" s="378"/>
      <c r="R84" s="378"/>
      <c r="S84" s="378"/>
      <c r="T84" s="378"/>
      <c r="U84" s="378"/>
      <c r="V84" s="378"/>
      <c r="W84" s="378"/>
      <c r="X84" s="378"/>
      <c r="Y84" s="378"/>
      <c r="Z84" s="378"/>
      <c r="AA84" s="379"/>
      <c r="AB84" s="378">
        <f t="shared" si="20"/>
        <v>516.70000000000005</v>
      </c>
      <c r="AC84" s="378"/>
      <c r="AD84" s="1807"/>
      <c r="AE84" s="378">
        <f>+'Exhibit G'!AG60</f>
        <v>491.1</v>
      </c>
      <c r="AF84" s="378"/>
      <c r="AG84" s="378"/>
      <c r="AH84" s="378">
        <f t="shared" si="21"/>
        <v>25.6</v>
      </c>
      <c r="AI84" s="152"/>
      <c r="AJ84" s="1805">
        <f>ROUND(IF(AE84=0,1,AH84/ABS(AE84)),3)</f>
        <v>5.1999999999999998E-2</v>
      </c>
    </row>
    <row r="85" spans="1:36" ht="16.5" customHeight="1">
      <c r="A85" s="594" t="s">
        <v>888</v>
      </c>
      <c r="B85" s="594"/>
      <c r="C85" s="378">
        <f>+'Exhibit F'!D77+'Exhibit G'!D61+'Exhibit H'!B41+'Exhibit I'!E46</f>
        <v>331.59999999999997</v>
      </c>
      <c r="D85" s="378"/>
      <c r="E85" s="378">
        <f>+'Exhibit F'!F77+'Exhibit G'!F61+'Exhibit H'!D41+'Exhibit I'!G46</f>
        <v>302.8</v>
      </c>
      <c r="F85" s="378"/>
      <c r="G85" s="378">
        <f>+'Exhibit F'!H77+'Exhibit G'!H61+'Exhibit H'!F41+'Exhibit I'!I46</f>
        <v>331.59999999999997</v>
      </c>
      <c r="H85" s="378"/>
      <c r="I85" s="378">
        <f>+'Exhibit F'!J77+'Exhibit G'!J61+'Exhibit H'!H41+'Exhibit I'!K46</f>
        <v>320.10000000000002</v>
      </c>
      <c r="J85" s="378"/>
      <c r="K85" s="378">
        <f>+'Exhibit F'!L77+'Exhibit G'!L61+'Exhibit H'!J41+'Exhibit I'!M46</f>
        <v>349.60000000000014</v>
      </c>
      <c r="L85" s="378"/>
      <c r="M85" s="378">
        <f>+'Exhibit F'!N77+'Exhibit G'!N61+'Exhibit H'!L41+'Exhibit I'!O46</f>
        <v>353.9</v>
      </c>
      <c r="N85" s="378"/>
      <c r="O85" s="378"/>
      <c r="P85" s="378"/>
      <c r="Q85" s="378"/>
      <c r="R85" s="378"/>
      <c r="S85" s="378"/>
      <c r="T85" s="378"/>
      <c r="U85" s="378"/>
      <c r="V85" s="378"/>
      <c r="W85" s="378"/>
      <c r="X85" s="378"/>
      <c r="Y85" s="378"/>
      <c r="Z85" s="378"/>
      <c r="AA85" s="379"/>
      <c r="AB85" s="378">
        <f t="shared" si="20"/>
        <v>1989.6</v>
      </c>
      <c r="AC85" s="378"/>
      <c r="AD85" s="1807"/>
      <c r="AE85" s="378">
        <f>+'Exhibit F'!AF77+'Exhibit G'!AG61+'Exhibit H'!AD41+'Exhibit I'!AI46</f>
        <v>357.5</v>
      </c>
      <c r="AF85" s="378"/>
      <c r="AG85" s="378"/>
      <c r="AH85" s="378">
        <f t="shared" si="21"/>
        <v>1632.1</v>
      </c>
      <c r="AI85" s="152"/>
      <c r="AJ85" s="1805">
        <f>ROUND(IF(AE85=0,0,AH85/ABS(AE85)),3)</f>
        <v>4.5650000000000004</v>
      </c>
    </row>
    <row r="86" spans="1:36" ht="16.5" customHeight="1">
      <c r="A86" s="594" t="s">
        <v>905</v>
      </c>
      <c r="B86" s="594"/>
      <c r="C86" s="378">
        <f>+'Exhibit F'!D78+'Exhibit G'!D62+'Exhibit H'!B42+'Exhibit I'!E47</f>
        <v>6.8</v>
      </c>
      <c r="D86" s="378"/>
      <c r="E86" s="378">
        <f>+'Exhibit F'!F78+'Exhibit G'!F62+'Exhibit H'!D42+'Exhibit I'!G47</f>
        <v>1.6000000000000005</v>
      </c>
      <c r="F86" s="378"/>
      <c r="G86" s="378">
        <f>+'Exhibit F'!H78+'Exhibit G'!H62+'Exhibit H'!F42+'Exhibit I'!I47</f>
        <v>7.0000000000000009</v>
      </c>
      <c r="H86" s="378"/>
      <c r="I86" s="378">
        <f>+'Exhibit F'!J78+'Exhibit G'!J62+'Exhibit H'!H42+'Exhibit I'!K47</f>
        <v>2.9999999999999956</v>
      </c>
      <c r="J86" s="378"/>
      <c r="K86" s="378">
        <f>+'Exhibit F'!L78+'Exhibit G'!L62+'Exhibit H'!J42+'Exhibit I'!M47</f>
        <v>1.5000000000000022</v>
      </c>
      <c r="L86" s="378"/>
      <c r="M86" s="378">
        <f>+'Exhibit F'!N78+'Exhibit G'!N62+'Exhibit H'!L42+'Exhibit I'!O47</f>
        <v>80</v>
      </c>
      <c r="N86" s="378"/>
      <c r="O86" s="378"/>
      <c r="P86" s="378"/>
      <c r="Q86" s="378"/>
      <c r="R86" s="378"/>
      <c r="S86" s="378"/>
      <c r="T86" s="378"/>
      <c r="U86" s="378"/>
      <c r="V86" s="378"/>
      <c r="W86" s="378"/>
      <c r="X86" s="378"/>
      <c r="Y86" s="378"/>
      <c r="Z86" s="378"/>
      <c r="AA86" s="379"/>
      <c r="AB86" s="378">
        <f t="shared" si="20"/>
        <v>99.9</v>
      </c>
      <c r="AC86" s="378"/>
      <c r="AD86" s="1807"/>
      <c r="AE86" s="378">
        <f>+'Exhibit F'!AF78+'Exhibit G'!AG62+'Exhibit H'!AD42+'Exhibit I'!AI47</f>
        <v>100.39999999999999</v>
      </c>
      <c r="AF86" s="378"/>
      <c r="AG86" s="378"/>
      <c r="AH86" s="378">
        <f t="shared" si="21"/>
        <v>-0.5</v>
      </c>
      <c r="AI86" s="152"/>
      <c r="AJ86" s="469">
        <f>ROUND(IF(AE86=0,0,AH86/ABS(AE86)),3)</f>
        <v>-5.0000000000000001E-3</v>
      </c>
    </row>
    <row r="87" spans="1:36" ht="16.5" customHeight="1">
      <c r="A87" s="594" t="s">
        <v>1003</v>
      </c>
      <c r="B87" s="594"/>
      <c r="C87" s="378"/>
      <c r="D87" s="378"/>
      <c r="E87" s="378"/>
      <c r="F87" s="378"/>
      <c r="G87" s="378"/>
      <c r="H87" s="378"/>
      <c r="I87" s="378"/>
      <c r="J87" s="378"/>
      <c r="K87" s="378"/>
      <c r="L87" s="378"/>
      <c r="M87" s="378"/>
      <c r="N87" s="378"/>
      <c r="O87" s="378"/>
      <c r="P87" s="378"/>
      <c r="Q87" s="378"/>
      <c r="R87" s="378"/>
      <c r="S87" s="378"/>
      <c r="T87" s="378"/>
      <c r="U87" s="378"/>
      <c r="V87" s="378"/>
      <c r="W87" s="378"/>
      <c r="X87" s="378"/>
      <c r="Y87" s="378"/>
      <c r="Z87" s="378"/>
      <c r="AA87" s="379"/>
      <c r="AB87" s="378"/>
      <c r="AC87" s="378"/>
      <c r="AD87" s="1807"/>
      <c r="AE87" s="378"/>
      <c r="AF87" s="378"/>
      <c r="AG87" s="378"/>
      <c r="AH87" s="378"/>
      <c r="AI87" s="152"/>
      <c r="AJ87" s="661"/>
    </row>
    <row r="88" spans="1:36" ht="16.5" customHeight="1">
      <c r="A88" s="594" t="s">
        <v>901</v>
      </c>
      <c r="B88" s="594"/>
      <c r="C88" s="378">
        <f>+'Exhibit G'!D64+'Exhibit I'!E49</f>
        <v>189.2</v>
      </c>
      <c r="D88" s="378"/>
      <c r="E88" s="378">
        <f>+'Exhibit G'!F64+'Exhibit I'!G49</f>
        <v>559.5</v>
      </c>
      <c r="F88" s="378"/>
      <c r="G88" s="378">
        <f>+'Exhibit G'!H64+'Exhibit I'!I49</f>
        <v>323</v>
      </c>
      <c r="H88" s="378"/>
      <c r="I88" s="378">
        <f>+'Exhibit G'!J64+'Exhibit I'!K49</f>
        <v>725.89999999999986</v>
      </c>
      <c r="J88" s="378"/>
      <c r="K88" s="378">
        <f>+'Exhibit G'!L64+'Exhibit I'!M49</f>
        <v>336.90000000000009</v>
      </c>
      <c r="L88" s="378"/>
      <c r="M88" s="378">
        <f>+'Exhibit G'!N64+'Exhibit I'!O49</f>
        <v>695.60000000000014</v>
      </c>
      <c r="N88" s="378"/>
      <c r="O88" s="378"/>
      <c r="P88" s="378"/>
      <c r="Q88" s="378"/>
      <c r="R88" s="378"/>
      <c r="S88" s="378"/>
      <c r="T88" s="378"/>
      <c r="U88" s="378"/>
      <c r="V88" s="378"/>
      <c r="W88" s="378"/>
      <c r="X88" s="378"/>
      <c r="Y88" s="378"/>
      <c r="Z88" s="378"/>
      <c r="AA88" s="379"/>
      <c r="AB88" s="378">
        <f t="shared" si="17"/>
        <v>2830.1</v>
      </c>
      <c r="AC88" s="378"/>
      <c r="AD88" s="1807"/>
      <c r="AE88" s="378">
        <f>+'Exhibit G'!AG64+'Exhibit I'!AI49+'Exhibit H'!AD44+'Exhibit F'!AF80</f>
        <v>3374.8</v>
      </c>
      <c r="AF88" s="378"/>
      <c r="AG88" s="378"/>
      <c r="AH88" s="378">
        <f t="shared" si="18"/>
        <v>-544.70000000000005</v>
      </c>
      <c r="AI88" s="152"/>
      <c r="AJ88" s="971">
        <f>ROUND(IF(AE88=0,1,AH88/ABS(AE88)),3)</f>
        <v>-0.161</v>
      </c>
    </row>
    <row r="89" spans="1:36" ht="16.5" customHeight="1">
      <c r="A89" s="594" t="s">
        <v>902</v>
      </c>
      <c r="B89" s="594"/>
      <c r="C89" s="378">
        <f>+'Exhibit F'!D81+'Exhibit G'!D65</f>
        <v>0.4</v>
      </c>
      <c r="D89" s="378"/>
      <c r="E89" s="378">
        <f>+'Exhibit F'!F81+'Exhibit G'!F65</f>
        <v>0</v>
      </c>
      <c r="F89" s="378"/>
      <c r="G89" s="378">
        <f>+'Exhibit F'!H81+'Exhibit G'!H65</f>
        <v>0</v>
      </c>
      <c r="H89" s="378"/>
      <c r="I89" s="378">
        <f>+'Exhibit F'!J81+'Exhibit G'!J65</f>
        <v>0</v>
      </c>
      <c r="J89" s="378"/>
      <c r="K89" s="378">
        <f>+'Exhibit F'!L81+'Exhibit G'!L65</f>
        <v>0</v>
      </c>
      <c r="L89" s="378"/>
      <c r="M89" s="378">
        <f>+'Exhibit F'!N81+'Exhibit G'!N65</f>
        <v>0</v>
      </c>
      <c r="N89" s="378"/>
      <c r="O89" s="378"/>
      <c r="P89" s="378"/>
      <c r="Q89" s="378"/>
      <c r="R89" s="378"/>
      <c r="S89" s="378"/>
      <c r="T89" s="378"/>
      <c r="U89" s="378"/>
      <c r="V89" s="378"/>
      <c r="W89" s="378"/>
      <c r="X89" s="378"/>
      <c r="Y89" s="378"/>
      <c r="Z89" s="378"/>
      <c r="AA89" s="379"/>
      <c r="AB89" s="378">
        <f t="shared" si="17"/>
        <v>0.4</v>
      </c>
      <c r="AC89" s="378"/>
      <c r="AD89" s="1807"/>
      <c r="AE89" s="378">
        <f>+'Exhibit F'!AF81+'Exhibit G'!AG65</f>
        <v>26.9</v>
      </c>
      <c r="AF89" s="378"/>
      <c r="AG89" s="378"/>
      <c r="AH89" s="378">
        <f t="shared" si="18"/>
        <v>-26.5</v>
      </c>
      <c r="AI89" s="152"/>
      <c r="AJ89" s="469">
        <f>ROUND(IF(AE89=0,1,AH89/ABS(AE89)),3)</f>
        <v>-0.98499999999999999</v>
      </c>
    </row>
    <row r="90" spans="1:36" ht="16.5" customHeight="1">
      <c r="A90" s="594" t="s">
        <v>903</v>
      </c>
      <c r="B90" s="594"/>
      <c r="C90" s="378">
        <f>+'Exhibit F'!D82+'Exhibit G'!D66</f>
        <v>0.3</v>
      </c>
      <c r="D90" s="378"/>
      <c r="E90" s="378">
        <f>+'Exhibit F'!F82+'Exhibit G'!F66</f>
        <v>0</v>
      </c>
      <c r="F90" s="378"/>
      <c r="G90" s="378">
        <f>+'Exhibit F'!H82+'Exhibit G'!H66</f>
        <v>2.4000000000000004</v>
      </c>
      <c r="H90" s="378"/>
      <c r="I90" s="378">
        <f>+'Exhibit F'!J82+'Exhibit G'!J66</f>
        <v>5.6</v>
      </c>
      <c r="J90" s="378"/>
      <c r="K90" s="378">
        <f>+'Exhibit F'!L82+'Exhibit G'!L66</f>
        <v>9.7000000000000011</v>
      </c>
      <c r="L90" s="378"/>
      <c r="M90" s="378">
        <f>+'Exhibit F'!N82+'Exhibit G'!N66</f>
        <v>10.599999999999996</v>
      </c>
      <c r="N90" s="378"/>
      <c r="O90" s="378"/>
      <c r="P90" s="378"/>
      <c r="Q90" s="378"/>
      <c r="R90" s="378"/>
      <c r="S90" s="378"/>
      <c r="T90" s="378"/>
      <c r="U90" s="378"/>
      <c r="V90" s="378"/>
      <c r="W90" s="378"/>
      <c r="X90" s="378"/>
      <c r="Y90" s="378"/>
      <c r="Z90" s="378"/>
      <c r="AA90" s="379"/>
      <c r="AB90" s="378">
        <f t="shared" si="17"/>
        <v>28.6</v>
      </c>
      <c r="AC90" s="378"/>
      <c r="AD90" s="1807"/>
      <c r="AE90" s="378">
        <f>+'Exhibit F'!AF82+'Exhibit G'!AG66</f>
        <v>39.800000000000004</v>
      </c>
      <c r="AF90" s="378"/>
      <c r="AG90" s="378"/>
      <c r="AH90" s="378">
        <f t="shared" si="18"/>
        <v>-11.2</v>
      </c>
      <c r="AI90" s="152"/>
      <c r="AJ90" s="971">
        <f t="shared" ref="AJ90:AJ92" si="22">ROUND(IF(AE90=0,0,AH90/ABS(AE90)),3)</f>
        <v>-0.28100000000000003</v>
      </c>
    </row>
    <row r="91" spans="1:36" ht="16.5" customHeight="1">
      <c r="A91" s="594" t="s">
        <v>904</v>
      </c>
      <c r="B91" s="594"/>
      <c r="C91" s="378">
        <f>+'Exhibit F'!D83+'Exhibit G'!D67+'Exhibit I'!E51</f>
        <v>6.2</v>
      </c>
      <c r="D91" s="378"/>
      <c r="E91" s="378">
        <f>+'Exhibit F'!F83+'Exhibit G'!F67+'Exhibit I'!G51</f>
        <v>0.59999999999999964</v>
      </c>
      <c r="F91" s="378"/>
      <c r="G91" s="378">
        <f>+'Exhibit F'!H83+'Exhibit G'!H67+'Exhibit I'!I51</f>
        <v>11.200000000000001</v>
      </c>
      <c r="H91" s="378"/>
      <c r="I91" s="378">
        <f>+'Exhibit F'!J83+'Exhibit G'!J67+'Exhibit I'!K51</f>
        <v>4.6999999999999993</v>
      </c>
      <c r="J91" s="378"/>
      <c r="K91" s="378">
        <f>+'Exhibit F'!L83+'Exhibit G'!L67+'Exhibit I'!M51</f>
        <v>5.6000000000000014</v>
      </c>
      <c r="L91" s="378"/>
      <c r="M91" s="378">
        <f>+'Exhibit F'!N83+'Exhibit G'!N67+'Exhibit I'!O51</f>
        <v>4.6999999999999993</v>
      </c>
      <c r="N91" s="378"/>
      <c r="O91" s="378"/>
      <c r="P91" s="378"/>
      <c r="Q91" s="378"/>
      <c r="R91" s="378"/>
      <c r="S91" s="378"/>
      <c r="T91" s="378"/>
      <c r="U91" s="378"/>
      <c r="V91" s="378"/>
      <c r="W91" s="378"/>
      <c r="X91" s="378"/>
      <c r="Y91" s="378"/>
      <c r="Z91" s="378"/>
      <c r="AA91" s="379"/>
      <c r="AB91" s="378">
        <f t="shared" si="17"/>
        <v>33</v>
      </c>
      <c r="AC91" s="378"/>
      <c r="AD91" s="1807"/>
      <c r="AE91" s="378">
        <f>+'Exhibit F'!AF83+'Exhibit G'!AG67+'Exhibit I'!AI51</f>
        <v>36.1</v>
      </c>
      <c r="AF91" s="378"/>
      <c r="AG91" s="378"/>
      <c r="AH91" s="378">
        <f t="shared" si="18"/>
        <v>-3.1</v>
      </c>
      <c r="AI91" s="152"/>
      <c r="AJ91" s="469">
        <f t="shared" si="22"/>
        <v>-8.5999999999999993E-2</v>
      </c>
    </row>
    <row r="92" spans="1:36" ht="16.5" customHeight="1">
      <c r="A92" s="594" t="s">
        <v>906</v>
      </c>
      <c r="B92" s="594"/>
      <c r="C92" s="378">
        <f>+'Exhibit F'!D84+'Exhibit G'!D68+'Exhibit H'!B45+'Exhibit I'!E52</f>
        <v>28</v>
      </c>
      <c r="D92" s="378"/>
      <c r="E92" s="378">
        <f>+'Exhibit F'!F84+'Exhibit G'!F68+'Exhibit H'!D45+'Exhibit I'!G52</f>
        <v>18.200000000000003</v>
      </c>
      <c r="F92" s="378"/>
      <c r="G92" s="378">
        <f>+'Exhibit F'!H84+'Exhibit G'!H68+'Exhibit H'!F45+'Exhibit I'!I52</f>
        <v>2.9000000000000017</v>
      </c>
      <c r="H92" s="378"/>
      <c r="I92" s="378">
        <f>+'Exhibit F'!J84+'Exhibit G'!J68+'Exhibit H'!H45+'Exhibit I'!K52</f>
        <v>1.1999999999999955</v>
      </c>
      <c r="J92" s="378"/>
      <c r="K92" s="378">
        <f>+'Exhibit F'!L84+'Exhibit G'!L68+'Exhibit H'!J45+'Exhibit I'!M52</f>
        <v>11.7</v>
      </c>
      <c r="L92" s="378"/>
      <c r="M92" s="378">
        <f>+'Exhibit F'!N84+'Exhibit G'!N68+'Exhibit H'!L45+'Exhibit I'!O52</f>
        <v>-0.60000000000000009</v>
      </c>
      <c r="N92" s="378"/>
      <c r="O92" s="378"/>
      <c r="P92" s="378"/>
      <c r="Q92" s="378"/>
      <c r="R92" s="378"/>
      <c r="S92" s="378"/>
      <c r="T92" s="378"/>
      <c r="U92" s="378"/>
      <c r="V92" s="378"/>
      <c r="W92" s="378"/>
      <c r="X92" s="378"/>
      <c r="Y92" s="378"/>
      <c r="Z92" s="378"/>
      <c r="AA92" s="379"/>
      <c r="AB92" s="378">
        <f t="shared" si="17"/>
        <v>61.4</v>
      </c>
      <c r="AC92" s="378"/>
      <c r="AD92" s="1807"/>
      <c r="AE92" s="378">
        <f>+'Exhibit F'!AF84+'Exhibit G'!AG68+'Exhibit H'!AD45+'Exhibit I'!AI52</f>
        <v>106.5</v>
      </c>
      <c r="AF92" s="378"/>
      <c r="AG92" s="378"/>
      <c r="AH92" s="378">
        <f t="shared" si="18"/>
        <v>-45.1</v>
      </c>
      <c r="AI92" s="152"/>
      <c r="AJ92" s="971">
        <f t="shared" si="22"/>
        <v>-0.42299999999999999</v>
      </c>
    </row>
    <row r="93" spans="1:36" ht="16.5" customHeight="1">
      <c r="A93" s="594" t="s">
        <v>1004</v>
      </c>
      <c r="B93" s="594"/>
      <c r="C93" s="378"/>
      <c r="D93" s="378"/>
      <c r="E93" s="378"/>
      <c r="F93" s="378"/>
      <c r="G93" s="378"/>
      <c r="H93" s="378"/>
      <c r="I93" s="378"/>
      <c r="J93" s="378"/>
      <c r="K93" s="378"/>
      <c r="L93" s="378"/>
      <c r="M93" s="378"/>
      <c r="N93" s="378"/>
      <c r="O93" s="378"/>
      <c r="P93" s="378"/>
      <c r="Q93" s="378"/>
      <c r="R93" s="378"/>
      <c r="S93" s="378"/>
      <c r="T93" s="378"/>
      <c r="U93" s="378"/>
      <c r="V93" s="378"/>
      <c r="W93" s="378"/>
      <c r="X93" s="378"/>
      <c r="Y93" s="378"/>
      <c r="Z93" s="378"/>
      <c r="AA93" s="379"/>
      <c r="AB93" s="378"/>
      <c r="AC93" s="378"/>
      <c r="AD93" s="1807"/>
      <c r="AE93" s="378"/>
      <c r="AF93" s="378"/>
      <c r="AG93" s="378"/>
      <c r="AH93" s="378"/>
      <c r="AI93" s="152"/>
      <c r="AJ93" s="469"/>
    </row>
    <row r="94" spans="1:36" ht="16.5" customHeight="1">
      <c r="A94" s="594" t="s">
        <v>907</v>
      </c>
      <c r="B94" s="594"/>
      <c r="C94" s="378">
        <f>+'Exhibit F'!D86+'Exhibit G'!D70+'Exhibit I'!E54</f>
        <v>8.6999999999999993</v>
      </c>
      <c r="D94" s="378"/>
      <c r="E94" s="378">
        <f>+'Exhibit F'!F86+'Exhibit G'!F70+'Exhibit I'!G54</f>
        <v>26.799999999999997</v>
      </c>
      <c r="F94" s="378"/>
      <c r="G94" s="378">
        <f>+'Exhibit F'!H86+'Exhibit G'!H70+'Exhibit I'!I54</f>
        <v>24.9</v>
      </c>
      <c r="H94" s="378"/>
      <c r="I94" s="378">
        <f>+'Exhibit F'!J86+'Exhibit G'!J70+'Exhibit I'!K54</f>
        <v>25.000000000000004</v>
      </c>
      <c r="J94" s="378"/>
      <c r="K94" s="378">
        <f>+'Exhibit F'!L86+'Exhibit G'!L70+'Exhibit I'!M54</f>
        <v>10</v>
      </c>
      <c r="L94" s="378"/>
      <c r="M94" s="378">
        <f>+'Exhibit F'!N86+'Exhibit G'!N70+'Exhibit I'!O54</f>
        <v>24.100000000000005</v>
      </c>
      <c r="N94" s="378"/>
      <c r="O94" s="378"/>
      <c r="P94" s="378"/>
      <c r="Q94" s="378"/>
      <c r="R94" s="378"/>
      <c r="S94" s="378"/>
      <c r="T94" s="378"/>
      <c r="U94" s="378"/>
      <c r="V94" s="378"/>
      <c r="W94" s="378"/>
      <c r="X94" s="378"/>
      <c r="Y94" s="378"/>
      <c r="Z94" s="378"/>
      <c r="AA94" s="379"/>
      <c r="AB94" s="378">
        <f t="shared" si="17"/>
        <v>119.5</v>
      </c>
      <c r="AC94" s="378"/>
      <c r="AD94" s="1807"/>
      <c r="AE94" s="378">
        <f>+'Exhibit F'!AF86+'Exhibit G'!AG70+'Exhibit I'!AI54</f>
        <v>119.7</v>
      </c>
      <c r="AF94" s="378"/>
      <c r="AG94" s="378"/>
      <c r="AH94" s="378">
        <f t="shared" si="18"/>
        <v>-0.2</v>
      </c>
      <c r="AI94" s="152"/>
      <c r="AJ94" s="971">
        <f>ROUND(IF(AE94=0,0,AH94/ABS(AE94)),3)</f>
        <v>-2E-3</v>
      </c>
    </row>
    <row r="95" spans="1:36" ht="16.5" customHeight="1">
      <c r="A95" s="594" t="s">
        <v>908</v>
      </c>
      <c r="B95" s="594"/>
      <c r="C95" s="378">
        <f>+'Exhibit G'!D71+'Exhibit F'!D87</f>
        <v>1</v>
      </c>
      <c r="D95" s="378"/>
      <c r="E95" s="378">
        <f>+'Exhibit G'!F71+'Exhibit F'!F87</f>
        <v>0.29999999999999583</v>
      </c>
      <c r="F95" s="378"/>
      <c r="G95" s="378">
        <f>+'Exhibit G'!H71+'Exhibit F'!H87</f>
        <v>0.20000000000000129</v>
      </c>
      <c r="H95" s="378"/>
      <c r="I95" s="378">
        <f>+'Exhibit G'!J71+'Exhibit F'!J87</f>
        <v>-0.19999999999999996</v>
      </c>
      <c r="J95" s="378"/>
      <c r="K95" s="378">
        <f>+'Exhibit G'!L71+'Exhibit F'!L87</f>
        <v>0.59999999999999143</v>
      </c>
      <c r="L95" s="378"/>
      <c r="M95" s="378">
        <f>+'Exhibit G'!N71+'Exhibit F'!N87</f>
        <v>0</v>
      </c>
      <c r="N95" s="378"/>
      <c r="O95" s="378"/>
      <c r="P95" s="378"/>
      <c r="Q95" s="378"/>
      <c r="R95" s="378"/>
      <c r="S95" s="378"/>
      <c r="T95" s="378"/>
      <c r="U95" s="378"/>
      <c r="V95" s="378"/>
      <c r="W95" s="378"/>
      <c r="X95" s="378"/>
      <c r="Y95" s="378"/>
      <c r="Z95" s="378"/>
      <c r="AA95" s="379"/>
      <c r="AB95" s="378">
        <f t="shared" si="17"/>
        <v>1.9</v>
      </c>
      <c r="AC95" s="378"/>
      <c r="AD95" s="1807"/>
      <c r="AE95" s="378">
        <f>+'Exhibit G'!AG71+'Exhibit F'!AF87</f>
        <v>8.099999999999989</v>
      </c>
      <c r="AF95" s="378"/>
      <c r="AG95" s="378"/>
      <c r="AH95" s="378">
        <f t="shared" si="18"/>
        <v>-6.2</v>
      </c>
      <c r="AI95" s="152"/>
      <c r="AJ95" s="469">
        <f>ROUND(IF(AE95=0,0,AH95/ABS(AE95)),3)</f>
        <v>-0.76500000000000001</v>
      </c>
    </row>
    <row r="96" spans="1:36" ht="16.5" customHeight="1">
      <c r="A96" s="594" t="s">
        <v>1209</v>
      </c>
      <c r="B96" s="594"/>
      <c r="C96" s="378">
        <f>'Exhibit G'!D72</f>
        <v>0</v>
      </c>
      <c r="D96" s="378"/>
      <c r="E96" s="378">
        <f>'Exhibit G'!F72</f>
        <v>0</v>
      </c>
      <c r="F96" s="378"/>
      <c r="G96" s="378">
        <f>'Exhibit G'!H72</f>
        <v>0</v>
      </c>
      <c r="H96" s="378"/>
      <c r="I96" s="378">
        <f>'Exhibit G'!J72</f>
        <v>0</v>
      </c>
      <c r="J96" s="378"/>
      <c r="K96" s="378">
        <f>'Exhibit G'!L72</f>
        <v>0</v>
      </c>
      <c r="L96" s="378"/>
      <c r="M96" s="378">
        <f>'Exhibit G'!N72</f>
        <v>0</v>
      </c>
      <c r="N96" s="378"/>
      <c r="O96" s="378"/>
      <c r="P96" s="378"/>
      <c r="Q96" s="378"/>
      <c r="R96" s="378"/>
      <c r="S96" s="378"/>
      <c r="T96" s="378"/>
      <c r="U96" s="378"/>
      <c r="V96" s="378"/>
      <c r="W96" s="378"/>
      <c r="X96" s="378"/>
      <c r="Y96" s="378"/>
      <c r="Z96" s="378"/>
      <c r="AA96" s="685"/>
      <c r="AB96" s="378">
        <f t="shared" si="17"/>
        <v>0</v>
      </c>
      <c r="AC96" s="378"/>
      <c r="AD96" s="1807"/>
      <c r="AE96" s="378">
        <f>'Exhibit G'!AG72</f>
        <v>0</v>
      </c>
      <c r="AF96" s="378"/>
      <c r="AG96" s="378"/>
      <c r="AH96" s="378">
        <f t="shared" ref="AH96" si="23">ROUND(SUM(AB96-AE96),1)</f>
        <v>0</v>
      </c>
      <c r="AI96" s="152"/>
      <c r="AJ96" s="469">
        <f>ROUND(IF(AE96=0,0,AH96/ABS(AE96)),3)</f>
        <v>0</v>
      </c>
    </row>
    <row r="97" spans="1:45" ht="16.5" customHeight="1">
      <c r="A97" s="594" t="s">
        <v>909</v>
      </c>
      <c r="B97" s="594"/>
      <c r="C97" s="378">
        <f>+'Exhibit F'!D88+'Exhibit G'!D73+'Exhibit I'!E55</f>
        <v>3.7</v>
      </c>
      <c r="D97" s="378"/>
      <c r="E97" s="378">
        <f>+'Exhibit F'!F88+'Exhibit G'!F73+'Exhibit I'!G55</f>
        <v>1.8</v>
      </c>
      <c r="F97" s="378"/>
      <c r="G97" s="378">
        <f>+'Exhibit F'!H88+'Exhibit G'!H73+'Exhibit I'!I55</f>
        <v>20.6</v>
      </c>
      <c r="H97" s="378"/>
      <c r="I97" s="378">
        <f>+'Exhibit F'!J88+'Exhibit G'!J73+'Exhibit I'!K55</f>
        <v>0.70000000000000107</v>
      </c>
      <c r="J97" s="378"/>
      <c r="K97" s="378">
        <f>+'Exhibit F'!L88+'Exhibit G'!L73+'Exhibit I'!M55</f>
        <v>2.8</v>
      </c>
      <c r="L97" s="378"/>
      <c r="M97" s="378">
        <f>+'Exhibit F'!N88+'Exhibit G'!N73+'Exhibit I'!O55</f>
        <v>2.3999999999999986</v>
      </c>
      <c r="N97" s="378"/>
      <c r="O97" s="378"/>
      <c r="P97" s="378"/>
      <c r="Q97" s="378"/>
      <c r="R97" s="378"/>
      <c r="S97" s="378"/>
      <c r="T97" s="378"/>
      <c r="U97" s="378"/>
      <c r="V97" s="378"/>
      <c r="W97" s="378"/>
      <c r="X97" s="378"/>
      <c r="Y97" s="378"/>
      <c r="Z97" s="378"/>
      <c r="AA97" s="379"/>
      <c r="AB97" s="378">
        <f t="shared" si="17"/>
        <v>32</v>
      </c>
      <c r="AC97" s="378"/>
      <c r="AD97" s="1807"/>
      <c r="AE97" s="378">
        <f>+'Exhibit F'!AF88+'Exhibit G'!AG73+'Exhibit I'!AI55</f>
        <v>9.8000000000000007</v>
      </c>
      <c r="AF97" s="378"/>
      <c r="AG97" s="378"/>
      <c r="AH97" s="378">
        <f t="shared" si="18"/>
        <v>22.2</v>
      </c>
      <c r="AI97" s="152"/>
      <c r="AJ97" s="661">
        <f t="shared" ref="AJ97:AJ104" si="24">ROUND(IF(AE97=0,0,AH97/ABS(AE97)),3)</f>
        <v>2.2650000000000001</v>
      </c>
    </row>
    <row r="98" spans="1:45" ht="16.5" customHeight="1">
      <c r="A98" s="594" t="s">
        <v>910</v>
      </c>
      <c r="B98" s="594"/>
      <c r="C98" s="378">
        <f>+'Exhibit F'!D89+'Exhibit G'!D74+'Exhibit I'!E56</f>
        <v>5.6</v>
      </c>
      <c r="D98" s="378"/>
      <c r="E98" s="378">
        <f>+'Exhibit F'!F89+'Exhibit G'!F74+'Exhibit I'!G56</f>
        <v>30.599999999999998</v>
      </c>
      <c r="F98" s="378"/>
      <c r="G98" s="378">
        <f>+'Exhibit F'!H89+'Exhibit G'!H74+'Exhibit I'!I56</f>
        <v>18.5</v>
      </c>
      <c r="H98" s="378"/>
      <c r="I98" s="378">
        <f>+'Exhibit F'!J89+'Exhibit G'!J74+'Exhibit I'!K56</f>
        <v>11.3</v>
      </c>
      <c r="J98" s="378"/>
      <c r="K98" s="378">
        <f>+'Exhibit F'!L89+'Exhibit G'!L74+'Exhibit I'!M56</f>
        <v>15.899999999999995</v>
      </c>
      <c r="L98" s="378"/>
      <c r="M98" s="378">
        <f>+'Exhibit F'!N89+'Exhibit G'!N74+'Exhibit I'!O56</f>
        <v>11.299999999999997</v>
      </c>
      <c r="N98" s="378"/>
      <c r="O98" s="378"/>
      <c r="P98" s="378"/>
      <c r="Q98" s="378"/>
      <c r="R98" s="378"/>
      <c r="S98" s="378"/>
      <c r="T98" s="378"/>
      <c r="U98" s="378"/>
      <c r="V98" s="378"/>
      <c r="W98" s="378"/>
      <c r="X98" s="378"/>
      <c r="Y98" s="378"/>
      <c r="Z98" s="378"/>
      <c r="AA98" s="379"/>
      <c r="AB98" s="378">
        <f>ROUND(SUM(C98:Y98),1)</f>
        <v>93.2</v>
      </c>
      <c r="AC98" s="378"/>
      <c r="AD98" s="1807"/>
      <c r="AE98" s="378">
        <f>+'Exhibit F'!AF89+'Exhibit G'!AG74+'Exhibit I'!AI56</f>
        <v>91.4</v>
      </c>
      <c r="AF98" s="378"/>
      <c r="AG98" s="378"/>
      <c r="AH98" s="378">
        <f t="shared" si="18"/>
        <v>1.8</v>
      </c>
      <c r="AI98" s="152"/>
      <c r="AJ98" s="661">
        <f t="shared" si="24"/>
        <v>0.02</v>
      </c>
    </row>
    <row r="99" spans="1:45" ht="16.5" customHeight="1">
      <c r="A99" s="594" t="s">
        <v>911</v>
      </c>
      <c r="B99" s="594"/>
      <c r="C99" s="378">
        <f>+'Exhibit F'!D90+'Exhibit G'!D75+'Exhibit H'!B47</f>
        <v>306.90000000000003</v>
      </c>
      <c r="D99" s="378"/>
      <c r="E99" s="378">
        <f>+'Exhibit F'!F90+'Exhibit G'!F75+'Exhibit H'!D47</f>
        <v>-305.60000000000002</v>
      </c>
      <c r="F99" s="378"/>
      <c r="G99" s="378">
        <f>+'Exhibit F'!H90+'Exhibit G'!H75+'Exhibit H'!F47</f>
        <v>756.30000000000007</v>
      </c>
      <c r="H99" s="378"/>
      <c r="I99" s="378">
        <f>+'Exhibit F'!J90+'Exhibit G'!J75+'Exhibit H'!H47</f>
        <v>417.8</v>
      </c>
      <c r="J99" s="378"/>
      <c r="K99" s="378">
        <f>+'Exhibit F'!L90+'Exhibit G'!L75+'Exhibit H'!J47</f>
        <v>327.10000000000008</v>
      </c>
      <c r="L99" s="378"/>
      <c r="M99" s="378">
        <f>+'Exhibit F'!N90+'Exhibit G'!N75+'Exhibit H'!L47</f>
        <v>252.1</v>
      </c>
      <c r="N99" s="378"/>
      <c r="O99" s="378"/>
      <c r="P99" s="378"/>
      <c r="Q99" s="378"/>
      <c r="R99" s="378"/>
      <c r="S99" s="378"/>
      <c r="T99" s="378"/>
      <c r="U99" s="378"/>
      <c r="V99" s="378"/>
      <c r="W99" s="378"/>
      <c r="X99" s="378"/>
      <c r="Y99" s="378"/>
      <c r="Z99" s="378"/>
      <c r="AA99" s="379"/>
      <c r="AB99" s="378">
        <f t="shared" si="17"/>
        <v>1754.6</v>
      </c>
      <c r="AC99" s="378"/>
      <c r="AD99" s="1807"/>
      <c r="AE99" s="378">
        <f>+'Exhibit F'!AF90+'Exhibit G'!AG75+'Exhibit H'!AD47</f>
        <v>1493.8</v>
      </c>
      <c r="AF99" s="378"/>
      <c r="AG99" s="378"/>
      <c r="AH99" s="378">
        <f t="shared" si="18"/>
        <v>260.8</v>
      </c>
      <c r="AI99" s="152"/>
      <c r="AJ99" s="661">
        <f t="shared" si="24"/>
        <v>0.17499999999999999</v>
      </c>
    </row>
    <row r="100" spans="1:45" ht="16.5" customHeight="1">
      <c r="A100" s="594" t="s">
        <v>912</v>
      </c>
      <c r="B100" s="594"/>
      <c r="C100" s="378">
        <f>+'Exhibit G'!D76+'Exhibit F'!D91+'Exhibit I'!E57</f>
        <v>11.2</v>
      </c>
      <c r="D100" s="378"/>
      <c r="E100" s="378">
        <f>+'Exhibit G'!F76+'Exhibit F'!F91+'Exhibit I'!G57</f>
        <v>11.4</v>
      </c>
      <c r="F100" s="378"/>
      <c r="G100" s="378">
        <f>+'Exhibit G'!H76+'Exhibit F'!H91+'Exhibit I'!I57</f>
        <v>15.400000000000002</v>
      </c>
      <c r="H100" s="378"/>
      <c r="I100" s="378">
        <f>+'Exhibit G'!J76+'Exhibit F'!J91+'Exhibit I'!K57</f>
        <v>13.999999999999996</v>
      </c>
      <c r="J100" s="378"/>
      <c r="K100" s="378">
        <f>+'Exhibit G'!L76+'Exhibit F'!L91+'Exhibit I'!M57</f>
        <v>12.100000000000001</v>
      </c>
      <c r="L100" s="378"/>
      <c r="M100" s="378">
        <f>+'Exhibit G'!N76+'Exhibit F'!N91+'Exhibit I'!O57</f>
        <v>14.199999999999996</v>
      </c>
      <c r="N100" s="378"/>
      <c r="O100" s="378"/>
      <c r="P100" s="378"/>
      <c r="Q100" s="378"/>
      <c r="R100" s="378"/>
      <c r="S100" s="378"/>
      <c r="T100" s="378"/>
      <c r="U100" s="378"/>
      <c r="V100" s="378"/>
      <c r="W100" s="378"/>
      <c r="X100" s="378"/>
      <c r="Y100" s="378"/>
      <c r="Z100" s="378"/>
      <c r="AA100" s="379"/>
      <c r="AB100" s="378">
        <f t="shared" si="17"/>
        <v>78.3</v>
      </c>
      <c r="AC100" s="378"/>
      <c r="AD100" s="1807"/>
      <c r="AE100" s="378">
        <f>+'Exhibit G'!AG76+'Exhibit F'!AF91+'Exhibit I'!AI57</f>
        <v>71.5</v>
      </c>
      <c r="AF100" s="378"/>
      <c r="AG100" s="378"/>
      <c r="AH100" s="378">
        <f t="shared" si="18"/>
        <v>6.8</v>
      </c>
      <c r="AI100" s="152"/>
      <c r="AJ100" s="661">
        <f t="shared" si="24"/>
        <v>9.5000000000000001E-2</v>
      </c>
    </row>
    <row r="101" spans="1:45" ht="16.5" customHeight="1">
      <c r="A101" s="594" t="s">
        <v>913</v>
      </c>
      <c r="B101" s="594"/>
      <c r="C101" s="378">
        <f>+'Exhibit F'!D92+'Exhibit G'!D77+'Exhibit I'!E58</f>
        <v>4.8</v>
      </c>
      <c r="D101" s="378"/>
      <c r="E101" s="378">
        <f>+'Exhibit F'!F92+'Exhibit G'!F77+'Exhibit I'!G58</f>
        <v>1.2000000000000002</v>
      </c>
      <c r="F101" s="378"/>
      <c r="G101" s="378">
        <f>+'Exhibit F'!H92+'Exhibit G'!H77+'Exhibit I'!I58</f>
        <v>2</v>
      </c>
      <c r="H101" s="378"/>
      <c r="I101" s="378">
        <f>+'Exhibit F'!J92+'Exhibit G'!J77+'Exhibit I'!K58</f>
        <v>25</v>
      </c>
      <c r="J101" s="378"/>
      <c r="K101" s="378">
        <f>+'Exhibit F'!L92+'Exhibit G'!L77+'Exhibit I'!M58</f>
        <v>34.899999999999991</v>
      </c>
      <c r="L101" s="378"/>
      <c r="M101" s="378">
        <f>+'Exhibit F'!N92+'Exhibit G'!N77+'Exhibit I'!O58</f>
        <v>0.40000000000000424</v>
      </c>
      <c r="N101" s="378"/>
      <c r="O101" s="378"/>
      <c r="P101" s="378"/>
      <c r="Q101" s="378"/>
      <c r="R101" s="378"/>
      <c r="S101" s="378"/>
      <c r="T101" s="378"/>
      <c r="U101" s="378"/>
      <c r="V101" s="378"/>
      <c r="W101" s="378"/>
      <c r="X101" s="378"/>
      <c r="Y101" s="378"/>
      <c r="Z101" s="378"/>
      <c r="AA101" s="379"/>
      <c r="AB101" s="378">
        <f t="shared" si="17"/>
        <v>68.3</v>
      </c>
      <c r="AC101" s="378"/>
      <c r="AD101" s="1807"/>
      <c r="AE101" s="378">
        <f>+'Exhibit F'!AF92+'Exhibit G'!AG77+'Exhibit I'!AI58</f>
        <v>109.2</v>
      </c>
      <c r="AF101" s="378"/>
      <c r="AG101" s="378"/>
      <c r="AH101" s="378">
        <f t="shared" si="18"/>
        <v>-40.9</v>
      </c>
      <c r="AI101" s="152"/>
      <c r="AJ101" s="1805">
        <f t="shared" si="24"/>
        <v>-0.375</v>
      </c>
    </row>
    <row r="102" spans="1:45" ht="16.5" customHeight="1">
      <c r="A102" s="594" t="s">
        <v>914</v>
      </c>
      <c r="B102" s="594"/>
      <c r="C102" s="378">
        <f>+'Exhibit F'!D93+'Exhibit G'!D78</f>
        <v>13.1</v>
      </c>
      <c r="D102" s="378"/>
      <c r="E102" s="378">
        <f>+'Exhibit F'!F93+'Exhibit G'!F78</f>
        <v>-3.9000000000000004</v>
      </c>
      <c r="F102" s="378"/>
      <c r="G102" s="378">
        <f>+'Exhibit F'!H93+'Exhibit G'!H78</f>
        <v>1</v>
      </c>
      <c r="H102" s="378"/>
      <c r="I102" s="378">
        <f>+'Exhibit F'!J93+'Exhibit G'!J78</f>
        <v>11.400000000000002</v>
      </c>
      <c r="J102" s="378"/>
      <c r="K102" s="378">
        <f>+'Exhibit F'!L93+'Exhibit G'!L78</f>
        <v>1.2999999999999972</v>
      </c>
      <c r="L102" s="378"/>
      <c r="M102" s="378">
        <f>+'Exhibit F'!N93+'Exhibit G'!N78</f>
        <v>2.7000000000000028</v>
      </c>
      <c r="N102" s="378"/>
      <c r="O102" s="378"/>
      <c r="P102" s="378"/>
      <c r="Q102" s="378"/>
      <c r="R102" s="378"/>
      <c r="S102" s="378"/>
      <c r="T102" s="378"/>
      <c r="U102" s="378"/>
      <c r="V102" s="378"/>
      <c r="W102" s="378"/>
      <c r="X102" s="378"/>
      <c r="Y102" s="378"/>
      <c r="Z102" s="378"/>
      <c r="AA102" s="379"/>
      <c r="AB102" s="378">
        <f t="shared" si="17"/>
        <v>25.6</v>
      </c>
      <c r="AC102" s="378"/>
      <c r="AD102" s="1807"/>
      <c r="AE102" s="378">
        <f>+'Exhibit F'!AF93+'Exhibit G'!AG78</f>
        <v>7.4</v>
      </c>
      <c r="AF102" s="378"/>
      <c r="AG102" s="378"/>
      <c r="AH102" s="378">
        <f t="shared" si="18"/>
        <v>18.2</v>
      </c>
      <c r="AI102" s="152"/>
      <c r="AJ102" s="661">
        <f t="shared" si="24"/>
        <v>2.4590000000000001</v>
      </c>
    </row>
    <row r="103" spans="1:45" ht="16.5" customHeight="1">
      <c r="A103" s="594" t="s">
        <v>915</v>
      </c>
      <c r="B103" s="594"/>
      <c r="C103" s="378">
        <f>+'Exhibit F'!D94+'Exhibit G'!D79+'Exhibit I'!E59+'Exhibit H'!B48</f>
        <v>83.4</v>
      </c>
      <c r="D103" s="378"/>
      <c r="E103" s="378">
        <f>+'Exhibit F'!F94+'Exhibit G'!F79+'Exhibit I'!G59+'Exhibit H'!D48</f>
        <v>105</v>
      </c>
      <c r="F103" s="378"/>
      <c r="G103" s="378">
        <f>+'Exhibit F'!H94+'Exhibit G'!H79+'Exhibit I'!I59+'Exhibit H'!F48</f>
        <v>114.89999999999999</v>
      </c>
      <c r="H103" s="378"/>
      <c r="I103" s="378">
        <f>+'Exhibit F'!J94+'Exhibit G'!J79+'Exhibit I'!K59+'Exhibit H'!H48</f>
        <v>68.40000000000002</v>
      </c>
      <c r="J103" s="378"/>
      <c r="K103" s="378">
        <f>+'Exhibit F'!L94+'Exhibit G'!L79+'Exhibit I'!M59+'Exhibit H'!J48</f>
        <v>-25.800000000000018</v>
      </c>
      <c r="L103" s="378"/>
      <c r="M103" s="378">
        <f>+'Exhibit F'!N94+'Exhibit G'!N79+'Exhibit I'!O59+'Exhibit H'!L48</f>
        <v>48.700000000000031</v>
      </c>
      <c r="N103" s="378"/>
      <c r="O103" s="378"/>
      <c r="P103" s="378"/>
      <c r="Q103" s="378"/>
      <c r="R103" s="378"/>
      <c r="S103" s="378"/>
      <c r="T103" s="378"/>
      <c r="U103" s="378"/>
      <c r="V103" s="378"/>
      <c r="W103" s="378"/>
      <c r="X103" s="378"/>
      <c r="Y103" s="378"/>
      <c r="Z103" s="378"/>
      <c r="AA103" s="379"/>
      <c r="AB103" s="378">
        <f t="shared" si="17"/>
        <v>394.6</v>
      </c>
      <c r="AC103" s="378"/>
      <c r="AD103" s="1807"/>
      <c r="AE103" s="378">
        <f>+'Exhibit F'!AF94+'Exhibit G'!AG79+'Exhibit I'!AI59+'Exhibit H'!AD48</f>
        <v>436.90000000000003</v>
      </c>
      <c r="AF103" s="378"/>
      <c r="AG103" s="378"/>
      <c r="AH103" s="378">
        <f t="shared" si="18"/>
        <v>-42.3</v>
      </c>
      <c r="AI103" s="152"/>
      <c r="AJ103" s="1805">
        <f t="shared" si="24"/>
        <v>-9.7000000000000003E-2</v>
      </c>
    </row>
    <row r="104" spans="1:45" ht="16.5" customHeight="1">
      <c r="A104" s="594" t="s">
        <v>916</v>
      </c>
      <c r="B104" s="594"/>
      <c r="C104" s="378">
        <f>+'Exhibit F'!D95+'Exhibit G'!D80+'Exhibit I'!E60+'Exhibit H'!B49</f>
        <v>0.6</v>
      </c>
      <c r="D104" s="378"/>
      <c r="E104" s="378">
        <f>+'Exhibit F'!F95+'Exhibit G'!F80+'Exhibit I'!G60+'Exhibit H'!D49</f>
        <v>2.3000000000000003</v>
      </c>
      <c r="F104" s="378"/>
      <c r="G104" s="378">
        <f>+'Exhibit F'!H95+'Exhibit G'!H80+'Exhibit I'!I60+'Exhibit H'!F49</f>
        <v>1.1999999999999997</v>
      </c>
      <c r="H104" s="378"/>
      <c r="I104" s="378">
        <f>+'Exhibit F'!J95+'Exhibit G'!J80+'Exhibit I'!K60+'Exhibit H'!H49</f>
        <v>1.3000000000000003</v>
      </c>
      <c r="J104" s="378"/>
      <c r="K104" s="378">
        <f>+'Exhibit F'!L95+'Exhibit G'!L80+'Exhibit I'!M60+'Exhibit H'!J49</f>
        <v>1.6</v>
      </c>
      <c r="L104" s="378"/>
      <c r="M104" s="378">
        <f>+'Exhibit F'!N95+'Exhibit G'!N80+'Exhibit I'!O60+'Exhibit H'!L49</f>
        <v>1.2000000000000011</v>
      </c>
      <c r="N104" s="378"/>
      <c r="O104" s="378"/>
      <c r="P104" s="378"/>
      <c r="Q104" s="378"/>
      <c r="R104" s="378"/>
      <c r="S104" s="378"/>
      <c r="T104" s="378"/>
      <c r="U104" s="378"/>
      <c r="V104" s="378"/>
      <c r="W104" s="378"/>
      <c r="X104" s="378"/>
      <c r="Y104" s="378"/>
      <c r="Z104" s="378"/>
      <c r="AA104" s="379"/>
      <c r="AB104" s="378">
        <f t="shared" si="17"/>
        <v>8.1999999999999993</v>
      </c>
      <c r="AC104" s="378"/>
      <c r="AD104" s="1807"/>
      <c r="AE104" s="378">
        <f>+'Exhibit F'!AF95+'Exhibit G'!AG80+'Exhibit I'!AI60+'Exhibit H'!AD49</f>
        <v>9.2000000000000011</v>
      </c>
      <c r="AF104" s="378"/>
      <c r="AG104" s="378"/>
      <c r="AH104" s="378">
        <f t="shared" si="18"/>
        <v>-1</v>
      </c>
      <c r="AI104" s="152"/>
      <c r="AJ104" s="661">
        <f t="shared" si="24"/>
        <v>-0.109</v>
      </c>
    </row>
    <row r="105" spans="1:45" ht="16.5" customHeight="1">
      <c r="A105" s="594" t="s">
        <v>917</v>
      </c>
      <c r="B105" s="594"/>
      <c r="C105" s="378">
        <f>+'Exhibit G'!D81</f>
        <v>-25.2</v>
      </c>
      <c r="D105" s="378"/>
      <c r="E105" s="378">
        <f>+'Exhibit G'!F81</f>
        <v>31.299999999999997</v>
      </c>
      <c r="F105" s="378"/>
      <c r="G105" s="378">
        <f>+'Exhibit G'!H81</f>
        <v>60.900000000000006</v>
      </c>
      <c r="H105" s="378"/>
      <c r="I105" s="378">
        <f>+'Exhibit G'!J81</f>
        <v>14.699999999999989</v>
      </c>
      <c r="J105" s="378"/>
      <c r="K105" s="378">
        <f>+'Exhibit G'!L81</f>
        <v>217.4</v>
      </c>
      <c r="L105" s="378"/>
      <c r="M105" s="378">
        <f>+'Exhibit G'!N81</f>
        <v>268.70000000000005</v>
      </c>
      <c r="N105" s="378"/>
      <c r="O105" s="378"/>
      <c r="P105" s="378"/>
      <c r="Q105" s="378"/>
      <c r="R105" s="378"/>
      <c r="S105" s="378"/>
      <c r="T105" s="378"/>
      <c r="U105" s="378"/>
      <c r="V105" s="378"/>
      <c r="W105" s="378"/>
      <c r="X105" s="378"/>
      <c r="Y105" s="378"/>
      <c r="Z105" s="378"/>
      <c r="AA105" s="379"/>
      <c r="AB105" s="378">
        <f t="shared" si="17"/>
        <v>567.79999999999995</v>
      </c>
      <c r="AC105" s="378"/>
      <c r="AD105" s="1807"/>
      <c r="AE105" s="378">
        <f>+'Exhibit G'!AG81</f>
        <v>603.79999999999995</v>
      </c>
      <c r="AF105" s="378"/>
      <c r="AG105" s="378"/>
      <c r="AH105" s="378">
        <f t="shared" si="18"/>
        <v>-36</v>
      </c>
      <c r="AI105" s="152"/>
      <c r="AJ105" s="661">
        <f>ROUND(IF(AE105=0,0,AH105/ABS(AE105)),3)</f>
        <v>-0.06</v>
      </c>
    </row>
    <row r="106" spans="1:45" s="303" customFormat="1" ht="16.5" customHeight="1">
      <c r="A106" s="218" t="s">
        <v>949</v>
      </c>
      <c r="B106" s="139"/>
      <c r="C106" s="179">
        <f>ROUND(SUM(C64:C105),1)</f>
        <v>2345.5</v>
      </c>
      <c r="D106" s="749"/>
      <c r="E106" s="179">
        <f>ROUND(SUM(E64:E105),1)</f>
        <v>2077.8000000000002</v>
      </c>
      <c r="F106" s="749"/>
      <c r="G106" s="179">
        <f>ROUND(SUM(G64:G105),1)</f>
        <v>3140.1</v>
      </c>
      <c r="H106" s="42"/>
      <c r="I106" s="179">
        <f>ROUND(SUM(I64:I105),1)</f>
        <v>3059.5</v>
      </c>
      <c r="J106" s="42"/>
      <c r="K106" s="179">
        <f>ROUND(SUM(K64:K105),1)</f>
        <v>2942.3</v>
      </c>
      <c r="L106" s="42"/>
      <c r="M106" s="179">
        <f>ROUND(SUM(M64:M105),1)</f>
        <v>3468.9</v>
      </c>
      <c r="N106" s="42"/>
      <c r="O106" s="1244">
        <f>ROUND(SUM(O64:O105),1)</f>
        <v>0</v>
      </c>
      <c r="P106" s="42"/>
      <c r="Q106" s="1244">
        <f>ROUND(SUM(Q64:Q105),1)</f>
        <v>0</v>
      </c>
      <c r="R106" s="42"/>
      <c r="S106" s="179">
        <f>ROUND(SUM(S64:S105),1)</f>
        <v>0</v>
      </c>
      <c r="T106" s="42"/>
      <c r="U106" s="179">
        <f>ROUND(SUM(U64:U105),1)</f>
        <v>0</v>
      </c>
      <c r="V106" s="42"/>
      <c r="W106" s="179">
        <f>ROUND(SUM(W64:W105),1)</f>
        <v>0</v>
      </c>
      <c r="X106" s="112"/>
      <c r="Y106" s="179">
        <f>ROUND(SUM(Y64:Y105),1)</f>
        <v>0</v>
      </c>
      <c r="Z106" s="112"/>
      <c r="AA106" s="180"/>
      <c r="AB106" s="179">
        <f>ROUND(SUM(AB64:AB105),1)</f>
        <v>17034.099999999999</v>
      </c>
      <c r="AC106" s="42"/>
      <c r="AD106" s="44"/>
      <c r="AE106" s="179">
        <f>ROUND(SUM(AE64:AE105),1)</f>
        <v>15264.6</v>
      </c>
      <c r="AF106" s="42"/>
      <c r="AG106" s="1808"/>
      <c r="AH106" s="179">
        <f>ROUND(SUM(AH64:AH105),1)</f>
        <v>1769.5</v>
      </c>
      <c r="AI106" s="42"/>
      <c r="AJ106" s="13">
        <f>ROUND(IF(AE106=0,0,AH106/ABS(AE106)),3)</f>
        <v>0.11600000000000001</v>
      </c>
      <c r="AL106" s="142"/>
    </row>
    <row r="107" spans="1:45" s="303" customFormat="1" ht="16.5" customHeight="1">
      <c r="A107" s="370"/>
      <c r="B107" s="370"/>
      <c r="C107" s="382"/>
      <c r="D107" s="382"/>
      <c r="E107" s="382"/>
      <c r="F107" s="382"/>
      <c r="G107" s="382"/>
      <c r="H107" s="382"/>
      <c r="I107" s="382"/>
      <c r="J107" s="382"/>
      <c r="K107" s="382"/>
      <c r="L107" s="382"/>
      <c r="M107" s="382"/>
      <c r="N107" s="382"/>
      <c r="O107" s="382"/>
      <c r="P107" s="382"/>
      <c r="Q107" s="382"/>
      <c r="R107" s="382"/>
      <c r="S107" s="382"/>
      <c r="T107" s="382"/>
      <c r="U107" s="382"/>
      <c r="V107" s="382"/>
      <c r="W107" s="382"/>
      <c r="X107" s="382"/>
      <c r="Y107" s="382" t="s">
        <v>14</v>
      </c>
      <c r="Z107" s="382"/>
      <c r="AA107" s="383"/>
      <c r="AB107" s="382" t="s">
        <v>14</v>
      </c>
      <c r="AC107" s="382"/>
      <c r="AD107" s="383"/>
      <c r="AE107" s="382"/>
      <c r="AF107" s="382"/>
      <c r="AG107" s="382"/>
      <c r="AH107" s="382"/>
      <c r="AI107" s="370"/>
      <c r="AJ107" s="190"/>
      <c r="AL107" s="142"/>
    </row>
    <row r="108" spans="1:45" ht="16.5" customHeight="1">
      <c r="A108" s="152" t="s">
        <v>20</v>
      </c>
      <c r="B108" s="152"/>
      <c r="C108" s="380">
        <f>+'Exhibit F'!D98+'Exhibit G'!D84+'Exhibit H'!B52+'Exhibit I'!E63</f>
        <v>8938.8000000000011</v>
      </c>
      <c r="D108" s="378"/>
      <c r="E108" s="380">
        <f>+'Exhibit F'!F98+'Exhibit G'!F84+'Exhibit H'!D52+'Exhibit I'!G63</f>
        <v>7674.5999999999995</v>
      </c>
      <c r="F108" s="380"/>
      <c r="G108" s="380">
        <f>+'Exhibit F'!H98+'Exhibit G'!H84+'Exhibit H'!F52+'Exhibit I'!I63</f>
        <v>11590.6</v>
      </c>
      <c r="H108" s="378"/>
      <c r="I108" s="380">
        <f>+'Exhibit F'!J98+'Exhibit G'!J84+'Exhibit H'!H52+'Exhibit I'!K63</f>
        <v>7448.8000000000056</v>
      </c>
      <c r="J108" s="378"/>
      <c r="K108" s="380">
        <f>+'Exhibit F'!L98+'Exhibit G'!L84+'Exhibit H'!J52+'Exhibit I'!M63</f>
        <v>7293.6999999999925</v>
      </c>
      <c r="L108" s="378"/>
      <c r="M108" s="380">
        <f>+'Exhibit F'!N98+'Exhibit G'!N84+'Exhibit H'!L52+'Exhibit I'!O63</f>
        <v>6183.6000000000013</v>
      </c>
      <c r="N108" s="378"/>
      <c r="O108" s="380"/>
      <c r="P108" s="378"/>
      <c r="Q108" s="380"/>
      <c r="R108" s="378"/>
      <c r="S108" s="380"/>
      <c r="T108" s="378"/>
      <c r="U108" s="380"/>
      <c r="V108" s="378"/>
      <c r="W108" s="380"/>
      <c r="X108" s="378"/>
      <c r="Y108" s="380"/>
      <c r="Z108" s="378"/>
      <c r="AA108" s="379"/>
      <c r="AB108" s="1743">
        <f>ROUND(SUM(C108:Y108),1)</f>
        <v>49130.1</v>
      </c>
      <c r="AC108" s="378"/>
      <c r="AD108" s="1807"/>
      <c r="AE108" s="380">
        <f>+'Exhibit F'!AF98+'Exhibit G'!AG84+'Exhibit H'!AD52+'Exhibit I'!AI63</f>
        <v>43187</v>
      </c>
      <c r="AF108" s="378"/>
      <c r="AG108" s="378"/>
      <c r="AH108" s="1743">
        <f>ROUND(SUM(AB108-AE108),1)</f>
        <v>5943.1</v>
      </c>
      <c r="AI108" s="152"/>
      <c r="AJ108" s="1809">
        <f>ROUND(IF(AE108=0,0,AH108/ABS(AE108)),3)</f>
        <v>0.13800000000000001</v>
      </c>
    </row>
    <row r="109" spans="1:45" ht="16.5" customHeight="1">
      <c r="A109" s="152"/>
      <c r="B109" s="152"/>
      <c r="C109" s="378"/>
      <c r="D109" s="378"/>
      <c r="E109" s="378"/>
      <c r="F109" s="378"/>
      <c r="G109" s="378"/>
      <c r="H109" s="378"/>
      <c r="I109" s="378"/>
      <c r="J109" s="378"/>
      <c r="K109" s="378"/>
      <c r="L109" s="378"/>
      <c r="M109" s="378"/>
      <c r="N109" s="378"/>
      <c r="O109" s="378"/>
      <c r="P109" s="378"/>
      <c r="Q109" s="378"/>
      <c r="R109" s="378"/>
      <c r="S109" s="378"/>
      <c r="T109" s="378"/>
      <c r="U109" s="378"/>
      <c r="V109" s="378"/>
      <c r="W109" s="378"/>
      <c r="X109" s="378"/>
      <c r="Y109" s="378"/>
      <c r="Z109" s="378"/>
      <c r="AA109" s="379"/>
      <c r="AB109" s="378"/>
      <c r="AC109" s="378"/>
      <c r="AD109" s="1807"/>
      <c r="AE109" s="378"/>
      <c r="AF109" s="378"/>
      <c r="AG109" s="378"/>
      <c r="AH109" s="378"/>
      <c r="AI109" s="152"/>
      <c r="AJ109" s="1810"/>
    </row>
    <row r="110" spans="1:45" ht="16.5" customHeight="1">
      <c r="A110" s="19" t="s">
        <v>147</v>
      </c>
      <c r="B110" s="20"/>
      <c r="C110" s="601">
        <f>ROUND(SUM(C108+C106+C60),1)</f>
        <v>22191.9</v>
      </c>
      <c r="D110" s="42"/>
      <c r="E110" s="601">
        <f>ROUND(SUM(E108+E106+E60),1)</f>
        <v>14357.8</v>
      </c>
      <c r="F110" s="42"/>
      <c r="G110" s="601">
        <f>ROUND(SUM(G108+G106+G60),1)</f>
        <v>26847.5</v>
      </c>
      <c r="H110" s="42"/>
      <c r="I110" s="601">
        <f>ROUND(SUM(I108+I106+I60),1)</f>
        <v>16207.9</v>
      </c>
      <c r="J110" s="42"/>
      <c r="K110" s="601">
        <f>ROUND(SUM(K108+K106+K60),1)</f>
        <v>16251.8</v>
      </c>
      <c r="L110" s="42"/>
      <c r="M110" s="601">
        <f>ROUND(SUM(M108+M106+M60),1)</f>
        <v>21796.3</v>
      </c>
      <c r="N110" s="42"/>
      <c r="O110" s="601">
        <f>ROUND(SUM(O108+O106+O60),1)</f>
        <v>0</v>
      </c>
      <c r="P110" s="42"/>
      <c r="Q110" s="601">
        <f>ROUND(SUM(Q108+Q106+Q60),1)</f>
        <v>0</v>
      </c>
      <c r="R110" s="42"/>
      <c r="S110" s="601">
        <f>ROUND(SUM(S108+S106+S60),1)</f>
        <v>0</v>
      </c>
      <c r="T110" s="42"/>
      <c r="U110" s="601">
        <f>ROUND(SUM(U108+U106+U60),1)</f>
        <v>0</v>
      </c>
      <c r="V110" s="42"/>
      <c r="W110" s="601">
        <f>ROUND(SUM(W108+W106+W60),1)</f>
        <v>0</v>
      </c>
      <c r="X110" s="112"/>
      <c r="Y110" s="601">
        <f>ROUND(SUM(Y108+Y106+Y60),1)</f>
        <v>0</v>
      </c>
      <c r="Z110" s="176"/>
      <c r="AA110" s="19"/>
      <c r="AB110" s="601">
        <f>ROUND(SUM(AB108+AB106+AB60),1)</f>
        <v>117653.2</v>
      </c>
      <c r="AC110" s="42"/>
      <c r="AD110" s="44"/>
      <c r="AE110" s="601">
        <f>ROUND(SUM(AE108+AE106+AE60),1)</f>
        <v>116841.8</v>
      </c>
      <c r="AF110" s="42"/>
      <c r="AG110" s="1808"/>
      <c r="AH110" s="601">
        <f>ROUND(SUM(AH108+AH106+AH60),1)</f>
        <v>811.4</v>
      </c>
      <c r="AI110" s="42"/>
      <c r="AJ110" s="1806">
        <f>ROUND(IF(AE110=0,0,AH110/ABS(AE110)),3)</f>
        <v>7.0000000000000001E-3</v>
      </c>
      <c r="AK110" s="303"/>
      <c r="AM110" s="303"/>
      <c r="AN110" s="303"/>
      <c r="AO110" s="303"/>
      <c r="AP110" s="303"/>
      <c r="AQ110" s="303"/>
      <c r="AR110" s="303"/>
      <c r="AS110" s="303"/>
    </row>
    <row r="111" spans="1:45" ht="16.5" customHeight="1">
      <c r="A111" s="112"/>
      <c r="B111" s="152"/>
      <c r="C111" s="35"/>
      <c r="D111" s="378"/>
      <c r="E111" s="35"/>
      <c r="F111" s="378"/>
      <c r="G111" s="35"/>
      <c r="H111" s="378"/>
      <c r="I111" s="35"/>
      <c r="J111" s="378"/>
      <c r="K111" s="35"/>
      <c r="L111" s="378"/>
      <c r="M111" s="35"/>
      <c r="N111" s="378"/>
      <c r="O111" s="35"/>
      <c r="P111" s="378"/>
      <c r="Q111" s="35"/>
      <c r="R111" s="378"/>
      <c r="S111" s="35"/>
      <c r="T111" s="378"/>
      <c r="U111" s="35"/>
      <c r="V111" s="378"/>
      <c r="W111" s="35"/>
      <c r="X111" s="378"/>
      <c r="Y111" s="35"/>
      <c r="Z111" s="378"/>
      <c r="AA111" s="379"/>
      <c r="AB111" s="35"/>
      <c r="AC111" s="378"/>
      <c r="AD111" s="1807"/>
      <c r="AE111" s="35"/>
      <c r="AF111" s="378"/>
      <c r="AG111" s="378"/>
      <c r="AH111" s="467"/>
      <c r="AI111" s="152"/>
      <c r="AJ111" s="472"/>
    </row>
    <row r="112" spans="1:45" ht="16.5" customHeight="1">
      <c r="A112" s="112" t="s">
        <v>22</v>
      </c>
      <c r="B112" s="152"/>
      <c r="C112" s="378"/>
      <c r="D112" s="378"/>
      <c r="E112" s="378"/>
      <c r="F112" s="378"/>
      <c r="G112" s="378"/>
      <c r="H112" s="378"/>
      <c r="I112" s="378"/>
      <c r="J112" s="378"/>
      <c r="K112" s="378"/>
      <c r="L112" s="378"/>
      <c r="M112" s="378"/>
      <c r="N112" s="378"/>
      <c r="O112" s="378"/>
      <c r="P112" s="378"/>
      <c r="Q112" s="378"/>
      <c r="R112" s="378"/>
      <c r="S112" s="378"/>
      <c r="T112" s="378"/>
      <c r="U112" s="378"/>
      <c r="V112" s="378"/>
      <c r="W112" s="378"/>
      <c r="X112" s="378"/>
      <c r="Y112" s="378"/>
      <c r="Z112" s="378"/>
      <c r="AA112" s="379"/>
      <c r="AB112" s="378"/>
      <c r="AC112" s="378"/>
      <c r="AD112" s="1807"/>
      <c r="AE112" s="378"/>
      <c r="AF112" s="378"/>
      <c r="AG112" s="378"/>
      <c r="AH112" s="467"/>
      <c r="AI112" s="152"/>
      <c r="AJ112" s="472"/>
    </row>
    <row r="113" spans="1:37" ht="16.5" customHeight="1">
      <c r="A113" s="152" t="s">
        <v>135</v>
      </c>
      <c r="B113" s="152"/>
      <c r="C113" s="378"/>
      <c r="D113" s="378"/>
      <c r="E113" s="378"/>
      <c r="F113" s="378"/>
      <c r="G113" s="378"/>
      <c r="H113" s="378"/>
      <c r="I113" s="378"/>
      <c r="J113" s="378"/>
      <c r="K113" s="378"/>
      <c r="L113" s="378"/>
      <c r="M113" s="378"/>
      <c r="N113" s="378"/>
      <c r="O113" s="378"/>
      <c r="P113" s="378"/>
      <c r="Q113" s="378"/>
      <c r="R113" s="378"/>
      <c r="S113" s="378"/>
      <c r="T113" s="378"/>
      <c r="U113" s="378"/>
      <c r="V113" s="378"/>
      <c r="W113" s="378"/>
      <c r="X113" s="378"/>
      <c r="Y113" s="378"/>
      <c r="Z113" s="378"/>
      <c r="AA113" s="379"/>
      <c r="AB113" s="378"/>
      <c r="AC113" s="378"/>
      <c r="AD113" s="1807"/>
      <c r="AE113" s="36"/>
      <c r="AF113" s="378"/>
      <c r="AG113" s="378"/>
      <c r="AH113" s="378"/>
      <c r="AI113" s="152"/>
      <c r="AJ113" s="488"/>
    </row>
    <row r="114" spans="1:37" ht="16.5" customHeight="1">
      <c r="A114" s="177" t="s">
        <v>24</v>
      </c>
      <c r="B114" s="152"/>
      <c r="C114" s="378">
        <f>+'Exhibit F'!D104+'Exhibit G'!D90+'Exhibit I'!E69</f>
        <v>2141.1999999999998</v>
      </c>
      <c r="D114" s="378"/>
      <c r="E114" s="378">
        <f>+'Exhibit F'!F104+'Exhibit G'!F90+'Exhibit I'!G69</f>
        <v>5033.5</v>
      </c>
      <c r="F114" s="378"/>
      <c r="G114" s="378">
        <f>+'Exhibit F'!H104+'Exhibit G'!H90+'Exhibit I'!I69</f>
        <v>3969.6999999999994</v>
      </c>
      <c r="H114" s="378"/>
      <c r="I114" s="378">
        <f>+'Exhibit F'!J104+'Exhibit G'!J90+'Exhibit I'!K69</f>
        <v>1227.3999999999996</v>
      </c>
      <c r="J114" s="378"/>
      <c r="K114" s="378">
        <f>+'Exhibit F'!L104+'Exhibit G'!L90+'Exhibit I'!M69</f>
        <v>2127.2999999999997</v>
      </c>
      <c r="L114" s="378"/>
      <c r="M114" s="378">
        <f>+'Exhibit F'!N104+'Exhibit G'!N90+'Exhibit I'!O69</f>
        <v>5522.6000000000013</v>
      </c>
      <c r="N114" s="378"/>
      <c r="O114" s="378"/>
      <c r="P114" s="378"/>
      <c r="Q114" s="378"/>
      <c r="R114" s="378"/>
      <c r="S114" s="378"/>
      <c r="T114" s="378"/>
      <c r="U114" s="378"/>
      <c r="V114" s="378"/>
      <c r="W114" s="378"/>
      <c r="X114" s="378"/>
      <c r="Y114" s="378"/>
      <c r="Z114" s="378"/>
      <c r="AA114" s="379"/>
      <c r="AB114" s="36">
        <f>ROUND(SUM(C114:Y114),1)</f>
        <v>20021.7</v>
      </c>
      <c r="AC114" s="378"/>
      <c r="AD114" s="1807"/>
      <c r="AE114" s="36">
        <f>+'Exhibit F'!AF104+'Exhibit G'!AG90+'Exhibit I'!AI69</f>
        <v>18106.5</v>
      </c>
      <c r="AF114" s="378"/>
      <c r="AG114" s="378"/>
      <c r="AH114" s="378">
        <f>ROUND(SUM(AB114-AE114),1)</f>
        <v>1915.2</v>
      </c>
      <c r="AI114" s="152"/>
      <c r="AJ114" s="661">
        <f>ROUND(IF(AE114=0,0,AH114/ABS(AE114)),3)</f>
        <v>0.106</v>
      </c>
    </row>
    <row r="115" spans="1:37" ht="16.5" customHeight="1">
      <c r="A115" s="177" t="s">
        <v>25</v>
      </c>
      <c r="B115" s="152"/>
      <c r="C115" s="378">
        <f>+'Exhibit F'!D105+'Exhibit G'!D91+'Exhibit I'!E70</f>
        <v>82.399999999999991</v>
      </c>
      <c r="D115" s="378"/>
      <c r="E115" s="378">
        <f>+'Exhibit F'!F105+'Exhibit G'!F91+'Exhibit I'!G70</f>
        <v>13.500000000000007</v>
      </c>
      <c r="F115" s="378"/>
      <c r="G115" s="378">
        <f>+'Exhibit F'!H105+'Exhibit G'!H91+'Exhibit I'!I70</f>
        <v>12.1</v>
      </c>
      <c r="H115" s="378"/>
      <c r="I115" s="378">
        <f>+'Exhibit F'!J105+'Exhibit G'!J91+'Exhibit I'!K70</f>
        <v>205.79999999999998</v>
      </c>
      <c r="J115" s="378"/>
      <c r="K115" s="378">
        <f>+'Exhibit F'!L105+'Exhibit G'!L91+'Exhibit I'!M70</f>
        <v>55.999999999999993</v>
      </c>
      <c r="L115" s="378"/>
      <c r="M115" s="378">
        <f>+'Exhibit F'!N105+'Exhibit G'!N91+'Exhibit I'!O70</f>
        <v>13.900000000000009</v>
      </c>
      <c r="N115" s="378"/>
      <c r="O115" s="378"/>
      <c r="P115" s="378"/>
      <c r="Q115" s="378"/>
      <c r="R115" s="378"/>
      <c r="S115" s="378"/>
      <c r="T115" s="378"/>
      <c r="U115" s="378"/>
      <c r="V115" s="378"/>
      <c r="W115" s="378"/>
      <c r="X115" s="378"/>
      <c r="Y115" s="378"/>
      <c r="Z115" s="378"/>
      <c r="AA115" s="379"/>
      <c r="AB115" s="36">
        <f t="shared" ref="AB115:AB122" si="25">ROUND(SUM(C115:Y115),1)</f>
        <v>383.7</v>
      </c>
      <c r="AC115" s="378"/>
      <c r="AD115" s="1807"/>
      <c r="AE115" s="36">
        <f>+'Exhibit F'!AF105+'Exhibit G'!AG91+'Exhibit I'!AI70</f>
        <v>196.29999999999998</v>
      </c>
      <c r="AF115" s="378"/>
      <c r="AG115" s="378"/>
      <c r="AH115" s="378">
        <f t="shared" ref="AH115:AH122" si="26">ROUND(SUM(AB115-AE115),1)</f>
        <v>187.4</v>
      </c>
      <c r="AI115" s="152"/>
      <c r="AJ115" s="1805">
        <f>ROUND(IF(AE115=0,0,AH115/ABS(AE115)),3)</f>
        <v>0.95499999999999996</v>
      </c>
    </row>
    <row r="116" spans="1:37" ht="16.5" customHeight="1">
      <c r="A116" s="177" t="s">
        <v>26</v>
      </c>
      <c r="B116" s="152"/>
      <c r="C116" s="378">
        <f>+'Exhibit F'!D106+'Exhibit G'!D92+'Exhibit I'!E71</f>
        <v>68.8</v>
      </c>
      <c r="D116" s="378"/>
      <c r="E116" s="378">
        <f>+'Exhibit F'!F106+'Exhibit G'!F92+'Exhibit I'!G71</f>
        <v>142.10000000000002</v>
      </c>
      <c r="F116" s="378"/>
      <c r="G116" s="378">
        <f>+'Exhibit F'!H106+'Exhibit G'!H92+'Exhibit I'!I71</f>
        <v>512.4</v>
      </c>
      <c r="H116" s="378"/>
      <c r="I116" s="378">
        <f>+'Exhibit F'!J106+'Exhibit G'!J92+'Exhibit I'!K71</f>
        <v>61.400000000000048</v>
      </c>
      <c r="J116" s="378"/>
      <c r="K116" s="378">
        <f>+'Exhibit F'!L106+'Exhibit G'!L92+'Exhibit I'!M71</f>
        <v>92.599999999999952</v>
      </c>
      <c r="L116" s="378"/>
      <c r="M116" s="378">
        <f>+'Exhibit F'!N106+'Exhibit G'!N92+'Exhibit I'!O71</f>
        <v>228.2</v>
      </c>
      <c r="N116" s="378"/>
      <c r="O116" s="378"/>
      <c r="P116" s="378"/>
      <c r="Q116" s="378"/>
      <c r="R116" s="378"/>
      <c r="S116" s="378"/>
      <c r="T116" s="378"/>
      <c r="U116" s="378"/>
      <c r="V116" s="378"/>
      <c r="W116" s="378"/>
      <c r="X116" s="378"/>
      <c r="Y116" s="378"/>
      <c r="Z116" s="378"/>
      <c r="AA116" s="379"/>
      <c r="AB116" s="36">
        <f t="shared" si="25"/>
        <v>1105.5</v>
      </c>
      <c r="AC116" s="378"/>
      <c r="AD116" s="1807"/>
      <c r="AE116" s="36">
        <f>+'Exhibit F'!AF106+'Exhibit G'!AG92+'Exhibit I'!AI71</f>
        <v>1662.7</v>
      </c>
      <c r="AF116" s="378"/>
      <c r="AG116" s="378"/>
      <c r="AH116" s="378">
        <f t="shared" si="26"/>
        <v>-557.20000000000005</v>
      </c>
      <c r="AI116" s="152"/>
      <c r="AJ116" s="661">
        <f>ROUND(IF(AE116=0,0,AH116/ABS(AE116)),3)</f>
        <v>-0.33500000000000002</v>
      </c>
    </row>
    <row r="117" spans="1:37" ht="16.5" customHeight="1">
      <c r="A117" s="177" t="s">
        <v>27</v>
      </c>
      <c r="B117" s="152"/>
      <c r="C117" s="378"/>
      <c r="D117" s="378"/>
      <c r="E117" s="378"/>
      <c r="F117" s="378"/>
      <c r="G117" s="378"/>
      <c r="H117" s="378"/>
      <c r="I117" s="378"/>
      <c r="J117" s="378"/>
      <c r="K117" s="378"/>
      <c r="L117" s="378"/>
      <c r="M117" s="378"/>
      <c r="N117" s="378"/>
      <c r="O117" s="378"/>
      <c r="P117" s="378"/>
      <c r="Q117" s="378"/>
      <c r="R117" s="378"/>
      <c r="S117" s="378"/>
      <c r="T117" s="378"/>
      <c r="U117" s="378"/>
      <c r="V117" s="378"/>
      <c r="W117" s="378"/>
      <c r="X117" s="378"/>
      <c r="Y117" s="378"/>
      <c r="Z117" s="378"/>
      <c r="AA117" s="379"/>
      <c r="AB117" s="36"/>
      <c r="AC117" s="378"/>
      <c r="AD117" s="1807"/>
      <c r="AE117" s="116"/>
      <c r="AF117" s="378"/>
      <c r="AG117" s="378"/>
      <c r="AH117" s="378" t="s">
        <v>14</v>
      </c>
      <c r="AI117" s="152"/>
      <c r="AJ117" s="488"/>
    </row>
    <row r="118" spans="1:37" ht="16.5" customHeight="1">
      <c r="A118" s="178" t="s">
        <v>28</v>
      </c>
      <c r="B118" s="152"/>
      <c r="C118" s="378">
        <f>+'Exhibit F'!D108+'Exhibit G'!D94+'Exhibit I'!E73</f>
        <v>8064.2999999999993</v>
      </c>
      <c r="D118" s="378"/>
      <c r="E118" s="378">
        <f>+'Exhibit F'!F108+'Exhibit G'!F94+'Exhibit I'!G73</f>
        <v>10775.4</v>
      </c>
      <c r="F118" s="378"/>
      <c r="G118" s="378">
        <f>+'Exhibit F'!H108+'Exhibit G'!H94+'Exhibit I'!I73</f>
        <v>7153.7999999999993</v>
      </c>
      <c r="H118" s="378"/>
      <c r="I118" s="378">
        <f>+'Exhibit F'!J108+'Exhibit G'!J94+'Exhibit I'!K73</f>
        <v>7668.8000000000011</v>
      </c>
      <c r="J118" s="378"/>
      <c r="K118" s="378">
        <f>+'Exhibit F'!L108+'Exhibit G'!L94+'Exhibit I'!M73</f>
        <v>8954.5</v>
      </c>
      <c r="L118" s="378"/>
      <c r="M118" s="378">
        <f>+'Exhibit F'!N108+'Exhibit G'!N94+'Exhibit I'!O73</f>
        <v>4893.3999999999996</v>
      </c>
      <c r="N118" s="378"/>
      <c r="O118" s="378"/>
      <c r="P118" s="378"/>
      <c r="Q118" s="378"/>
      <c r="R118" s="378"/>
      <c r="S118" s="378"/>
      <c r="T118" s="378"/>
      <c r="U118" s="378"/>
      <c r="V118" s="378"/>
      <c r="W118" s="378"/>
      <c r="X118" s="378"/>
      <c r="Y118" s="378"/>
      <c r="Z118" s="378"/>
      <c r="AA118" s="379"/>
      <c r="AB118" s="36">
        <f t="shared" si="25"/>
        <v>47510.2</v>
      </c>
      <c r="AC118" s="378"/>
      <c r="AD118" s="1807"/>
      <c r="AE118" s="36">
        <f>+'Exhibit F'!AF108+'Exhibit G'!AG94+'Exhibit I'!AI73</f>
        <v>38885.800000000003</v>
      </c>
      <c r="AF118" s="378"/>
      <c r="AG118" s="378"/>
      <c r="AH118" s="378">
        <f t="shared" si="26"/>
        <v>8624.4</v>
      </c>
      <c r="AI118" s="152"/>
      <c r="AJ118" s="661">
        <f t="shared" ref="AJ118:AJ124" si="27">ROUND(IF(AE118=0,0,AH118/ABS(AE118)),3)</f>
        <v>0.222</v>
      </c>
    </row>
    <row r="119" spans="1:37" ht="16.5" customHeight="1">
      <c r="A119" s="177" t="s">
        <v>29</v>
      </c>
      <c r="B119" s="152"/>
      <c r="C119" s="378">
        <f>+'Exhibit F'!D109+'Exhibit G'!D95+'Exhibit I'!E74</f>
        <v>913.39999999999986</v>
      </c>
      <c r="D119" s="378"/>
      <c r="E119" s="378">
        <f>+'Exhibit F'!F109+'Exhibit G'!F95+'Exhibit I'!G74</f>
        <v>1149.3</v>
      </c>
      <c r="F119" s="378"/>
      <c r="G119" s="378">
        <f>+'Exhibit F'!H109+'Exhibit G'!H95+'Exhibit I'!I74</f>
        <v>1462.3</v>
      </c>
      <c r="H119" s="378"/>
      <c r="I119" s="378">
        <f>+'Exhibit F'!J109+'Exhibit G'!J95+'Exhibit I'!K74</f>
        <v>1358.2000000000005</v>
      </c>
      <c r="J119" s="378"/>
      <c r="K119" s="378">
        <f>+'Exhibit F'!L109+'Exhibit G'!L95+'Exhibit I'!M74</f>
        <v>1246.6999999999989</v>
      </c>
      <c r="L119" s="378"/>
      <c r="M119" s="378">
        <f>+'Exhibit F'!N109+'Exhibit G'!N95+'Exhibit I'!O74</f>
        <v>1917.3000000000002</v>
      </c>
      <c r="N119" s="378"/>
      <c r="O119" s="378"/>
      <c r="P119" s="378"/>
      <c r="Q119" s="378"/>
      <c r="R119" s="378"/>
      <c r="S119" s="378"/>
      <c r="T119" s="378"/>
      <c r="U119" s="378"/>
      <c r="V119" s="378"/>
      <c r="W119" s="378"/>
      <c r="X119" s="378"/>
      <c r="Y119" s="378"/>
      <c r="Z119" s="378"/>
      <c r="AA119" s="379"/>
      <c r="AB119" s="36">
        <f t="shared" si="25"/>
        <v>8047.2</v>
      </c>
      <c r="AC119" s="1744"/>
      <c r="AD119" s="378"/>
      <c r="AE119" s="36">
        <f>+'Exhibit F'!AF109+'Exhibit G'!AG95+'Exhibit I'!AI74</f>
        <v>6005.0999999999995</v>
      </c>
      <c r="AF119" s="378"/>
      <c r="AG119" s="378"/>
      <c r="AH119" s="378">
        <f t="shared" si="26"/>
        <v>2042.1</v>
      </c>
      <c r="AI119" s="152"/>
      <c r="AJ119" s="661">
        <f t="shared" si="27"/>
        <v>0.34</v>
      </c>
    </row>
    <row r="120" spans="1:37" ht="16.5" customHeight="1">
      <c r="A120" s="177" t="s">
        <v>30</v>
      </c>
      <c r="B120" s="152"/>
      <c r="C120" s="378">
        <f>+'Exhibit F'!D110+'Exhibit G'!D96+'Exhibit I'!E75</f>
        <v>1083.8</v>
      </c>
      <c r="D120" s="378"/>
      <c r="E120" s="378">
        <f>+'Exhibit F'!F110+'Exhibit G'!F96+'Exhibit I'!G75</f>
        <v>207.29999999999993</v>
      </c>
      <c r="F120" s="378"/>
      <c r="G120" s="378">
        <f>+'Exhibit F'!H110+'Exhibit G'!H96+'Exhibit I'!I75</f>
        <v>859.1</v>
      </c>
      <c r="H120" s="378"/>
      <c r="I120" s="378">
        <f>+'Exhibit F'!J110+'Exhibit G'!J96+'Exhibit I'!K75</f>
        <v>382.90000000000009</v>
      </c>
      <c r="J120" s="378"/>
      <c r="K120" s="378">
        <f>+'Exhibit F'!L110+'Exhibit G'!L96+'Exhibit I'!M75</f>
        <v>296.90000000000009</v>
      </c>
      <c r="L120" s="378"/>
      <c r="M120" s="378">
        <f>+'Exhibit F'!N110+'Exhibit G'!N96+'Exhibit I'!O75</f>
        <v>260.89999999999998</v>
      </c>
      <c r="N120" s="378"/>
      <c r="O120" s="378"/>
      <c r="P120" s="378"/>
      <c r="Q120" s="378"/>
      <c r="R120" s="378"/>
      <c r="S120" s="378"/>
      <c r="T120" s="378"/>
      <c r="U120" s="378"/>
      <c r="V120" s="378"/>
      <c r="W120" s="378"/>
      <c r="X120" s="378"/>
      <c r="Y120" s="378"/>
      <c r="Z120" s="378"/>
      <c r="AA120" s="379"/>
      <c r="AB120" s="36">
        <f t="shared" si="25"/>
        <v>3090.9</v>
      </c>
      <c r="AC120" s="1745"/>
      <c r="AD120" s="1807"/>
      <c r="AE120" s="36">
        <f>+'Exhibit F'!AF110+'Exhibit G'!AG96+'Exhibit I'!AI75</f>
        <v>987.80000000000007</v>
      </c>
      <c r="AF120" s="378"/>
      <c r="AG120" s="378"/>
      <c r="AH120" s="378">
        <f t="shared" si="26"/>
        <v>2103.1</v>
      </c>
      <c r="AI120" s="152"/>
      <c r="AJ120" s="1805">
        <f t="shared" si="27"/>
        <v>2.129</v>
      </c>
    </row>
    <row r="121" spans="1:37" ht="16.5" customHeight="1">
      <c r="A121" s="177" t="s">
        <v>31</v>
      </c>
      <c r="B121" s="152"/>
      <c r="C121" s="378">
        <f>+'Exhibit F'!D111+'Exhibit G'!D97+'Exhibit I'!E76</f>
        <v>877.80000000000007</v>
      </c>
      <c r="D121" s="378"/>
      <c r="E121" s="378">
        <f>+'Exhibit F'!F111+'Exhibit G'!F97+'Exhibit I'!G76</f>
        <v>641.30000000000007</v>
      </c>
      <c r="F121" s="378"/>
      <c r="G121" s="378">
        <f>+'Exhibit F'!H111+'Exhibit G'!H97+'Exhibit I'!I76</f>
        <v>807.90000000000009</v>
      </c>
      <c r="H121" s="378"/>
      <c r="I121" s="378">
        <f>+'Exhibit F'!J111+'Exhibit G'!J97+'Exhibit I'!K76</f>
        <v>818.39999999999986</v>
      </c>
      <c r="J121" s="378"/>
      <c r="K121" s="378">
        <f>+'Exhibit F'!L111+'Exhibit G'!L97+'Exhibit I'!M76</f>
        <v>692.7</v>
      </c>
      <c r="L121" s="378"/>
      <c r="M121" s="378">
        <f>+'Exhibit F'!N111+'Exhibit G'!N97+'Exhibit I'!O76</f>
        <v>1054.0999999999997</v>
      </c>
      <c r="N121" s="378"/>
      <c r="O121" s="378"/>
      <c r="P121" s="378"/>
      <c r="Q121" s="378"/>
      <c r="R121" s="378"/>
      <c r="S121" s="378"/>
      <c r="T121" s="378"/>
      <c r="U121" s="378"/>
      <c r="V121" s="378"/>
      <c r="W121" s="378"/>
      <c r="X121" s="378"/>
      <c r="Y121" s="378"/>
      <c r="Z121" s="378"/>
      <c r="AA121" s="379"/>
      <c r="AB121" s="36">
        <f t="shared" si="25"/>
        <v>4892.2</v>
      </c>
      <c r="AC121" s="1745"/>
      <c r="AD121" s="1807"/>
      <c r="AE121" s="36">
        <f>+'Exhibit F'!AF111+'Exhibit G'!AG97+'Exhibit I'!AI76</f>
        <v>5291.2</v>
      </c>
      <c r="AF121" s="378"/>
      <c r="AG121" s="378"/>
      <c r="AH121" s="378">
        <f t="shared" si="26"/>
        <v>-399</v>
      </c>
      <c r="AI121" s="152"/>
      <c r="AJ121" s="661">
        <f t="shared" si="27"/>
        <v>-7.4999999999999997E-2</v>
      </c>
    </row>
    <row r="122" spans="1:37" ht="16.5" customHeight="1">
      <c r="A122" s="177" t="s">
        <v>32</v>
      </c>
      <c r="B122" s="152"/>
      <c r="C122" s="378">
        <f>+'Exhibit F'!D112+'Exhibit G'!D98+'Exhibit I'!E77</f>
        <v>42.9</v>
      </c>
      <c r="D122" s="378"/>
      <c r="E122" s="378">
        <f>+'Exhibit F'!F112+'Exhibit G'!F98+'Exhibit I'!G77</f>
        <v>183.6</v>
      </c>
      <c r="F122" s="378"/>
      <c r="G122" s="378">
        <f>+'Exhibit F'!H112+'Exhibit G'!H98+'Exhibit I'!I77</f>
        <v>89.199999999999989</v>
      </c>
      <c r="H122" s="378"/>
      <c r="I122" s="378">
        <f>+'Exhibit F'!J112+'Exhibit G'!J98+'Exhibit I'!K77</f>
        <v>204.9</v>
      </c>
      <c r="J122" s="378"/>
      <c r="K122" s="378">
        <f>+'Exhibit F'!L112+'Exhibit G'!L98+'Exhibit I'!M77</f>
        <v>68.8</v>
      </c>
      <c r="L122" s="378"/>
      <c r="M122" s="378">
        <f>+'Exhibit F'!N112+'Exhibit G'!N98+'Exhibit I'!O77</f>
        <v>88.900000000000063</v>
      </c>
      <c r="N122" s="378"/>
      <c r="O122" s="378"/>
      <c r="P122" s="378"/>
      <c r="Q122" s="378"/>
      <c r="R122" s="378"/>
      <c r="S122" s="378"/>
      <c r="T122" s="378"/>
      <c r="U122" s="378"/>
      <c r="V122" s="378"/>
      <c r="W122" s="378"/>
      <c r="X122" s="378"/>
      <c r="Y122" s="378"/>
      <c r="Z122" s="378"/>
      <c r="AA122" s="379"/>
      <c r="AB122" s="36">
        <f t="shared" si="25"/>
        <v>678.3</v>
      </c>
      <c r="AC122" s="1745"/>
      <c r="AD122" s="1807"/>
      <c r="AE122" s="36">
        <f>+'Exhibit F'!AF112+'Exhibit G'!AG98+'Exhibit I'!AI77</f>
        <v>706.59999999999991</v>
      </c>
      <c r="AF122" s="378"/>
      <c r="AG122" s="378"/>
      <c r="AH122" s="378">
        <f t="shared" si="26"/>
        <v>-28.3</v>
      </c>
      <c r="AI122" s="152"/>
      <c r="AJ122" s="661">
        <f t="shared" si="27"/>
        <v>-0.04</v>
      </c>
    </row>
    <row r="123" spans="1:37" ht="16.5" customHeight="1">
      <c r="A123" s="177" t="s">
        <v>33</v>
      </c>
      <c r="B123" s="152"/>
      <c r="C123" s="378">
        <f>+'Exhibit F'!D113+'Exhibit G'!D99+'Exhibit I'!E78</f>
        <v>125.4</v>
      </c>
      <c r="D123" s="378"/>
      <c r="E123" s="378">
        <f>+'Exhibit F'!F113+'Exhibit G'!F99+'Exhibit I'!G78</f>
        <v>653</v>
      </c>
      <c r="F123" s="378"/>
      <c r="G123" s="378">
        <f>+'Exhibit F'!H113+'Exhibit G'!H99+'Exhibit I'!I78</f>
        <v>491.1</v>
      </c>
      <c r="H123" s="378"/>
      <c r="I123" s="378">
        <f>+'Exhibit F'!J113+'Exhibit G'!J99+'Exhibit I'!K78</f>
        <v>432.8</v>
      </c>
      <c r="J123" s="378"/>
      <c r="K123" s="378">
        <f>+'Exhibit F'!L113+'Exhibit G'!L99+'Exhibit I'!M78</f>
        <v>640.79999999999984</v>
      </c>
      <c r="L123" s="378"/>
      <c r="M123" s="378">
        <f>+'Exhibit F'!N113+'Exhibit G'!N99+'Exhibit I'!O78</f>
        <v>532.40000000000043</v>
      </c>
      <c r="N123" s="378"/>
      <c r="O123" s="378"/>
      <c r="P123" s="378"/>
      <c r="Q123" s="378"/>
      <c r="R123" s="378"/>
      <c r="S123" s="378"/>
      <c r="T123" s="378"/>
      <c r="U123" s="378"/>
      <c r="V123" s="378"/>
      <c r="W123" s="378"/>
      <c r="X123" s="378"/>
      <c r="Y123" s="378"/>
      <c r="Z123" s="378"/>
      <c r="AA123" s="379"/>
      <c r="AB123" s="378">
        <f>ROUND(SUM(C123:Y123),1)</f>
        <v>2875.5</v>
      </c>
      <c r="AC123" s="1745"/>
      <c r="AD123" s="1807"/>
      <c r="AE123" s="36">
        <f>+'Exhibit F'!AF113+'Exhibit G'!AG99+'Exhibit I'!AI78</f>
        <v>2682.4</v>
      </c>
      <c r="AF123" s="378"/>
      <c r="AG123" s="378"/>
      <c r="AH123" s="378">
        <f>ROUND(SUM(AB123-AE123),1)</f>
        <v>193.1</v>
      </c>
      <c r="AI123" s="152"/>
      <c r="AJ123" s="661">
        <f t="shared" si="27"/>
        <v>7.1999999999999995E-2</v>
      </c>
    </row>
    <row r="124" spans="1:37" ht="16.5" customHeight="1">
      <c r="A124" s="152" t="s">
        <v>34</v>
      </c>
      <c r="B124" s="152"/>
      <c r="C124" s="385">
        <f>ROUND(SUM(C114:C123),1)</f>
        <v>13400</v>
      </c>
      <c r="D124" s="382"/>
      <c r="E124" s="385">
        <f>ROUND(SUM(E114:E123),1)</f>
        <v>18799</v>
      </c>
      <c r="F124" s="382"/>
      <c r="G124" s="385">
        <f>ROUND(SUM(G114:G123),1)</f>
        <v>15357.6</v>
      </c>
      <c r="H124" s="382"/>
      <c r="I124" s="385">
        <f>ROUND(SUM(I114:I123),1)</f>
        <v>12360.6</v>
      </c>
      <c r="J124" s="382"/>
      <c r="K124" s="385">
        <f>ROUND(SUM(K114:K123),1)</f>
        <v>14176.3</v>
      </c>
      <c r="L124" s="382"/>
      <c r="M124" s="385">
        <f>ROUND(SUM(M114:M123),1)</f>
        <v>14511.7</v>
      </c>
      <c r="N124" s="382"/>
      <c r="O124" s="385">
        <f>ROUND(SUM(O114:O123),1)</f>
        <v>0</v>
      </c>
      <c r="P124" s="382"/>
      <c r="Q124" s="385">
        <f>ROUND(SUM(Q114:Q123),1)</f>
        <v>0</v>
      </c>
      <c r="R124" s="382"/>
      <c r="S124" s="385">
        <f>ROUND(SUM(S114:S123),1)</f>
        <v>0</v>
      </c>
      <c r="T124" s="382"/>
      <c r="U124" s="385">
        <f>ROUND(SUM(U114:U123),1)</f>
        <v>0</v>
      </c>
      <c r="V124" s="382"/>
      <c r="W124" s="385">
        <f>ROUND(SUM(W114:W123),1)</f>
        <v>0</v>
      </c>
      <c r="X124" s="382"/>
      <c r="Y124" s="385">
        <f>ROUND(SUM(Y114:Y123),1)</f>
        <v>0</v>
      </c>
      <c r="Z124" s="382"/>
      <c r="AA124" s="383"/>
      <c r="AB124" s="385">
        <f>ROUND(SUM(AB114:AB123),1)</f>
        <v>88605.2</v>
      </c>
      <c r="AC124" s="1746"/>
      <c r="AD124" s="1811"/>
      <c r="AE124" s="385">
        <f>ROUND(SUM(AE114:AE123),1)</f>
        <v>74524.399999999994</v>
      </c>
      <c r="AF124" s="382"/>
      <c r="AG124" s="382"/>
      <c r="AH124" s="385">
        <f>ROUND(SUM(AH114:AH123),1)</f>
        <v>14080.8</v>
      </c>
      <c r="AI124" s="370"/>
      <c r="AJ124" s="13">
        <f t="shared" si="27"/>
        <v>0.189</v>
      </c>
      <c r="AK124" s="303"/>
    </row>
    <row r="125" spans="1:37" ht="16.5" customHeight="1">
      <c r="A125" s="152" t="s">
        <v>35</v>
      </c>
      <c r="B125" s="152"/>
      <c r="C125" s="378"/>
      <c r="D125" s="378"/>
      <c r="E125" s="378"/>
      <c r="F125" s="378"/>
      <c r="G125" s="378"/>
      <c r="H125" s="378"/>
      <c r="I125" s="378"/>
      <c r="J125" s="378"/>
      <c r="K125" s="378"/>
      <c r="L125" s="378"/>
      <c r="M125" s="378"/>
      <c r="N125" s="378"/>
      <c r="O125" s="378"/>
      <c r="P125" s="378"/>
      <c r="Q125" s="378"/>
      <c r="R125" s="378"/>
      <c r="S125" s="378"/>
      <c r="T125" s="378"/>
      <c r="U125" s="378"/>
      <c r="V125" s="378"/>
      <c r="W125" s="378"/>
      <c r="X125" s="378"/>
      <c r="Y125" s="378"/>
      <c r="Z125" s="378"/>
      <c r="AA125" s="379"/>
      <c r="AB125" s="378"/>
      <c r="AC125" s="378"/>
      <c r="AD125" s="1807"/>
      <c r="AE125" s="36"/>
      <c r="AF125" s="378"/>
      <c r="AG125" s="378"/>
      <c r="AH125" s="467"/>
      <c r="AI125" s="152"/>
      <c r="AJ125" s="472"/>
    </row>
    <row r="126" spans="1:37" ht="16.5" customHeight="1">
      <c r="A126" s="152" t="s">
        <v>136</v>
      </c>
      <c r="B126" s="152"/>
      <c r="C126" s="378">
        <f>+'Exhibit F'!D116+'Exhibit G'!D102+'Exhibit I'!E81</f>
        <v>1312.5</v>
      </c>
      <c r="D126" s="378"/>
      <c r="E126" s="378">
        <f>+'Exhibit F'!F116+'Exhibit G'!F102+'Exhibit I'!G81</f>
        <v>1287</v>
      </c>
      <c r="F126" s="378"/>
      <c r="G126" s="378">
        <f>+'Exhibit F'!H116+'Exhibit G'!H102+'Exhibit I'!I81</f>
        <v>1367.5</v>
      </c>
      <c r="H126" s="378"/>
      <c r="I126" s="378">
        <f>+'Exhibit F'!J116+'Exhibit G'!J102+'Exhibit I'!K81</f>
        <v>1210.8000000000002</v>
      </c>
      <c r="J126" s="378"/>
      <c r="K126" s="378">
        <f>+'Exhibit F'!L116+'Exhibit G'!L102+'Exhibit I'!M81</f>
        <v>1707.6</v>
      </c>
      <c r="L126" s="378"/>
      <c r="M126" s="378">
        <f>+'Exhibit F'!N116+'Exhibit G'!N102+'Exhibit I'!O81</f>
        <v>1228.7999999999993</v>
      </c>
      <c r="N126" s="378"/>
      <c r="O126" s="378"/>
      <c r="P126" s="378"/>
      <c r="Q126" s="378"/>
      <c r="R126" s="378"/>
      <c r="S126" s="378"/>
      <c r="T126" s="378"/>
      <c r="U126" s="378"/>
      <c r="V126" s="378"/>
      <c r="W126" s="378"/>
      <c r="X126" s="378"/>
      <c r="Y126" s="378"/>
      <c r="Z126" s="378"/>
      <c r="AA126" s="379"/>
      <c r="AB126" s="378">
        <f>ROUND(SUM(C126:Y126),1)</f>
        <v>8114.2</v>
      </c>
      <c r="AC126" s="378"/>
      <c r="AD126" s="1807"/>
      <c r="AE126" s="36">
        <f>+'Exhibit F'!AF116+'Exhibit G'!AG102+'Exhibit I'!AI81</f>
        <v>7580</v>
      </c>
      <c r="AF126" s="378"/>
      <c r="AG126" s="378"/>
      <c r="AH126" s="378">
        <f>ROUND(SUM(AB126-AE126),1)</f>
        <v>534.20000000000005</v>
      </c>
      <c r="AI126" s="152"/>
      <c r="AJ126" s="661">
        <f>ROUND(IF(AE126=0,0,AH126/ABS(AE126)),3)</f>
        <v>7.0000000000000007E-2</v>
      </c>
    </row>
    <row r="127" spans="1:37" ht="16.5" customHeight="1">
      <c r="A127" s="152" t="s">
        <v>137</v>
      </c>
      <c r="B127" s="152"/>
      <c r="C127" s="378">
        <f>+'Exhibit F'!D117+'Exhibit G'!D103+'Exhibit H'!B58+'Exhibit I'!E82</f>
        <v>413.09999999999997</v>
      </c>
      <c r="D127" s="378"/>
      <c r="E127" s="378">
        <f>+'Exhibit F'!F117+'Exhibit G'!F103+'Exhibit H'!D58+'Exhibit I'!G82</f>
        <v>631.90000000000009</v>
      </c>
      <c r="F127" s="378"/>
      <c r="G127" s="378">
        <f>+'Exhibit F'!H117+'Exhibit G'!H103+'Exhibit H'!F58+'Exhibit I'!I82</f>
        <v>662.5</v>
      </c>
      <c r="H127" s="378"/>
      <c r="I127" s="378">
        <f>+'Exhibit F'!J117+'Exhibit G'!J103+'Exhibit H'!H58+'Exhibit I'!K82</f>
        <v>527.90000000000009</v>
      </c>
      <c r="J127" s="378"/>
      <c r="K127" s="378">
        <f>+'Exhibit F'!L117+'Exhibit G'!L103+'Exhibit H'!J58+'Exhibit I'!M82</f>
        <v>744.79999999999973</v>
      </c>
      <c r="L127" s="378"/>
      <c r="M127" s="378">
        <f>+'Exhibit F'!N117+'Exhibit G'!N103+'Exhibit H'!L58+'Exhibit I'!O82</f>
        <v>876.20000000000016</v>
      </c>
      <c r="N127" s="378"/>
      <c r="O127" s="378"/>
      <c r="P127" s="378"/>
      <c r="Q127" s="378"/>
      <c r="R127" s="378"/>
      <c r="S127" s="378"/>
      <c r="T127" s="378"/>
      <c r="U127" s="378"/>
      <c r="V127" s="378"/>
      <c r="W127" s="378"/>
      <c r="X127" s="378"/>
      <c r="Y127" s="378"/>
      <c r="Z127" s="378"/>
      <c r="AA127" s="379"/>
      <c r="AB127" s="378">
        <f>ROUND(SUM(C127:Y127),1)</f>
        <v>3856.4</v>
      </c>
      <c r="AC127" s="378"/>
      <c r="AD127" s="1807"/>
      <c r="AE127" s="36">
        <f>+'Exhibit F'!AF117+'Exhibit G'!AG103+'Exhibit H'!AD58+'Exhibit I'!AI82</f>
        <v>3556.9</v>
      </c>
      <c r="AF127" s="378"/>
      <c r="AG127" s="378"/>
      <c r="AH127" s="378">
        <f>ROUND(SUM(AB127-AE127),1)</f>
        <v>299.5</v>
      </c>
      <c r="AI127" s="152"/>
      <c r="AJ127" s="661">
        <f>ROUND(IF(AE127=0,0,AH127/ABS(AE127)),3)</f>
        <v>8.4000000000000005E-2</v>
      </c>
    </row>
    <row r="128" spans="1:37" ht="16.5" customHeight="1">
      <c r="A128" s="152" t="s">
        <v>38</v>
      </c>
      <c r="B128" s="152"/>
      <c r="C128" s="378">
        <f>+'Exhibit F'!D118+'Exhibit G'!D104+'Exhibit I'!E83</f>
        <v>687</v>
      </c>
      <c r="D128" s="378"/>
      <c r="E128" s="378">
        <f>+'Exhibit F'!F118+'Exhibit G'!F104+'Exhibit I'!G83</f>
        <v>2002.4000000000003</v>
      </c>
      <c r="F128" s="378"/>
      <c r="G128" s="378">
        <f>+'Exhibit F'!H118+'Exhibit G'!H104+'Exhibit I'!I83</f>
        <v>611.09999999999968</v>
      </c>
      <c r="H128" s="378"/>
      <c r="I128" s="378">
        <f>+'Exhibit F'!J118+'Exhibit G'!J104+'Exhibit I'!K83</f>
        <v>529.30000000000018</v>
      </c>
      <c r="J128" s="378"/>
      <c r="K128" s="378">
        <f>+'Exhibit F'!L118+'Exhibit G'!L104+'Exhibit I'!M83</f>
        <v>643.79999999999984</v>
      </c>
      <c r="L128" s="378"/>
      <c r="M128" s="378">
        <f>+'Exhibit F'!N118+'Exhibit G'!N104+'Exhibit I'!O83</f>
        <v>586.69999999999959</v>
      </c>
      <c r="N128" s="378"/>
      <c r="O128" s="378"/>
      <c r="P128" s="378"/>
      <c r="Q128" s="378"/>
      <c r="R128" s="378"/>
      <c r="S128" s="378"/>
      <c r="T128" s="378"/>
      <c r="U128" s="378"/>
      <c r="V128" s="378"/>
      <c r="W128" s="378"/>
      <c r="X128" s="378"/>
      <c r="Y128" s="378"/>
      <c r="Z128" s="378"/>
      <c r="AA128" s="379"/>
      <c r="AB128" s="378">
        <f>ROUND(SUM(C128:Y128),1)</f>
        <v>5060.3</v>
      </c>
      <c r="AC128" s="378"/>
      <c r="AD128" s="1807"/>
      <c r="AE128" s="36">
        <f>+'Exhibit F'!AF118+'Exhibit G'!AG104+'Exhibit H'!AD59+'Exhibit I'!AI83</f>
        <v>5233.2000000000007</v>
      </c>
      <c r="AF128" s="378"/>
      <c r="AG128" s="378"/>
      <c r="AH128" s="378">
        <f>ROUND(SUM(AB128-AE128),1)</f>
        <v>-172.9</v>
      </c>
      <c r="AI128" s="152"/>
      <c r="AJ128" s="661">
        <f>ROUND(IF(AE128=0,0,AH128/ABS(AE128)),3)</f>
        <v>-3.3000000000000002E-2</v>
      </c>
    </row>
    <row r="129" spans="1:44" ht="16.5" customHeight="1">
      <c r="A129" s="152" t="s">
        <v>1105</v>
      </c>
      <c r="B129" s="152"/>
      <c r="C129" s="378"/>
      <c r="D129" s="378"/>
      <c r="E129" s="378"/>
      <c r="F129" s="378"/>
      <c r="G129" s="378"/>
      <c r="H129" s="378"/>
      <c r="I129" s="378"/>
      <c r="J129" s="378"/>
      <c r="K129" s="378"/>
      <c r="L129" s="378"/>
      <c r="M129" s="378"/>
      <c r="N129" s="378"/>
      <c r="O129" s="378"/>
      <c r="P129" s="378"/>
      <c r="Q129" s="378"/>
      <c r="R129" s="378"/>
      <c r="S129" s="378"/>
      <c r="T129" s="378"/>
      <c r="U129" s="378"/>
      <c r="V129" s="378"/>
      <c r="W129" s="378"/>
      <c r="X129" s="378"/>
      <c r="Y129" s="378"/>
      <c r="Z129" s="378"/>
      <c r="AA129" s="379"/>
      <c r="AB129" s="378"/>
      <c r="AC129" s="378"/>
      <c r="AD129" s="1807"/>
      <c r="AE129" s="378"/>
      <c r="AF129" s="378"/>
      <c r="AG129" s="378"/>
      <c r="AH129" s="378"/>
      <c r="AI129" s="152"/>
      <c r="AJ129" s="488"/>
    </row>
    <row r="130" spans="1:44" ht="16.5" customHeight="1">
      <c r="A130" s="152" t="s">
        <v>40</v>
      </c>
      <c r="B130" s="152"/>
      <c r="C130" s="378">
        <f>+'Exhibit H'!B60</f>
        <v>35.200000000000003</v>
      </c>
      <c r="D130" s="378"/>
      <c r="E130" s="378">
        <f>+'Exhibit H'!D60</f>
        <v>28.5</v>
      </c>
      <c r="F130" s="378"/>
      <c r="G130" s="378">
        <f>+'Exhibit H'!F60</f>
        <v>4.8999999999999915</v>
      </c>
      <c r="H130" s="378"/>
      <c r="I130" s="378">
        <f>+'Exhibit H'!H60</f>
        <v>4.5</v>
      </c>
      <c r="J130" s="378"/>
      <c r="K130" s="378">
        <f>+'Exhibit H'!J60</f>
        <v>61.400000000000006</v>
      </c>
      <c r="L130" s="378"/>
      <c r="M130" s="378">
        <f>+'Exhibit H'!L60</f>
        <v>426.9</v>
      </c>
      <c r="N130" s="378"/>
      <c r="O130" s="378"/>
      <c r="P130" s="378"/>
      <c r="Q130" s="378"/>
      <c r="R130" s="378"/>
      <c r="S130" s="378"/>
      <c r="T130" s="378"/>
      <c r="U130" s="378"/>
      <c r="V130" s="378"/>
      <c r="W130" s="378"/>
      <c r="X130" s="378"/>
      <c r="Y130" s="378"/>
      <c r="Z130" s="378"/>
      <c r="AA130" s="379"/>
      <c r="AB130" s="378">
        <f>ROUND(SUM(C130:Y130),1)</f>
        <v>561.4</v>
      </c>
      <c r="AC130" s="378"/>
      <c r="AD130" s="1807"/>
      <c r="AE130" s="36">
        <f>+'Exhibit H'!AD60+'Exhibit G'!AG106</f>
        <v>1425.4</v>
      </c>
      <c r="AF130" s="378"/>
      <c r="AG130" s="378"/>
      <c r="AH130" s="378">
        <f>ROUND(SUM(AB130-AE130),1)</f>
        <v>-864</v>
      </c>
      <c r="AI130" s="152"/>
      <c r="AJ130" s="661">
        <f>ROUND(IF(AE130=0,0,AH130/ABS(AE130)),3)</f>
        <v>-0.60599999999999998</v>
      </c>
    </row>
    <row r="131" spans="1:44" ht="16.5" customHeight="1">
      <c r="A131" s="384" t="s">
        <v>138</v>
      </c>
      <c r="B131" s="152"/>
      <c r="C131" s="380">
        <f>+'Exhibit G'!D107+'Exhibit I'!E84</f>
        <v>410.1</v>
      </c>
      <c r="D131" s="378"/>
      <c r="E131" s="380">
        <f>+'Exhibit G'!F107+'Exhibit I'!G84</f>
        <v>744.3</v>
      </c>
      <c r="F131" s="380"/>
      <c r="G131" s="380">
        <f>+'Exhibit G'!H107+'Exhibit I'!I84</f>
        <v>816.9</v>
      </c>
      <c r="H131" s="378"/>
      <c r="I131" s="380">
        <f>+'Exhibit G'!J107+'Exhibit I'!K84</f>
        <v>614.69999999999993</v>
      </c>
      <c r="J131" s="378"/>
      <c r="K131" s="380">
        <f>+'Exhibit G'!L107+'Exhibit I'!M84</f>
        <v>878.60000000000025</v>
      </c>
      <c r="L131" s="378"/>
      <c r="M131" s="380">
        <f>+'Exhibit G'!N107+'Exhibit I'!O84</f>
        <v>732.3</v>
      </c>
      <c r="N131" s="378"/>
      <c r="O131" s="380"/>
      <c r="P131" s="378"/>
      <c r="Q131" s="380"/>
      <c r="R131" s="378"/>
      <c r="S131" s="380"/>
      <c r="T131" s="378"/>
      <c r="U131" s="380"/>
      <c r="V131" s="378"/>
      <c r="W131" s="380"/>
      <c r="X131" s="378"/>
      <c r="Y131" s="380"/>
      <c r="Z131" s="378"/>
      <c r="AA131" s="379"/>
      <c r="AB131" s="1743">
        <f>ROUND(SUM(C131:Y131),1)</f>
        <v>4196.8999999999996</v>
      </c>
      <c r="AC131" s="378"/>
      <c r="AD131" s="1807"/>
      <c r="AE131" s="648">
        <f>+'Exhibit G'!AG107+'Exhibit I'!AI84</f>
        <v>3922.2</v>
      </c>
      <c r="AF131" s="378"/>
      <c r="AG131" s="378"/>
      <c r="AH131" s="1743">
        <f>ROUND(SUM(AB131-AE131),1)</f>
        <v>274.7</v>
      </c>
      <c r="AI131" s="152"/>
      <c r="AJ131" s="1809">
        <f>ROUND(IF(AE131=0,0,AH131/ABS(AE131)),3)</f>
        <v>7.0000000000000007E-2</v>
      </c>
    </row>
    <row r="132" spans="1:44" ht="16.5" customHeight="1">
      <c r="A132" s="152"/>
      <c r="B132" s="152"/>
      <c r="C132" s="378"/>
      <c r="D132" s="378"/>
      <c r="E132" s="378"/>
      <c r="F132" s="378"/>
      <c r="G132" s="378"/>
      <c r="H132" s="378"/>
      <c r="I132" s="378"/>
      <c r="J132" s="378"/>
      <c r="K132" s="378"/>
      <c r="L132" s="378"/>
      <c r="M132" s="378"/>
      <c r="N132" s="378"/>
      <c r="O132" s="378"/>
      <c r="P132" s="378"/>
      <c r="Q132" s="378"/>
      <c r="R132" s="378"/>
      <c r="S132" s="378"/>
      <c r="T132" s="378"/>
      <c r="U132" s="378"/>
      <c r="V132" s="378"/>
      <c r="W132" s="378"/>
      <c r="X132" s="378"/>
      <c r="Y132" s="378"/>
      <c r="Z132" s="378"/>
      <c r="AA132" s="379"/>
      <c r="AB132" s="378"/>
      <c r="AC132" s="378"/>
      <c r="AD132" s="1807"/>
      <c r="AE132" s="378"/>
      <c r="AF132" s="378"/>
      <c r="AG132" s="378"/>
      <c r="AH132" s="378"/>
      <c r="AI132" s="152"/>
      <c r="AJ132" s="488"/>
    </row>
    <row r="133" spans="1:44" ht="16.5" customHeight="1">
      <c r="A133" s="112" t="s">
        <v>56</v>
      </c>
      <c r="B133" s="152"/>
      <c r="C133" s="381">
        <f>ROUND(SUM(C124:C131),1)</f>
        <v>16257.9</v>
      </c>
      <c r="D133" s="382"/>
      <c r="E133" s="381">
        <f>ROUND(SUM(E124:E131),1)</f>
        <v>23493.1</v>
      </c>
      <c r="F133" s="382"/>
      <c r="G133" s="381">
        <f>ROUND(SUM(G124:G131),1)</f>
        <v>18820.5</v>
      </c>
      <c r="H133" s="382"/>
      <c r="I133" s="381">
        <f>ROUND(SUM(I124:I131),1)</f>
        <v>15247.8</v>
      </c>
      <c r="J133" s="382"/>
      <c r="K133" s="381">
        <f>ROUND(SUM(K124:K131),1)</f>
        <v>18212.5</v>
      </c>
      <c r="L133" s="382"/>
      <c r="M133" s="381">
        <f>ROUND(SUM(M124:M131),1)</f>
        <v>18362.599999999999</v>
      </c>
      <c r="N133" s="382"/>
      <c r="O133" s="381">
        <f>ROUND(SUM(O124:O131),1)</f>
        <v>0</v>
      </c>
      <c r="P133" s="382"/>
      <c r="Q133" s="381">
        <f>ROUND(SUM(Q124:Q131),1)</f>
        <v>0</v>
      </c>
      <c r="R133" s="382"/>
      <c r="S133" s="381">
        <f>ROUND(SUM(S124:S131),1)</f>
        <v>0</v>
      </c>
      <c r="T133" s="382"/>
      <c r="U133" s="381">
        <f>ROUND(SUM(U124:U131),1)</f>
        <v>0</v>
      </c>
      <c r="V133" s="382"/>
      <c r="W133" s="381">
        <f>ROUND(SUM(W124:W131),1)</f>
        <v>0</v>
      </c>
      <c r="X133" s="382"/>
      <c r="Y133" s="381">
        <f>ROUND(SUM(Y124:Y131),1)</f>
        <v>0</v>
      </c>
      <c r="Z133" s="382"/>
      <c r="AA133" s="383"/>
      <c r="AB133" s="381">
        <f>ROUND(SUM(AB124:AB131),1)</f>
        <v>110394.4</v>
      </c>
      <c r="AC133" s="382"/>
      <c r="AD133" s="1811"/>
      <c r="AE133" s="381">
        <f>ROUND(SUM(AE124:AE131),1)</f>
        <v>96242.1</v>
      </c>
      <c r="AF133" s="382"/>
      <c r="AG133" s="382"/>
      <c r="AH133" s="381">
        <f>ROUND(SUM(AB133-AE133),1)</f>
        <v>14152.3</v>
      </c>
      <c r="AI133" s="370"/>
      <c r="AJ133" s="1806">
        <f>ROUND(IF(AE133=0,0,AH133/ABS(AE133)),3)</f>
        <v>0.14699999999999999</v>
      </c>
      <c r="AK133" s="303"/>
      <c r="AM133" s="303"/>
      <c r="AN133" s="303"/>
      <c r="AO133" s="303"/>
      <c r="AP133" s="303"/>
      <c r="AQ133" s="303"/>
      <c r="AR133" s="303"/>
    </row>
    <row r="134" spans="1:44" ht="16.5" customHeight="1">
      <c r="A134" s="112"/>
      <c r="B134" s="152"/>
      <c r="C134" s="378"/>
      <c r="D134" s="378"/>
      <c r="E134" s="378"/>
      <c r="F134" s="378"/>
      <c r="G134" s="378"/>
      <c r="H134" s="378"/>
      <c r="I134" s="378"/>
      <c r="J134" s="378"/>
      <c r="K134" s="378"/>
      <c r="L134" s="378"/>
      <c r="M134" s="378"/>
      <c r="N134" s="378"/>
      <c r="O134" s="378"/>
      <c r="P134" s="378"/>
      <c r="Q134" s="378"/>
      <c r="R134" s="378"/>
      <c r="S134" s="378"/>
      <c r="T134" s="378"/>
      <c r="U134" s="378"/>
      <c r="V134" s="378"/>
      <c r="W134" s="378"/>
      <c r="X134" s="378"/>
      <c r="Y134" s="378"/>
      <c r="Z134" s="378"/>
      <c r="AA134" s="379"/>
      <c r="AB134" s="378"/>
      <c r="AC134" s="378"/>
      <c r="AD134" s="1807"/>
      <c r="AE134" s="378"/>
      <c r="AF134" s="378"/>
      <c r="AG134" s="378"/>
      <c r="AH134" s="467"/>
      <c r="AI134" s="152"/>
      <c r="AJ134" s="472"/>
    </row>
    <row r="135" spans="1:44" ht="16.5" customHeight="1">
      <c r="A135" s="112" t="s">
        <v>43</v>
      </c>
      <c r="B135" s="152"/>
      <c r="C135" s="378"/>
      <c r="D135" s="378"/>
      <c r="E135" s="378"/>
      <c r="F135" s="378"/>
      <c r="G135" s="378"/>
      <c r="H135" s="378"/>
      <c r="I135" s="378"/>
      <c r="J135" s="378"/>
      <c r="K135" s="378"/>
      <c r="L135" s="378"/>
      <c r="M135" s="378"/>
      <c r="N135" s="378"/>
      <c r="O135" s="378"/>
      <c r="P135" s="378"/>
      <c r="Q135" s="378"/>
      <c r="R135" s="378"/>
      <c r="S135" s="378"/>
      <c r="T135" s="378"/>
      <c r="U135" s="378"/>
      <c r="V135" s="378"/>
      <c r="W135" s="378"/>
      <c r="X135" s="378"/>
      <c r="Y135" s="378"/>
      <c r="Z135" s="378"/>
      <c r="AA135" s="379"/>
      <c r="AB135" s="378"/>
      <c r="AC135" s="378"/>
      <c r="AD135" s="1807"/>
      <c r="AE135" s="378"/>
      <c r="AF135" s="378"/>
      <c r="AG135" s="378"/>
      <c r="AH135" s="467"/>
      <c r="AI135" s="152"/>
      <c r="AJ135" s="472"/>
    </row>
    <row r="136" spans="1:44" ht="16.5" customHeight="1">
      <c r="A136" s="112" t="s">
        <v>44</v>
      </c>
      <c r="B136" s="152"/>
      <c r="C136" s="381">
        <f>ROUND(SUM(C110-C133),1)</f>
        <v>5934</v>
      </c>
      <c r="D136" s="382"/>
      <c r="E136" s="381">
        <f>ROUND(SUM(E110-E133),1)</f>
        <v>-9135.2999999999993</v>
      </c>
      <c r="F136" s="382"/>
      <c r="G136" s="381">
        <f>ROUND(SUM(G110-G133),1)</f>
        <v>8027</v>
      </c>
      <c r="H136" s="382"/>
      <c r="I136" s="381">
        <f>ROUND(SUM(I110-I133),1)</f>
        <v>960.1</v>
      </c>
      <c r="J136" s="382"/>
      <c r="K136" s="381">
        <f>ROUND(SUM(K110-K133),1)</f>
        <v>-1960.7</v>
      </c>
      <c r="L136" s="382"/>
      <c r="M136" s="381">
        <f>ROUND(SUM(M110-M133),1)</f>
        <v>3433.7</v>
      </c>
      <c r="N136" s="382"/>
      <c r="O136" s="381">
        <f>ROUND(SUM(O110-O133),1)</f>
        <v>0</v>
      </c>
      <c r="P136" s="382"/>
      <c r="Q136" s="381">
        <f>ROUND(SUM(Q110-Q133),1)</f>
        <v>0</v>
      </c>
      <c r="R136" s="382"/>
      <c r="S136" s="381">
        <f>ROUND(SUM(S110-S133),1)</f>
        <v>0</v>
      </c>
      <c r="T136" s="382"/>
      <c r="U136" s="381">
        <f>ROUND(SUM(U110-U133),1)</f>
        <v>0</v>
      </c>
      <c r="V136" s="382"/>
      <c r="W136" s="381">
        <f>ROUND(SUM(W110-W133),1)</f>
        <v>0</v>
      </c>
      <c r="X136" s="382"/>
      <c r="Y136" s="381">
        <f>ROUND(SUM(Y110-Y133),1)</f>
        <v>0</v>
      </c>
      <c r="Z136" s="382"/>
      <c r="AA136" s="383"/>
      <c r="AB136" s="381">
        <f>ROUND(SUM(AB110-AB133),1)</f>
        <v>7258.8</v>
      </c>
      <c r="AC136" s="382"/>
      <c r="AD136" s="1811"/>
      <c r="AE136" s="381">
        <f>ROUND(SUM(AE110-AE133),1)</f>
        <v>20599.7</v>
      </c>
      <c r="AF136" s="382"/>
      <c r="AG136" s="382"/>
      <c r="AH136" s="1812">
        <f>ROUND(SUM(AB136-AE136),1)</f>
        <v>-13340.9</v>
      </c>
      <c r="AI136" s="370"/>
      <c r="AJ136" s="1813">
        <f>ROUND(IF(AE136=0,0,AH136/ABS(AE136)),3)</f>
        <v>-0.64800000000000002</v>
      </c>
      <c r="AK136" s="303"/>
    </row>
    <row r="137" spans="1:44" ht="16.5" customHeight="1">
      <c r="A137" s="39"/>
      <c r="B137" s="152"/>
      <c r="C137" s="35"/>
      <c r="D137" s="378"/>
      <c r="E137" s="35"/>
      <c r="F137" s="378"/>
      <c r="G137" s="35"/>
      <c r="H137" s="378"/>
      <c r="I137" s="35"/>
      <c r="J137" s="378"/>
      <c r="K137" s="35"/>
      <c r="L137" s="378"/>
      <c r="M137" s="35"/>
      <c r="N137" s="378"/>
      <c r="O137" s="35"/>
      <c r="P137" s="378"/>
      <c r="Q137" s="35"/>
      <c r="R137" s="378"/>
      <c r="S137" s="35"/>
      <c r="T137" s="378"/>
      <c r="U137" s="35"/>
      <c r="V137" s="378"/>
      <c r="W137" s="35"/>
      <c r="X137" s="378"/>
      <c r="Y137" s="35"/>
      <c r="Z137" s="254"/>
      <c r="AA137" s="379"/>
      <c r="AB137" s="35"/>
      <c r="AC137" s="378"/>
      <c r="AD137" s="1807"/>
      <c r="AE137" s="35"/>
      <c r="AF137" s="378"/>
      <c r="AG137" s="378"/>
      <c r="AH137" s="467"/>
      <c r="AI137" s="152"/>
      <c r="AJ137" s="472"/>
    </row>
    <row r="138" spans="1:44" ht="16.5" customHeight="1">
      <c r="A138" s="112" t="s">
        <v>45</v>
      </c>
      <c r="B138" s="152"/>
      <c r="C138" s="378"/>
      <c r="D138" s="378"/>
      <c r="E138" s="378"/>
      <c r="F138" s="386"/>
      <c r="G138" s="378"/>
      <c r="H138" s="386"/>
      <c r="I138" s="386"/>
      <c r="J138" s="386"/>
      <c r="K138" s="386"/>
      <c r="L138" s="386"/>
      <c r="M138" s="386"/>
      <c r="N138" s="386"/>
      <c r="O138" s="386"/>
      <c r="P138" s="386"/>
      <c r="Q138" s="386"/>
      <c r="R138" s="386"/>
      <c r="S138" s="386"/>
      <c r="T138" s="386"/>
      <c r="U138" s="386"/>
      <c r="V138" s="378"/>
      <c r="W138" s="386"/>
      <c r="X138" s="378"/>
      <c r="Y138" s="386"/>
      <c r="Z138" s="1744"/>
      <c r="AA138" s="379"/>
      <c r="AB138" s="378"/>
      <c r="AC138" s="1744"/>
      <c r="AD138" s="378"/>
      <c r="AE138" s="378"/>
      <c r="AF138" s="378"/>
      <c r="AG138" s="378"/>
      <c r="AH138" s="467"/>
      <c r="AI138" s="152"/>
      <c r="AJ138" s="472"/>
    </row>
    <row r="139" spans="1:44" ht="16.5" customHeight="1">
      <c r="A139" s="152" t="s">
        <v>1287</v>
      </c>
      <c r="B139" s="152"/>
      <c r="C139" s="1314">
        <v>0</v>
      </c>
      <c r="D139" s="1314"/>
      <c r="E139" s="1314">
        <v>0</v>
      </c>
      <c r="F139" s="1314"/>
      <c r="G139" s="1314">
        <v>0</v>
      </c>
      <c r="H139" s="386"/>
      <c r="I139" s="1314">
        <v>0</v>
      </c>
      <c r="J139" s="386"/>
      <c r="K139" s="1314">
        <v>0</v>
      </c>
      <c r="L139" s="386"/>
      <c r="M139" s="1314">
        <f>'Exhibit A'!$V48</f>
        <v>0</v>
      </c>
      <c r="N139" s="386"/>
      <c r="O139" s="1314"/>
      <c r="P139" s="386"/>
      <c r="Q139" s="1314"/>
      <c r="R139" s="1314"/>
      <c r="S139" s="1314"/>
      <c r="T139" s="1314"/>
      <c r="U139" s="1314"/>
      <c r="V139" s="1314"/>
      <c r="W139" s="1314"/>
      <c r="X139" s="1314"/>
      <c r="Y139" s="1314"/>
      <c r="Z139" s="378"/>
      <c r="AA139" s="379"/>
      <c r="AB139" s="378">
        <f>ROUND(SUM(C139:Y139),1)</f>
        <v>0</v>
      </c>
      <c r="AC139" s="378"/>
      <c r="AD139" s="1807"/>
      <c r="AE139" s="378">
        <f>+'Exhibit A'!AD48</f>
        <v>0</v>
      </c>
      <c r="AF139" s="378"/>
      <c r="AG139" s="378"/>
      <c r="AH139" s="378">
        <f>ROUND(SUM(AB139-AE139),1)</f>
        <v>0</v>
      </c>
      <c r="AI139" s="372"/>
      <c r="AJ139" s="469">
        <f>ROUND(IF(AE139=0,0,AH139/ABS(AE139)),3)</f>
        <v>0</v>
      </c>
    </row>
    <row r="140" spans="1:44" ht="16.5" customHeight="1">
      <c r="A140" s="152" t="s">
        <v>46</v>
      </c>
      <c r="B140" s="152"/>
      <c r="C140" s="1314">
        <v>5185</v>
      </c>
      <c r="D140" s="1314"/>
      <c r="E140" s="1314">
        <v>2608.5</v>
      </c>
      <c r="F140" s="1314"/>
      <c r="G140" s="1314">
        <v>5720.8</v>
      </c>
      <c r="H140" s="378"/>
      <c r="I140" s="1314">
        <v>2693.4</v>
      </c>
      <c r="J140" s="378"/>
      <c r="K140" s="1314">
        <v>2990.1</v>
      </c>
      <c r="L140" s="378"/>
      <c r="M140" s="1314">
        <f>'Exhibit A'!$V49</f>
        <v>5418.1</v>
      </c>
      <c r="N140" s="378"/>
      <c r="O140" s="1314"/>
      <c r="P140" s="378"/>
      <c r="Q140" s="1314"/>
      <c r="R140" s="1314"/>
      <c r="S140" s="1314"/>
      <c r="T140" s="1314"/>
      <c r="U140" s="1314"/>
      <c r="V140" s="1314"/>
      <c r="W140" s="1314"/>
      <c r="X140" s="1314"/>
      <c r="Y140" s="1314"/>
      <c r="Z140" s="378"/>
      <c r="AA140" s="379"/>
      <c r="AB140" s="378">
        <f>ROUND(SUM(C140:Y140),1)</f>
        <v>24615.9</v>
      </c>
      <c r="AC140" s="378"/>
      <c r="AD140" s="379"/>
      <c r="AE140" s="378">
        <f>+'Exhibit A'!AD49</f>
        <v>29427.199999999997</v>
      </c>
      <c r="AF140" s="378"/>
      <c r="AG140" s="378"/>
      <c r="AH140" s="378">
        <f>ROUND(SUM(AB140-AE140),1)</f>
        <v>-4811.3</v>
      </c>
      <c r="AI140" s="152"/>
      <c r="AJ140" s="469">
        <f>ROUND(IF(AE140=0,0,AH140/ABS(AE140)),3)</f>
        <v>-0.16300000000000001</v>
      </c>
    </row>
    <row r="141" spans="1:44" ht="16.5" customHeight="1">
      <c r="A141" s="152" t="s">
        <v>47</v>
      </c>
      <c r="C141" s="1892">
        <v>-5186.5</v>
      </c>
      <c r="D141" s="1314"/>
      <c r="E141" s="1892">
        <v>-2612.5</v>
      </c>
      <c r="F141" s="1892"/>
      <c r="G141" s="1892">
        <v>-5723</v>
      </c>
      <c r="H141" s="35"/>
      <c r="I141" s="1892">
        <v>-2694.3</v>
      </c>
      <c r="J141" s="35"/>
      <c r="K141" s="1892">
        <v>-2987.8</v>
      </c>
      <c r="L141" s="35"/>
      <c r="M141" s="1892">
        <f>'Exhibit A'!$V50</f>
        <v>-5421.3</v>
      </c>
      <c r="N141" s="35"/>
      <c r="O141" s="1892"/>
      <c r="P141" s="35"/>
      <c r="Q141" s="1892"/>
      <c r="R141" s="1314"/>
      <c r="S141" s="1892"/>
      <c r="T141" s="1314"/>
      <c r="U141" s="1892"/>
      <c r="V141" s="1892"/>
      <c r="W141" s="1892"/>
      <c r="X141" s="1892"/>
      <c r="Y141" s="1892"/>
      <c r="Z141" s="35"/>
      <c r="AA141" s="387"/>
      <c r="AB141" s="1743">
        <f>ROUND(SUM(C141:Y141),1)</f>
        <v>-24625.4</v>
      </c>
      <c r="AC141" s="35"/>
      <c r="AD141" s="387"/>
      <c r="AE141" s="1743">
        <f>+'Exhibit A'!AD50</f>
        <v>-29487.200000000001</v>
      </c>
      <c r="AF141" s="35"/>
      <c r="AG141" s="35"/>
      <c r="AH141" s="1743">
        <f>ROUND(SUM(-AB141+AE141),1)</f>
        <v>-4861.8</v>
      </c>
      <c r="AI141" s="472"/>
      <c r="AJ141" s="954">
        <f>ROUND(IF(AE141=0,0,AH141/ABS(AE141)),3)</f>
        <v>-0.16500000000000001</v>
      </c>
      <c r="AK141" s="1814"/>
    </row>
    <row r="142" spans="1:44" ht="16.5" customHeight="1">
      <c r="A142" s="152"/>
      <c r="C142" s="1890"/>
      <c r="D142" s="35"/>
      <c r="E142" s="378"/>
      <c r="F142" s="35"/>
      <c r="G142" s="378"/>
      <c r="H142" s="35"/>
      <c r="I142" s="378"/>
      <c r="J142" s="35"/>
      <c r="K142" s="378"/>
      <c r="L142" s="35"/>
      <c r="M142" s="378"/>
      <c r="N142" s="35"/>
      <c r="O142" s="378"/>
      <c r="P142" s="35"/>
      <c r="Q142" s="378"/>
      <c r="R142" s="35"/>
      <c r="S142" s="378"/>
      <c r="T142" s="35"/>
      <c r="U142" s="378"/>
      <c r="V142" s="35"/>
      <c r="W142" s="378"/>
      <c r="X142" s="35"/>
      <c r="Y142" s="378"/>
      <c r="Z142" s="35"/>
      <c r="AA142" s="387"/>
      <c r="AB142" s="378"/>
      <c r="AC142" s="35"/>
      <c r="AD142" s="387"/>
      <c r="AE142" s="378"/>
      <c r="AF142" s="35"/>
      <c r="AG142" s="35"/>
      <c r="AH142" s="378"/>
      <c r="AI142" s="472"/>
      <c r="AJ142" s="488"/>
    </row>
    <row r="143" spans="1:44" ht="16.5" customHeight="1">
      <c r="A143" s="112" t="s">
        <v>48</v>
      </c>
      <c r="C143" s="381">
        <f>ROUND(SUM(C139:C141),1)</f>
        <v>-1.5</v>
      </c>
      <c r="D143" s="388"/>
      <c r="E143" s="381">
        <f>ROUND(SUM(E139:E141),1)</f>
        <v>-4</v>
      </c>
      <c r="F143" s="388"/>
      <c r="G143" s="381">
        <f>ROUND(SUM(G139:G141),1)</f>
        <v>-2.2000000000000002</v>
      </c>
      <c r="H143" s="388"/>
      <c r="I143" s="381">
        <f>ROUND(SUM(I139:I141),1)</f>
        <v>-0.9</v>
      </c>
      <c r="J143" s="388"/>
      <c r="K143" s="381">
        <f>ROUND(SUM(K139:K141),1)</f>
        <v>2.2999999999999998</v>
      </c>
      <c r="L143" s="388"/>
      <c r="M143" s="381">
        <f>ROUND(SUM(M139:M141),1)</f>
        <v>-3.2</v>
      </c>
      <c r="N143" s="388"/>
      <c r="O143" s="381">
        <f>ROUND(SUM(O139:O141),1)</f>
        <v>0</v>
      </c>
      <c r="P143" s="388"/>
      <c r="Q143" s="381">
        <f>ROUND(SUM(Q139:Q141),1)</f>
        <v>0</v>
      </c>
      <c r="R143" s="388"/>
      <c r="S143" s="381">
        <f>ROUND(SUM(S139:S141),1)</f>
        <v>0</v>
      </c>
      <c r="T143" s="388"/>
      <c r="U143" s="381">
        <f>ROUND(SUM(U139:U141),1)</f>
        <v>0</v>
      </c>
      <c r="V143" s="388"/>
      <c r="W143" s="381">
        <f>ROUND(SUM(W139:W141),1)</f>
        <v>0</v>
      </c>
      <c r="X143" s="388"/>
      <c r="Y143" s="381">
        <f>ROUND(SUM(Y139:Y141),1)</f>
        <v>0</v>
      </c>
      <c r="Z143" s="388"/>
      <c r="AA143" s="389"/>
      <c r="AB143" s="381">
        <f>ROUND(SUM(AB139:AB142),1)</f>
        <v>-9.5</v>
      </c>
      <c r="AC143" s="388"/>
      <c r="AD143" s="389"/>
      <c r="AE143" s="381">
        <f>SUM(AE139:AE142)</f>
        <v>-60.000000000003638</v>
      </c>
      <c r="AF143" s="388"/>
      <c r="AG143" s="388"/>
      <c r="AH143" s="381">
        <f>ROUND(SUM(+AH140-AH141+AH139),1)</f>
        <v>50.5</v>
      </c>
      <c r="AI143" s="112"/>
      <c r="AJ143" s="1813">
        <f>ROUND(IF(AE143=0,0,AH143/ABS(AE143)),3)</f>
        <v>0.84199999999999997</v>
      </c>
      <c r="AK143" s="303"/>
    </row>
    <row r="144" spans="1:44" ht="16.5" customHeight="1">
      <c r="A144" s="39"/>
      <c r="C144" s="35"/>
      <c r="D144" s="35"/>
      <c r="E144" s="35"/>
      <c r="F144" s="35"/>
      <c r="G144" s="35"/>
      <c r="H144" s="35"/>
      <c r="I144" s="35"/>
      <c r="J144" s="35"/>
      <c r="K144" s="35"/>
      <c r="L144" s="35"/>
      <c r="M144" s="35"/>
      <c r="N144" s="35"/>
      <c r="O144" s="35"/>
      <c r="P144" s="35"/>
      <c r="Q144" s="35"/>
      <c r="R144" s="35"/>
      <c r="S144" s="35"/>
      <c r="T144" s="35"/>
      <c r="U144" s="35"/>
      <c r="V144" s="35"/>
      <c r="W144" s="35"/>
      <c r="X144" s="35"/>
      <c r="Y144" s="35"/>
      <c r="Z144" s="35"/>
      <c r="AA144" s="387"/>
      <c r="AB144" s="35"/>
      <c r="AC144" s="35"/>
      <c r="AD144" s="387"/>
      <c r="AE144" s="35"/>
      <c r="AF144" s="35"/>
      <c r="AG144" s="35"/>
      <c r="AH144" s="467"/>
      <c r="AI144" s="472"/>
      <c r="AJ144" s="472"/>
    </row>
    <row r="145" spans="1:59" ht="16.5" customHeight="1">
      <c r="A145" s="112" t="s">
        <v>43</v>
      </c>
      <c r="C145" s="378"/>
      <c r="D145" s="35"/>
      <c r="E145" s="378"/>
      <c r="F145" s="35"/>
      <c r="G145" s="378"/>
      <c r="H145" s="35"/>
      <c r="I145" s="378"/>
      <c r="J145" s="35"/>
      <c r="K145" s="378"/>
      <c r="L145" s="35"/>
      <c r="M145" s="378"/>
      <c r="N145" s="35"/>
      <c r="O145" s="378"/>
      <c r="P145" s="35"/>
      <c r="Q145" s="378"/>
      <c r="R145" s="35"/>
      <c r="S145" s="378"/>
      <c r="T145" s="35"/>
      <c r="U145" s="378"/>
      <c r="V145" s="35"/>
      <c r="W145" s="378"/>
      <c r="X145" s="35"/>
      <c r="Y145" s="378"/>
      <c r="Z145" s="35"/>
      <c r="AA145" s="387"/>
      <c r="AB145" s="378"/>
      <c r="AC145" s="35"/>
      <c r="AD145" s="387"/>
      <c r="AE145" s="378"/>
      <c r="AF145" s="35"/>
      <c r="AG145" s="35"/>
      <c r="AH145" s="467"/>
      <c r="AI145" s="472"/>
      <c r="AJ145" s="472"/>
    </row>
    <row r="146" spans="1:59" ht="16.5" customHeight="1">
      <c r="A146" s="112" t="s">
        <v>49</v>
      </c>
      <c r="C146" s="382"/>
      <c r="D146" s="388"/>
      <c r="E146" s="382"/>
      <c r="F146" s="388"/>
      <c r="G146" s="382"/>
      <c r="H146" s="388"/>
      <c r="I146" s="382"/>
      <c r="J146" s="388"/>
      <c r="K146" s="382"/>
      <c r="L146" s="388"/>
      <c r="M146" s="382"/>
      <c r="N146" s="388"/>
      <c r="O146" s="382"/>
      <c r="P146" s="388"/>
      <c r="Q146" s="382"/>
      <c r="R146" s="388"/>
      <c r="S146" s="382"/>
      <c r="T146" s="388"/>
      <c r="U146" s="382"/>
      <c r="V146" s="388"/>
      <c r="W146" s="382"/>
      <c r="X146" s="388"/>
      <c r="Y146" s="382"/>
      <c r="Z146" s="388"/>
      <c r="AA146" s="389"/>
      <c r="AB146" s="382"/>
      <c r="AC146" s="388"/>
      <c r="AD146" s="389"/>
      <c r="AE146" s="382"/>
      <c r="AF146" s="35"/>
      <c r="AG146" s="35"/>
      <c r="AH146" s="42"/>
      <c r="AI146" s="112"/>
      <c r="AJ146" s="112"/>
      <c r="AK146" s="303"/>
      <c r="AM146" s="303"/>
      <c r="AN146" s="303"/>
      <c r="AO146" s="303"/>
      <c r="AP146" s="303"/>
      <c r="AQ146" s="303"/>
      <c r="AR146" s="303"/>
      <c r="AS146" s="303"/>
      <c r="AT146" s="303"/>
      <c r="AU146" s="303"/>
      <c r="AV146" s="303"/>
      <c r="AW146" s="303"/>
      <c r="AX146" s="303"/>
      <c r="AY146" s="303"/>
      <c r="AZ146" s="303"/>
      <c r="BA146" s="303"/>
      <c r="BB146" s="303"/>
      <c r="BC146" s="303"/>
      <c r="BD146" s="303"/>
      <c r="BE146" s="303"/>
      <c r="BF146" s="303"/>
      <c r="BG146" s="303"/>
    </row>
    <row r="147" spans="1:59" ht="16.5" customHeight="1">
      <c r="A147" s="112" t="s">
        <v>50</v>
      </c>
      <c r="C147" s="390">
        <f>ROUND(SUM(C136+C143),1)</f>
        <v>5932.5</v>
      </c>
      <c r="D147" s="388"/>
      <c r="E147" s="390">
        <f>ROUND(SUM(E136+E143),1)</f>
        <v>-9139.2999999999993</v>
      </c>
      <c r="F147" s="388"/>
      <c r="G147" s="390">
        <f>ROUND(SUM(G136+G143),1)</f>
        <v>8024.8</v>
      </c>
      <c r="H147" s="388"/>
      <c r="I147" s="390">
        <f>ROUND(SUM(I136+I143),1)</f>
        <v>959.2</v>
      </c>
      <c r="J147" s="388"/>
      <c r="K147" s="390">
        <f>ROUND(SUM(K136+K143),1)</f>
        <v>-1958.4</v>
      </c>
      <c r="L147" s="388"/>
      <c r="M147" s="390">
        <f>ROUND(SUM(M136+M143),1)</f>
        <v>3430.5</v>
      </c>
      <c r="N147" s="388"/>
      <c r="O147" s="390">
        <f>ROUND(SUM(O136+O143),1)</f>
        <v>0</v>
      </c>
      <c r="P147" s="388"/>
      <c r="Q147" s="390">
        <f>ROUND(SUM(Q136+Q143),1)</f>
        <v>0</v>
      </c>
      <c r="R147" s="388"/>
      <c r="S147" s="390">
        <f>ROUND(SUM(S136+S143),1)</f>
        <v>0</v>
      </c>
      <c r="T147" s="388"/>
      <c r="U147" s="390">
        <f>ROUND(SUM(U136+U143),1)</f>
        <v>0</v>
      </c>
      <c r="V147" s="388"/>
      <c r="W147" s="390">
        <f>ROUND(SUM(W136+W143),1)</f>
        <v>0</v>
      </c>
      <c r="X147" s="388"/>
      <c r="Y147" s="390">
        <f>ROUND(SUM(Y136+Y143),1)</f>
        <v>0</v>
      </c>
      <c r="Z147" s="388"/>
      <c r="AA147" s="389"/>
      <c r="AB147" s="390">
        <f>ROUND(SUM(AB136+AB143),1)</f>
        <v>7249.3</v>
      </c>
      <c r="AC147" s="388"/>
      <c r="AD147" s="389"/>
      <c r="AE147" s="390">
        <f>AE136+AE143</f>
        <v>20539.699999999997</v>
      </c>
      <c r="AF147" s="35"/>
      <c r="AG147" s="35"/>
      <c r="AH147" s="1812">
        <f>ROUND(SUM(AB147-AE147),1)</f>
        <v>-13290.4</v>
      </c>
      <c r="AI147" s="112"/>
      <c r="AJ147" s="1813">
        <f>ROUND(IF(AE147=0,0,AH147/ABS(AE147)),3)</f>
        <v>-0.64700000000000002</v>
      </c>
      <c r="AK147" s="303"/>
      <c r="AM147" s="303"/>
      <c r="AN147" s="303"/>
      <c r="AO147" s="303"/>
      <c r="AP147" s="303"/>
      <c r="AQ147" s="303"/>
      <c r="AR147" s="303"/>
      <c r="AS147" s="303"/>
      <c r="AT147" s="303"/>
      <c r="AU147" s="303"/>
      <c r="AV147" s="303"/>
      <c r="AW147" s="303"/>
      <c r="AX147" s="303"/>
      <c r="AY147" s="303"/>
      <c r="AZ147" s="303"/>
      <c r="BA147" s="303"/>
      <c r="BB147" s="303"/>
      <c r="BC147" s="303"/>
      <c r="BD147" s="303"/>
      <c r="BE147" s="303"/>
      <c r="BF147" s="303"/>
      <c r="BG147" s="303"/>
    </row>
    <row r="148" spans="1:59" ht="16.5" customHeight="1">
      <c r="A148" s="112"/>
      <c r="C148" s="373"/>
      <c r="E148" s="373"/>
      <c r="G148" s="373"/>
      <c r="I148" s="373"/>
      <c r="K148" s="373"/>
      <c r="M148" s="373"/>
      <c r="O148" s="373"/>
      <c r="Q148" s="373"/>
      <c r="S148" s="373"/>
      <c r="U148" s="373"/>
      <c r="W148" s="373"/>
      <c r="Y148" s="373"/>
      <c r="AA148" s="391"/>
      <c r="AB148" s="373"/>
      <c r="AD148" s="391"/>
      <c r="AE148" s="373"/>
      <c r="AF148" s="35"/>
      <c r="AG148" s="35"/>
      <c r="AH148" s="472"/>
      <c r="AI148" s="472"/>
      <c r="AJ148" s="472"/>
    </row>
    <row r="149" spans="1:59" ht="16.5" customHeight="1" thickBot="1">
      <c r="A149" s="392" t="s">
        <v>139</v>
      </c>
      <c r="C149" s="393">
        <f>ROUND(SUM(C16+C147),1)</f>
        <v>71888.2</v>
      </c>
      <c r="D149" s="174"/>
      <c r="E149" s="393">
        <f>ROUND(SUM(E16+E147),1)</f>
        <v>62748.9</v>
      </c>
      <c r="F149" s="174"/>
      <c r="G149" s="393">
        <f>ROUND(SUM(G16+G147),1)</f>
        <v>70773.7</v>
      </c>
      <c r="H149" s="174"/>
      <c r="I149" s="393">
        <f>ROUND(SUM(I16+I147),1)</f>
        <v>71732.899999999994</v>
      </c>
      <c r="J149" s="394"/>
      <c r="K149" s="393">
        <f>ROUND(SUM(K16+K147),1)</f>
        <v>69774.5</v>
      </c>
      <c r="L149" s="394"/>
      <c r="M149" s="393">
        <f>ROUND(SUM(M16+M147),1)</f>
        <v>73205</v>
      </c>
      <c r="N149" s="394"/>
      <c r="O149" s="393">
        <f>ROUND(SUM(O16+O147),1)</f>
        <v>0</v>
      </c>
      <c r="P149" s="394"/>
      <c r="Q149" s="393">
        <f>ROUND(SUM(Q16+Q147),1)</f>
        <v>0</v>
      </c>
      <c r="R149" s="394"/>
      <c r="S149" s="393">
        <f>ROUND(SUM(S16+S147),1)</f>
        <v>0</v>
      </c>
      <c r="T149" s="394"/>
      <c r="U149" s="393">
        <f>ROUND(SUM(U16+U147),1)</f>
        <v>0</v>
      </c>
      <c r="V149" s="394"/>
      <c r="W149" s="393">
        <f>ROUND(SUM(W16+W147),1)</f>
        <v>0</v>
      </c>
      <c r="X149" s="394"/>
      <c r="Y149" s="393">
        <f>ROUND(SUM(Y16+Y147),1)</f>
        <v>0</v>
      </c>
      <c r="Z149" s="174"/>
      <c r="AA149" s="395"/>
      <c r="AB149" s="393">
        <f>ROUND(SUM(AB16+AB147),1)</f>
        <v>73205</v>
      </c>
      <c r="AC149" s="174"/>
      <c r="AD149" s="395"/>
      <c r="AE149" s="393">
        <f>AE16+AE147</f>
        <v>74088.699999999983</v>
      </c>
      <c r="AF149" s="35"/>
      <c r="AG149" s="35"/>
      <c r="AH149" s="393">
        <f>ROUND(SUM(AB149-AE149),1)</f>
        <v>-883.7</v>
      </c>
      <c r="AI149" s="112"/>
      <c r="AJ149" s="1815">
        <f>ROUND(IF(AE149=0,0,AH149/ABS(AE149)),3)</f>
        <v>-1.2E-2</v>
      </c>
      <c r="AK149" s="303"/>
    </row>
    <row r="150" spans="1:59" ht="16.5" customHeight="1" thickTop="1">
      <c r="A150" s="396"/>
      <c r="AH150" s="472"/>
      <c r="AI150" s="472"/>
      <c r="AJ150" s="472"/>
    </row>
    <row r="151" spans="1:59" ht="16.5" customHeight="1">
      <c r="A151" s="251" t="s">
        <v>140</v>
      </c>
      <c r="AH151" s="472"/>
      <c r="AI151" s="472"/>
      <c r="AJ151" s="472"/>
    </row>
    <row r="152" spans="1:59" ht="16.5" customHeight="1">
      <c r="AH152" s="472"/>
      <c r="AI152" s="472"/>
      <c r="AJ152" s="472"/>
    </row>
    <row r="153" spans="1:59" ht="16.5" customHeight="1">
      <c r="A153" s="20"/>
      <c r="AH153" s="472"/>
      <c r="AI153" s="472"/>
      <c r="AJ153" s="472"/>
    </row>
    <row r="154" spans="1:59" ht="16.5" customHeight="1">
      <c r="A154" s="20"/>
      <c r="AH154" s="472"/>
      <c r="AI154" s="472"/>
      <c r="AJ154" s="472"/>
    </row>
    <row r="155" spans="1:59" ht="16.5" customHeight="1">
      <c r="AH155" s="472"/>
      <c r="AI155" s="472"/>
      <c r="AJ155" s="472"/>
    </row>
    <row r="156" spans="1:59" ht="16.5" customHeight="1">
      <c r="AH156" s="472"/>
      <c r="AI156" s="472"/>
      <c r="AJ156" s="472"/>
    </row>
    <row r="157" spans="1:59" ht="16.5" customHeight="1">
      <c r="AH157" s="472"/>
      <c r="AI157" s="472"/>
      <c r="AJ157" s="472"/>
    </row>
    <row r="158" spans="1:59" ht="16.5" customHeight="1">
      <c r="AH158" s="472"/>
      <c r="AI158" s="472"/>
      <c r="AJ158" s="472"/>
    </row>
    <row r="159" spans="1:59" ht="16.5" customHeight="1">
      <c r="AH159" s="472"/>
      <c r="AI159" s="472"/>
      <c r="AJ159" s="472"/>
    </row>
    <row r="160" spans="1:59" ht="16.5" customHeight="1">
      <c r="AH160" s="472"/>
      <c r="AI160" s="472"/>
      <c r="AJ160" s="472"/>
    </row>
    <row r="161" spans="34:36" ht="16.5" customHeight="1">
      <c r="AH161" s="472"/>
      <c r="AI161" s="472"/>
      <c r="AJ161" s="472"/>
    </row>
    <row r="162" spans="34:36" ht="16.5" customHeight="1">
      <c r="AH162" s="472"/>
      <c r="AI162" s="472"/>
      <c r="AJ162" s="472"/>
    </row>
    <row r="163" spans="34:36" ht="16.5" customHeight="1">
      <c r="AH163" s="472"/>
      <c r="AI163" s="472"/>
      <c r="AJ163" s="472"/>
    </row>
  </sheetData>
  <mergeCells count="2">
    <mergeCell ref="AC5:AJ5"/>
    <mergeCell ref="AB12:AJ12"/>
  </mergeCells>
  <pageMargins left="0.25" right="0.25" top="0.5" bottom="0.4" header="0" footer="0.25"/>
  <pageSetup scale="38" firstPageNumber="16" fitToHeight="2" orientation="landscape" useFirstPageNumber="1" r:id="rId1"/>
  <headerFooter scaleWithDoc="0" alignWithMargins="0">
    <oddFooter>&amp;C&amp;8&amp;P</oddFooter>
  </headerFooter>
  <rowBreaks count="1" manualBreakCount="1">
    <brk id="89" max="35" man="1"/>
  </rowBreaks>
  <customProperties>
    <customPr name="SheetOptions" r:id="rId2"/>
  </customProperties>
  <ignoredErrors>
    <ignoredError sqref="AJ58:AJ69 AJ140:AJ149 AJ97:AJ138 AJ29:AJ34 AJ21:AJ27 AJ87 AJ49:AJ55 AJ90:AJ94 AJ38:AJ46 AJ85 AJ36 AJ71:AJ72 AJ77:AJ80 AJ75 AJ70 AJ76 AJ81 AJ83:AJ84 AJ73:AJ74" unlockedFormula="1"/>
    <ignoredError sqref="AH35:AI35 AH96:AI96 AJ57 AH25 AH24 AH26" formula="1"/>
    <ignoredError sqref="AJ35 AJ37 AJ82" formula="1" unlockedFormula="1"/>
    <ignoredError sqref="AC14:AD14 C13" numberStoredAsText="1"/>
  </ignoredErrors>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43"/>
  <dimension ref="A1:BG166"/>
  <sheetViews>
    <sheetView showGridLines="0" zoomScale="80" zoomScaleNormal="80" workbookViewId="0"/>
  </sheetViews>
  <sheetFormatPr defaultColWidth="8.88671875" defaultRowHeight="16.5" customHeight="1"/>
  <cols>
    <col min="1" max="1" width="43" style="142" customWidth="1"/>
    <col min="2" max="2" width="1.88671875" style="142" customWidth="1"/>
    <col min="3" max="3" width="13.109375" style="142" customWidth="1"/>
    <col min="4" max="4" width="1.88671875" style="142" customWidth="1"/>
    <col min="5" max="5" width="13.109375" style="142" customWidth="1"/>
    <col min="6" max="6" width="1.88671875" style="142" customWidth="1"/>
    <col min="7" max="7" width="13.5546875" style="142" customWidth="1"/>
    <col min="8" max="8" width="1.88671875" style="142" customWidth="1"/>
    <col min="9" max="9" width="13.88671875" style="142" customWidth="1"/>
    <col min="10" max="10" width="1.88671875" style="142" customWidth="1"/>
    <col min="11" max="11" width="14.5546875" style="142" customWidth="1"/>
    <col min="12" max="12" width="1.88671875" style="142" customWidth="1"/>
    <col min="13" max="13" width="13.109375" style="142" customWidth="1"/>
    <col min="14" max="14" width="1.88671875" style="142" customWidth="1"/>
    <col min="15" max="15" width="14.109375" style="142" customWidth="1"/>
    <col min="16" max="16" width="1.88671875" style="142" customWidth="1"/>
    <col min="17" max="17" width="13.109375" style="142" customWidth="1"/>
    <col min="18" max="18" width="1.88671875" style="142" customWidth="1"/>
    <col min="19" max="19" width="13.88671875" style="142" customWidth="1"/>
    <col min="20" max="20" width="1.88671875" style="142" customWidth="1"/>
    <col min="21" max="21" width="13" style="142" customWidth="1"/>
    <col min="22" max="22" width="1.88671875" style="142" customWidth="1"/>
    <col min="23" max="23" width="13.109375" style="142" customWidth="1"/>
    <col min="24" max="24" width="1.88671875" style="142" customWidth="1"/>
    <col min="25" max="25" width="13.109375" style="142" customWidth="1"/>
    <col min="26" max="27" width="1.88671875" style="142" customWidth="1"/>
    <col min="28" max="28" width="15" style="142" customWidth="1"/>
    <col min="29" max="30" width="1.88671875" style="142" customWidth="1"/>
    <col min="31" max="31" width="13.88671875" style="142" customWidth="1"/>
    <col min="32" max="33" width="1.88671875" style="142" customWidth="1"/>
    <col min="34" max="34" width="12.88671875" style="142" bestFit="1" customWidth="1"/>
    <col min="35" max="35" width="1" style="142" customWidth="1"/>
    <col min="36" max="36" width="12.109375" style="142" bestFit="1" customWidth="1"/>
    <col min="37" max="16384" width="8.88671875" style="142"/>
  </cols>
  <sheetData>
    <row r="1" spans="1:37" ht="15">
      <c r="A1" s="1555" t="s">
        <v>841</v>
      </c>
    </row>
    <row r="2" spans="1:37" ht="15">
      <c r="A2" s="644"/>
    </row>
    <row r="3" spans="1:37" ht="23.25">
      <c r="A3" s="149" t="s">
        <v>0</v>
      </c>
      <c r="B3" s="152"/>
      <c r="C3" s="152"/>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c r="AF3" s="152"/>
      <c r="AG3" s="152"/>
      <c r="AI3" s="152"/>
    </row>
    <row r="4" spans="1:37" ht="23.25">
      <c r="A4" s="149" t="s">
        <v>1440</v>
      </c>
      <c r="B4" s="152"/>
      <c r="C4" s="152"/>
      <c r="D4" s="152"/>
      <c r="E4" s="152"/>
      <c r="F4" s="152"/>
      <c r="G4" s="152"/>
      <c r="H4" s="152"/>
      <c r="I4" s="152" t="s">
        <v>14</v>
      </c>
      <c r="J4" s="152"/>
      <c r="K4" s="152"/>
      <c r="L4" s="152"/>
      <c r="M4" s="152"/>
      <c r="N4" s="152"/>
      <c r="O4" s="152"/>
      <c r="P4" s="152"/>
      <c r="Q4" s="152"/>
      <c r="R4" s="152"/>
      <c r="S4" s="152"/>
      <c r="T4" s="152"/>
      <c r="U4" s="152"/>
      <c r="V4" s="152"/>
      <c r="W4" s="152"/>
      <c r="X4" s="152"/>
      <c r="Y4" s="152" t="s">
        <v>14</v>
      </c>
      <c r="Z4" s="152"/>
      <c r="AA4" s="152"/>
      <c r="AB4" s="152"/>
      <c r="AC4" s="152"/>
      <c r="AD4" s="152"/>
      <c r="AE4" s="152"/>
      <c r="AF4" s="152"/>
      <c r="AG4" s="152"/>
      <c r="AI4" s="152"/>
    </row>
    <row r="5" spans="1:37" ht="23.25" customHeight="1">
      <c r="A5" s="151" t="s">
        <v>121</v>
      </c>
      <c r="B5" s="152"/>
      <c r="C5" s="152"/>
      <c r="D5" s="152"/>
      <c r="E5" s="152"/>
      <c r="F5" s="152"/>
      <c r="G5" s="152"/>
      <c r="H5" s="152"/>
      <c r="I5" s="152"/>
      <c r="J5" s="152"/>
      <c r="K5" s="152"/>
      <c r="L5" s="152"/>
      <c r="M5" s="152"/>
      <c r="N5" s="152"/>
      <c r="O5" s="152"/>
      <c r="P5" s="152"/>
      <c r="Q5" s="152"/>
      <c r="R5" s="152"/>
      <c r="S5" s="152"/>
      <c r="T5" s="152"/>
      <c r="U5" s="152"/>
      <c r="V5" s="152"/>
      <c r="W5" s="152"/>
      <c r="X5" s="152"/>
      <c r="Y5" s="152"/>
      <c r="Z5" s="152"/>
      <c r="AA5" s="152"/>
      <c r="AC5" s="2327"/>
      <c r="AD5" s="2331"/>
      <c r="AE5" s="2331"/>
      <c r="AF5" s="2331"/>
      <c r="AG5" s="2331"/>
      <c r="AH5" s="2331"/>
      <c r="AI5" s="2331"/>
      <c r="AJ5" s="2331"/>
    </row>
    <row r="6" spans="1:37" ht="23.25">
      <c r="A6" s="151" t="str">
        <f>'Cashflow Governmental'!A6</f>
        <v xml:space="preserve">FISCAL YEAR 2023-2024   </v>
      </c>
      <c r="B6" s="152"/>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I6" s="152"/>
    </row>
    <row r="7" spans="1:37" ht="23.25" customHeight="1">
      <c r="A7" s="149" t="s">
        <v>1199</v>
      </c>
      <c r="B7" s="152"/>
      <c r="C7" s="152"/>
      <c r="D7" s="152"/>
      <c r="E7" s="152"/>
      <c r="F7" s="152"/>
      <c r="G7" s="152"/>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c r="AG7" s="152"/>
      <c r="AI7" s="152"/>
    </row>
    <row r="8" spans="1:37" ht="15">
      <c r="A8" s="152"/>
      <c r="B8" s="152"/>
      <c r="C8" s="152"/>
      <c r="D8" s="152"/>
      <c r="E8" s="152"/>
      <c r="F8" s="152"/>
      <c r="G8" s="152"/>
      <c r="H8" s="152"/>
      <c r="I8" s="152"/>
      <c r="J8" s="152"/>
      <c r="K8" s="152"/>
      <c r="L8" s="152"/>
      <c r="M8" s="152"/>
      <c r="N8" s="152"/>
      <c r="O8" s="152"/>
      <c r="P8" s="152"/>
      <c r="Q8" s="152"/>
      <c r="R8" s="152"/>
      <c r="S8" s="152"/>
      <c r="T8" s="152"/>
      <c r="U8" s="152"/>
      <c r="V8" s="152"/>
      <c r="W8" s="152"/>
      <c r="X8" s="152"/>
      <c r="Y8" s="152"/>
      <c r="Z8" s="152"/>
      <c r="AA8" s="152"/>
      <c r="AB8" s="152"/>
      <c r="AC8" s="152"/>
      <c r="AD8" s="152"/>
      <c r="AE8" s="152"/>
      <c r="AF8" s="152"/>
      <c r="AG8" s="152"/>
      <c r="AI8" s="152"/>
    </row>
    <row r="9" spans="1:37" ht="15">
      <c r="A9" s="152"/>
      <c r="B9" s="152"/>
      <c r="C9" s="152"/>
      <c r="D9" s="152"/>
      <c r="E9" s="152"/>
      <c r="F9" s="152"/>
      <c r="G9" s="152"/>
      <c r="H9" s="152"/>
      <c r="I9" s="152"/>
      <c r="J9" s="152"/>
      <c r="K9" s="152"/>
      <c r="L9" s="152"/>
      <c r="M9" s="152"/>
      <c r="N9" s="152"/>
      <c r="O9" s="152"/>
      <c r="P9" s="152"/>
      <c r="Q9" s="152"/>
      <c r="R9" s="152"/>
      <c r="S9" s="152"/>
      <c r="T9" s="152"/>
      <c r="U9" s="152"/>
      <c r="V9" s="152"/>
      <c r="W9" s="152"/>
      <c r="X9" s="152"/>
      <c r="Y9" s="152"/>
      <c r="Z9" s="152"/>
      <c r="AA9" s="152"/>
      <c r="AB9" s="152"/>
      <c r="AC9" s="152"/>
      <c r="AD9" s="152"/>
      <c r="AE9" s="152"/>
      <c r="AF9" s="152"/>
      <c r="AG9" s="152"/>
      <c r="AI9" s="152"/>
    </row>
    <row r="10" spans="1:37" ht="15">
      <c r="A10" s="152"/>
      <c r="B10" s="152"/>
      <c r="C10" s="152"/>
      <c r="D10" s="152"/>
      <c r="E10" s="152"/>
      <c r="F10" s="152"/>
      <c r="G10" s="152"/>
      <c r="H10" s="152"/>
      <c r="I10" s="152"/>
      <c r="J10" s="152"/>
      <c r="K10" s="152"/>
      <c r="L10" s="152"/>
      <c r="M10" s="152"/>
      <c r="N10" s="152"/>
      <c r="O10" s="152"/>
      <c r="P10" s="152"/>
      <c r="Q10" s="152"/>
      <c r="R10" s="152"/>
      <c r="S10" s="152"/>
      <c r="T10" s="152"/>
      <c r="U10" s="152"/>
      <c r="V10" s="152"/>
      <c r="W10" s="152"/>
      <c r="X10" s="152"/>
      <c r="Y10" s="152"/>
      <c r="Z10" s="152"/>
      <c r="AA10" s="152"/>
      <c r="AB10" s="152"/>
      <c r="AC10" s="152"/>
      <c r="AD10" s="152"/>
      <c r="AE10" s="152"/>
      <c r="AF10" s="152"/>
      <c r="AG10" s="152"/>
      <c r="AI10" s="152"/>
    </row>
    <row r="11" spans="1:37" ht="15">
      <c r="A11" s="152"/>
      <c r="B11" s="152"/>
      <c r="C11" s="152" t="s">
        <v>14</v>
      </c>
      <c r="D11" s="152" t="s">
        <v>14</v>
      </c>
      <c r="E11" s="152"/>
      <c r="F11" s="152"/>
      <c r="G11" s="152"/>
      <c r="H11" s="152"/>
      <c r="I11" s="152"/>
      <c r="J11" s="152"/>
      <c r="K11" s="152"/>
      <c r="L11" s="152"/>
      <c r="M11" s="152"/>
      <c r="N11" s="152"/>
      <c r="O11" s="152"/>
      <c r="P11" s="152"/>
      <c r="Q11" s="152"/>
      <c r="R11" s="152"/>
      <c r="S11" s="152"/>
      <c r="T11" s="152"/>
      <c r="U11" s="152"/>
      <c r="V11" s="152"/>
      <c r="W11" s="152"/>
      <c r="X11" s="152"/>
      <c r="Y11" s="152"/>
      <c r="Z11" s="152"/>
      <c r="AA11" s="152"/>
      <c r="AC11" s="152"/>
      <c r="AD11" s="152"/>
      <c r="AE11" s="152"/>
      <c r="AF11" s="152"/>
      <c r="AG11" s="152"/>
      <c r="AI11" s="152"/>
    </row>
    <row r="12" spans="1:37" ht="15.75">
      <c r="A12" s="152"/>
      <c r="B12" s="152"/>
      <c r="C12" s="152"/>
      <c r="D12" s="152"/>
      <c r="E12" s="152"/>
      <c r="F12" s="152"/>
      <c r="G12" s="152"/>
      <c r="H12" s="152"/>
      <c r="I12" s="152"/>
      <c r="J12" s="152"/>
      <c r="K12" s="152"/>
      <c r="L12" s="152"/>
      <c r="M12" s="152"/>
      <c r="N12" s="152"/>
      <c r="O12" s="152"/>
      <c r="P12" s="152"/>
      <c r="Q12" s="152"/>
      <c r="R12" s="152"/>
      <c r="S12" s="152"/>
      <c r="T12" s="152"/>
      <c r="U12" s="152"/>
      <c r="V12" s="152"/>
      <c r="W12" s="152"/>
      <c r="X12" s="152"/>
      <c r="Z12" s="152"/>
      <c r="AA12" s="372"/>
      <c r="AB12" s="2332" t="str">
        <f>'Cashflow Governmental'!AB12:AJ12</f>
        <v>6 Months Ended September 30</v>
      </c>
      <c r="AC12" s="2332"/>
      <c r="AD12" s="2332"/>
      <c r="AE12" s="2332"/>
      <c r="AF12" s="2332"/>
      <c r="AG12" s="2332"/>
      <c r="AH12" s="2332"/>
      <c r="AI12" s="2332"/>
      <c r="AJ12" s="2332"/>
    </row>
    <row r="13" spans="1:37" ht="15.75">
      <c r="A13" s="152"/>
      <c r="B13" s="152"/>
      <c r="C13" s="1010" t="str">
        <f>'Cashflow Governmental'!C13</f>
        <v>2023</v>
      </c>
      <c r="D13" s="370"/>
      <c r="E13" s="370"/>
      <c r="F13" s="370"/>
      <c r="G13" s="370"/>
      <c r="H13" s="370"/>
      <c r="I13" s="370"/>
      <c r="J13" s="370"/>
      <c r="K13" s="370"/>
      <c r="L13" s="370"/>
      <c r="M13" s="370"/>
      <c r="N13" s="370"/>
      <c r="O13" s="370"/>
      <c r="P13" s="370"/>
      <c r="Q13" s="370"/>
      <c r="R13" s="370"/>
      <c r="S13" s="370"/>
      <c r="T13" s="370"/>
      <c r="U13" s="1010">
        <f>'Cashflow Governmental'!U13</f>
        <v>2024</v>
      </c>
      <c r="V13" s="370"/>
      <c r="W13" s="370"/>
      <c r="X13" s="370"/>
      <c r="Y13" s="370"/>
      <c r="Z13" s="370"/>
      <c r="AA13" s="370"/>
      <c r="AB13" s="370"/>
      <c r="AC13" s="370"/>
      <c r="AD13" s="370"/>
      <c r="AE13" s="370"/>
      <c r="AF13" s="370"/>
      <c r="AG13" s="370"/>
      <c r="AH13" s="542" t="s">
        <v>7</v>
      </c>
      <c r="AI13" s="1802"/>
      <c r="AJ13" s="542" t="s">
        <v>8</v>
      </c>
    </row>
    <row r="14" spans="1:37" ht="15.75">
      <c r="A14" s="152"/>
      <c r="B14" s="152"/>
      <c r="C14" s="542" t="s">
        <v>122</v>
      </c>
      <c r="D14" s="370"/>
      <c r="E14" s="542" t="s">
        <v>123</v>
      </c>
      <c r="F14" s="370"/>
      <c r="G14" s="542" t="s">
        <v>124</v>
      </c>
      <c r="H14" s="370"/>
      <c r="I14" s="542" t="s">
        <v>125</v>
      </c>
      <c r="J14" s="370"/>
      <c r="K14" s="542" t="s">
        <v>126</v>
      </c>
      <c r="L14" s="370"/>
      <c r="M14" s="542" t="s">
        <v>127</v>
      </c>
      <c r="N14" s="370"/>
      <c r="O14" s="542" t="s">
        <v>128</v>
      </c>
      <c r="P14" s="370"/>
      <c r="Q14" s="1556" t="s">
        <v>129</v>
      </c>
      <c r="R14" s="370"/>
      <c r="S14" s="542" t="s">
        <v>130</v>
      </c>
      <c r="T14" s="370"/>
      <c r="U14" s="542" t="s">
        <v>131</v>
      </c>
      <c r="V14" s="370"/>
      <c r="W14" s="542" t="s">
        <v>132</v>
      </c>
      <c r="X14" s="370"/>
      <c r="Y14" s="542" t="s">
        <v>133</v>
      </c>
      <c r="Z14" s="370"/>
      <c r="AA14" s="370"/>
      <c r="AB14" s="1742">
        <f>'Cashflow Governmental'!AB14</f>
        <v>2023</v>
      </c>
      <c r="AC14" s="370"/>
      <c r="AD14" s="370"/>
      <c r="AE14" s="1742">
        <f>'Cashflow Governmental'!AE14</f>
        <v>2022</v>
      </c>
      <c r="AF14" s="370"/>
      <c r="AG14" s="370"/>
      <c r="AH14" s="1816" t="s">
        <v>11</v>
      </c>
      <c r="AI14" s="1802"/>
      <c r="AJ14" s="1816" t="s">
        <v>12</v>
      </c>
    </row>
    <row r="15" spans="1:37" ht="5.25" customHeight="1">
      <c r="A15" s="152"/>
      <c r="B15" s="152"/>
      <c r="C15" s="373"/>
      <c r="D15" s="152"/>
      <c r="E15" s="373"/>
      <c r="F15" s="152"/>
      <c r="G15" s="373"/>
      <c r="H15" s="152"/>
      <c r="I15" s="373"/>
      <c r="J15" s="152"/>
      <c r="K15" s="373"/>
      <c r="L15" s="152"/>
      <c r="M15" s="373"/>
      <c r="N15" s="152"/>
      <c r="O15" s="373" t="s">
        <v>14</v>
      </c>
      <c r="P15" s="152"/>
      <c r="Q15" s="374"/>
      <c r="R15" s="152"/>
      <c r="S15" s="373"/>
      <c r="T15" s="152"/>
      <c r="U15" s="373" t="s">
        <v>14</v>
      </c>
      <c r="V15" s="152"/>
      <c r="W15" s="373"/>
      <c r="X15" s="152"/>
      <c r="Y15" s="373"/>
      <c r="Z15" s="152"/>
      <c r="AA15" s="152"/>
      <c r="AB15" s="373"/>
      <c r="AC15" s="152"/>
      <c r="AD15" s="152"/>
      <c r="AE15" s="373"/>
      <c r="AF15" s="152"/>
      <c r="AG15" s="152"/>
      <c r="AI15" s="152"/>
    </row>
    <row r="16" spans="1:37" ht="15.75">
      <c r="A16" s="371" t="s">
        <v>134</v>
      </c>
      <c r="B16" s="152"/>
      <c r="C16" s="374">
        <f>'Exhibit F'!D12+'Exh D Special Revenue State Fed'!G41+'Exhibit H'!B12</f>
        <v>52723.799999999996</v>
      </c>
      <c r="D16" s="374"/>
      <c r="E16" s="374">
        <f>C148</f>
        <v>57351.6</v>
      </c>
      <c r="F16" s="374"/>
      <c r="G16" s="374">
        <f t="shared" ref="G16:M16" si="0">E148</f>
        <v>50828.800000000003</v>
      </c>
      <c r="H16" s="374"/>
      <c r="I16" s="374">
        <f t="shared" si="0"/>
        <v>55762.6</v>
      </c>
      <c r="J16" s="374"/>
      <c r="K16" s="374">
        <f t="shared" si="0"/>
        <v>56717.9</v>
      </c>
      <c r="L16" s="374"/>
      <c r="M16" s="374">
        <f t="shared" si="0"/>
        <v>55664.3</v>
      </c>
      <c r="N16" s="374"/>
      <c r="O16" s="374"/>
      <c r="P16" s="374"/>
      <c r="Q16" s="374"/>
      <c r="R16" s="374"/>
      <c r="S16" s="374"/>
      <c r="T16" s="374"/>
      <c r="U16" s="374"/>
      <c r="V16" s="374"/>
      <c r="W16" s="374"/>
      <c r="X16" s="374"/>
      <c r="Y16" s="374"/>
      <c r="Z16" s="374"/>
      <c r="AA16" s="1557"/>
      <c r="AB16" s="374">
        <f>C16</f>
        <v>52723.799999999996</v>
      </c>
      <c r="AC16" s="374"/>
      <c r="AD16" s="1803"/>
      <c r="AE16" s="374">
        <f>'Exhibit F'!AF12+'Exhibit G State'!AG13+'Exhibit H'!AD12</f>
        <v>40767.199999999997</v>
      </c>
      <c r="AF16" s="374"/>
      <c r="AG16" s="374"/>
      <c r="AH16" s="374">
        <f>ROUND(SUM(AB16-AE16),1)</f>
        <v>11956.6</v>
      </c>
      <c r="AI16" s="370"/>
      <c r="AJ16" s="190">
        <f>ROUND(SUM(AH16/AE16),3)</f>
        <v>0.29299999999999998</v>
      </c>
      <c r="AK16" s="303"/>
    </row>
    <row r="17" spans="1:36" ht="15.75">
      <c r="A17" s="152"/>
      <c r="B17" s="152"/>
      <c r="C17" s="152" t="s">
        <v>14</v>
      </c>
      <c r="D17" s="152"/>
      <c r="E17" s="376"/>
      <c r="F17" s="152"/>
      <c r="G17" s="376"/>
      <c r="H17" s="152"/>
      <c r="I17" s="376"/>
      <c r="J17" s="152"/>
      <c r="K17" s="376"/>
      <c r="L17" s="152"/>
      <c r="M17" s="376"/>
      <c r="N17" s="152"/>
      <c r="O17" s="376"/>
      <c r="P17" s="152"/>
      <c r="Q17" s="376"/>
      <c r="R17" s="152"/>
      <c r="S17" s="376"/>
      <c r="T17" s="152"/>
      <c r="U17" s="376"/>
      <c r="V17" s="152"/>
      <c r="W17" s="374"/>
      <c r="X17" s="152"/>
      <c r="Y17" s="376"/>
      <c r="Z17" s="152"/>
      <c r="AA17" s="684"/>
      <c r="AB17" s="152" t="s">
        <v>14</v>
      </c>
      <c r="AC17" s="152"/>
      <c r="AD17" s="1804"/>
      <c r="AE17" s="152" t="s">
        <v>14</v>
      </c>
      <c r="AF17" s="152"/>
      <c r="AG17" s="152"/>
      <c r="AH17" s="472"/>
      <c r="AI17" s="152"/>
      <c r="AJ17" s="472"/>
    </row>
    <row r="18" spans="1:36" ht="15.75">
      <c r="A18" s="112" t="s">
        <v>13</v>
      </c>
      <c r="B18" s="152"/>
      <c r="C18" s="152"/>
      <c r="D18" s="152"/>
      <c r="E18" s="376"/>
      <c r="F18" s="152"/>
      <c r="G18" s="376"/>
      <c r="H18" s="152"/>
      <c r="I18" s="376"/>
      <c r="J18" s="152"/>
      <c r="K18" s="376"/>
      <c r="L18" s="152"/>
      <c r="M18" s="376"/>
      <c r="N18" s="152"/>
      <c r="O18" s="376"/>
      <c r="P18" s="152"/>
      <c r="Q18" s="376"/>
      <c r="R18" s="152"/>
      <c r="S18" s="376"/>
      <c r="T18" s="152"/>
      <c r="U18" s="376"/>
      <c r="V18" s="152"/>
      <c r="W18" s="376"/>
      <c r="X18" s="152"/>
      <c r="Y18" s="376"/>
      <c r="Z18" s="152"/>
      <c r="AA18" s="684"/>
      <c r="AB18" s="152"/>
      <c r="AC18" s="152"/>
      <c r="AD18" s="1804"/>
      <c r="AE18" s="152"/>
      <c r="AF18" s="152"/>
      <c r="AG18" s="152"/>
      <c r="AH18" s="472"/>
      <c r="AI18" s="152"/>
      <c r="AJ18" s="472"/>
    </row>
    <row r="19" spans="1:36" ht="15.75">
      <c r="A19" s="118" t="s">
        <v>947</v>
      </c>
      <c r="B19" s="152"/>
      <c r="C19" s="152"/>
      <c r="D19" s="152"/>
      <c r="E19" s="376"/>
      <c r="F19" s="152"/>
      <c r="G19" s="376"/>
      <c r="H19" s="152"/>
      <c r="I19" s="376"/>
      <c r="J19" s="152"/>
      <c r="K19" s="376"/>
      <c r="L19" s="152"/>
      <c r="M19" s="376"/>
      <c r="N19" s="152"/>
      <c r="O19" s="376"/>
      <c r="P19" s="152"/>
      <c r="Q19" s="376"/>
      <c r="R19" s="152"/>
      <c r="S19" s="376"/>
      <c r="T19" s="152"/>
      <c r="U19" s="376"/>
      <c r="V19" s="152"/>
      <c r="W19" s="376"/>
      <c r="X19" s="152"/>
      <c r="Y19" s="376"/>
      <c r="Z19" s="152"/>
      <c r="AA19" s="377"/>
      <c r="AB19" s="152"/>
      <c r="AC19" s="152"/>
      <c r="AD19" s="1804"/>
      <c r="AE19" s="152"/>
      <c r="AF19" s="152"/>
      <c r="AG19" s="152"/>
      <c r="AH19" s="472"/>
      <c r="AI19" s="152"/>
      <c r="AJ19" s="472"/>
    </row>
    <row r="20" spans="1:36" ht="15">
      <c r="A20" s="737" t="s">
        <v>1009</v>
      </c>
      <c r="B20" s="152"/>
      <c r="C20" s="152"/>
      <c r="D20" s="152"/>
      <c r="E20" s="378"/>
      <c r="F20" s="152"/>
      <c r="G20" s="378"/>
      <c r="H20" s="152"/>
      <c r="I20" s="376"/>
      <c r="J20" s="152"/>
      <c r="K20" s="376"/>
      <c r="L20" s="152"/>
      <c r="M20" s="376"/>
      <c r="N20" s="152"/>
      <c r="O20" s="376"/>
      <c r="P20" s="152"/>
      <c r="Q20" s="376"/>
      <c r="R20" s="152"/>
      <c r="S20" s="376"/>
      <c r="T20" s="152"/>
      <c r="U20" s="376"/>
      <c r="V20" s="152"/>
      <c r="W20" s="376"/>
      <c r="X20" s="152"/>
      <c r="Y20" s="376"/>
      <c r="Z20" s="152"/>
      <c r="AA20" s="684"/>
      <c r="AB20" s="152"/>
      <c r="AC20" s="152"/>
      <c r="AD20" s="1804"/>
      <c r="AE20" s="152"/>
      <c r="AF20" s="152"/>
      <c r="AG20" s="152"/>
      <c r="AH20" s="472"/>
      <c r="AI20" s="152"/>
      <c r="AJ20" s="472"/>
    </row>
    <row r="21" spans="1:36" ht="15">
      <c r="A21" s="489" t="s">
        <v>953</v>
      </c>
      <c r="B21" s="152"/>
      <c r="C21" s="378">
        <f>+'Exhibit F'!D17</f>
        <v>3783.8</v>
      </c>
      <c r="D21" s="378"/>
      <c r="E21" s="378">
        <f>+'Exhibit F'!F17</f>
        <v>3939.7</v>
      </c>
      <c r="F21" s="378"/>
      <c r="G21" s="378">
        <f>+'Exhibit F'!H17</f>
        <v>4133.5</v>
      </c>
      <c r="H21" s="378"/>
      <c r="I21" s="378">
        <f>+'Exhibit F'!J17</f>
        <v>3618.8999999999987</v>
      </c>
      <c r="J21" s="378"/>
      <c r="K21" s="378">
        <f>+'Exhibit F'!L17</f>
        <v>4079.7</v>
      </c>
      <c r="L21" s="378"/>
      <c r="M21" s="378">
        <f>+'Exhibit F'!N17</f>
        <v>3450.4000000000015</v>
      </c>
      <c r="N21" s="378"/>
      <c r="O21" s="378"/>
      <c r="P21" s="152"/>
      <c r="Q21" s="378"/>
      <c r="R21" s="378"/>
      <c r="S21" s="378"/>
      <c r="T21" s="378"/>
      <c r="U21" s="378"/>
      <c r="V21" s="378"/>
      <c r="W21" s="378"/>
      <c r="X21" s="378"/>
      <c r="Y21" s="378"/>
      <c r="Z21" s="152"/>
      <c r="AA21" s="684"/>
      <c r="AB21" s="378">
        <f>ROUND(SUM(C21:Y21),1)</f>
        <v>23006</v>
      </c>
      <c r="AC21" s="152"/>
      <c r="AD21" s="1804"/>
      <c r="AE21" s="378">
        <f>+'Exhibit F'!AF17</f>
        <v>22335.8</v>
      </c>
      <c r="AF21" s="152"/>
      <c r="AG21" s="152"/>
      <c r="AH21" s="467">
        <f>ROUND(SUM(+AB21-AE21),1)</f>
        <v>670.2</v>
      </c>
      <c r="AI21" s="170"/>
      <c r="AJ21" s="488">
        <f t="shared" ref="AJ21:AJ25" si="1">ROUND(SUM(+AH21/ABS(AE21)),3)</f>
        <v>0.03</v>
      </c>
    </row>
    <row r="22" spans="1:36" ht="15">
      <c r="A22" s="489" t="s">
        <v>1190</v>
      </c>
      <c r="B22" s="152"/>
      <c r="C22" s="378">
        <f>+'Exhibit F'!D18</f>
        <v>4875.8999999999996</v>
      </c>
      <c r="D22" s="378"/>
      <c r="E22" s="378">
        <f>+'Exhibit F'!F18</f>
        <v>110.39999999999964</v>
      </c>
      <c r="F22" s="378"/>
      <c r="G22" s="378">
        <f>+'Exhibit F'!H18</f>
        <v>1299.6000000000004</v>
      </c>
      <c r="H22" s="378"/>
      <c r="I22" s="378">
        <f>+'Exhibit F'!J18</f>
        <v>85.800000000000182</v>
      </c>
      <c r="J22" s="378"/>
      <c r="K22" s="378">
        <f>+'Exhibit F'!L18</f>
        <v>85.5</v>
      </c>
      <c r="L22" s="378"/>
      <c r="M22" s="378">
        <f>+'Exhibit F'!N18</f>
        <v>1473.4000000000005</v>
      </c>
      <c r="N22" s="378"/>
      <c r="O22" s="378"/>
      <c r="P22" s="152"/>
      <c r="Q22" s="378"/>
      <c r="R22" s="378"/>
      <c r="S22" s="378"/>
      <c r="T22" s="378"/>
      <c r="U22" s="378"/>
      <c r="V22" s="378"/>
      <c r="W22" s="378"/>
      <c r="X22" s="378"/>
      <c r="Y22" s="378"/>
      <c r="Z22" s="152"/>
      <c r="AA22" s="684"/>
      <c r="AB22" s="378">
        <f>ROUND(SUM(C22:Y22),1)</f>
        <v>7930.6</v>
      </c>
      <c r="AC22" s="152"/>
      <c r="AD22" s="1804"/>
      <c r="AE22" s="378">
        <f>+'Exhibit F'!AF18</f>
        <v>15177.7</v>
      </c>
      <c r="AF22" s="152"/>
      <c r="AG22" s="152"/>
      <c r="AH22" s="467">
        <f t="shared" ref="AH22:AH28" si="2">ROUND(SUM(+AB22-AE22),1)</f>
        <v>-7247.1</v>
      </c>
      <c r="AI22" s="170"/>
      <c r="AJ22" s="1133">
        <f t="shared" si="1"/>
        <v>-0.47699999999999998</v>
      </c>
    </row>
    <row r="23" spans="1:36" ht="15">
      <c r="A23" s="489" t="s">
        <v>954</v>
      </c>
      <c r="B23" s="152"/>
      <c r="C23" s="378">
        <f>+'Exhibit F'!D19</f>
        <v>2097.1</v>
      </c>
      <c r="D23" s="378"/>
      <c r="E23" s="378">
        <f>+'Exhibit F'!F19</f>
        <v>131</v>
      </c>
      <c r="F23" s="378"/>
      <c r="G23" s="378">
        <f>+'Exhibit F'!H19</f>
        <v>85.5</v>
      </c>
      <c r="H23" s="378"/>
      <c r="I23" s="378">
        <f>+'Exhibit F'!J19</f>
        <v>61</v>
      </c>
      <c r="J23" s="378"/>
      <c r="K23" s="378">
        <f>+'Exhibit F'!L19</f>
        <v>63.099999999999909</v>
      </c>
      <c r="L23" s="378"/>
      <c r="M23" s="378">
        <f>+'Exhibit F'!N19</f>
        <v>87.800000000000182</v>
      </c>
      <c r="N23" s="378"/>
      <c r="O23" s="378"/>
      <c r="P23" s="152"/>
      <c r="Q23" s="378"/>
      <c r="R23" s="378"/>
      <c r="S23" s="378"/>
      <c r="T23" s="378"/>
      <c r="U23" s="378"/>
      <c r="V23" s="378"/>
      <c r="W23" s="378"/>
      <c r="X23" s="378"/>
      <c r="Y23" s="378"/>
      <c r="Z23" s="152"/>
      <c r="AA23" s="684"/>
      <c r="AB23" s="378">
        <f>ROUND(SUM(C23:Y23),1)</f>
        <v>2525.5</v>
      </c>
      <c r="AC23" s="152"/>
      <c r="AD23" s="1804"/>
      <c r="AE23" s="378">
        <f>+'Exhibit F'!AF19</f>
        <v>3815.6</v>
      </c>
      <c r="AF23" s="152"/>
      <c r="AG23" s="152"/>
      <c r="AH23" s="467">
        <f t="shared" si="2"/>
        <v>-1290.0999999999999</v>
      </c>
      <c r="AI23" s="170"/>
      <c r="AJ23" s="488">
        <f t="shared" si="1"/>
        <v>-0.33800000000000002</v>
      </c>
    </row>
    <row r="24" spans="1:36" ht="15">
      <c r="A24" s="752" t="s">
        <v>955</v>
      </c>
      <c r="B24" s="152"/>
      <c r="C24" s="378">
        <f>+'Exhibit F'!D20</f>
        <v>-509.9</v>
      </c>
      <c r="D24" s="378"/>
      <c r="E24" s="378">
        <f>+'Exhibit F'!F20</f>
        <v>-69.200000000000045</v>
      </c>
      <c r="F24" s="378"/>
      <c r="G24" s="378">
        <f>+'Exhibit F'!H20</f>
        <v>-49.399999999999977</v>
      </c>
      <c r="H24" s="378"/>
      <c r="I24" s="378">
        <f>+'Exhibit F'!J20</f>
        <v>-46.199999999999932</v>
      </c>
      <c r="J24" s="378"/>
      <c r="K24" s="378">
        <f>+'Exhibit F'!L20</f>
        <v>-98.000000000000114</v>
      </c>
      <c r="L24" s="378"/>
      <c r="M24" s="378">
        <f>+'Exhibit F'!N20</f>
        <v>-119.69999999999993</v>
      </c>
      <c r="N24" s="378"/>
      <c r="O24" s="378"/>
      <c r="P24" s="152"/>
      <c r="Q24" s="378"/>
      <c r="R24" s="378"/>
      <c r="S24" s="378"/>
      <c r="T24" s="378"/>
      <c r="U24" s="378"/>
      <c r="V24" s="378"/>
      <c r="W24" s="378"/>
      <c r="X24" s="378"/>
      <c r="Y24" s="378"/>
      <c r="Z24" s="152"/>
      <c r="AA24" s="684"/>
      <c r="AB24" s="378">
        <f>ROUND(SUM(C24:Y24),1)</f>
        <v>-892.4</v>
      </c>
      <c r="AC24" s="152"/>
      <c r="AD24" s="1804"/>
      <c r="AE24" s="378">
        <f>+'Exhibit F'!AF20</f>
        <v>-746.5</v>
      </c>
      <c r="AF24" s="152"/>
      <c r="AG24" s="152"/>
      <c r="AH24" s="467">
        <f>-ROUND(SUM(+AB24-AE24),1)</f>
        <v>145.9</v>
      </c>
      <c r="AI24" s="170"/>
      <c r="AJ24" s="488">
        <f t="shared" si="1"/>
        <v>0.19500000000000001</v>
      </c>
    </row>
    <row r="25" spans="1:36" ht="15">
      <c r="A25" s="752" t="s">
        <v>1189</v>
      </c>
      <c r="B25" s="152"/>
      <c r="C25" s="378">
        <f>+'Exhibit F'!D21</f>
        <v>242.1</v>
      </c>
      <c r="D25" s="378"/>
      <c r="E25" s="378">
        <f>+'Exhibit F'!F21</f>
        <v>174.6</v>
      </c>
      <c r="F25" s="378"/>
      <c r="G25" s="378">
        <f>+'Exhibit F'!H21</f>
        <v>128.29999999999998</v>
      </c>
      <c r="H25" s="378"/>
      <c r="I25" s="378">
        <f>+'Exhibit F'!J21</f>
        <v>109.70000000000005</v>
      </c>
      <c r="J25" s="378"/>
      <c r="K25" s="378">
        <f>+'Exhibit F'!L21</f>
        <v>100.6999999999999</v>
      </c>
      <c r="L25" s="378"/>
      <c r="M25" s="378">
        <f>+'Exhibit F'!N21</f>
        <v>113.3000000000001</v>
      </c>
      <c r="N25" s="378"/>
      <c r="O25" s="378"/>
      <c r="P25" s="152"/>
      <c r="Q25" s="378"/>
      <c r="R25" s="378"/>
      <c r="S25" s="378"/>
      <c r="T25" s="378"/>
      <c r="U25" s="378"/>
      <c r="V25" s="378"/>
      <c r="W25" s="378"/>
      <c r="X25" s="378"/>
      <c r="Y25" s="378"/>
      <c r="Z25" s="152"/>
      <c r="AA25" s="684"/>
      <c r="AB25" s="378">
        <f t="shared" ref="AB25:AB29" si="3">ROUND(SUM(C25:Y25),1)</f>
        <v>868.7</v>
      </c>
      <c r="AC25" s="152"/>
      <c r="AD25" s="1804"/>
      <c r="AE25" s="378">
        <f>+'Exhibit F'!AF21</f>
        <v>859</v>
      </c>
      <c r="AF25" s="152"/>
      <c r="AG25" s="152"/>
      <c r="AH25" s="467">
        <f t="shared" si="2"/>
        <v>9.6999999999999993</v>
      </c>
      <c r="AI25" s="170"/>
      <c r="AJ25" s="488">
        <f t="shared" si="1"/>
        <v>1.0999999999999999E-2</v>
      </c>
    </row>
    <row r="26" spans="1:36" ht="15.75">
      <c r="A26" s="490" t="s">
        <v>956</v>
      </c>
      <c r="B26" s="152"/>
      <c r="C26" s="179">
        <f>ROUND(SUM(C21:C25),1)</f>
        <v>10489</v>
      </c>
      <c r="D26" s="152"/>
      <c r="E26" s="179">
        <f>ROUND(SUM(E21:E25),1)</f>
        <v>4286.5</v>
      </c>
      <c r="F26" s="152"/>
      <c r="G26" s="179">
        <f>ROUND(SUM(G21:G25),1)</f>
        <v>5597.5</v>
      </c>
      <c r="H26" s="152"/>
      <c r="I26" s="179">
        <f>ROUND(SUM(I21:I25),1)</f>
        <v>3829.2</v>
      </c>
      <c r="J26" s="152"/>
      <c r="K26" s="179">
        <f>ROUND(SUM(K21:K25),1)</f>
        <v>4231</v>
      </c>
      <c r="L26" s="152"/>
      <c r="M26" s="179">
        <f>ROUND(SUM(M21:M25),1)</f>
        <v>5005.2</v>
      </c>
      <c r="N26" s="152"/>
      <c r="O26" s="179">
        <f>ROUND(SUM(O21:O25),1)</f>
        <v>0</v>
      </c>
      <c r="P26" s="152"/>
      <c r="Q26" s="179">
        <f>ROUND(SUM(Q21:Q25),1)</f>
        <v>0</v>
      </c>
      <c r="R26" s="152"/>
      <c r="S26" s="179">
        <f>ROUND(SUM(S21:S25),1)</f>
        <v>0</v>
      </c>
      <c r="T26" s="152"/>
      <c r="U26" s="179">
        <f>ROUND(SUM(U21:U25),1)</f>
        <v>0</v>
      </c>
      <c r="V26" s="152"/>
      <c r="W26" s="179">
        <f>ROUND(SUM(W21:W25),1)</f>
        <v>0</v>
      </c>
      <c r="X26" s="152"/>
      <c r="Y26" s="179">
        <f>ROUND(SUM(Y21:Y25),1)</f>
        <v>0</v>
      </c>
      <c r="Z26" s="152"/>
      <c r="AA26" s="684"/>
      <c r="AB26" s="179">
        <f>ROUND(SUM(AB21:AB25),1)</f>
        <v>33438.400000000001</v>
      </c>
      <c r="AC26" s="152"/>
      <c r="AD26" s="1804"/>
      <c r="AE26" s="179">
        <f>ROUND(SUM(AE21:AE25),1)</f>
        <v>41441.599999999999</v>
      </c>
      <c r="AF26" s="152"/>
      <c r="AG26" s="152"/>
      <c r="AH26" s="41">
        <f t="shared" si="2"/>
        <v>-8003.2</v>
      </c>
      <c r="AI26" s="170"/>
      <c r="AJ26" s="200">
        <f>ROUND(SUM(+AH26/ABS(AE26)),3)</f>
        <v>-0.193</v>
      </c>
    </row>
    <row r="27" spans="1:36" ht="15">
      <c r="A27" s="752" t="s">
        <v>958</v>
      </c>
      <c r="B27" s="152"/>
      <c r="C27" s="378">
        <f>+'Exhibit F'!D23+'Exhibit G State'!D17</f>
        <v>0</v>
      </c>
      <c r="D27" s="378"/>
      <c r="E27" s="378">
        <f>+'Exhibit F'!F23+'Exhibit G State'!F17</f>
        <v>0</v>
      </c>
      <c r="F27" s="378"/>
      <c r="G27" s="378">
        <f>+'Exhibit F'!H23+'Exhibit G State'!H17</f>
        <v>0</v>
      </c>
      <c r="H27" s="152"/>
      <c r="I27" s="378">
        <f>+'Exhibit F'!J23+'Exhibit G State'!J17</f>
        <v>0</v>
      </c>
      <c r="J27" s="152"/>
      <c r="K27" s="378">
        <f>+'Exhibit F'!L23+'Exhibit G State'!L17</f>
        <v>0</v>
      </c>
      <c r="L27" s="152"/>
      <c r="M27" s="378">
        <f>+'Exhibit F'!N23+'Exhibit G State'!N17</f>
        <v>0</v>
      </c>
      <c r="N27" s="152"/>
      <c r="O27" s="378"/>
      <c r="P27" s="152"/>
      <c r="Q27" s="378"/>
      <c r="R27" s="378"/>
      <c r="S27" s="378"/>
      <c r="T27" s="378"/>
      <c r="U27" s="378"/>
      <c r="V27" s="378"/>
      <c r="W27" s="378"/>
      <c r="X27" s="378"/>
      <c r="Y27" s="378"/>
      <c r="Z27" s="152"/>
      <c r="AA27" s="684"/>
      <c r="AB27" s="378">
        <f>ROUND(SUM(C27:Y27),1)</f>
        <v>0</v>
      </c>
      <c r="AC27" s="152"/>
      <c r="AD27" s="1804"/>
      <c r="AE27" s="378">
        <f>+'Exhibit F'!AF23+'Exhibit G State'!AG17</f>
        <v>0</v>
      </c>
      <c r="AF27" s="152"/>
      <c r="AG27" s="152"/>
      <c r="AH27" s="467">
        <f t="shared" si="2"/>
        <v>0</v>
      </c>
      <c r="AI27" s="170"/>
      <c r="AJ27" s="469">
        <f>ROUND(IF(AE27=0,0,AH27/ABS(AE27)),3)</f>
        <v>0</v>
      </c>
    </row>
    <row r="28" spans="1:36" ht="15">
      <c r="A28" s="752" t="s">
        <v>959</v>
      </c>
      <c r="B28" s="152"/>
      <c r="C28" s="378">
        <f>+'Exhibit F'!D24+'Exhibit H'!B16</f>
        <v>0</v>
      </c>
      <c r="D28" s="378"/>
      <c r="E28" s="378">
        <f>+'Exhibit F'!F24+'Exhibit H'!D16</f>
        <v>0</v>
      </c>
      <c r="F28" s="378"/>
      <c r="G28" s="378">
        <f>+'Exhibit F'!H24+'Exhibit H'!F16</f>
        <v>0</v>
      </c>
      <c r="H28" s="152"/>
      <c r="I28" s="378">
        <f>+'Exhibit F'!J24+'Exhibit H'!H16</f>
        <v>0</v>
      </c>
      <c r="J28" s="152"/>
      <c r="K28" s="378">
        <f>+'Exhibit F'!L24+'Exhibit H'!J16</f>
        <v>0</v>
      </c>
      <c r="L28" s="152"/>
      <c r="M28" s="378">
        <f>+'Exhibit F'!N24+'Exhibit H'!L16</f>
        <v>0</v>
      </c>
      <c r="N28" s="152"/>
      <c r="O28" s="378"/>
      <c r="P28" s="152"/>
      <c r="Q28" s="378"/>
      <c r="R28" s="378"/>
      <c r="S28" s="378"/>
      <c r="T28" s="378"/>
      <c r="U28" s="378"/>
      <c r="V28" s="378"/>
      <c r="W28" s="378"/>
      <c r="X28" s="378"/>
      <c r="Y28" s="378"/>
      <c r="Z28" s="152"/>
      <c r="AA28" s="684"/>
      <c r="AB28" s="378">
        <f t="shared" si="3"/>
        <v>0</v>
      </c>
      <c r="AC28" s="152"/>
      <c r="AD28" s="1804"/>
      <c r="AE28" s="378">
        <f>+'Exhibit F'!AF24+'Exhibit H'!AD16</f>
        <v>0</v>
      </c>
      <c r="AF28" s="152"/>
      <c r="AG28" s="152"/>
      <c r="AH28" s="467">
        <f t="shared" si="2"/>
        <v>0</v>
      </c>
      <c r="AI28" s="170"/>
      <c r="AJ28" s="469">
        <f>ROUND(IF(AE28=0,0,AH28/ABS(AE28)),3)</f>
        <v>0</v>
      </c>
    </row>
    <row r="29" spans="1:36" ht="15">
      <c r="A29" s="489" t="s">
        <v>1191</v>
      </c>
      <c r="B29" s="378"/>
      <c r="C29" s="378">
        <f>+'Exhibit F'!D25</f>
        <v>-3034.6</v>
      </c>
      <c r="D29" s="378"/>
      <c r="E29" s="378">
        <f>+'Exhibit F'!F25</f>
        <v>-2197.9</v>
      </c>
      <c r="F29" s="378"/>
      <c r="G29" s="378">
        <f>+'Exhibit F'!H25</f>
        <v>-602.89999999999964</v>
      </c>
      <c r="H29" s="378"/>
      <c r="I29" s="378">
        <f>+'Exhibit F'!J25</f>
        <v>-403.30000000000018</v>
      </c>
      <c r="J29" s="378"/>
      <c r="K29" s="378">
        <f>+'Exhibit F'!L25</f>
        <v>-530.69999999999982</v>
      </c>
      <c r="L29" s="152"/>
      <c r="M29" s="378">
        <f>+'Exhibit F'!N25</f>
        <v>-687.99999999999955</v>
      </c>
      <c r="N29" s="152"/>
      <c r="O29" s="378"/>
      <c r="P29" s="152"/>
      <c r="Q29" s="378"/>
      <c r="R29" s="378"/>
      <c r="S29" s="378"/>
      <c r="T29" s="378"/>
      <c r="U29" s="378"/>
      <c r="V29" s="378"/>
      <c r="W29" s="378"/>
      <c r="X29" s="378"/>
      <c r="Y29" s="378"/>
      <c r="Z29" s="152"/>
      <c r="AA29" s="684"/>
      <c r="AB29" s="378">
        <f t="shared" si="3"/>
        <v>-7457.4</v>
      </c>
      <c r="AC29" s="152"/>
      <c r="AD29" s="1804"/>
      <c r="AE29" s="378">
        <f>+'Exhibit F'!AF25</f>
        <v>-8263</v>
      </c>
      <c r="AF29" s="152"/>
      <c r="AG29" s="152"/>
      <c r="AH29" s="467">
        <f>-ROUND(SUM(+AB29-AE29),1)</f>
        <v>-805.6</v>
      </c>
      <c r="AI29" s="170"/>
      <c r="AJ29" s="488">
        <f>ROUND(SUM(+AH29/ABS(AE29)),3)</f>
        <v>-9.7000000000000003E-2</v>
      </c>
    </row>
    <row r="30" spans="1:36" ht="15.75">
      <c r="A30" s="218" t="s">
        <v>957</v>
      </c>
      <c r="B30" s="152"/>
      <c r="C30" s="179">
        <f>ROUND(SUM(C26+C27+C28+C29),1)</f>
        <v>7454.4</v>
      </c>
      <c r="D30" s="152"/>
      <c r="E30" s="179">
        <f>ROUND(SUM(E26+E27+E28+E29),1)</f>
        <v>2088.6</v>
      </c>
      <c r="F30" s="152"/>
      <c r="G30" s="179">
        <f>ROUND(SUM(G26+G27+G28+G29),1)</f>
        <v>4994.6000000000004</v>
      </c>
      <c r="H30" s="152"/>
      <c r="I30" s="179">
        <f>ROUND(SUM(I26+I27+I28+I29),1)</f>
        <v>3425.9</v>
      </c>
      <c r="J30" s="152"/>
      <c r="K30" s="179">
        <f>ROUND(SUM(K26+K27+K28+K29),1)</f>
        <v>3700.3</v>
      </c>
      <c r="L30" s="152"/>
      <c r="M30" s="179">
        <f>ROUND(SUM(M26+M27+M28+M29),1)</f>
        <v>4317.2</v>
      </c>
      <c r="N30" s="152"/>
      <c r="O30" s="179">
        <f>ROUND(SUM(O26+O27+O28+O29),1)</f>
        <v>0</v>
      </c>
      <c r="P30" s="152"/>
      <c r="Q30" s="179">
        <f>ROUND(SUM(Q26+Q27+Q28+Q29),1)</f>
        <v>0</v>
      </c>
      <c r="R30" s="152"/>
      <c r="S30" s="179">
        <f>ROUND(SUM(S26+S27+S28+S29),1)</f>
        <v>0</v>
      </c>
      <c r="T30" s="152"/>
      <c r="U30" s="179">
        <f>ROUND(SUM(U26+U27+U28+U29),1)</f>
        <v>0</v>
      </c>
      <c r="V30" s="152"/>
      <c r="W30" s="179">
        <f>ROUND(SUM(W26+W27+W28+W29),1)</f>
        <v>0</v>
      </c>
      <c r="X30" s="152"/>
      <c r="Y30" s="179">
        <f>ROUND(SUM(Y26+Y27+Y28+Y29),1)</f>
        <v>0</v>
      </c>
      <c r="Z30" s="152"/>
      <c r="AA30" s="684"/>
      <c r="AB30" s="179">
        <f>ROUND(SUM(AB26+AB27+AB28+AB29),1)</f>
        <v>25981</v>
      </c>
      <c r="AC30" s="152"/>
      <c r="AD30" s="1804"/>
      <c r="AE30" s="179">
        <f>ROUND(SUM(AE26+AE27+AE28+AE29),1)</f>
        <v>33178.6</v>
      </c>
      <c r="AF30" s="152"/>
      <c r="AG30" s="152"/>
      <c r="AH30" s="179">
        <f>ROUND(SUM(AH26+AH27+AH28-AH29),1)</f>
        <v>-7197.6</v>
      </c>
      <c r="AI30" s="548"/>
      <c r="AJ30" s="200">
        <f>ROUND(SUM(+AH30/ABS(AE30)),3)</f>
        <v>-0.217</v>
      </c>
    </row>
    <row r="31" spans="1:36" ht="15">
      <c r="A31" s="737" t="s">
        <v>1006</v>
      </c>
      <c r="B31" s="152"/>
      <c r="C31" s="152"/>
      <c r="D31" s="152"/>
      <c r="E31" s="152"/>
      <c r="F31" s="152"/>
      <c r="G31" s="152"/>
      <c r="H31" s="152"/>
      <c r="I31" s="152"/>
      <c r="J31" s="152"/>
      <c r="K31" s="152"/>
      <c r="L31" s="152"/>
      <c r="M31" s="152"/>
      <c r="N31" s="152"/>
      <c r="O31" s="152"/>
      <c r="P31" s="152"/>
      <c r="Q31" s="152"/>
      <c r="R31" s="152"/>
      <c r="S31" s="152"/>
      <c r="T31" s="152"/>
      <c r="U31" s="152"/>
      <c r="V31" s="152"/>
      <c r="W31" s="152"/>
      <c r="X31" s="152"/>
      <c r="Y31" s="152"/>
      <c r="Z31" s="152"/>
      <c r="AA31" s="684"/>
      <c r="AB31" s="152"/>
      <c r="AC31" s="152"/>
      <c r="AD31" s="1804"/>
      <c r="AE31" s="378"/>
      <c r="AF31" s="152"/>
      <c r="AG31" s="152"/>
      <c r="AH31" s="472"/>
      <c r="AI31" s="152"/>
      <c r="AJ31" s="472"/>
    </row>
    <row r="32" spans="1:36" ht="15">
      <c r="A32" s="489" t="s">
        <v>962</v>
      </c>
      <c r="B32" s="152"/>
      <c r="C32" s="378">
        <f>+'Exhibit F'!D28+'Exhibit H'!B19+'Exhibit G State'!D20</f>
        <v>1512.3</v>
      </c>
      <c r="D32" s="378"/>
      <c r="E32" s="378">
        <f>+'Exhibit F'!F28+'Exhibit H'!D19+'Exhibit G State'!F20</f>
        <v>1469.9</v>
      </c>
      <c r="F32" s="378"/>
      <c r="G32" s="378">
        <f>+'Exhibit F'!H28+'Exhibit H'!F19+'Exhibit G State'!H20</f>
        <v>1963.8</v>
      </c>
      <c r="H32" s="378"/>
      <c r="I32" s="378">
        <f>+'Exhibit F'!J28+'Exhibit H'!H19+'Exhibit G State'!J20</f>
        <v>1578.8000000000002</v>
      </c>
      <c r="J32" s="378"/>
      <c r="K32" s="378">
        <f>+'Exhibit F'!L28+'Exhibit H'!J19+'Exhibit G State'!L20</f>
        <v>1535.099999999999</v>
      </c>
      <c r="L32" s="152"/>
      <c r="M32" s="378">
        <f>+'Exhibit F'!N28+'Exhibit H'!L19+'Exhibit G State'!N20</f>
        <v>1958.1000000000001</v>
      </c>
      <c r="N32" s="152"/>
      <c r="O32" s="378"/>
      <c r="P32" s="152"/>
      <c r="Q32" s="378"/>
      <c r="R32" s="378"/>
      <c r="S32" s="378"/>
      <c r="T32" s="378"/>
      <c r="U32" s="378"/>
      <c r="V32" s="378"/>
      <c r="W32" s="378"/>
      <c r="X32" s="378"/>
      <c r="Y32" s="378"/>
      <c r="Z32" s="152"/>
      <c r="AA32" s="684"/>
      <c r="AB32" s="378">
        <f t="shared" ref="AB32:AB39" si="4">ROUND(SUM(C32:Y32),1)</f>
        <v>10018</v>
      </c>
      <c r="AC32" s="152"/>
      <c r="AD32" s="1804"/>
      <c r="AE32" s="378">
        <f>+'Exhibit F'!AF28+'Exhibit H'!AD19+'Exhibit G State'!AG20</f>
        <v>9454.9</v>
      </c>
      <c r="AF32" s="152"/>
      <c r="AG32" s="152"/>
      <c r="AH32" s="467">
        <f t="shared" ref="AH32:AH39" si="5">ROUND(SUM(+AB32-AE32),1)</f>
        <v>563.1</v>
      </c>
      <c r="AI32" s="170"/>
      <c r="AJ32" s="488">
        <f>ROUND(SUM(+AH32/ABS(AE32)),3)</f>
        <v>0.06</v>
      </c>
    </row>
    <row r="33" spans="1:36" ht="15">
      <c r="A33" s="489" t="s">
        <v>963</v>
      </c>
      <c r="B33" s="152"/>
      <c r="C33" s="378">
        <f>+'Exhibit F'!D29+'Exhibit G State'!D21</f>
        <v>1.9</v>
      </c>
      <c r="D33" s="378"/>
      <c r="E33" s="378">
        <f>+'Exhibit F'!F29+'Exhibit G State'!F21</f>
        <v>0</v>
      </c>
      <c r="F33" s="378"/>
      <c r="G33" s="378">
        <f>+'Exhibit F'!H29+'Exhibit G State'!H21</f>
        <v>6.9</v>
      </c>
      <c r="H33" s="378"/>
      <c r="I33" s="378">
        <f>+'Exhibit F'!J29+'Exhibit G State'!J21</f>
        <v>0</v>
      </c>
      <c r="J33" s="378"/>
      <c r="K33" s="378">
        <f>+'Exhibit F'!L29+'Exhibit G State'!L21</f>
        <v>0</v>
      </c>
      <c r="L33" s="152"/>
      <c r="M33" s="378">
        <f>+'Exhibit F'!N29+'Exhibit G State'!N21</f>
        <v>10.1</v>
      </c>
      <c r="N33" s="152"/>
      <c r="O33" s="378"/>
      <c r="P33" s="152"/>
      <c r="Q33" s="378"/>
      <c r="R33" s="378"/>
      <c r="S33" s="378"/>
      <c r="T33" s="378"/>
      <c r="U33" s="378"/>
      <c r="V33" s="378"/>
      <c r="W33" s="378"/>
      <c r="X33" s="378"/>
      <c r="Y33" s="378"/>
      <c r="Z33" s="152"/>
      <c r="AA33" s="684"/>
      <c r="AB33" s="378">
        <f t="shared" si="4"/>
        <v>18.899999999999999</v>
      </c>
      <c r="AC33" s="152"/>
      <c r="AD33" s="1804"/>
      <c r="AE33" s="378">
        <f>+'Exhibit F'!AF29+'Exhibit G State'!AG21</f>
        <v>17</v>
      </c>
      <c r="AF33" s="152"/>
      <c r="AG33" s="152"/>
      <c r="AH33" s="467">
        <f t="shared" si="5"/>
        <v>1.9</v>
      </c>
      <c r="AI33" s="170"/>
      <c r="AJ33" s="971">
        <f>ROUND(IF(AE33=0,1,AH33/ABS(AE33)),3)</f>
        <v>0.112</v>
      </c>
    </row>
    <row r="34" spans="1:36" ht="15">
      <c r="A34" s="489" t="s">
        <v>964</v>
      </c>
      <c r="B34" s="152"/>
      <c r="C34" s="378">
        <f>+'Exhibit F'!D30+'Exhibit G State'!D22</f>
        <v>76.099999999999994</v>
      </c>
      <c r="D34" s="378"/>
      <c r="E34" s="378">
        <f>+'Exhibit F'!F30+'Exhibit G State'!F22</f>
        <v>73.2</v>
      </c>
      <c r="F34" s="378"/>
      <c r="G34" s="378">
        <f>+'Exhibit F'!H30+'Exhibit G State'!H22</f>
        <v>71.000000000000014</v>
      </c>
      <c r="H34" s="378"/>
      <c r="I34" s="378">
        <f>+'Exhibit F'!J30+'Exhibit G State'!J22</f>
        <v>73.799999999999983</v>
      </c>
      <c r="J34" s="378"/>
      <c r="K34" s="378">
        <f>+'Exhibit F'!L30+'Exhibit G State'!L22</f>
        <v>73.900000000000034</v>
      </c>
      <c r="L34" s="152"/>
      <c r="M34" s="378">
        <f>+'Exhibit F'!N30+'Exhibit G State'!N22</f>
        <v>72.299999999999955</v>
      </c>
      <c r="N34" s="152"/>
      <c r="O34" s="378"/>
      <c r="P34" s="152"/>
      <c r="Q34" s="378"/>
      <c r="R34" s="378"/>
      <c r="S34" s="378"/>
      <c r="T34" s="378"/>
      <c r="U34" s="378"/>
      <c r="V34" s="378"/>
      <c r="W34" s="378"/>
      <c r="X34" s="378"/>
      <c r="Y34" s="378"/>
      <c r="Z34" s="152"/>
      <c r="AA34" s="684"/>
      <c r="AB34" s="378">
        <f t="shared" si="4"/>
        <v>440.3</v>
      </c>
      <c r="AC34" s="152"/>
      <c r="AD34" s="1804"/>
      <c r="AE34" s="378">
        <f>+'Exhibit F'!AF30+'Exhibit G State'!AG22</f>
        <v>481.2</v>
      </c>
      <c r="AF34" s="152"/>
      <c r="AG34" s="152"/>
      <c r="AH34" s="467">
        <f t="shared" si="5"/>
        <v>-40.9</v>
      </c>
      <c r="AI34" s="170"/>
      <c r="AJ34" s="488">
        <f>ROUND(SUM(+AH34/ABS(AE34)),3)</f>
        <v>-8.5000000000000006E-2</v>
      </c>
    </row>
    <row r="35" spans="1:36" ht="15">
      <c r="A35" s="489" t="s">
        <v>1392</v>
      </c>
      <c r="B35" s="152"/>
      <c r="C35" s="378">
        <f>'Exhibit G State'!D23</f>
        <v>0.9</v>
      </c>
      <c r="D35" s="378"/>
      <c r="E35" s="378">
        <f>'Exhibit G State'!F23</f>
        <v>0.79999999999999993</v>
      </c>
      <c r="F35" s="378"/>
      <c r="G35" s="378">
        <f>'Exhibit G State'!H23</f>
        <v>3.5999999999999996</v>
      </c>
      <c r="H35" s="378"/>
      <c r="I35" s="378">
        <f>'Exhibit G State'!J23</f>
        <v>0.90000000000000036</v>
      </c>
      <c r="J35" s="378"/>
      <c r="K35" s="378">
        <f>'Exhibit G State'!L23</f>
        <v>0.29999999999999982</v>
      </c>
      <c r="L35" s="152"/>
      <c r="M35" s="378">
        <f>'Exhibit G State'!N23</f>
        <v>6.9999999999999991</v>
      </c>
      <c r="N35" s="152"/>
      <c r="O35" s="378"/>
      <c r="P35" s="152"/>
      <c r="Q35" s="378"/>
      <c r="R35" s="378"/>
      <c r="S35" s="378"/>
      <c r="T35" s="378"/>
      <c r="U35" s="378"/>
      <c r="V35" s="378"/>
      <c r="W35" s="378"/>
      <c r="X35" s="378"/>
      <c r="Y35" s="378"/>
      <c r="Z35" s="152"/>
      <c r="AA35" s="684"/>
      <c r="AB35" s="378">
        <f t="shared" si="4"/>
        <v>13.5</v>
      </c>
      <c r="AC35" s="152"/>
      <c r="AD35" s="1804"/>
      <c r="AE35" s="378">
        <f>'Exhibit G State'!AG23</f>
        <v>6.1</v>
      </c>
      <c r="AF35" s="152"/>
      <c r="AG35" s="152"/>
      <c r="AH35" s="467">
        <f>ROUND(SUM(+AB35-AE35),1)</f>
        <v>7.4</v>
      </c>
      <c r="AI35" s="170"/>
      <c r="AJ35" s="469">
        <f>ROUND(IF(AE35=0,1,AH35/ABS(AE35)),3)</f>
        <v>1.2130000000000001</v>
      </c>
    </row>
    <row r="36" spans="1:36" ht="15">
      <c r="A36" s="489" t="s">
        <v>965</v>
      </c>
      <c r="B36" s="152"/>
      <c r="C36" s="378">
        <f>+'Exhibit F'!D31+'Exhibit G State'!D24</f>
        <v>8.1999999999999993</v>
      </c>
      <c r="D36" s="378"/>
      <c r="E36" s="378">
        <f>+'Exhibit F'!F31+'Exhibit G State'!F24</f>
        <v>9.1000000000000014</v>
      </c>
      <c r="F36" s="378"/>
      <c r="G36" s="378">
        <f>+'Exhibit F'!H31+'Exhibit G State'!H24</f>
        <v>8.3000000000000007</v>
      </c>
      <c r="H36" s="378"/>
      <c r="I36" s="378">
        <f>+'Exhibit F'!J31+'Exhibit G State'!J24</f>
        <v>9.2999999999999972</v>
      </c>
      <c r="J36" s="378"/>
      <c r="K36" s="378">
        <f>+'Exhibit F'!L31+'Exhibit G State'!L24</f>
        <v>9.0000000000000036</v>
      </c>
      <c r="L36" s="152"/>
      <c r="M36" s="378">
        <f>+'Exhibit F'!N31+'Exhibit G State'!N24</f>
        <v>9.5999999999999943</v>
      </c>
      <c r="N36" s="152"/>
      <c r="O36" s="378"/>
      <c r="P36" s="152"/>
      <c r="Q36" s="378"/>
      <c r="R36" s="378"/>
      <c r="S36" s="378"/>
      <c r="T36" s="378"/>
      <c r="U36" s="378"/>
      <c r="V36" s="378"/>
      <c r="W36" s="378"/>
      <c r="X36" s="378"/>
      <c r="Y36" s="378"/>
      <c r="Z36" s="152"/>
      <c r="AA36" s="684"/>
      <c r="AB36" s="378">
        <f t="shared" si="4"/>
        <v>53.5</v>
      </c>
      <c r="AC36" s="152"/>
      <c r="AD36" s="1804"/>
      <c r="AE36" s="378">
        <f>+'Exhibit F'!AF31+'Exhibit G State'!AG24</f>
        <v>17.399999999999999</v>
      </c>
      <c r="AF36" s="152"/>
      <c r="AG36" s="152"/>
      <c r="AH36" s="467">
        <f t="shared" si="5"/>
        <v>36.1</v>
      </c>
      <c r="AI36" s="170"/>
      <c r="AJ36" s="488">
        <f>ROUND(SUM(+AH36/ABS(AE36)),3)</f>
        <v>2.0750000000000002</v>
      </c>
    </row>
    <row r="37" spans="1:36" ht="15">
      <c r="A37" s="753" t="s">
        <v>1432</v>
      </c>
      <c r="B37" s="152"/>
      <c r="C37" s="378">
        <f>+'Exhibit F'!D32+'Exhibit G State'!D25</f>
        <v>-1.2999999999999998</v>
      </c>
      <c r="D37" s="378"/>
      <c r="E37" s="378">
        <f>+'Exhibit F'!F32+'Exhibit G State'!F25</f>
        <v>0</v>
      </c>
      <c r="F37" s="378"/>
      <c r="G37" s="378">
        <f>+'Exhibit F'!H32+'Exhibit G State'!H25</f>
        <v>0.49999999999999989</v>
      </c>
      <c r="H37" s="378"/>
      <c r="I37" s="378">
        <f>+'Exhibit F'!J32+'Exhibit G State'!J25</f>
        <v>0</v>
      </c>
      <c r="J37" s="378"/>
      <c r="K37" s="378">
        <f>+'Exhibit F'!L32+'Exhibit G State'!L25</f>
        <v>0</v>
      </c>
      <c r="L37" s="152"/>
      <c r="M37" s="378">
        <f>+'Exhibit F'!N32+'Exhibit G State'!N25</f>
        <v>0.5</v>
      </c>
      <c r="N37" s="152"/>
      <c r="O37" s="378"/>
      <c r="P37" s="152"/>
      <c r="Q37" s="378"/>
      <c r="R37" s="378"/>
      <c r="S37" s="378"/>
      <c r="T37" s="378"/>
      <c r="U37" s="378"/>
      <c r="V37" s="378"/>
      <c r="W37" s="378"/>
      <c r="X37" s="378"/>
      <c r="Y37" s="378"/>
      <c r="Z37" s="152"/>
      <c r="AA37" s="377"/>
      <c r="AB37" s="378">
        <f t="shared" ref="AB37" si="6">ROUND(SUM(C37:Y37),1)</f>
        <v>-0.3</v>
      </c>
      <c r="AC37" s="152"/>
      <c r="AD37" s="1804"/>
      <c r="AE37" s="378">
        <f>+'Exhibit F'!AF32+'Exhibit G State'!AG25</f>
        <v>0</v>
      </c>
      <c r="AF37" s="152"/>
      <c r="AG37" s="152"/>
      <c r="AH37" s="467">
        <f t="shared" ref="AH37" si="7">ROUND(SUM(+AB37-AE37),1)</f>
        <v>-0.3</v>
      </c>
      <c r="AI37" s="170"/>
      <c r="AJ37" s="971">
        <f>-ROUND(IF(AE37=0,1,AH37/ABS(AE37)),3)</f>
        <v>-1</v>
      </c>
    </row>
    <row r="38" spans="1:36" ht="15">
      <c r="A38" s="489" t="s">
        <v>966</v>
      </c>
      <c r="B38" s="152"/>
      <c r="C38" s="378">
        <f>+'Exhibit F'!D33+'Exhibit G State'!D26</f>
        <v>21.8</v>
      </c>
      <c r="D38" s="378"/>
      <c r="E38" s="378">
        <f>+'Exhibit F'!F33+'Exhibit G State'!F26</f>
        <v>20.3</v>
      </c>
      <c r="F38" s="378"/>
      <c r="G38" s="378">
        <f>+'Exhibit F'!H33+'Exhibit G State'!H26</f>
        <v>25.999999999999996</v>
      </c>
      <c r="H38" s="378"/>
      <c r="I38" s="378">
        <f>+'Exhibit F'!J33+'Exhibit G State'!J26</f>
        <v>27.300000000000015</v>
      </c>
      <c r="J38" s="378"/>
      <c r="K38" s="378">
        <f>+'Exhibit F'!L33+'Exhibit G State'!L26</f>
        <v>21.799999999999979</v>
      </c>
      <c r="L38" s="152"/>
      <c r="M38" s="378">
        <f>+'Exhibit F'!N33+'Exhibit G State'!N26</f>
        <v>26.600000000000026</v>
      </c>
      <c r="N38" s="152"/>
      <c r="O38" s="378"/>
      <c r="P38" s="152"/>
      <c r="Q38" s="378"/>
      <c r="R38" s="378"/>
      <c r="S38" s="378"/>
      <c r="T38" s="378"/>
      <c r="U38" s="378"/>
      <c r="V38" s="378"/>
      <c r="W38" s="378"/>
      <c r="X38" s="378"/>
      <c r="Y38" s="378"/>
      <c r="Z38" s="152"/>
      <c r="AA38" s="684"/>
      <c r="AB38" s="378">
        <f t="shared" si="4"/>
        <v>143.80000000000001</v>
      </c>
      <c r="AC38" s="152"/>
      <c r="AD38" s="1804"/>
      <c r="AE38" s="378">
        <f>+'Exhibit F'!AF33+'Exhibit G State'!AG26</f>
        <v>147.4</v>
      </c>
      <c r="AF38" s="152"/>
      <c r="AG38" s="152"/>
      <c r="AH38" s="467">
        <f t="shared" si="5"/>
        <v>-3.6</v>
      </c>
      <c r="AI38" s="170"/>
      <c r="AJ38" s="488">
        <f>ROUND(SUM(+AH38/ABS(AE38)),3)</f>
        <v>-2.4E-2</v>
      </c>
    </row>
    <row r="39" spans="1:36" ht="15">
      <c r="A39" s="489" t="s">
        <v>967</v>
      </c>
      <c r="B39" s="152"/>
      <c r="C39" s="378">
        <f>+'Exhibit F'!D34+'Exhibit G State'!D27</f>
        <v>0.1</v>
      </c>
      <c r="D39" s="378"/>
      <c r="E39" s="378">
        <f>+'Exhibit F'!F34+'Exhibit G State'!F27</f>
        <v>0</v>
      </c>
      <c r="F39" s="378"/>
      <c r="G39" s="378">
        <f>+'Exhibit F'!H34+'Exhibit G State'!H27</f>
        <v>0.1</v>
      </c>
      <c r="H39" s="378"/>
      <c r="I39" s="378">
        <f>+'Exhibit F'!J34+'Exhibit G State'!J27</f>
        <v>0</v>
      </c>
      <c r="J39" s="378"/>
      <c r="K39" s="378">
        <f>+'Exhibit F'!L34+'Exhibit G State'!L27</f>
        <v>9.9999999999999978E-2</v>
      </c>
      <c r="L39" s="152"/>
      <c r="M39" s="378">
        <f>+'Exhibit F'!N34+'Exhibit G State'!N27</f>
        <v>0</v>
      </c>
      <c r="N39" s="152"/>
      <c r="O39" s="378"/>
      <c r="P39" s="152"/>
      <c r="Q39" s="378"/>
      <c r="R39" s="378"/>
      <c r="S39" s="378"/>
      <c r="T39" s="378"/>
      <c r="U39" s="378"/>
      <c r="V39" s="378"/>
      <c r="W39" s="378"/>
      <c r="X39" s="378"/>
      <c r="Y39" s="378"/>
      <c r="Z39" s="152"/>
      <c r="AA39" s="684"/>
      <c r="AB39" s="378">
        <f t="shared" si="4"/>
        <v>0.3</v>
      </c>
      <c r="AC39" s="152"/>
      <c r="AD39" s="1804"/>
      <c r="AE39" s="378">
        <f>+'Exhibit F'!AF34+'Exhibit G State'!AG27</f>
        <v>0.3</v>
      </c>
      <c r="AF39" s="152"/>
      <c r="AG39" s="152"/>
      <c r="AH39" s="467">
        <f t="shared" si="5"/>
        <v>0</v>
      </c>
      <c r="AI39" s="170"/>
      <c r="AJ39" s="971">
        <f>ROUND(IF(AE39=0,1,AH39/ABS(AE39)),3)</f>
        <v>0</v>
      </c>
    </row>
    <row r="40" spans="1:36" ht="15">
      <c r="A40" s="489" t="s">
        <v>1260</v>
      </c>
      <c r="B40" s="152"/>
      <c r="C40" s="378">
        <f>'Exhibit F'!D35+'Exhibit G'!D28</f>
        <v>0.2</v>
      </c>
      <c r="D40" s="378"/>
      <c r="E40" s="378">
        <f>'Exhibit F'!F35+'Exhibit G'!F28</f>
        <v>0.3</v>
      </c>
      <c r="F40" s="378"/>
      <c r="G40" s="378">
        <f>'Exhibit F'!H35+'Exhibit G'!H28</f>
        <v>6.1</v>
      </c>
      <c r="H40" s="378"/>
      <c r="I40" s="378">
        <f>'Exhibit F'!J35+'Exhibit G'!J28</f>
        <v>0.10000000000000053</v>
      </c>
      <c r="J40" s="378"/>
      <c r="K40" s="378">
        <f>'Exhibit F'!L35+'Exhibit G'!L28</f>
        <v>0</v>
      </c>
      <c r="L40" s="152"/>
      <c r="M40" s="378">
        <f>'Exhibit F'!N35+'Exhibit G'!N28</f>
        <v>6.3999999999999995</v>
      </c>
      <c r="N40" s="152"/>
      <c r="O40" s="378"/>
      <c r="P40" s="152"/>
      <c r="Q40" s="378"/>
      <c r="R40" s="378"/>
      <c r="S40" s="378"/>
      <c r="T40" s="378"/>
      <c r="U40" s="378"/>
      <c r="V40" s="378"/>
      <c r="W40" s="378"/>
      <c r="X40" s="378"/>
      <c r="Y40" s="378"/>
      <c r="Z40" s="152"/>
      <c r="AA40" s="684"/>
      <c r="AB40" s="378">
        <f>ROUND(SUM(C40:Y40),1)</f>
        <v>13.1</v>
      </c>
      <c r="AC40" s="152"/>
      <c r="AD40" s="1804"/>
      <c r="AE40" s="378">
        <f>+'Exhibit F'!AF35+'Exhibit G State'!AG28</f>
        <v>12.6</v>
      </c>
      <c r="AF40" s="152"/>
      <c r="AG40" s="152"/>
      <c r="AH40" s="467">
        <f>ROUND(SUM(+AB40-AE40),1)</f>
        <v>0.5</v>
      </c>
      <c r="AI40" s="170"/>
      <c r="AJ40" s="971">
        <f>ROUND(IF(AE40=0,1,AH40/ABS(AE40)),3)</f>
        <v>0.04</v>
      </c>
    </row>
    <row r="41" spans="1:36" ht="15">
      <c r="A41" s="489" t="s">
        <v>1261</v>
      </c>
      <c r="B41" s="152"/>
      <c r="C41" s="378">
        <f>'Exhibit F'!D36</f>
        <v>6</v>
      </c>
      <c r="D41" s="378"/>
      <c r="E41" s="378">
        <f>'Exhibit F'!F36</f>
        <v>0.20000000000000018</v>
      </c>
      <c r="F41" s="378"/>
      <c r="G41" s="378">
        <f>'Exhibit F'!H36</f>
        <v>0.20000000000000018</v>
      </c>
      <c r="H41" s="378"/>
      <c r="I41" s="378">
        <f>'Exhibit F'!J36</f>
        <v>4.2999999999999989</v>
      </c>
      <c r="J41" s="378"/>
      <c r="K41" s="378">
        <f>'Exhibit F'!L36</f>
        <v>0.10000000000000142</v>
      </c>
      <c r="L41" s="152"/>
      <c r="M41" s="378">
        <f>'Exhibit F'!N36</f>
        <v>9.9999999999999645E-2</v>
      </c>
      <c r="N41" s="152"/>
      <c r="O41" s="378"/>
      <c r="P41" s="152"/>
      <c r="Q41" s="378"/>
      <c r="R41" s="378"/>
      <c r="S41" s="378"/>
      <c r="T41" s="378"/>
      <c r="U41" s="378"/>
      <c r="V41" s="378"/>
      <c r="W41" s="378"/>
      <c r="X41" s="378"/>
      <c r="Y41" s="378"/>
      <c r="Z41" s="152"/>
      <c r="AA41" s="684"/>
      <c r="AB41" s="378">
        <f t="shared" ref="AB41" si="8">ROUND(SUM(C41:Y41),1)</f>
        <v>10.9</v>
      </c>
      <c r="AC41" s="152"/>
      <c r="AD41" s="1804"/>
      <c r="AE41" s="378">
        <f>+'Exhibit F'!AF36</f>
        <v>13.4</v>
      </c>
      <c r="AF41" s="152"/>
      <c r="AG41" s="152"/>
      <c r="AH41" s="467">
        <f t="shared" ref="AH41" si="9">ROUND(SUM(+AB41-AE41),1)</f>
        <v>-2.5</v>
      </c>
      <c r="AI41" s="170"/>
      <c r="AJ41" s="971">
        <f>ROUND(IF(AE41=0,1,AH41/ABS(AE41)),3)</f>
        <v>-0.187</v>
      </c>
    </row>
    <row r="42" spans="1:36" ht="15.75">
      <c r="A42" s="218" t="s">
        <v>961</v>
      </c>
      <c r="B42" s="152"/>
      <c r="C42" s="179">
        <f>ROUND(SUM(C32:C41),1)</f>
        <v>1626.2</v>
      </c>
      <c r="D42" s="152"/>
      <c r="E42" s="179">
        <f>ROUND(SUM(E32:E41),1)</f>
        <v>1573.8</v>
      </c>
      <c r="F42" s="152"/>
      <c r="G42" s="179">
        <f>ROUND(SUM(G32:G41),1)</f>
        <v>2086.5</v>
      </c>
      <c r="H42" s="152"/>
      <c r="I42" s="179">
        <f>ROUND(SUM(I32:I41),1)</f>
        <v>1694.5</v>
      </c>
      <c r="J42" s="152"/>
      <c r="K42" s="179">
        <f>ROUND(SUM(K32:K41),1)</f>
        <v>1640.3</v>
      </c>
      <c r="L42" s="152"/>
      <c r="M42" s="179">
        <f>ROUND(SUM(M32:M41),1)</f>
        <v>2090.6999999999998</v>
      </c>
      <c r="N42" s="152"/>
      <c r="O42" s="179">
        <f>ROUND(SUM(O32:O41),1)</f>
        <v>0</v>
      </c>
      <c r="P42" s="152"/>
      <c r="Q42" s="179">
        <f>ROUND(SUM(Q32:Q41),1)</f>
        <v>0</v>
      </c>
      <c r="R42" s="152"/>
      <c r="S42" s="179">
        <f>ROUND(SUM(S32:S41),1)</f>
        <v>0</v>
      </c>
      <c r="T42" s="152"/>
      <c r="U42" s="179">
        <f>ROUND(SUM(U32:U41),1)</f>
        <v>0</v>
      </c>
      <c r="V42" s="152"/>
      <c r="W42" s="179">
        <f>ROUND(SUM(W32:W41),1)</f>
        <v>0</v>
      </c>
      <c r="X42" s="152"/>
      <c r="Y42" s="179">
        <f>ROUND(SUM(Y32:Y41),1)</f>
        <v>0</v>
      </c>
      <c r="Z42" s="152"/>
      <c r="AA42" s="684"/>
      <c r="AB42" s="179">
        <f>ROUND(SUM(AB32:AB41),1)</f>
        <v>10712</v>
      </c>
      <c r="AC42" s="152"/>
      <c r="AD42" s="1804"/>
      <c r="AE42" s="179">
        <f>ROUND(SUM(AE32:AE41),1)</f>
        <v>10150.299999999999</v>
      </c>
      <c r="AF42" s="152"/>
      <c r="AG42" s="152"/>
      <c r="AH42" s="179">
        <f>ROUND(SUM(AH32:AH41),1)</f>
        <v>561.70000000000005</v>
      </c>
      <c r="AI42" s="548"/>
      <c r="AJ42" s="200">
        <f>ROUND(SUM(+AH42/ABS(AE42)),3)</f>
        <v>5.5E-2</v>
      </c>
    </row>
    <row r="43" spans="1:36" ht="15">
      <c r="A43" s="737" t="s">
        <v>1007</v>
      </c>
      <c r="B43" s="152"/>
      <c r="C43" s="152"/>
      <c r="D43" s="152"/>
      <c r="E43" s="152"/>
      <c r="F43" s="152"/>
      <c r="G43" s="152"/>
      <c r="H43" s="152"/>
      <c r="I43" s="152"/>
      <c r="J43" s="152"/>
      <c r="K43" s="152"/>
      <c r="L43" s="152"/>
      <c r="M43" s="152"/>
      <c r="N43" s="152"/>
      <c r="O43" s="152"/>
      <c r="P43" s="152"/>
      <c r="Q43" s="152"/>
      <c r="R43" s="152"/>
      <c r="S43" s="152"/>
      <c r="T43" s="152"/>
      <c r="U43" s="152"/>
      <c r="V43" s="152"/>
      <c r="W43" s="152"/>
      <c r="X43" s="152"/>
      <c r="Y43" s="152"/>
      <c r="Z43" s="152"/>
      <c r="AA43" s="684"/>
      <c r="AB43" s="152"/>
      <c r="AC43" s="152"/>
      <c r="AD43" s="1804"/>
      <c r="AE43" s="378"/>
      <c r="AF43" s="152"/>
      <c r="AG43" s="152"/>
      <c r="AH43" s="472"/>
      <c r="AI43" s="152"/>
      <c r="AJ43" s="472"/>
    </row>
    <row r="44" spans="1:36" ht="15">
      <c r="A44" s="489" t="s">
        <v>969</v>
      </c>
      <c r="B44" s="152"/>
      <c r="C44" s="378">
        <f>+'Exhibit F'!D39+'Exhibit G State'!D31</f>
        <v>1200</v>
      </c>
      <c r="D44" s="378"/>
      <c r="E44" s="378">
        <f>+'Exhibit F'!F39+'Exhibit G State'!F31</f>
        <v>87.200000000000045</v>
      </c>
      <c r="F44" s="378"/>
      <c r="G44" s="378">
        <f>+'Exhibit F'!H39+'Exhibit G State'!H31</f>
        <v>1589.4</v>
      </c>
      <c r="H44" s="378"/>
      <c r="I44" s="378">
        <f>+'Exhibit F'!J39+'Exhibit G State'!J31</f>
        <v>240.99999999999966</v>
      </c>
      <c r="J44" s="378"/>
      <c r="K44" s="378">
        <f>+'Exhibit F'!L39+'Exhibit G State'!L31</f>
        <v>78.200000000000045</v>
      </c>
      <c r="L44" s="378"/>
      <c r="M44" s="378">
        <f>+'Exhibit F'!N39+'Exhibit G State'!N31</f>
        <v>1675.1</v>
      </c>
      <c r="N44" s="152"/>
      <c r="O44" s="378"/>
      <c r="P44" s="152"/>
      <c r="Q44" s="378"/>
      <c r="R44" s="378"/>
      <c r="S44" s="378"/>
      <c r="T44" s="378"/>
      <c r="U44" s="378"/>
      <c r="V44" s="378"/>
      <c r="W44" s="378"/>
      <c r="X44" s="378"/>
      <c r="Y44" s="378"/>
      <c r="Z44" s="152"/>
      <c r="AA44" s="684"/>
      <c r="AB44" s="378">
        <f t="shared" ref="AB44:AB49" si="10">ROUND(SUM(C44:Y44),1)</f>
        <v>4870.8999999999996</v>
      </c>
      <c r="AC44" s="152"/>
      <c r="AD44" s="1804"/>
      <c r="AE44" s="378">
        <f>+'Exhibit F'!AF39+'Exhibit G State'!AG31</f>
        <v>4636.7</v>
      </c>
      <c r="AF44" s="152"/>
      <c r="AG44" s="152"/>
      <c r="AH44" s="467">
        <f t="shared" ref="AH44:AH56" si="11">ROUND(SUM(+AB44-AE44),1)</f>
        <v>234.2</v>
      </c>
      <c r="AI44" s="170"/>
      <c r="AJ44" s="488">
        <f t="shared" ref="AJ44:AJ50" si="12">ROUND(SUM(+AH44/ABS(AE44)),3)</f>
        <v>5.0999999999999997E-2</v>
      </c>
    </row>
    <row r="45" spans="1:36" ht="15">
      <c r="A45" s="489" t="s">
        <v>970</v>
      </c>
      <c r="B45" s="152"/>
      <c r="C45" s="378">
        <f>+'Exhibit G State'!D32+'Exhibit F'!D40</f>
        <v>36.9</v>
      </c>
      <c r="D45" s="378"/>
      <c r="E45" s="378">
        <f>+'Exhibit G State'!F32+'Exhibit F'!F40</f>
        <v>0.70000000000000107</v>
      </c>
      <c r="F45" s="378"/>
      <c r="G45" s="378">
        <f>+'Exhibit G State'!H32+'Exhibit F'!H40</f>
        <v>76.5</v>
      </c>
      <c r="H45" s="378"/>
      <c r="I45" s="378">
        <f>+'Exhibit G State'!J32+'Exhibit F'!J40</f>
        <v>0.30000000000001137</v>
      </c>
      <c r="J45" s="378"/>
      <c r="K45" s="378">
        <f>+'Exhibit G State'!L32+'Exhibit F'!L40</f>
        <v>1.4999999999999929</v>
      </c>
      <c r="L45" s="378"/>
      <c r="M45" s="378">
        <f>+'Exhibit G State'!N32+'Exhibit F'!N40</f>
        <v>95.700000000000017</v>
      </c>
      <c r="N45" s="152"/>
      <c r="O45" s="378"/>
      <c r="P45" s="152"/>
      <c r="Q45" s="378"/>
      <c r="R45" s="378"/>
      <c r="S45" s="378"/>
      <c r="T45" s="378"/>
      <c r="U45" s="378"/>
      <c r="V45" s="378"/>
      <c r="W45" s="378"/>
      <c r="X45" s="378"/>
      <c r="Y45" s="378"/>
      <c r="Z45" s="152"/>
      <c r="AA45" s="684"/>
      <c r="AB45" s="378">
        <f t="shared" si="10"/>
        <v>211.6</v>
      </c>
      <c r="AC45" s="152"/>
      <c r="AD45" s="1804"/>
      <c r="AE45" s="378">
        <f>+'Exhibit G State'!AG32+'Exhibit F'!AF40</f>
        <v>189.1</v>
      </c>
      <c r="AF45" s="152"/>
      <c r="AG45" s="152"/>
      <c r="AH45" s="467">
        <f t="shared" si="11"/>
        <v>22.5</v>
      </c>
      <c r="AI45" s="170"/>
      <c r="AJ45" s="488">
        <f t="shared" si="12"/>
        <v>0.11899999999999999</v>
      </c>
    </row>
    <row r="46" spans="1:36" ht="15">
      <c r="A46" s="489" t="s">
        <v>971</v>
      </c>
      <c r="B46" s="152"/>
      <c r="C46" s="378">
        <f>+'Exhibit F'!D41+'Exhibit G State'!D33</f>
        <v>98</v>
      </c>
      <c r="D46" s="378"/>
      <c r="E46" s="378">
        <f>+'Exhibit F'!F41+'Exhibit G State'!F33</f>
        <v>86.800000000000011</v>
      </c>
      <c r="F46" s="378"/>
      <c r="G46" s="378">
        <f>+'Exhibit F'!H41+'Exhibit G State'!H33</f>
        <v>485.2</v>
      </c>
      <c r="H46" s="378"/>
      <c r="I46" s="378">
        <f>+'Exhibit F'!J41+'Exhibit G State'!J33</f>
        <v>-8.7000000000000171</v>
      </c>
      <c r="J46" s="378"/>
      <c r="K46" s="378">
        <f>+'Exhibit F'!L41+'Exhibit G State'!L33</f>
        <v>24.79999999999994</v>
      </c>
      <c r="L46" s="378"/>
      <c r="M46" s="378">
        <f>+'Exhibit F'!N41+'Exhibit G State'!N33</f>
        <v>522.1</v>
      </c>
      <c r="N46" s="152"/>
      <c r="O46" s="378"/>
      <c r="P46" s="152"/>
      <c r="Q46" s="378"/>
      <c r="R46" s="378"/>
      <c r="S46" s="378"/>
      <c r="T46" s="378"/>
      <c r="U46" s="378"/>
      <c r="V46" s="378"/>
      <c r="W46" s="378"/>
      <c r="X46" s="378"/>
      <c r="Y46" s="378"/>
      <c r="Z46" s="152"/>
      <c r="AA46" s="684"/>
      <c r="AB46" s="378">
        <f t="shared" si="10"/>
        <v>1208.2</v>
      </c>
      <c r="AC46" s="152"/>
      <c r="AD46" s="1804"/>
      <c r="AE46" s="378">
        <f>+'Exhibit F'!AF41+'Exhibit G State'!AG33</f>
        <v>1227.3</v>
      </c>
      <c r="AF46" s="152"/>
      <c r="AG46" s="152"/>
      <c r="AH46" s="467">
        <f t="shared" si="11"/>
        <v>-19.100000000000001</v>
      </c>
      <c r="AI46" s="170"/>
      <c r="AJ46" s="488">
        <f t="shared" si="12"/>
        <v>-1.6E-2</v>
      </c>
    </row>
    <row r="47" spans="1:36" ht="15">
      <c r="A47" s="489" t="s">
        <v>972</v>
      </c>
      <c r="B47" s="152"/>
      <c r="C47" s="378">
        <f>+'Exhibit F'!D42+'Exhibit G State'!D34</f>
        <v>2.1999999999999997</v>
      </c>
      <c r="D47" s="378"/>
      <c r="E47" s="378">
        <f>+'Exhibit F'!F42+'Exhibit G State'!F34</f>
        <v>0</v>
      </c>
      <c r="F47" s="378"/>
      <c r="G47" s="378">
        <f>+'Exhibit F'!H42+'Exhibit G State'!H34</f>
        <v>-0.3999999999999998</v>
      </c>
      <c r="H47" s="378"/>
      <c r="I47" s="378">
        <f>+'Exhibit F'!J42+'Exhibit G State'!J34</f>
        <v>0.49999999999999989</v>
      </c>
      <c r="J47" s="378"/>
      <c r="K47" s="378">
        <f>+'Exhibit F'!L42+'Exhibit G State'!L34</f>
        <v>-3.1</v>
      </c>
      <c r="L47" s="378"/>
      <c r="M47" s="378">
        <f>ROUND(SUM(+'Exhibit F'!N42+'Exhibit G State'!N34),1)</f>
        <v>0</v>
      </c>
      <c r="N47" s="152"/>
      <c r="O47" s="378"/>
      <c r="P47" s="152"/>
      <c r="Q47" s="378"/>
      <c r="R47" s="378"/>
      <c r="S47" s="378"/>
      <c r="T47" s="378"/>
      <c r="U47" s="378"/>
      <c r="V47" s="378"/>
      <c r="W47" s="378"/>
      <c r="X47" s="378"/>
      <c r="Y47" s="378"/>
      <c r="Z47" s="152"/>
      <c r="AA47" s="684"/>
      <c r="AB47" s="378">
        <f t="shared" si="10"/>
        <v>-0.8</v>
      </c>
      <c r="AC47" s="152"/>
      <c r="AD47" s="1804"/>
      <c r="AE47" s="378">
        <f>+'Exhibit F'!AF42+'Exhibit G State'!AG34</f>
        <v>-6.1</v>
      </c>
      <c r="AF47" s="152"/>
      <c r="AG47" s="152"/>
      <c r="AH47" s="467">
        <f t="shared" si="11"/>
        <v>5.3</v>
      </c>
      <c r="AI47" s="170"/>
      <c r="AJ47" s="469">
        <f>ROUND(IF(AE47=0,1,AH47/ABS(AE47)),3)</f>
        <v>0.86899999999999999</v>
      </c>
    </row>
    <row r="48" spans="1:36" ht="15">
      <c r="A48" s="489" t="s">
        <v>1396</v>
      </c>
      <c r="B48" s="152"/>
      <c r="C48" s="378">
        <f>+'Exhibit F'!D43+'Exhibit H'!B22</f>
        <v>98.8</v>
      </c>
      <c r="D48" s="378"/>
      <c r="E48" s="378">
        <f>+'Exhibit F'!F43+'Exhibit H'!D22</f>
        <v>131.39999999999998</v>
      </c>
      <c r="F48" s="378"/>
      <c r="G48" s="378">
        <f>+'Exhibit F'!H43+'Exhibit H'!F22</f>
        <v>2538.1999999999998</v>
      </c>
      <c r="H48" s="378"/>
      <c r="I48" s="378">
        <f>+'Exhibit F'!J43+'Exhibit H'!H22</f>
        <v>37</v>
      </c>
      <c r="J48" s="378"/>
      <c r="K48" s="378">
        <f>+'Exhibit F'!L43+'Exhibit H'!J22</f>
        <v>136.79999999999973</v>
      </c>
      <c r="L48" s="378"/>
      <c r="M48" s="378">
        <f>+'Exhibit F'!N43+'Exhibit H'!L22</f>
        <v>2973.2000000000003</v>
      </c>
      <c r="N48" s="152"/>
      <c r="O48" s="378"/>
      <c r="P48" s="152"/>
      <c r="Q48" s="378"/>
      <c r="R48" s="378"/>
      <c r="S48" s="378"/>
      <c r="T48" s="378"/>
      <c r="U48" s="378"/>
      <c r="V48" s="378"/>
      <c r="W48" s="378"/>
      <c r="X48" s="378"/>
      <c r="Y48" s="378"/>
      <c r="Z48" s="152"/>
      <c r="AA48" s="684"/>
      <c r="AB48" s="378">
        <f t="shared" si="10"/>
        <v>5915.4</v>
      </c>
      <c r="AC48" s="152"/>
      <c r="AD48" s="1804"/>
      <c r="AE48" s="378">
        <f>+'Exhibit F'!AF43+'Exhibit H'!AD22</f>
        <v>6313.1</v>
      </c>
      <c r="AF48" s="152"/>
      <c r="AG48" s="152"/>
      <c r="AH48" s="467">
        <f t="shared" ref="AH48" si="13">ROUND(SUM(+AB48-AE48),1)</f>
        <v>-397.7</v>
      </c>
      <c r="AI48" s="170"/>
      <c r="AJ48" s="488">
        <f t="shared" si="12"/>
        <v>-6.3E-2</v>
      </c>
    </row>
    <row r="49" spans="1:36" ht="15">
      <c r="A49" s="489" t="s">
        <v>973</v>
      </c>
      <c r="B49" s="152"/>
      <c r="C49" s="378">
        <f>+'Exhibit F'!D44+'Exhibit G State'!D35</f>
        <v>36.1</v>
      </c>
      <c r="D49" s="378"/>
      <c r="E49" s="378">
        <f>+'Exhibit F'!F44+'Exhibit G State'!F35</f>
        <v>42.9</v>
      </c>
      <c r="F49" s="378"/>
      <c r="G49" s="378">
        <f>+'Exhibit F'!H44+'Exhibit G State'!H35</f>
        <v>41.699999999999996</v>
      </c>
      <c r="H49" s="378"/>
      <c r="I49" s="378">
        <f>+'Exhibit F'!J44+'Exhibit G State'!J35</f>
        <v>42.9</v>
      </c>
      <c r="J49" s="378"/>
      <c r="K49" s="378">
        <f>+'Exhibit F'!L44+'Exhibit G State'!L35</f>
        <v>48.200000000000024</v>
      </c>
      <c r="L49" s="378"/>
      <c r="M49" s="378">
        <f>+'Exhibit F'!N44+'Exhibit G State'!N35</f>
        <v>41.799999999999976</v>
      </c>
      <c r="N49" s="152"/>
      <c r="O49" s="378"/>
      <c r="P49" s="152"/>
      <c r="Q49" s="378"/>
      <c r="R49" s="378"/>
      <c r="S49" s="378"/>
      <c r="T49" s="378"/>
      <c r="U49" s="378"/>
      <c r="V49" s="378"/>
      <c r="W49" s="378"/>
      <c r="X49" s="378"/>
      <c r="Y49" s="378"/>
      <c r="Z49" s="152"/>
      <c r="AA49" s="684"/>
      <c r="AB49" s="378">
        <f t="shared" si="10"/>
        <v>253.6</v>
      </c>
      <c r="AC49" s="152"/>
      <c r="AD49" s="1804"/>
      <c r="AE49" s="378">
        <f>+'Exhibit F'!AF44+'Exhibit G State'!AG35</f>
        <v>244</v>
      </c>
      <c r="AF49" s="152"/>
      <c r="AG49" s="152"/>
      <c r="AH49" s="467">
        <f t="shared" si="11"/>
        <v>9.6</v>
      </c>
      <c r="AI49" s="170"/>
      <c r="AJ49" s="488">
        <f t="shared" si="12"/>
        <v>3.9E-2</v>
      </c>
    </row>
    <row r="50" spans="1:36" ht="15.75">
      <c r="A50" s="218" t="s">
        <v>968</v>
      </c>
      <c r="B50" s="152"/>
      <c r="C50" s="179">
        <f>ROUND(SUM(C44:C49),1)</f>
        <v>1472</v>
      </c>
      <c r="D50" s="152"/>
      <c r="E50" s="179">
        <f>ROUND(SUM(E44:E49),1)</f>
        <v>349</v>
      </c>
      <c r="F50" s="152"/>
      <c r="G50" s="179">
        <f>ROUND(SUM(G44:G49),1)</f>
        <v>4730.6000000000004</v>
      </c>
      <c r="H50" s="152"/>
      <c r="I50" s="179">
        <f>ROUND(SUM(I44:I49),1)</f>
        <v>313</v>
      </c>
      <c r="J50" s="152"/>
      <c r="K50" s="179">
        <f>ROUND(SUM(K44:K49),1)</f>
        <v>286.39999999999998</v>
      </c>
      <c r="L50" s="152"/>
      <c r="M50" s="179">
        <f>ROUND(SUM(M44:M49),1)</f>
        <v>5307.9</v>
      </c>
      <c r="N50" s="152"/>
      <c r="O50" s="179">
        <f>ROUND(SUM(O44:O49),1)</f>
        <v>0</v>
      </c>
      <c r="P50" s="152"/>
      <c r="Q50" s="179">
        <f>ROUND(SUM(Q44:Q49),1)</f>
        <v>0</v>
      </c>
      <c r="R50" s="152"/>
      <c r="S50" s="179">
        <f>ROUND(SUM(S44:S49),1)</f>
        <v>0</v>
      </c>
      <c r="T50" s="152"/>
      <c r="U50" s="179">
        <f>ROUND(SUM(U44:U49),1)</f>
        <v>0</v>
      </c>
      <c r="V50" s="152"/>
      <c r="W50" s="179">
        <f>ROUND(SUM(W44:W49),1)</f>
        <v>0</v>
      </c>
      <c r="X50" s="152"/>
      <c r="Y50" s="179">
        <f>ROUND(SUM(Y44:Y49),1)</f>
        <v>0</v>
      </c>
      <c r="Z50" s="152"/>
      <c r="AA50" s="684"/>
      <c r="AB50" s="179">
        <f>ROUND(SUM(AB44:AB49),1)</f>
        <v>12458.9</v>
      </c>
      <c r="AC50" s="152"/>
      <c r="AD50" s="1804"/>
      <c r="AE50" s="179">
        <f>ROUND(SUM(AE44:AE49),1)</f>
        <v>12604.1</v>
      </c>
      <c r="AF50" s="152"/>
      <c r="AG50" s="152"/>
      <c r="AH50" s="179">
        <f>ROUND(SUM(AH44:AH49),1)</f>
        <v>-145.19999999999999</v>
      </c>
      <c r="AI50" s="548"/>
      <c r="AJ50" s="200">
        <f t="shared" si="12"/>
        <v>-1.2E-2</v>
      </c>
    </row>
    <row r="51" spans="1:36" ht="15">
      <c r="A51" s="737" t="s">
        <v>1008</v>
      </c>
      <c r="B51" s="152"/>
      <c r="C51" s="152"/>
      <c r="D51" s="152"/>
      <c r="E51" s="152"/>
      <c r="F51" s="152"/>
      <c r="G51" s="152"/>
      <c r="H51" s="152"/>
      <c r="I51" s="152"/>
      <c r="J51" s="152"/>
      <c r="K51" s="152"/>
      <c r="L51" s="152"/>
      <c r="M51" s="152"/>
      <c r="N51" s="152"/>
      <c r="O51" s="152"/>
      <c r="P51" s="152"/>
      <c r="Q51" s="152"/>
      <c r="R51" s="152"/>
      <c r="S51" s="152"/>
      <c r="T51" s="152"/>
      <c r="U51" s="152"/>
      <c r="V51" s="152"/>
      <c r="W51" s="152"/>
      <c r="X51" s="152"/>
      <c r="Y51" s="152"/>
      <c r="Z51" s="152"/>
      <c r="AA51" s="684"/>
      <c r="AB51" s="152"/>
      <c r="AC51" s="152"/>
      <c r="AD51" s="1804"/>
      <c r="AE51" s="378"/>
      <c r="AF51" s="152"/>
      <c r="AG51" s="152"/>
      <c r="AH51" s="472"/>
      <c r="AI51" s="152"/>
      <c r="AJ51" s="472"/>
    </row>
    <row r="52" spans="1:36" ht="15">
      <c r="A52" s="489" t="s">
        <v>976</v>
      </c>
      <c r="B52" s="152"/>
      <c r="C52" s="378">
        <f>+'Exhibit F'!D47</f>
        <v>0</v>
      </c>
      <c r="D52" s="378"/>
      <c r="E52" s="378">
        <f>+'Exhibit F'!F47</f>
        <v>0</v>
      </c>
      <c r="F52" s="378"/>
      <c r="G52" s="378">
        <f>+'Exhibit F'!H47</f>
        <v>0</v>
      </c>
      <c r="H52" s="378"/>
      <c r="I52" s="378">
        <f>+'Exhibit F'!J47</f>
        <v>0</v>
      </c>
      <c r="J52" s="378"/>
      <c r="K52" s="378">
        <f>+'Exhibit F'!L47</f>
        <v>0</v>
      </c>
      <c r="L52" s="152"/>
      <c r="M52" s="378">
        <f>+'Exhibit F'!N47</f>
        <v>0</v>
      </c>
      <c r="N52" s="152"/>
      <c r="O52" s="378"/>
      <c r="P52" s="152"/>
      <c r="Q52" s="378"/>
      <c r="R52" s="378"/>
      <c r="S52" s="378"/>
      <c r="T52" s="378"/>
      <c r="U52" s="378"/>
      <c r="V52" s="378"/>
      <c r="W52" s="378"/>
      <c r="X52" s="378"/>
      <c r="Y52" s="378"/>
      <c r="Z52" s="152"/>
      <c r="AA52" s="684"/>
      <c r="AB52" s="378">
        <f t="shared" ref="AB52:AB56" si="14">ROUND(SUM(C52:Y52),1)</f>
        <v>0</v>
      </c>
      <c r="AC52" s="152"/>
      <c r="AD52" s="1804"/>
      <c r="AE52" s="378">
        <f>+'Exhibit F'!AF47</f>
        <v>0</v>
      </c>
      <c r="AF52" s="152"/>
      <c r="AG52" s="152"/>
      <c r="AH52" s="467">
        <f t="shared" si="11"/>
        <v>0</v>
      </c>
      <c r="AI52" s="152"/>
      <c r="AJ52" s="469">
        <f>ROUND(IF(AE52=0,0,AH52/ABS(AE52)),3)</f>
        <v>0</v>
      </c>
    </row>
    <row r="53" spans="1:36" ht="15">
      <c r="A53" s="489" t="s">
        <v>977</v>
      </c>
      <c r="B53" s="152"/>
      <c r="C53" s="378">
        <f>+'Exhibit F'!D48</f>
        <v>168.8</v>
      </c>
      <c r="D53" s="378"/>
      <c r="E53" s="378">
        <f>+'Exhibit F'!F48</f>
        <v>405.7</v>
      </c>
      <c r="F53" s="378"/>
      <c r="G53" s="378">
        <f>+'Exhibit F'!H48</f>
        <v>77.299999999999955</v>
      </c>
      <c r="H53" s="378"/>
      <c r="I53" s="378">
        <f>+'Exhibit F'!J48</f>
        <v>61.800000000000011</v>
      </c>
      <c r="J53" s="378"/>
      <c r="K53" s="378">
        <f>+'Exhibit F'!L48</f>
        <v>175.90000000000009</v>
      </c>
      <c r="L53" s="152"/>
      <c r="M53" s="378">
        <f>+'Exhibit F'!N48</f>
        <v>167.59999999999991</v>
      </c>
      <c r="N53" s="152"/>
      <c r="O53" s="378"/>
      <c r="P53" s="152"/>
      <c r="Q53" s="378"/>
      <c r="R53" s="378"/>
      <c r="S53" s="378"/>
      <c r="T53" s="378"/>
      <c r="U53" s="378"/>
      <c r="V53" s="378"/>
      <c r="W53" s="378"/>
      <c r="X53" s="378"/>
      <c r="Y53" s="378"/>
      <c r="Z53" s="152"/>
      <c r="AA53" s="684"/>
      <c r="AB53" s="378">
        <f t="shared" si="14"/>
        <v>1057.0999999999999</v>
      </c>
      <c r="AC53" s="152"/>
      <c r="AD53" s="1804"/>
      <c r="AE53" s="378">
        <f>+'Exhibit F'!AF48</f>
        <v>1066.2</v>
      </c>
      <c r="AF53" s="152"/>
      <c r="AG53" s="152"/>
      <c r="AH53" s="467">
        <f t="shared" si="11"/>
        <v>-9.1</v>
      </c>
      <c r="AI53" s="152"/>
      <c r="AJ53" s="488">
        <f t="shared" ref="AJ53:AJ58" si="15">ROUND(SUM(+AH53/ABS(AE53)),3)</f>
        <v>-8.9999999999999993E-3</v>
      </c>
    </row>
    <row r="54" spans="1:36" ht="15">
      <c r="A54" s="489" t="s">
        <v>978</v>
      </c>
      <c r="B54" s="152"/>
      <c r="C54" s="378">
        <f>+'Exhibit F'!D49</f>
        <v>1.4</v>
      </c>
      <c r="D54" s="378"/>
      <c r="E54" s="378">
        <f>+'Exhibit F'!F49</f>
        <v>1</v>
      </c>
      <c r="F54" s="378"/>
      <c r="G54" s="378">
        <f>+'Exhibit F'!H49</f>
        <v>1.3000000000000003</v>
      </c>
      <c r="H54" s="378"/>
      <c r="I54" s="378">
        <f>+'Exhibit F'!J49</f>
        <v>1.2000000000000002</v>
      </c>
      <c r="J54" s="378"/>
      <c r="K54" s="378">
        <f>+'Exhibit F'!L49</f>
        <v>1.8000000000000003</v>
      </c>
      <c r="L54" s="152"/>
      <c r="M54" s="378">
        <f>+'Exhibit F'!N49</f>
        <v>1.6999999999999988</v>
      </c>
      <c r="N54" s="152"/>
      <c r="O54" s="378"/>
      <c r="P54" s="152"/>
      <c r="Q54" s="378"/>
      <c r="R54" s="378"/>
      <c r="S54" s="378"/>
      <c r="T54" s="378"/>
      <c r="U54" s="378"/>
      <c r="V54" s="378"/>
      <c r="W54" s="378"/>
      <c r="X54" s="378"/>
      <c r="Y54" s="378"/>
      <c r="Z54" s="152"/>
      <c r="AA54" s="684"/>
      <c r="AB54" s="378">
        <f t="shared" si="14"/>
        <v>8.4</v>
      </c>
      <c r="AC54" s="152"/>
      <c r="AD54" s="1804"/>
      <c r="AE54" s="378">
        <f>+'Exhibit F'!AF49</f>
        <v>9</v>
      </c>
      <c r="AF54" s="152"/>
      <c r="AG54" s="152"/>
      <c r="AH54" s="467">
        <f t="shared" si="11"/>
        <v>-0.6</v>
      </c>
      <c r="AI54" s="152"/>
      <c r="AJ54" s="488">
        <f t="shared" si="15"/>
        <v>-6.7000000000000004E-2</v>
      </c>
    </row>
    <row r="55" spans="1:36" ht="15">
      <c r="A55" s="489" t="s">
        <v>979</v>
      </c>
      <c r="B55" s="152"/>
      <c r="C55" s="378">
        <f>+'Exhibit F'!D50+'Exhibit H'!B25</f>
        <v>83.4</v>
      </c>
      <c r="D55" s="378"/>
      <c r="E55" s="378">
        <f>+'Exhibit F'!F50+'Exhibit H'!D25</f>
        <v>86.1</v>
      </c>
      <c r="F55" s="378"/>
      <c r="G55" s="378">
        <f>+'Exhibit F'!H50+'Exhibit H'!F25</f>
        <v>83.300000000000011</v>
      </c>
      <c r="H55" s="378"/>
      <c r="I55" s="378">
        <f>+'Exhibit F'!J50+'Exhibit H'!H25</f>
        <v>76.199999999999989</v>
      </c>
      <c r="J55" s="378"/>
      <c r="K55" s="378">
        <f>+'Exhibit F'!L50+'Exhibit H'!J25</f>
        <v>88.9</v>
      </c>
      <c r="L55" s="152"/>
      <c r="M55" s="378">
        <f>+'Exhibit F'!N50+'Exhibit H'!L25</f>
        <v>90.1</v>
      </c>
      <c r="N55" s="152"/>
      <c r="O55" s="378"/>
      <c r="P55" s="152"/>
      <c r="Q55" s="378"/>
      <c r="R55" s="378"/>
      <c r="S55" s="378"/>
      <c r="T55" s="378"/>
      <c r="U55" s="378"/>
      <c r="V55" s="378"/>
      <c r="W55" s="378"/>
      <c r="X55" s="378"/>
      <c r="Y55" s="378"/>
      <c r="Z55" s="152"/>
      <c r="AA55" s="684"/>
      <c r="AB55" s="378">
        <f t="shared" si="14"/>
        <v>508</v>
      </c>
      <c r="AC55" s="152"/>
      <c r="AD55" s="1804"/>
      <c r="AE55" s="378">
        <f>+'Exhibit F'!AF50+'Exhibit I State'!AG28+'Exhibit H'!AD25</f>
        <v>771</v>
      </c>
      <c r="AF55" s="152"/>
      <c r="AG55" s="152"/>
      <c r="AH55" s="467">
        <f t="shared" si="11"/>
        <v>-263</v>
      </c>
      <c r="AI55" s="152"/>
      <c r="AJ55" s="488">
        <f t="shared" si="15"/>
        <v>-0.34100000000000003</v>
      </c>
    </row>
    <row r="56" spans="1:36" ht="15">
      <c r="A56" s="489" t="s">
        <v>1399</v>
      </c>
      <c r="B56" s="152"/>
      <c r="C56" s="378">
        <f>+'Exhibit F'!D51</f>
        <v>0</v>
      </c>
      <c r="D56" s="378"/>
      <c r="E56" s="378">
        <f>+'Exhibit F'!F51</f>
        <v>0</v>
      </c>
      <c r="F56" s="378"/>
      <c r="G56" s="378">
        <f>+'Exhibit F'!H51</f>
        <v>0.1</v>
      </c>
      <c r="H56" s="378"/>
      <c r="I56" s="378">
        <f>+'Exhibit F'!J51</f>
        <v>0</v>
      </c>
      <c r="J56" s="378"/>
      <c r="K56" s="378">
        <f>+'Exhibit F'!L51</f>
        <v>0.1</v>
      </c>
      <c r="L56" s="152"/>
      <c r="M56" s="378">
        <f>+'Exhibit F'!N51</f>
        <v>0</v>
      </c>
      <c r="N56" s="152"/>
      <c r="O56" s="378"/>
      <c r="P56" s="152"/>
      <c r="Q56" s="378"/>
      <c r="R56" s="378"/>
      <c r="S56" s="378"/>
      <c r="T56" s="378"/>
      <c r="U56" s="378"/>
      <c r="V56" s="378"/>
      <c r="W56" s="378"/>
      <c r="X56" s="378"/>
      <c r="Y56" s="378"/>
      <c r="Z56" s="152"/>
      <c r="AA56" s="684"/>
      <c r="AB56" s="378">
        <f t="shared" si="14"/>
        <v>0.2</v>
      </c>
      <c r="AC56" s="152"/>
      <c r="AD56" s="1804"/>
      <c r="AE56" s="378">
        <f>+'Exhibit F'!AF51</f>
        <v>0.7</v>
      </c>
      <c r="AF56" s="152"/>
      <c r="AG56" s="152"/>
      <c r="AH56" s="467">
        <f t="shared" si="11"/>
        <v>-0.5</v>
      </c>
      <c r="AI56" s="152"/>
      <c r="AJ56" s="469">
        <f>ROUND(IF(AE56=0,0,AH56/ABS(AE56)),3)</f>
        <v>-0.71399999999999997</v>
      </c>
    </row>
    <row r="57" spans="1:36" ht="15">
      <c r="A57" s="752" t="s">
        <v>1206</v>
      </c>
      <c r="B57" s="152"/>
      <c r="C57" s="378">
        <f>+'Exhibit F'!D52+'Exhibit H'!B26</f>
        <v>0.4</v>
      </c>
      <c r="D57" s="378"/>
      <c r="E57" s="378">
        <f>+'Exhibit F'!F52+'Exhibit H'!D26</f>
        <v>0.4</v>
      </c>
      <c r="F57" s="378"/>
      <c r="G57" s="378">
        <f>+'Exhibit F'!H52+'Exhibit H'!F26</f>
        <v>0.19999999999999996</v>
      </c>
      <c r="H57" s="378"/>
      <c r="I57" s="378">
        <f>+'Exhibit F'!J52+'Exhibit H'!H26</f>
        <v>0.6000000000000002</v>
      </c>
      <c r="J57" s="378"/>
      <c r="K57" s="378">
        <f>+'Exhibit F'!L52+'Exhibit H'!J26</f>
        <v>0.6000000000000002</v>
      </c>
      <c r="L57" s="378"/>
      <c r="M57" s="378">
        <f>+'Exhibit F'!N52+'Exhibit H'!L26</f>
        <v>0.3999999999999998</v>
      </c>
      <c r="N57" s="378"/>
      <c r="O57" s="378"/>
      <c r="P57" s="152"/>
      <c r="Q57" s="378"/>
      <c r="R57" s="378"/>
      <c r="S57" s="378"/>
      <c r="T57" s="378"/>
      <c r="U57" s="378"/>
      <c r="V57" s="378"/>
      <c r="W57" s="378"/>
      <c r="X57" s="378"/>
      <c r="Y57" s="378"/>
      <c r="Z57" s="152"/>
      <c r="AA57" s="684"/>
      <c r="AB57" s="378">
        <f t="shared" ref="AB57" si="16">ROUND(SUM(C57:Y57),1)</f>
        <v>2.6</v>
      </c>
      <c r="AC57" s="152"/>
      <c r="AD57" s="1804"/>
      <c r="AE57" s="378">
        <f>+'Exhibit F'!AF52+'Exhibit H'!AD26</f>
        <v>2</v>
      </c>
      <c r="AF57" s="152"/>
      <c r="AG57" s="152"/>
      <c r="AH57" s="467">
        <f t="shared" ref="AH57" si="17">ROUND(SUM(+AB57-AE57),1)</f>
        <v>0.6</v>
      </c>
      <c r="AI57" s="170"/>
      <c r="AJ57" s="469">
        <f>ROUND(IF(AE57=0,1,AH57/ABS(AE57)),3)</f>
        <v>0.3</v>
      </c>
    </row>
    <row r="58" spans="1:36" ht="15.75">
      <c r="A58" s="218" t="s">
        <v>974</v>
      </c>
      <c r="B58" s="152"/>
      <c r="C58" s="179">
        <f>ROUND(SUM(C52:C57),1)</f>
        <v>254</v>
      </c>
      <c r="D58" s="152"/>
      <c r="E58" s="179">
        <f>ROUND(SUM(E52:E57),1)</f>
        <v>493.2</v>
      </c>
      <c r="F58" s="152"/>
      <c r="G58" s="179">
        <f>ROUND(SUM(G52:G57),1)</f>
        <v>162.19999999999999</v>
      </c>
      <c r="H58" s="152"/>
      <c r="I58" s="179">
        <f>ROUND(SUM(I52:I57),1)</f>
        <v>139.80000000000001</v>
      </c>
      <c r="J58" s="152"/>
      <c r="K58" s="179">
        <f>ROUND(SUM(K52:K57),1)</f>
        <v>267.3</v>
      </c>
      <c r="L58" s="152"/>
      <c r="M58" s="179">
        <f>ROUND(SUM(M52:M57),1)</f>
        <v>259.8</v>
      </c>
      <c r="N58" s="152"/>
      <c r="O58" s="179">
        <f>ROUND(SUM(O52:O57),1)</f>
        <v>0</v>
      </c>
      <c r="P58" s="152"/>
      <c r="Q58" s="179">
        <f>ROUND(SUM(Q52:Q57),1)</f>
        <v>0</v>
      </c>
      <c r="R58" s="152"/>
      <c r="S58" s="179">
        <f>ROUND(SUM(S52:S57),1)</f>
        <v>0</v>
      </c>
      <c r="T58" s="152"/>
      <c r="U58" s="179">
        <f>ROUND(SUM(U52:U57),1)</f>
        <v>0</v>
      </c>
      <c r="V58" s="152"/>
      <c r="W58" s="179">
        <f>ROUND(SUM(W52:W57),1)</f>
        <v>0</v>
      </c>
      <c r="X58" s="152"/>
      <c r="Y58" s="179">
        <f>ROUND(SUM(Y52:Y57),1)</f>
        <v>0</v>
      </c>
      <c r="Z58" s="152"/>
      <c r="AA58" s="684"/>
      <c r="AB58" s="179">
        <f>ROUND(SUM(AB52:AB57),1)</f>
        <v>1576.3</v>
      </c>
      <c r="AC58" s="152"/>
      <c r="AD58" s="1804"/>
      <c r="AE58" s="179">
        <f>ROUND(SUM(AE52:AE57),1)</f>
        <v>1848.9</v>
      </c>
      <c r="AF58" s="152"/>
      <c r="AG58" s="152"/>
      <c r="AH58" s="179">
        <f>ROUND(SUM(AH52:AH57),1)</f>
        <v>-272.60000000000002</v>
      </c>
      <c r="AI58" s="548"/>
      <c r="AJ58" s="747">
        <f t="shared" si="15"/>
        <v>-0.14699999999999999</v>
      </c>
    </row>
    <row r="59" spans="1:36" ht="15.75">
      <c r="A59" s="152"/>
      <c r="B59" s="152"/>
      <c r="C59" s="378"/>
      <c r="D59" s="378"/>
      <c r="E59" s="378"/>
      <c r="F59" s="378"/>
      <c r="G59" s="378"/>
      <c r="H59" s="378"/>
      <c r="I59" s="378"/>
      <c r="J59" s="378"/>
      <c r="K59" s="378"/>
      <c r="L59" s="378"/>
      <c r="M59" s="378"/>
      <c r="N59" s="378"/>
      <c r="O59" s="378"/>
      <c r="P59" s="378"/>
      <c r="Q59" s="378"/>
      <c r="R59" s="378"/>
      <c r="S59" s="378"/>
      <c r="T59" s="378"/>
      <c r="U59" s="378"/>
      <c r="V59" s="378"/>
      <c r="W59" s="378"/>
      <c r="X59" s="378"/>
      <c r="Y59" s="378"/>
      <c r="Z59" s="378"/>
      <c r="AA59" s="685"/>
      <c r="AB59" s="382"/>
      <c r="AC59" s="378"/>
      <c r="AD59" s="1807"/>
      <c r="AE59" s="378"/>
      <c r="AF59" s="378"/>
      <c r="AG59" s="378"/>
      <c r="AH59" s="378"/>
      <c r="AI59" s="152"/>
      <c r="AJ59" s="190"/>
    </row>
    <row r="60" spans="1:36" ht="15.75">
      <c r="A60" s="218" t="s">
        <v>948</v>
      </c>
      <c r="B60" s="20"/>
      <c r="C60" s="15">
        <f>ROUND(SUM(C58+C50+C42+C30),1)</f>
        <v>10806.6</v>
      </c>
      <c r="D60" s="36"/>
      <c r="E60" s="15">
        <f>ROUND(SUM(E58+E50+E42+E30),1)</f>
        <v>4504.6000000000004</v>
      </c>
      <c r="F60" s="36"/>
      <c r="G60" s="15">
        <f>ROUND(SUM(G58+G50+G42+G30),1)</f>
        <v>11973.9</v>
      </c>
      <c r="H60" s="36"/>
      <c r="I60" s="15">
        <f>ROUND(SUM(I58+I50+I42+I30),1)</f>
        <v>5573.2</v>
      </c>
      <c r="J60" s="36"/>
      <c r="K60" s="15">
        <f>ROUND(SUM(K58+K50+K42+K30),1)</f>
        <v>5894.3</v>
      </c>
      <c r="L60" s="36"/>
      <c r="M60" s="15">
        <f>ROUND(SUM(M58+M50+M42+M30),1)</f>
        <v>11975.6</v>
      </c>
      <c r="N60" s="36"/>
      <c r="O60" s="15">
        <f>ROUND(SUM(O58+O50+O42+O30),1)</f>
        <v>0</v>
      </c>
      <c r="P60" s="36"/>
      <c r="Q60" s="15">
        <f>ROUND(SUM(Q58+Q50+Q42+Q30),1)</f>
        <v>0</v>
      </c>
      <c r="R60" s="36"/>
      <c r="S60" s="15">
        <f>ROUND(SUM(S58+S50+S42+S30),1)</f>
        <v>0</v>
      </c>
      <c r="T60" s="36"/>
      <c r="U60" s="15">
        <f>ROUND(SUM(U58+U50+U42+U30),1)</f>
        <v>0</v>
      </c>
      <c r="V60" s="36"/>
      <c r="W60" s="15">
        <f>ROUND(SUM(W58+W50+W42+W30),1)</f>
        <v>0</v>
      </c>
      <c r="X60" s="39"/>
      <c r="Y60" s="15">
        <f>ROUND(SUM(Y58+Y50+Y42+Y30),1)</f>
        <v>0</v>
      </c>
      <c r="Z60" s="39"/>
      <c r="AA60" s="30"/>
      <c r="AB60" s="1812">
        <f>ROUND(SUM(C60:Y60),1)</f>
        <v>50728.2</v>
      </c>
      <c r="AC60" s="36"/>
      <c r="AD60" s="37"/>
      <c r="AE60" s="1228">
        <f>ROUND(SUM(+AE30+AE42+AE50+AE58),1)</f>
        <v>57781.9</v>
      </c>
      <c r="AF60" s="36"/>
      <c r="AG60" s="1432"/>
      <c r="AH60" s="1228">
        <f>ROUND(+AB60-AE60,1)</f>
        <v>-7053.7</v>
      </c>
      <c r="AI60" s="467"/>
      <c r="AJ60" s="211">
        <f>ROUND(SUM(+AH60/ABS(AE60)),3)</f>
        <v>-0.122</v>
      </c>
    </row>
    <row r="61" spans="1:36" ht="15">
      <c r="A61" s="152"/>
      <c r="B61" s="152"/>
      <c r="C61" s="378"/>
      <c r="D61" s="378"/>
      <c r="E61" s="378"/>
      <c r="F61" s="378"/>
      <c r="G61" s="378"/>
      <c r="H61" s="378"/>
      <c r="I61" s="378"/>
      <c r="J61" s="378"/>
      <c r="K61" s="378"/>
      <c r="L61" s="378"/>
      <c r="M61" s="378"/>
      <c r="N61" s="378"/>
      <c r="O61" s="378"/>
      <c r="P61" s="378"/>
      <c r="Q61" s="378"/>
      <c r="R61" s="378"/>
      <c r="S61" s="378"/>
      <c r="T61" s="378"/>
      <c r="U61" s="378"/>
      <c r="V61" s="378"/>
      <c r="W61" s="378"/>
      <c r="X61" s="378"/>
      <c r="Y61" s="378"/>
      <c r="Z61" s="378"/>
      <c r="AA61" s="685"/>
      <c r="AB61" s="378"/>
      <c r="AC61" s="378"/>
      <c r="AD61" s="1807"/>
      <c r="AE61" s="378"/>
      <c r="AF61" s="378"/>
      <c r="AG61" s="378"/>
      <c r="AH61" s="378"/>
      <c r="AI61" s="152"/>
      <c r="AJ61" s="488"/>
    </row>
    <row r="62" spans="1:36" ht="15.75">
      <c r="A62" s="118" t="s">
        <v>886</v>
      </c>
      <c r="B62" s="152"/>
      <c r="C62" s="378"/>
      <c r="D62" s="378"/>
      <c r="E62" s="378"/>
      <c r="F62" s="378"/>
      <c r="G62" s="378"/>
      <c r="H62" s="378"/>
      <c r="I62" s="378"/>
      <c r="J62" s="378"/>
      <c r="K62" s="378"/>
      <c r="L62" s="378"/>
      <c r="M62" s="378"/>
      <c r="N62" s="378"/>
      <c r="O62" s="378"/>
      <c r="P62" s="378"/>
      <c r="Q62" s="378"/>
      <c r="R62" s="378"/>
      <c r="S62" s="378"/>
      <c r="T62" s="378"/>
      <c r="U62" s="378"/>
      <c r="V62" s="378"/>
      <c r="W62" s="378"/>
      <c r="X62" s="378"/>
      <c r="Y62" s="378"/>
      <c r="Z62" s="378"/>
      <c r="AA62" s="379"/>
      <c r="AB62" s="378"/>
      <c r="AC62" s="378"/>
      <c r="AD62" s="1807"/>
      <c r="AE62" s="378"/>
      <c r="AF62" s="378"/>
      <c r="AG62" s="378"/>
      <c r="AH62" s="378"/>
      <c r="AI62" s="152"/>
      <c r="AJ62" s="469"/>
    </row>
    <row r="63" spans="1:36" ht="15">
      <c r="A63" s="594" t="s">
        <v>1000</v>
      </c>
      <c r="B63" s="152"/>
      <c r="C63" s="378"/>
      <c r="D63" s="378"/>
      <c r="E63" s="378"/>
      <c r="F63" s="378"/>
      <c r="G63" s="378"/>
      <c r="H63" s="378"/>
      <c r="I63" s="378"/>
      <c r="J63" s="378"/>
      <c r="K63" s="378"/>
      <c r="L63" s="378"/>
      <c r="M63" s="378"/>
      <c r="N63" s="378"/>
      <c r="O63" s="378"/>
      <c r="P63" s="378"/>
      <c r="Q63" s="378"/>
      <c r="R63" s="378"/>
      <c r="S63" s="378"/>
      <c r="T63" s="378"/>
      <c r="U63" s="378"/>
      <c r="V63" s="378"/>
      <c r="W63" s="378"/>
      <c r="X63" s="378"/>
      <c r="Y63" s="378"/>
      <c r="Z63" s="378"/>
      <c r="AA63" s="379"/>
      <c r="AB63" s="378"/>
      <c r="AC63" s="378"/>
      <c r="AD63" s="1807"/>
      <c r="AE63" s="378"/>
      <c r="AF63" s="378"/>
      <c r="AG63" s="378"/>
      <c r="AH63" s="378"/>
      <c r="AI63" s="152"/>
      <c r="AJ63" s="469"/>
    </row>
    <row r="64" spans="1:36" ht="15">
      <c r="A64" s="594" t="s">
        <v>884</v>
      </c>
      <c r="B64" s="152"/>
      <c r="C64" s="378">
        <f>+'Exhibit F'!D59+'Exhibit G State'!D42</f>
        <v>1.5</v>
      </c>
      <c r="D64" s="378"/>
      <c r="E64" s="378">
        <f>+'Exhibit F'!F59+'Exhibit G State'!F42</f>
        <v>0.99999999999999989</v>
      </c>
      <c r="F64" s="378"/>
      <c r="G64" s="378">
        <f>+'Exhibit F'!H59+'Exhibit G State'!H42</f>
        <v>0.79999999999999993</v>
      </c>
      <c r="H64" s="378"/>
      <c r="I64" s="378">
        <f>+'Exhibit F'!J59+'Exhibit G State'!J42</f>
        <v>1.0000000000000004</v>
      </c>
      <c r="J64" s="378"/>
      <c r="K64" s="378">
        <f>+'Exhibit F'!L59+'Exhibit G State'!L42</f>
        <v>11.2</v>
      </c>
      <c r="L64" s="378"/>
      <c r="M64" s="378">
        <f>+'Exhibit F'!N59+'Exhibit G State'!N42</f>
        <v>101.6</v>
      </c>
      <c r="N64" s="378"/>
      <c r="O64" s="378"/>
      <c r="P64" s="378"/>
      <c r="Q64" s="378"/>
      <c r="R64" s="378"/>
      <c r="S64" s="378"/>
      <c r="T64" s="378"/>
      <c r="U64" s="378"/>
      <c r="V64" s="378"/>
      <c r="W64" s="378"/>
      <c r="X64" s="378"/>
      <c r="Y64" s="378"/>
      <c r="Z64" s="378"/>
      <c r="AA64" s="379"/>
      <c r="AB64" s="378">
        <f>ROUND(SUM(C64:Y64),1)</f>
        <v>117.1</v>
      </c>
      <c r="AC64" s="378"/>
      <c r="AD64" s="1807"/>
      <c r="AE64" s="378">
        <f>+'Exhibit F'!AF59+'Exhibit G State'!AG42</f>
        <v>116.9</v>
      </c>
      <c r="AF64" s="378"/>
      <c r="AG64" s="378"/>
      <c r="AH64" s="378">
        <f t="shared" ref="AH64:AH105" si="18">ROUND(SUM(AB64-AE64),1)</f>
        <v>0.2</v>
      </c>
      <c r="AI64" s="152"/>
      <c r="AJ64" s="488">
        <f>ROUND(SUM(AH64/ABS(AE64)),3)</f>
        <v>2E-3</v>
      </c>
    </row>
    <row r="65" spans="1:36" ht="15">
      <c r="A65" s="594" t="s">
        <v>885</v>
      </c>
      <c r="B65" s="152"/>
      <c r="C65" s="378">
        <f>+'Exhibit F'!D60</f>
        <v>0.4</v>
      </c>
      <c r="D65" s="378"/>
      <c r="E65" s="378">
        <f>+'Exhibit F'!F60</f>
        <v>4</v>
      </c>
      <c r="F65" s="378"/>
      <c r="G65" s="378">
        <f>+'Exhibit F'!H60</f>
        <v>11.799999999999999</v>
      </c>
      <c r="H65" s="378"/>
      <c r="I65" s="378">
        <f>+'Exhibit F'!J60</f>
        <v>0.90000000000000391</v>
      </c>
      <c r="J65" s="378"/>
      <c r="K65" s="378">
        <f>+'Exhibit F'!L60</f>
        <v>9.9999999999997868E-2</v>
      </c>
      <c r="L65" s="378"/>
      <c r="M65" s="378">
        <f>+'Exhibit F'!N60</f>
        <v>39.900000000000006</v>
      </c>
      <c r="N65" s="378"/>
      <c r="O65" s="378"/>
      <c r="P65" s="378"/>
      <c r="Q65" s="378"/>
      <c r="R65" s="378"/>
      <c r="S65" s="378"/>
      <c r="T65" s="378"/>
      <c r="U65" s="378"/>
      <c r="V65" s="378"/>
      <c r="W65" s="378"/>
      <c r="X65" s="378"/>
      <c r="Y65" s="378"/>
      <c r="Z65" s="378"/>
      <c r="AA65" s="379"/>
      <c r="AB65" s="378">
        <f>ROUND(SUM(C65:Y65),1)</f>
        <v>57.1</v>
      </c>
      <c r="AC65" s="378"/>
      <c r="AD65" s="1807"/>
      <c r="AE65" s="378">
        <f>+'Exhibit F'!AF60</f>
        <v>47.4</v>
      </c>
      <c r="AF65" s="378"/>
      <c r="AG65" s="378"/>
      <c r="AH65" s="378">
        <f t="shared" si="18"/>
        <v>9.6999999999999993</v>
      </c>
      <c r="AI65" s="152"/>
      <c r="AJ65" s="1133">
        <f>ROUND(SUM(AH65/ABS(AE65)),3)</f>
        <v>0.20499999999999999</v>
      </c>
    </row>
    <row r="66" spans="1:36" ht="15">
      <c r="A66" s="594" t="s">
        <v>1001</v>
      </c>
      <c r="B66" s="152"/>
      <c r="C66" s="378"/>
      <c r="D66" s="378"/>
      <c r="E66" s="378"/>
      <c r="F66" s="378"/>
      <c r="G66" s="378"/>
      <c r="H66" s="378"/>
      <c r="I66" s="378"/>
      <c r="J66" s="378"/>
      <c r="K66" s="378"/>
      <c r="L66" s="378"/>
      <c r="M66" s="378"/>
      <c r="N66" s="378"/>
      <c r="O66" s="378"/>
      <c r="P66" s="378"/>
      <c r="Q66" s="378"/>
      <c r="R66" s="378"/>
      <c r="S66" s="378"/>
      <c r="T66" s="378"/>
      <c r="U66" s="378"/>
      <c r="V66" s="378"/>
      <c r="W66" s="378"/>
      <c r="X66" s="378"/>
      <c r="Y66" s="378"/>
      <c r="Z66" s="378"/>
      <c r="AA66" s="379"/>
      <c r="AB66" s="378"/>
      <c r="AC66" s="378"/>
      <c r="AD66" s="1807"/>
      <c r="AE66" s="378"/>
      <c r="AF66" s="378"/>
      <c r="AG66" s="378"/>
      <c r="AH66" s="378" t="s">
        <v>14</v>
      </c>
      <c r="AI66" s="152" t="s">
        <v>14</v>
      </c>
      <c r="AJ66" s="469" t="s">
        <v>14</v>
      </c>
    </row>
    <row r="67" spans="1:36" ht="15">
      <c r="A67" s="594" t="s">
        <v>889</v>
      </c>
      <c r="B67" s="152"/>
      <c r="C67" s="378">
        <f>+'Exhibit F'!D62+'Exhibit G State'!D44</f>
        <v>47.4</v>
      </c>
      <c r="D67" s="378"/>
      <c r="E67" s="378">
        <f>+'Exhibit F'!F62+'Exhibit G State'!F44</f>
        <v>-73.2</v>
      </c>
      <c r="F67" s="378"/>
      <c r="G67" s="378">
        <f>+'Exhibit F'!H62+'Exhibit G State'!H44</f>
        <v>94</v>
      </c>
      <c r="H67" s="378"/>
      <c r="I67" s="378">
        <f>+'Exhibit F'!J62+'Exhibit G State'!J44</f>
        <v>87</v>
      </c>
      <c r="J67" s="378"/>
      <c r="K67" s="378">
        <f>+'Exhibit F'!L62+'Exhibit G State'!L44</f>
        <v>82</v>
      </c>
      <c r="L67" s="378"/>
      <c r="M67" s="378">
        <f>+'Exhibit F'!N62+'Exhibit G State'!N44</f>
        <v>99.100000000000023</v>
      </c>
      <c r="N67" s="378"/>
      <c r="O67" s="378"/>
      <c r="P67" s="378"/>
      <c r="Q67" s="378"/>
      <c r="R67" s="378"/>
      <c r="S67" s="378"/>
      <c r="T67" s="378"/>
      <c r="U67" s="378"/>
      <c r="V67" s="378"/>
      <c r="W67" s="378"/>
      <c r="X67" s="378"/>
      <c r="Y67" s="378"/>
      <c r="Z67" s="378"/>
      <c r="AA67" s="379"/>
      <c r="AB67" s="378">
        <f>ROUND(SUM(C67:Y67),1)</f>
        <v>336.3</v>
      </c>
      <c r="AC67" s="378"/>
      <c r="AD67" s="1807"/>
      <c r="AE67" s="378">
        <f>+'Exhibit F'!AF62+'Exhibit G State'!AG44</f>
        <v>388</v>
      </c>
      <c r="AF67" s="378"/>
      <c r="AG67" s="378"/>
      <c r="AH67" s="378">
        <f t="shared" si="18"/>
        <v>-51.7</v>
      </c>
      <c r="AI67" s="152"/>
      <c r="AJ67" s="488">
        <f>ROUND(SUM(AH67/ABS(AE67)),3)</f>
        <v>-0.13300000000000001</v>
      </c>
    </row>
    <row r="68" spans="1:36" ht="15">
      <c r="A68" s="594" t="s">
        <v>890</v>
      </c>
      <c r="B68" s="152"/>
      <c r="C68" s="378">
        <f>+'Exhibit F'!D63+'Exhibit G State'!D45</f>
        <v>632.29999999999995</v>
      </c>
      <c r="D68" s="378"/>
      <c r="E68" s="378">
        <f>+'Exhibit F'!F63+'Exhibit G State'!F45</f>
        <v>621.60000000000014</v>
      </c>
      <c r="F68" s="378"/>
      <c r="G68" s="378">
        <f>+'Exhibit F'!H63+'Exhibit G State'!H45</f>
        <v>592.59999999999991</v>
      </c>
      <c r="H68" s="378"/>
      <c r="I68" s="378">
        <f>+'Exhibit F'!J63+'Exhibit G State'!J45</f>
        <v>648.09999999999991</v>
      </c>
      <c r="J68" s="378"/>
      <c r="K68" s="378">
        <f>+'Exhibit F'!L63+'Exhibit G State'!L45</f>
        <v>655.39999999999964</v>
      </c>
      <c r="L68" s="378"/>
      <c r="M68" s="378">
        <f>+'Exhibit F'!N63+'Exhibit G State'!N45</f>
        <v>600.20000000000016</v>
      </c>
      <c r="N68" s="378"/>
      <c r="O68" s="378"/>
      <c r="P68" s="378"/>
      <c r="Q68" s="378"/>
      <c r="R68" s="378"/>
      <c r="S68" s="378"/>
      <c r="T68" s="378"/>
      <c r="U68" s="378"/>
      <c r="V68" s="378"/>
      <c r="W68" s="378"/>
      <c r="X68" s="378"/>
      <c r="Y68" s="378"/>
      <c r="Z68" s="378"/>
      <c r="AA68" s="379"/>
      <c r="AB68" s="378">
        <f>ROUND(SUM(C68:Y68),1)</f>
        <v>3750.2</v>
      </c>
      <c r="AC68" s="378"/>
      <c r="AD68" s="1807"/>
      <c r="AE68" s="378">
        <f>+'Exhibit F'!AF63+'Exhibit G State'!AG45+'Exhibit H'!AD33</f>
        <v>3331.3999999999996</v>
      </c>
      <c r="AF68" s="378"/>
      <c r="AG68" s="378"/>
      <c r="AH68" s="378">
        <f t="shared" si="18"/>
        <v>418.8</v>
      </c>
      <c r="AI68" s="152"/>
      <c r="AJ68" s="488">
        <f>ROUND(SUM(AH68/ABS(AE68)),3)</f>
        <v>0.126</v>
      </c>
    </row>
    <row r="69" spans="1:36" ht="15">
      <c r="A69" s="594" t="s">
        <v>891</v>
      </c>
      <c r="B69" s="152"/>
      <c r="C69" s="378">
        <f>+'Exhibit F'!D64+'Exhibit G State'!D46</f>
        <v>0.7</v>
      </c>
      <c r="D69" s="378"/>
      <c r="E69" s="378">
        <f>+'Exhibit F'!F64+'Exhibit G State'!F46</f>
        <v>0</v>
      </c>
      <c r="F69" s="378"/>
      <c r="G69" s="378">
        <f>+'Exhibit F'!H64+'Exhibit G State'!H46</f>
        <v>0.7</v>
      </c>
      <c r="H69" s="378"/>
      <c r="I69" s="378">
        <f>+'Exhibit F'!J64+'Exhibit G State'!J46</f>
        <v>0</v>
      </c>
      <c r="J69" s="378"/>
      <c r="K69" s="378">
        <f>+'Exhibit F'!L64+'Exhibit G State'!L46</f>
        <v>0.20000000000000018</v>
      </c>
      <c r="L69" s="378"/>
      <c r="M69" s="378">
        <f>+'Exhibit F'!N64+'Exhibit G State'!N46</f>
        <v>61.199999999999989</v>
      </c>
      <c r="N69" s="378"/>
      <c r="O69" s="378"/>
      <c r="P69" s="378"/>
      <c r="Q69" s="378"/>
      <c r="R69" s="378"/>
      <c r="S69" s="378"/>
      <c r="T69" s="378"/>
      <c r="U69" s="378"/>
      <c r="V69" s="378"/>
      <c r="W69" s="378"/>
      <c r="X69" s="378"/>
      <c r="Y69" s="378"/>
      <c r="Z69" s="378"/>
      <c r="AA69" s="379"/>
      <c r="AB69" s="378">
        <f>ROUND(SUM(C69:Y69),1)</f>
        <v>62.8</v>
      </c>
      <c r="AC69" s="378"/>
      <c r="AD69" s="1807"/>
      <c r="AE69" s="378">
        <f>+'Exhibit F'!AF64+'Exhibit G State'!AG46</f>
        <v>64.599999999999994</v>
      </c>
      <c r="AF69" s="378"/>
      <c r="AG69" s="378"/>
      <c r="AH69" s="378">
        <f t="shared" si="18"/>
        <v>-1.8</v>
      </c>
      <c r="AI69" s="152"/>
      <c r="AJ69" s="971">
        <f>ROUND(IF(AE69=0,0,AH69/ABS(AE69)),3)</f>
        <v>-2.8000000000000001E-2</v>
      </c>
    </row>
    <row r="70" spans="1:36" ht="15">
      <c r="A70" s="594" t="s">
        <v>892</v>
      </c>
      <c r="B70" s="152"/>
      <c r="C70" s="378">
        <f>+'Exhibit F'!D65+'Exhibit G State'!D47</f>
        <v>0</v>
      </c>
      <c r="D70" s="378"/>
      <c r="E70" s="378">
        <f>+'Exhibit F'!F65+'Exhibit G State'!F47</f>
        <v>0.2</v>
      </c>
      <c r="F70" s="378"/>
      <c r="G70" s="378">
        <f>+'Exhibit F'!H65+'Exhibit G State'!H47</f>
        <v>0</v>
      </c>
      <c r="H70" s="378"/>
      <c r="I70" s="378">
        <f>+'Exhibit F'!J65+'Exhibit G State'!J47</f>
        <v>0</v>
      </c>
      <c r="J70" s="378"/>
      <c r="K70" s="378">
        <f>+'Exhibit F'!L65+'Exhibit G State'!L47</f>
        <v>0.1</v>
      </c>
      <c r="L70" s="378"/>
      <c r="M70" s="378">
        <f>+'Exhibit F'!N65+'Exhibit G State'!N47</f>
        <v>0.1</v>
      </c>
      <c r="N70" s="378"/>
      <c r="O70" s="378"/>
      <c r="P70" s="378"/>
      <c r="Q70" s="378"/>
      <c r="R70" s="378"/>
      <c r="S70" s="378"/>
      <c r="T70" s="378"/>
      <c r="U70" s="378"/>
      <c r="V70" s="378"/>
      <c r="W70" s="378"/>
      <c r="X70" s="378"/>
      <c r="Y70" s="378"/>
      <c r="Z70" s="378"/>
      <c r="AA70" s="379"/>
      <c r="AB70" s="378">
        <f>ROUND(SUM(C70:Y70),1)</f>
        <v>0.4</v>
      </c>
      <c r="AC70" s="378"/>
      <c r="AD70" s="1807"/>
      <c r="AE70" s="378">
        <f>+'Exhibit F'!AF65+'Exhibit G State'!AG47</f>
        <v>0.4</v>
      </c>
      <c r="AF70" s="378"/>
      <c r="AG70" s="378"/>
      <c r="AH70" s="378">
        <f t="shared" si="18"/>
        <v>0</v>
      </c>
      <c r="AI70" s="152"/>
      <c r="AJ70" s="469">
        <f>ROUND(IF(AE70=0,1,AH70/ABS(AE70)),3)</f>
        <v>0</v>
      </c>
    </row>
    <row r="71" spans="1:36" ht="15">
      <c r="A71" s="594" t="s">
        <v>1005</v>
      </c>
      <c r="B71" s="152"/>
      <c r="C71" s="378"/>
      <c r="D71" s="378"/>
      <c r="E71" s="378"/>
      <c r="F71" s="378"/>
      <c r="G71" s="378"/>
      <c r="H71" s="378"/>
      <c r="I71" s="378"/>
      <c r="J71" s="378"/>
      <c r="K71" s="378"/>
      <c r="L71" s="378"/>
      <c r="M71" s="378"/>
      <c r="N71" s="378"/>
      <c r="O71" s="378"/>
      <c r="P71" s="378"/>
      <c r="Q71" s="378"/>
      <c r="R71" s="378"/>
      <c r="S71" s="378"/>
      <c r="T71" s="378"/>
      <c r="U71" s="378"/>
      <c r="V71" s="378"/>
      <c r="W71" s="378"/>
      <c r="X71" s="378"/>
      <c r="Y71" s="378"/>
      <c r="Z71" s="378"/>
      <c r="AA71" s="379"/>
      <c r="AB71" s="378"/>
      <c r="AC71" s="378"/>
      <c r="AD71" s="1807"/>
      <c r="AE71" s="378"/>
      <c r="AF71" s="378"/>
      <c r="AG71" s="378"/>
      <c r="AH71" s="378"/>
      <c r="AI71" s="152"/>
      <c r="AJ71" s="469"/>
    </row>
    <row r="72" spans="1:36" ht="15">
      <c r="A72" s="594" t="s">
        <v>893</v>
      </c>
      <c r="B72" s="152"/>
      <c r="C72" s="378">
        <f>+'Exhibit F'!D67+'Exhibit H'!B35</f>
        <v>5.9</v>
      </c>
      <c r="D72" s="378"/>
      <c r="E72" s="378">
        <f>+'Exhibit F'!F67+'Exhibit H'!D35</f>
        <v>6.6999999999999993</v>
      </c>
      <c r="F72" s="378"/>
      <c r="G72" s="378">
        <f>+'Exhibit F'!H67+'Exhibit H'!F35</f>
        <v>5.2000000000000011</v>
      </c>
      <c r="H72" s="378"/>
      <c r="I72" s="378">
        <f>+'Exhibit F'!J67+'Exhibit H'!H35</f>
        <v>4.8999999999999968</v>
      </c>
      <c r="J72" s="378"/>
      <c r="K72" s="378">
        <f>+'Exhibit F'!L67+'Exhibit H'!J35</f>
        <v>6.1000000000000014</v>
      </c>
      <c r="L72" s="378"/>
      <c r="M72" s="378">
        <f>+'Exhibit F'!N67+'Exhibit H'!L35</f>
        <v>4.7000000000000028</v>
      </c>
      <c r="N72" s="378"/>
      <c r="O72" s="378"/>
      <c r="P72" s="378"/>
      <c r="Q72" s="378"/>
      <c r="R72" s="378"/>
      <c r="S72" s="378"/>
      <c r="T72" s="378"/>
      <c r="U72" s="378"/>
      <c r="V72" s="378"/>
      <c r="W72" s="378"/>
      <c r="X72" s="378"/>
      <c r="Y72" s="378"/>
      <c r="Z72" s="378"/>
      <c r="AA72" s="379"/>
      <c r="AB72" s="378">
        <f t="shared" ref="AB72:AB79" si="19">ROUND(SUM(C72:Y72),1)</f>
        <v>33.5</v>
      </c>
      <c r="AC72" s="378"/>
      <c r="AD72" s="1807"/>
      <c r="AE72" s="378">
        <f>+'Exhibit F'!AF67+'Exhibit H'!AD35</f>
        <v>34.200000000000003</v>
      </c>
      <c r="AF72" s="378"/>
      <c r="AG72" s="378"/>
      <c r="AH72" s="378">
        <f t="shared" si="18"/>
        <v>-0.7</v>
      </c>
      <c r="AI72" s="152"/>
      <c r="AJ72" s="488">
        <f>ROUND(SUM(AH72/ABS(AE72)),3)</f>
        <v>-0.02</v>
      </c>
    </row>
    <row r="73" spans="1:36" ht="15">
      <c r="A73" s="594" t="s">
        <v>1088</v>
      </c>
      <c r="B73" s="152"/>
      <c r="C73" s="378">
        <f>'Exhibit G State'!D49</f>
        <v>0.1</v>
      </c>
      <c r="D73" s="378"/>
      <c r="E73" s="378">
        <f>'Exhibit G State'!F49</f>
        <v>0.19999999999999998</v>
      </c>
      <c r="F73" s="378"/>
      <c r="G73" s="378">
        <f>'Exhibit G State'!H49</f>
        <v>1.9999999999999998</v>
      </c>
      <c r="H73" s="378"/>
      <c r="I73" s="378">
        <f>'Exhibit G State'!J49</f>
        <v>9.9999999999999867E-2</v>
      </c>
      <c r="J73" s="378"/>
      <c r="K73" s="378">
        <f>'Exhibit G State'!L49</f>
        <v>0.10000000000000009</v>
      </c>
      <c r="L73" s="378"/>
      <c r="M73" s="378">
        <f>'Exhibit G State'!N49</f>
        <v>0</v>
      </c>
      <c r="N73" s="378"/>
      <c r="O73" s="378"/>
      <c r="P73" s="378"/>
      <c r="Q73" s="378"/>
      <c r="R73" s="378"/>
      <c r="S73" s="378"/>
      <c r="T73" s="378"/>
      <c r="U73" s="378"/>
      <c r="V73" s="378"/>
      <c r="W73" s="378"/>
      <c r="X73" s="378"/>
      <c r="Y73" s="378"/>
      <c r="Z73" s="378"/>
      <c r="AA73" s="685"/>
      <c r="AB73" s="378">
        <f t="shared" si="19"/>
        <v>2.5</v>
      </c>
      <c r="AC73" s="378"/>
      <c r="AD73" s="1807"/>
      <c r="AE73" s="378">
        <f>'Exhibit G State'!AG49</f>
        <v>2.2000000000000002</v>
      </c>
      <c r="AF73" s="378"/>
      <c r="AG73" s="378"/>
      <c r="AH73" s="378">
        <f t="shared" si="18"/>
        <v>0.3</v>
      </c>
      <c r="AI73" s="152"/>
      <c r="AJ73" s="469">
        <f>ROUND(IF(AE73=0,1,AH73/ABS(AE73)),3)</f>
        <v>0.13600000000000001</v>
      </c>
    </row>
    <row r="74" spans="1:36" ht="15">
      <c r="A74" s="594" t="s">
        <v>894</v>
      </c>
      <c r="B74" s="152"/>
      <c r="C74" s="378">
        <f>+'Exhibit F'!D69+'Exhibit G State'!D50+'Exhibit H'!B36</f>
        <v>48.599999999999994</v>
      </c>
      <c r="D74" s="378"/>
      <c r="E74" s="378">
        <f>+'Exhibit F'!F69+'Exhibit G State'!F50+'Exhibit H'!D36</f>
        <v>52.100000000000009</v>
      </c>
      <c r="F74" s="378"/>
      <c r="G74" s="378">
        <f>+'Exhibit F'!H69+'Exhibit G State'!H50+'Exhibit H'!F36</f>
        <v>119.69999999999999</v>
      </c>
      <c r="H74" s="378"/>
      <c r="I74" s="378">
        <f>+'Exhibit F'!J69+'Exhibit G State'!J50+'Exhibit H'!H36</f>
        <v>47.200000000000017</v>
      </c>
      <c r="J74" s="378"/>
      <c r="K74" s="378">
        <f>+'Exhibit F'!L69+'Exhibit G State'!L50+'Exhibit H'!J36</f>
        <v>63.09999999999998</v>
      </c>
      <c r="L74" s="378"/>
      <c r="M74" s="378">
        <f>+'Exhibit F'!N69+'Exhibit G State'!N50+'Exhibit H'!L36</f>
        <v>109.90000000000005</v>
      </c>
      <c r="N74" s="378"/>
      <c r="O74" s="378"/>
      <c r="P74" s="378"/>
      <c r="Q74" s="378"/>
      <c r="R74" s="378"/>
      <c r="S74" s="378"/>
      <c r="T74" s="378"/>
      <c r="U74" s="378"/>
      <c r="V74" s="378"/>
      <c r="W74" s="378"/>
      <c r="X74" s="378"/>
      <c r="Y74" s="378"/>
      <c r="Z74" s="378"/>
      <c r="AA74" s="379"/>
      <c r="AB74" s="378">
        <f t="shared" si="19"/>
        <v>440.6</v>
      </c>
      <c r="AC74" s="378"/>
      <c r="AD74" s="1807"/>
      <c r="AE74" s="378">
        <f>+'Exhibit F'!AF69+'Exhibit G State'!AG50+'Exhibit H'!AD36</f>
        <v>450.6</v>
      </c>
      <c r="AF74" s="378"/>
      <c r="AG74" s="378"/>
      <c r="AH74" s="378">
        <f t="shared" si="18"/>
        <v>-10</v>
      </c>
      <c r="AI74" s="152"/>
      <c r="AJ74" s="488">
        <f>ROUND(SUM(AH74/AE74),3)</f>
        <v>-2.1999999999999999E-2</v>
      </c>
    </row>
    <row r="75" spans="1:36" ht="15">
      <c r="A75" s="594" t="s">
        <v>895</v>
      </c>
      <c r="B75" s="152"/>
      <c r="C75" s="378">
        <f>+'Exhibit F'!D70+'Exhibit G State'!D51+'Exhibit H'!B37</f>
        <v>22.5</v>
      </c>
      <c r="D75" s="378"/>
      <c r="E75" s="378">
        <f>+'Exhibit F'!F70+'Exhibit G State'!F51+'Exhibit H'!D37</f>
        <v>11.2</v>
      </c>
      <c r="F75" s="378"/>
      <c r="G75" s="378">
        <f>+'Exhibit F'!H70+'Exhibit G State'!H51+'Exhibit H'!F37</f>
        <v>11.500000000000004</v>
      </c>
      <c r="H75" s="378"/>
      <c r="I75" s="378">
        <f>+'Exhibit F'!J70+'Exhibit G State'!J51+'Exhibit H'!H37</f>
        <v>25.4</v>
      </c>
      <c r="J75" s="378"/>
      <c r="K75" s="378">
        <f>+'Exhibit F'!L70+'Exhibit G State'!L51+'Exhibit H'!J37</f>
        <v>39.799999999999997</v>
      </c>
      <c r="L75" s="378"/>
      <c r="M75" s="378">
        <f>+'Exhibit F'!N70+'Exhibit G State'!N51+'Exhibit H'!L37</f>
        <v>28.4</v>
      </c>
      <c r="N75" s="378"/>
      <c r="O75" s="378"/>
      <c r="P75" s="378"/>
      <c r="Q75" s="378"/>
      <c r="R75" s="378"/>
      <c r="S75" s="378"/>
      <c r="T75" s="378"/>
      <c r="U75" s="378"/>
      <c r="V75" s="378"/>
      <c r="W75" s="378"/>
      <c r="X75" s="378"/>
      <c r="Y75" s="378"/>
      <c r="Z75" s="378"/>
      <c r="AA75" s="379"/>
      <c r="AB75" s="378">
        <f t="shared" si="19"/>
        <v>138.80000000000001</v>
      </c>
      <c r="AC75" s="378"/>
      <c r="AD75" s="1807"/>
      <c r="AE75" s="378">
        <f>+'Exhibit F'!AF70+'Exhibit G State'!AG51+'Exhibit H'!AD37</f>
        <v>120</v>
      </c>
      <c r="AF75" s="378"/>
      <c r="AG75" s="378"/>
      <c r="AH75" s="378">
        <f t="shared" si="18"/>
        <v>18.8</v>
      </c>
      <c r="AI75" s="152"/>
      <c r="AJ75" s="488">
        <f>ROUND(SUM(AH75/ABS(AE75)),3)</f>
        <v>0.157</v>
      </c>
    </row>
    <row r="76" spans="1:36" ht="15">
      <c r="A76" s="594" t="s">
        <v>896</v>
      </c>
      <c r="B76" s="152"/>
      <c r="C76" s="378">
        <f>+'Exhibit F'!D71+'Exhibit G State'!D52+'Exhibit H'!B38</f>
        <v>0.4</v>
      </c>
      <c r="D76" s="378"/>
      <c r="E76" s="378">
        <f>+'Exhibit F'!F71+'Exhibit G State'!F52+'Exhibit H'!D38</f>
        <v>0.39999999999999997</v>
      </c>
      <c r="F76" s="378"/>
      <c r="G76" s="378">
        <f>+'Exhibit F'!H71+'Exhibit G State'!H52+'Exhibit H'!F38</f>
        <v>0.4</v>
      </c>
      <c r="H76" s="378"/>
      <c r="I76" s="378">
        <f>+'Exhibit F'!J71+'Exhibit G State'!J52+'Exhibit H'!H38</f>
        <v>0.49999999999999994</v>
      </c>
      <c r="J76" s="378"/>
      <c r="K76" s="378">
        <f>+'Exhibit F'!L71+'Exhibit G State'!L52+'Exhibit H'!J38</f>
        <v>1.2000000000000002</v>
      </c>
      <c r="L76" s="378"/>
      <c r="M76" s="378">
        <f>+'Exhibit F'!N71+'Exhibit G State'!N52+'Exhibit H'!L38</f>
        <v>0.80000000000000038</v>
      </c>
      <c r="N76" s="378"/>
      <c r="O76" s="378"/>
      <c r="P76" s="378"/>
      <c r="Q76" s="378"/>
      <c r="R76" s="378"/>
      <c r="S76" s="378"/>
      <c r="T76" s="378"/>
      <c r="U76" s="378"/>
      <c r="V76" s="378"/>
      <c r="W76" s="378"/>
      <c r="X76" s="378"/>
      <c r="Y76" s="378"/>
      <c r="Z76" s="378"/>
      <c r="AA76" s="379"/>
      <c r="AB76" s="378">
        <f t="shared" si="19"/>
        <v>3.7</v>
      </c>
      <c r="AC76" s="378"/>
      <c r="AD76" s="1807"/>
      <c r="AE76" s="378">
        <f>+'Exhibit F'!AF71+'Exhibit G State'!AG52+'Exhibit H'!AD38</f>
        <v>3.5999999999999996</v>
      </c>
      <c r="AF76" s="378"/>
      <c r="AG76" s="378"/>
      <c r="AH76" s="378">
        <f t="shared" si="18"/>
        <v>0.1</v>
      </c>
      <c r="AI76" s="152"/>
      <c r="AJ76" s="488">
        <f>ROUND(SUM(AH76/ABS(AE76)),3)</f>
        <v>2.8000000000000001E-2</v>
      </c>
    </row>
    <row r="77" spans="1:36" ht="15">
      <c r="A77" s="594" t="s">
        <v>897</v>
      </c>
      <c r="B77" s="152"/>
      <c r="C77" s="378">
        <f>+'Exhibit F'!D72+'Exhibit G State'!D53+'Exhibit H'!B39</f>
        <v>52.5</v>
      </c>
      <c r="D77" s="378"/>
      <c r="E77" s="378">
        <f>+'Exhibit F'!F72+'Exhibit G State'!F53+'Exhibit H'!D39</f>
        <v>81.8</v>
      </c>
      <c r="F77" s="378"/>
      <c r="G77" s="378">
        <f>+'Exhibit F'!H72+'Exhibit G State'!H53+'Exhibit H'!F39</f>
        <v>43</v>
      </c>
      <c r="H77" s="378"/>
      <c r="I77" s="378">
        <f>+'Exhibit F'!J72+'Exhibit G State'!J53+'Exhibit H'!H39</f>
        <v>32.299999999999997</v>
      </c>
      <c r="J77" s="378"/>
      <c r="K77" s="378">
        <f>+'Exhibit F'!L72+'Exhibit G State'!L53+'Exhibit H'!J39</f>
        <v>63.000000000000014</v>
      </c>
      <c r="L77" s="378"/>
      <c r="M77" s="378">
        <f>+'Exhibit F'!N72+'Exhibit G State'!N53+'Exhibit H'!L39</f>
        <v>7.4999999999999858</v>
      </c>
      <c r="N77" s="378"/>
      <c r="O77" s="378"/>
      <c r="P77" s="378"/>
      <c r="Q77" s="378"/>
      <c r="R77" s="378"/>
      <c r="S77" s="378"/>
      <c r="T77" s="378"/>
      <c r="U77" s="378"/>
      <c r="V77" s="378"/>
      <c r="W77" s="378"/>
      <c r="X77" s="378"/>
      <c r="Y77" s="378"/>
      <c r="Z77" s="378"/>
      <c r="AA77" s="379"/>
      <c r="AB77" s="378">
        <f t="shared" si="19"/>
        <v>280.10000000000002</v>
      </c>
      <c r="AC77" s="378"/>
      <c r="AD77" s="1807"/>
      <c r="AE77" s="378">
        <f>+'Exhibit F'!AF72+'Exhibit G State'!AG53+'Exhibit H'!AD39</f>
        <v>243.4</v>
      </c>
      <c r="AF77" s="378"/>
      <c r="AG77" s="378"/>
      <c r="AH77" s="378">
        <f t="shared" si="18"/>
        <v>36.700000000000003</v>
      </c>
      <c r="AI77" s="152"/>
      <c r="AJ77" s="469">
        <f>ROUND(IF(AE77=0,0,AH77/ABS(AE77)),3)</f>
        <v>0.151</v>
      </c>
    </row>
    <row r="78" spans="1:36" ht="15">
      <c r="A78" s="594" t="s">
        <v>898</v>
      </c>
      <c r="B78" s="152"/>
      <c r="C78" s="378">
        <f>+'Exhibit F'!D73+'Exhibit G State'!D54+'Exhibit H'!B40</f>
        <v>74.5</v>
      </c>
      <c r="D78" s="378"/>
      <c r="E78" s="378">
        <f>+'Exhibit F'!F73+'Exhibit G State'!F54+'Exhibit H'!D40</f>
        <v>38.800000000000004</v>
      </c>
      <c r="F78" s="378"/>
      <c r="G78" s="378">
        <f>+'Exhibit F'!H73+'Exhibit G State'!H54+'Exhibit H'!F40</f>
        <v>58.600000000000009</v>
      </c>
      <c r="H78" s="378"/>
      <c r="I78" s="378">
        <f>+'Exhibit F'!J73+'Exhibit G State'!J54+'Exhibit H'!H40</f>
        <v>70.599999999999966</v>
      </c>
      <c r="J78" s="378"/>
      <c r="K78" s="378">
        <f>+'Exhibit F'!L73+'Exhibit G State'!L54+'Exhibit H'!J40</f>
        <v>141.6</v>
      </c>
      <c r="L78" s="378"/>
      <c r="M78" s="378">
        <f>+'Exhibit F'!N73+'Exhibit G State'!N54+'Exhibit H'!L40</f>
        <v>159.50000000000003</v>
      </c>
      <c r="N78" s="378"/>
      <c r="O78" s="378"/>
      <c r="P78" s="378"/>
      <c r="Q78" s="378"/>
      <c r="R78" s="378"/>
      <c r="S78" s="378"/>
      <c r="T78" s="378"/>
      <c r="U78" s="378"/>
      <c r="V78" s="378"/>
      <c r="W78" s="378"/>
      <c r="X78" s="378"/>
      <c r="Y78" s="378"/>
      <c r="Z78" s="378"/>
      <c r="AA78" s="379"/>
      <c r="AB78" s="378">
        <f t="shared" si="19"/>
        <v>543.6</v>
      </c>
      <c r="AC78" s="378"/>
      <c r="AD78" s="1807"/>
      <c r="AE78" s="378">
        <f>+'Exhibit F'!AF73+'Exhibit G State'!AG54+'Exhibit H'!AD40</f>
        <v>538.1</v>
      </c>
      <c r="AF78" s="378"/>
      <c r="AG78" s="378"/>
      <c r="AH78" s="378">
        <f t="shared" si="18"/>
        <v>5.5</v>
      </c>
      <c r="AI78" s="152"/>
      <c r="AJ78" s="488">
        <f>ROUND(SUM(AH78/ABS(AE78)),3)</f>
        <v>0.01</v>
      </c>
    </row>
    <row r="79" spans="1:36" ht="15">
      <c r="A79" s="594" t="s">
        <v>887</v>
      </c>
      <c r="B79" s="152"/>
      <c r="C79" s="378">
        <f>+'Exhibit F'!D74+'Exhibit G State'!D55</f>
        <v>39.900000000000006</v>
      </c>
      <c r="D79" s="378"/>
      <c r="E79" s="378">
        <f>+'Exhibit F'!F74+'Exhibit G State'!F55</f>
        <v>27.4</v>
      </c>
      <c r="F79" s="378"/>
      <c r="G79" s="378">
        <f>+'Exhibit F'!H74+'Exhibit G State'!H55</f>
        <v>30.099999999999994</v>
      </c>
      <c r="H79" s="378"/>
      <c r="I79" s="378">
        <f>+'Exhibit F'!J74+'Exhibit G State'!J55</f>
        <v>30.300000000000008</v>
      </c>
      <c r="J79" s="378"/>
      <c r="K79" s="378">
        <f>+'Exhibit F'!L74+'Exhibit G State'!L55</f>
        <v>47.2</v>
      </c>
      <c r="L79" s="378"/>
      <c r="M79" s="378">
        <f>+'Exhibit F'!N74+'Exhibit G State'!N55</f>
        <v>32.500000000000007</v>
      </c>
      <c r="N79" s="378"/>
      <c r="O79" s="378"/>
      <c r="P79" s="378"/>
      <c r="Q79" s="378"/>
      <c r="R79" s="378"/>
      <c r="S79" s="378"/>
      <c r="T79" s="378"/>
      <c r="U79" s="378"/>
      <c r="V79" s="378"/>
      <c r="W79" s="378"/>
      <c r="X79" s="378"/>
      <c r="Y79" s="378"/>
      <c r="Z79" s="378"/>
      <c r="AA79" s="379"/>
      <c r="AB79" s="378">
        <f t="shared" si="19"/>
        <v>207.4</v>
      </c>
      <c r="AC79" s="378"/>
      <c r="AD79" s="1807"/>
      <c r="AE79" s="378">
        <f>+'Exhibit F'!AF74+'Exhibit G State'!AG55</f>
        <v>217.5</v>
      </c>
      <c r="AF79" s="378"/>
      <c r="AG79" s="378"/>
      <c r="AH79" s="378">
        <f t="shared" si="18"/>
        <v>-10.1</v>
      </c>
      <c r="AI79" s="152"/>
      <c r="AJ79" s="488">
        <f>ROUND(SUM(AH79/ABS(AE79)),3)</f>
        <v>-4.5999999999999999E-2</v>
      </c>
    </row>
    <row r="80" spans="1:36" ht="15">
      <c r="A80" s="594" t="s">
        <v>1002</v>
      </c>
      <c r="B80" s="152"/>
      <c r="C80" s="378"/>
      <c r="D80" s="378"/>
      <c r="E80" s="378"/>
      <c r="F80" s="378"/>
      <c r="G80" s="378"/>
      <c r="H80" s="378"/>
      <c r="I80" s="378"/>
      <c r="J80" s="378"/>
      <c r="K80" s="378"/>
      <c r="L80" s="378"/>
      <c r="M80" s="378"/>
      <c r="N80" s="378"/>
      <c r="O80" s="378"/>
      <c r="P80" s="378"/>
      <c r="Q80" s="378"/>
      <c r="R80" s="378"/>
      <c r="S80" s="378"/>
      <c r="T80" s="378"/>
      <c r="U80" s="378"/>
      <c r="V80" s="378"/>
      <c r="W80" s="378"/>
      <c r="X80" s="378"/>
      <c r="Y80" s="378"/>
      <c r="Z80" s="378"/>
      <c r="AA80" s="379"/>
      <c r="AB80" s="378"/>
      <c r="AC80" s="378"/>
      <c r="AD80" s="1807"/>
      <c r="AE80" s="378"/>
      <c r="AF80" s="378"/>
      <c r="AG80" s="378"/>
      <c r="AH80" s="378"/>
      <c r="AI80" s="152"/>
      <c r="AJ80" s="488" t="s">
        <v>14</v>
      </c>
    </row>
    <row r="81" spans="1:36" ht="15">
      <c r="A81" s="594" t="s">
        <v>899</v>
      </c>
      <c r="B81" s="152"/>
      <c r="C81" s="378">
        <f>+'Exhibit G State'!D57</f>
        <v>41.6</v>
      </c>
      <c r="D81" s="378"/>
      <c r="E81" s="378">
        <f>+'Exhibit G State'!F57</f>
        <v>15</v>
      </c>
      <c r="F81" s="378"/>
      <c r="G81" s="378">
        <f>+'Exhibit G State'!H57</f>
        <v>45.4</v>
      </c>
      <c r="H81" s="378"/>
      <c r="I81" s="378">
        <f>+'Exhibit G State'!J57</f>
        <v>36.800000000000018</v>
      </c>
      <c r="J81" s="378"/>
      <c r="K81" s="378">
        <f>+'Exhibit G State'!L57</f>
        <v>17</v>
      </c>
      <c r="L81" s="378"/>
      <c r="M81" s="378">
        <f>+'Exhibit G State'!N57</f>
        <v>44.699999999999982</v>
      </c>
      <c r="N81" s="378"/>
      <c r="O81" s="378"/>
      <c r="P81" s="378"/>
      <c r="Q81" s="378"/>
      <c r="R81" s="378"/>
      <c r="S81" s="378"/>
      <c r="T81" s="378"/>
      <c r="U81" s="378"/>
      <c r="V81" s="378"/>
      <c r="W81" s="378"/>
      <c r="X81" s="378"/>
      <c r="Y81" s="378"/>
      <c r="Z81" s="378"/>
      <c r="AA81" s="379"/>
      <c r="AB81" s="378">
        <f t="shared" ref="AB81:AB86" si="20">ROUND(SUM(C81:Y81),1)</f>
        <v>200.5</v>
      </c>
      <c r="AC81" s="378"/>
      <c r="AD81" s="1807"/>
      <c r="AE81" s="467">
        <f>+'Exhibit G State'!AG57</f>
        <v>188.9</v>
      </c>
      <c r="AF81" s="378"/>
      <c r="AG81" s="378"/>
      <c r="AH81" s="378">
        <f t="shared" si="18"/>
        <v>11.6</v>
      </c>
      <c r="AI81" s="152"/>
      <c r="AJ81" s="469">
        <f>ROUND(IF(AE81=0,1,AH81/ABS(AE81)),3)</f>
        <v>6.0999999999999999E-2</v>
      </c>
    </row>
    <row r="82" spans="1:36" ht="15">
      <c r="A82" s="594" t="s">
        <v>1422</v>
      </c>
      <c r="B82" s="152"/>
      <c r="C82" s="378">
        <f>+'Exhibit G State'!D58</f>
        <v>185</v>
      </c>
      <c r="D82" s="378"/>
      <c r="E82" s="378">
        <f>+'Exhibit G State'!F58</f>
        <v>223.7</v>
      </c>
      <c r="F82" s="378"/>
      <c r="G82" s="378">
        <f>+'Exhibit G State'!H58</f>
        <v>184.09999999999997</v>
      </c>
      <c r="H82" s="378"/>
      <c r="I82" s="378">
        <f>+'Exhibit G State'!J58</f>
        <v>213.10000000000002</v>
      </c>
      <c r="J82" s="378"/>
      <c r="K82" s="378">
        <f>+'Exhibit G State'!L58</f>
        <v>255.09999999999997</v>
      </c>
      <c r="L82" s="378"/>
      <c r="M82" s="378">
        <f>+'Exhibit G State'!N58</f>
        <v>181.59999999999997</v>
      </c>
      <c r="N82" s="378"/>
      <c r="O82" s="378"/>
      <c r="P82" s="378"/>
      <c r="Q82" s="378"/>
      <c r="R82" s="378"/>
      <c r="S82" s="378"/>
      <c r="T82" s="378"/>
      <c r="U82" s="378"/>
      <c r="V82" s="378"/>
      <c r="W82" s="378"/>
      <c r="X82" s="378"/>
      <c r="Y82" s="378"/>
      <c r="Z82" s="378"/>
      <c r="AA82" s="379"/>
      <c r="AB82" s="378">
        <f t="shared" si="20"/>
        <v>1242.5999999999999</v>
      </c>
      <c r="AC82" s="378"/>
      <c r="AD82" s="1807"/>
      <c r="AE82" s="378">
        <f>+'Exhibit G State'!AG58</f>
        <v>1225.5999999999999</v>
      </c>
      <c r="AF82" s="378"/>
      <c r="AG82" s="378"/>
      <c r="AH82" s="378">
        <f t="shared" si="18"/>
        <v>17</v>
      </c>
      <c r="AI82" s="152"/>
      <c r="AJ82" s="469">
        <f>ROUND(IF(AE82=0,0,AH82/ABS(AE82)),3)</f>
        <v>1.4E-2</v>
      </c>
    </row>
    <row r="83" spans="1:36" ht="15">
      <c r="A83" s="594" t="s">
        <v>1423</v>
      </c>
      <c r="B83" s="152"/>
      <c r="C83" s="378">
        <f>+'Exhibit G State'!D59+'Exhibit F'!D76</f>
        <v>59.1</v>
      </c>
      <c r="D83" s="378"/>
      <c r="E83" s="378">
        <f>+'Exhibit G State'!F59+'Exhibit F'!F76</f>
        <v>90.4</v>
      </c>
      <c r="F83" s="378"/>
      <c r="G83" s="378">
        <f>+'Exhibit G State'!H59+'Exhibit F'!H76</f>
        <v>47.5</v>
      </c>
      <c r="H83" s="378"/>
      <c r="I83" s="378">
        <f>+'Exhibit G State'!J59+'Exhibit F'!J76</f>
        <v>53.400000000000006</v>
      </c>
      <c r="J83" s="378"/>
      <c r="K83" s="378">
        <f>+'Exhibit G State'!L59+'Exhibit F'!L76</f>
        <v>59.599999999999994</v>
      </c>
      <c r="L83" s="378"/>
      <c r="M83" s="378">
        <f>+'Exhibit G State'!N59+'Exhibit F'!N76</f>
        <v>66.899999999999949</v>
      </c>
      <c r="N83" s="378"/>
      <c r="O83" s="378"/>
      <c r="P83" s="378"/>
      <c r="Q83" s="378"/>
      <c r="R83" s="378"/>
      <c r="S83" s="378"/>
      <c r="T83" s="378"/>
      <c r="U83" s="378"/>
      <c r="V83" s="378"/>
      <c r="W83" s="378"/>
      <c r="X83" s="378"/>
      <c r="Y83" s="378"/>
      <c r="Z83" s="378"/>
      <c r="AA83" s="379"/>
      <c r="AB83" s="378">
        <f t="shared" si="20"/>
        <v>376.9</v>
      </c>
      <c r="AC83" s="378"/>
      <c r="AD83" s="1807"/>
      <c r="AE83" s="378">
        <f>+'Exhibit G State'!AG59+'Exhibit F'!AF76</f>
        <v>290.39999999999998</v>
      </c>
      <c r="AF83" s="378"/>
      <c r="AG83" s="378"/>
      <c r="AH83" s="378">
        <f t="shared" ref="AH83" si="21">ROUND(SUM(AB83-AE83),1)</f>
        <v>86.5</v>
      </c>
      <c r="AI83" s="152"/>
      <c r="AJ83" s="469">
        <f>ROUND(IF(AE83=0,1,AH83/ABS(AE83)),3)</f>
        <v>0.29799999999999999</v>
      </c>
    </row>
    <row r="84" spans="1:36" ht="15">
      <c r="A84" s="594" t="s">
        <v>900</v>
      </c>
      <c r="B84" s="152"/>
      <c r="C84" s="378">
        <f>+'Exhibit G State'!D60</f>
        <v>76.2</v>
      </c>
      <c r="D84" s="378"/>
      <c r="E84" s="378">
        <f>+'Exhibit G State'!F60</f>
        <v>74.499999999999986</v>
      </c>
      <c r="F84" s="378"/>
      <c r="G84" s="378">
        <f>+'Exhibit G State'!H60</f>
        <v>96.899999999999991</v>
      </c>
      <c r="H84" s="378"/>
      <c r="I84" s="378">
        <f>+'Exhibit G State'!J60</f>
        <v>84.700000000000031</v>
      </c>
      <c r="J84" s="378"/>
      <c r="K84" s="378">
        <f>+'Exhibit G State'!L60</f>
        <v>103.2</v>
      </c>
      <c r="L84" s="378"/>
      <c r="M84" s="378">
        <f>+'Exhibit G State'!N60</f>
        <v>81.200000000000031</v>
      </c>
      <c r="N84" s="378"/>
      <c r="O84" s="378"/>
      <c r="P84" s="378"/>
      <c r="Q84" s="378"/>
      <c r="R84" s="378"/>
      <c r="S84" s="378"/>
      <c r="T84" s="378"/>
      <c r="U84" s="378"/>
      <c r="V84" s="378"/>
      <c r="W84" s="378"/>
      <c r="X84" s="378"/>
      <c r="Y84" s="378"/>
      <c r="Z84" s="378"/>
      <c r="AA84" s="379"/>
      <c r="AB84" s="378">
        <f t="shared" si="20"/>
        <v>516.70000000000005</v>
      </c>
      <c r="AC84" s="378"/>
      <c r="AD84" s="1807"/>
      <c r="AE84" s="467">
        <f>+'Exhibit G State'!AG60</f>
        <v>491.1</v>
      </c>
      <c r="AF84" s="378"/>
      <c r="AG84" s="378"/>
      <c r="AH84" s="378">
        <f t="shared" si="18"/>
        <v>25.6</v>
      </c>
      <c r="AI84" s="152"/>
      <c r="AJ84" s="971">
        <f>ROUND(IF(AE84=0,1,AH84/ABS(AE84)),3)</f>
        <v>5.1999999999999998E-2</v>
      </c>
    </row>
    <row r="85" spans="1:36" ht="15">
      <c r="A85" s="594" t="s">
        <v>888</v>
      </c>
      <c r="B85" s="152"/>
      <c r="C85" s="378">
        <f>+'Exhibit F'!D77+'Exhibit H'!B41+'Exhibit G State'!D61</f>
        <v>256.8</v>
      </c>
      <c r="D85" s="378"/>
      <c r="E85" s="378">
        <f>+'Exhibit F'!F77+'Exhibit H'!D41+'Exhibit G State'!F61</f>
        <v>231</v>
      </c>
      <c r="F85" s="378"/>
      <c r="G85" s="378">
        <f>+'Exhibit F'!H77+'Exhibit H'!F41+'Exhibit G State'!H61</f>
        <v>257.89999999999998</v>
      </c>
      <c r="H85" s="378"/>
      <c r="I85" s="378">
        <f>+'Exhibit F'!J77+'Exhibit H'!H41+'Exhibit G State'!J61</f>
        <v>245.60000000000002</v>
      </c>
      <c r="J85" s="378"/>
      <c r="K85" s="378">
        <f>+'Exhibit F'!L77+'Exhibit H'!J41+'Exhibit G State'!L61</f>
        <v>265.40000000000009</v>
      </c>
      <c r="L85" s="378"/>
      <c r="M85" s="378">
        <f>+'Exhibit F'!N77+'Exhibit H'!L41+'Exhibit G State'!N61</f>
        <v>272.29999999999995</v>
      </c>
      <c r="N85" s="378"/>
      <c r="O85" s="378"/>
      <c r="P85" s="378"/>
      <c r="Q85" s="378"/>
      <c r="R85" s="378"/>
      <c r="S85" s="378"/>
      <c r="T85" s="378"/>
      <c r="U85" s="378"/>
      <c r="V85" s="378"/>
      <c r="W85" s="378"/>
      <c r="X85" s="378"/>
      <c r="Y85" s="378"/>
      <c r="Z85" s="378"/>
      <c r="AA85" s="379"/>
      <c r="AB85" s="378">
        <f t="shared" si="20"/>
        <v>1529</v>
      </c>
      <c r="AC85" s="378"/>
      <c r="AD85" s="1807"/>
      <c r="AE85" s="467">
        <f>+'Exhibit F'!AF77+'Exhibit H'!AD41+'Exhibit G State'!AG61</f>
        <v>274.8</v>
      </c>
      <c r="AF85" s="378"/>
      <c r="AG85" s="378"/>
      <c r="AH85" s="378">
        <f t="shared" si="18"/>
        <v>1254.2</v>
      </c>
      <c r="AI85" s="152"/>
      <c r="AJ85" s="1133">
        <f>ROUND(SUM(AH85/ABS(AE85)),3)</f>
        <v>4.5640000000000001</v>
      </c>
    </row>
    <row r="86" spans="1:36" ht="15">
      <c r="A86" s="594" t="s">
        <v>905</v>
      </c>
      <c r="B86" s="152"/>
      <c r="C86" s="378">
        <f>+'Exhibit F'!D78+'Exhibit H'!B42+'Exhibit G State'!D62</f>
        <v>6.8</v>
      </c>
      <c r="D86" s="378"/>
      <c r="E86" s="378">
        <f>+'Exhibit F'!F78+'Exhibit H'!D42+'Exhibit G State'!F62</f>
        <v>1.6000000000000005</v>
      </c>
      <c r="F86" s="378"/>
      <c r="G86" s="378">
        <f>+'Exhibit F'!H78+'Exhibit H'!F42+'Exhibit G State'!H62</f>
        <v>7.0000000000000009</v>
      </c>
      <c r="H86" s="378"/>
      <c r="I86" s="378">
        <f>+'Exhibit F'!J78+'Exhibit H'!H42+'Exhibit G State'!J62</f>
        <v>2.9999999999999956</v>
      </c>
      <c r="J86" s="378"/>
      <c r="K86" s="378">
        <f>+'Exhibit F'!L78+'Exhibit H'!J42+'Exhibit G State'!L62</f>
        <v>1.5000000000000022</v>
      </c>
      <c r="L86" s="378"/>
      <c r="M86" s="378">
        <f>+'Exhibit F'!N78+'Exhibit H'!L42+'Exhibit G State'!N62</f>
        <v>80</v>
      </c>
      <c r="N86" s="378"/>
      <c r="O86" s="378"/>
      <c r="P86" s="378"/>
      <c r="Q86" s="378"/>
      <c r="R86" s="378"/>
      <c r="S86" s="378"/>
      <c r="T86" s="378"/>
      <c r="U86" s="378"/>
      <c r="V86" s="378"/>
      <c r="W86" s="378"/>
      <c r="X86" s="378"/>
      <c r="Y86" s="378"/>
      <c r="Z86" s="378"/>
      <c r="AA86" s="379"/>
      <c r="AB86" s="378">
        <f t="shared" si="20"/>
        <v>99.9</v>
      </c>
      <c r="AC86" s="378"/>
      <c r="AD86" s="1807"/>
      <c r="AE86" s="378">
        <f>+'Exhibit F'!AF78+'Exhibit H'!AD42+'Exhibit G State'!AG62</f>
        <v>99.8</v>
      </c>
      <c r="AF86" s="378"/>
      <c r="AG86" s="378"/>
      <c r="AH86" s="378">
        <f>ROUND(SUM(AB86-AE86),1)</f>
        <v>0.1</v>
      </c>
      <c r="AI86" s="152"/>
      <c r="AJ86" s="1133">
        <f>ROUND(SUM(AH86/ABS(AE86)),3)</f>
        <v>1E-3</v>
      </c>
    </row>
    <row r="87" spans="1:36" ht="15">
      <c r="A87" s="594" t="s">
        <v>1003</v>
      </c>
      <c r="B87" s="152"/>
      <c r="C87" s="378"/>
      <c r="D87" s="378"/>
      <c r="E87" s="378"/>
      <c r="F87" s="378"/>
      <c r="G87" s="378"/>
      <c r="H87" s="378"/>
      <c r="I87" s="378"/>
      <c r="J87" s="378"/>
      <c r="K87" s="378"/>
      <c r="L87" s="378"/>
      <c r="M87" s="378"/>
      <c r="N87" s="378"/>
      <c r="O87" s="378"/>
      <c r="P87" s="378"/>
      <c r="Q87" s="378"/>
      <c r="R87" s="378"/>
      <c r="S87" s="378"/>
      <c r="T87" s="378"/>
      <c r="U87" s="378"/>
      <c r="V87" s="378"/>
      <c r="W87" s="378"/>
      <c r="X87" s="378"/>
      <c r="Y87" s="378"/>
      <c r="Z87" s="378"/>
      <c r="AA87" s="379"/>
      <c r="AB87" s="378"/>
      <c r="AC87" s="378"/>
      <c r="AD87" s="1807"/>
      <c r="AE87" s="378"/>
      <c r="AF87" s="378"/>
      <c r="AG87" s="378"/>
      <c r="AH87" s="378"/>
      <c r="AI87" s="152"/>
      <c r="AJ87" s="469"/>
    </row>
    <row r="88" spans="1:36" ht="15">
      <c r="A88" s="594" t="s">
        <v>901</v>
      </c>
      <c r="B88" s="152"/>
      <c r="C88" s="378">
        <f>+'Exhibit G State'!D64</f>
        <v>0</v>
      </c>
      <c r="D88" s="378"/>
      <c r="E88" s="378">
        <f>+'Exhibit G State'!F64</f>
        <v>0</v>
      </c>
      <c r="F88" s="378"/>
      <c r="G88" s="378">
        <f>+'Exhibit G State'!H64</f>
        <v>0</v>
      </c>
      <c r="H88" s="378"/>
      <c r="I88" s="378">
        <f>+'Exhibit G State'!J64</f>
        <v>0</v>
      </c>
      <c r="J88" s="378"/>
      <c r="K88" s="378">
        <f>+'Exhibit G State'!L64</f>
        <v>0</v>
      </c>
      <c r="L88" s="378"/>
      <c r="M88" s="378">
        <f>+'Exhibit G State'!N64</f>
        <v>0</v>
      </c>
      <c r="N88" s="378"/>
      <c r="O88" s="378"/>
      <c r="P88" s="378"/>
      <c r="Q88" s="378"/>
      <c r="R88" s="378"/>
      <c r="S88" s="378"/>
      <c r="T88" s="378"/>
      <c r="U88" s="378"/>
      <c r="V88" s="378"/>
      <c r="W88" s="378"/>
      <c r="X88" s="378"/>
      <c r="Y88" s="378"/>
      <c r="Z88" s="378"/>
      <c r="AA88" s="379"/>
      <c r="AB88" s="378">
        <f t="shared" ref="AB88:AB92" si="22">ROUND(SUM(C88:Y88),1)</f>
        <v>0</v>
      </c>
      <c r="AC88" s="378"/>
      <c r="AD88" s="1807"/>
      <c r="AE88" s="378">
        <f>+'Exhibit G State'!AG64+'Exhibit H'!AD44+'Exhibit F'!AF80</f>
        <v>0</v>
      </c>
      <c r="AF88" s="378"/>
      <c r="AG88" s="378"/>
      <c r="AH88" s="378">
        <f t="shared" si="18"/>
        <v>0</v>
      </c>
      <c r="AI88" s="152"/>
      <c r="AJ88" s="469">
        <f>ROUND(IF(AE88=0,0,AH88/ABS(AE88)),3)</f>
        <v>0</v>
      </c>
    </row>
    <row r="89" spans="1:36" ht="15">
      <c r="A89" s="594" t="s">
        <v>902</v>
      </c>
      <c r="B89" s="152"/>
      <c r="C89" s="378">
        <f>+'Exhibit F'!D81+'Exhibit G State'!D65</f>
        <v>0.4</v>
      </c>
      <c r="D89" s="378"/>
      <c r="E89" s="378">
        <f>+'Exhibit F'!F81+'Exhibit G State'!F65</f>
        <v>0</v>
      </c>
      <c r="F89" s="378"/>
      <c r="G89" s="378">
        <f>+'Exhibit F'!H81+'Exhibit G State'!H65</f>
        <v>0</v>
      </c>
      <c r="H89" s="378"/>
      <c r="I89" s="378">
        <f>+'Exhibit F'!J81+'Exhibit G State'!J65</f>
        <v>0</v>
      </c>
      <c r="J89" s="378"/>
      <c r="K89" s="378">
        <f>+'Exhibit F'!L81+'Exhibit G State'!L65</f>
        <v>0</v>
      </c>
      <c r="L89" s="378"/>
      <c r="M89" s="378">
        <f>+'Exhibit F'!N81+'Exhibit G State'!N65</f>
        <v>0</v>
      </c>
      <c r="N89" s="378"/>
      <c r="O89" s="378"/>
      <c r="P89" s="378"/>
      <c r="Q89" s="378"/>
      <c r="R89" s="378"/>
      <c r="S89" s="378"/>
      <c r="T89" s="378"/>
      <c r="U89" s="378"/>
      <c r="V89" s="378"/>
      <c r="W89" s="378"/>
      <c r="X89" s="378"/>
      <c r="Y89" s="378"/>
      <c r="Z89" s="378"/>
      <c r="AA89" s="379"/>
      <c r="AB89" s="378">
        <f t="shared" si="22"/>
        <v>0.4</v>
      </c>
      <c r="AC89" s="378"/>
      <c r="AD89" s="1807"/>
      <c r="AE89" s="378">
        <f>+'Exhibit F'!AF81+'Exhibit G State'!AG65</f>
        <v>26.9</v>
      </c>
      <c r="AF89" s="378"/>
      <c r="AG89" s="378"/>
      <c r="AH89" s="378">
        <f t="shared" si="18"/>
        <v>-26.5</v>
      </c>
      <c r="AI89" s="152"/>
      <c r="AJ89" s="488">
        <f>ROUND(IF(AE89=0,1,AH89/ABS(AE89)),3)</f>
        <v>-0.98499999999999999</v>
      </c>
    </row>
    <row r="90" spans="1:36" ht="15">
      <c r="A90" s="594" t="s">
        <v>903</v>
      </c>
      <c r="B90" s="152"/>
      <c r="C90" s="378">
        <f>+'Exhibit F'!D82+'Exhibit G State'!D66</f>
        <v>0.3</v>
      </c>
      <c r="D90" s="378"/>
      <c r="E90" s="378">
        <f>+'Exhibit F'!F82+'Exhibit G State'!F66</f>
        <v>0</v>
      </c>
      <c r="F90" s="378"/>
      <c r="G90" s="378">
        <f>+'Exhibit F'!H82+'Exhibit G State'!H66</f>
        <v>2.4000000000000004</v>
      </c>
      <c r="H90" s="378"/>
      <c r="I90" s="378">
        <f>+'Exhibit F'!J82+'Exhibit G State'!J66</f>
        <v>5.6</v>
      </c>
      <c r="J90" s="378"/>
      <c r="K90" s="378">
        <f>+'Exhibit F'!L82+'Exhibit G State'!L66</f>
        <v>9.7000000000000011</v>
      </c>
      <c r="L90" s="378"/>
      <c r="M90" s="378">
        <f>+'Exhibit F'!N82+'Exhibit G State'!N66</f>
        <v>10.599999999999996</v>
      </c>
      <c r="N90" s="378"/>
      <c r="O90" s="378"/>
      <c r="P90" s="378"/>
      <c r="Q90" s="378"/>
      <c r="R90" s="378"/>
      <c r="S90" s="378"/>
      <c r="T90" s="378"/>
      <c r="U90" s="378"/>
      <c r="V90" s="378"/>
      <c r="W90" s="378"/>
      <c r="X90" s="378"/>
      <c r="Y90" s="378"/>
      <c r="Z90" s="378"/>
      <c r="AA90" s="379"/>
      <c r="AB90" s="378">
        <f t="shared" si="22"/>
        <v>28.6</v>
      </c>
      <c r="AC90" s="378"/>
      <c r="AD90" s="1807"/>
      <c r="AE90" s="378">
        <f>+'Exhibit F'!AF82+'Exhibit G State'!AG66</f>
        <v>39.800000000000004</v>
      </c>
      <c r="AF90" s="378"/>
      <c r="AG90" s="378"/>
      <c r="AH90" s="378">
        <f t="shared" si="18"/>
        <v>-11.2</v>
      </c>
      <c r="AI90" s="152"/>
      <c r="AJ90" s="1133">
        <f>ROUND(SUM(AH90/ABS(AE90)),3)</f>
        <v>-0.28100000000000003</v>
      </c>
    </row>
    <row r="91" spans="1:36" ht="15">
      <c r="A91" s="594" t="s">
        <v>904</v>
      </c>
      <c r="B91" s="152"/>
      <c r="C91" s="378">
        <f>+'Exhibit F'!D83+'Exhibit G State'!D67</f>
        <v>4.9000000000000004</v>
      </c>
      <c r="D91" s="378"/>
      <c r="E91" s="378">
        <f>+'Exhibit F'!F83+'Exhibit G State'!F67</f>
        <v>9.9999999999999645E-2</v>
      </c>
      <c r="F91" s="378"/>
      <c r="G91" s="378">
        <f>+'Exhibit F'!H83+'Exhibit G State'!H67</f>
        <v>10.8</v>
      </c>
      <c r="H91" s="378"/>
      <c r="I91" s="378">
        <f>+'Exhibit F'!J83+'Exhibit G State'!J67</f>
        <v>4.6999999999999993</v>
      </c>
      <c r="J91" s="378"/>
      <c r="K91" s="378">
        <f>+'Exhibit F'!L83+'Exhibit G State'!L67</f>
        <v>5.6000000000000014</v>
      </c>
      <c r="L91" s="378"/>
      <c r="M91" s="378">
        <f>+'Exhibit F'!N83+'Exhibit G State'!N67</f>
        <v>4.5</v>
      </c>
      <c r="N91" s="378"/>
      <c r="O91" s="378"/>
      <c r="P91" s="378"/>
      <c r="Q91" s="378"/>
      <c r="R91" s="378"/>
      <c r="S91" s="378"/>
      <c r="T91" s="378"/>
      <c r="U91" s="378"/>
      <c r="V91" s="378"/>
      <c r="W91" s="378"/>
      <c r="X91" s="378"/>
      <c r="Y91" s="378"/>
      <c r="Z91" s="378"/>
      <c r="AA91" s="379"/>
      <c r="AB91" s="378">
        <f t="shared" si="22"/>
        <v>30.6</v>
      </c>
      <c r="AC91" s="378"/>
      <c r="AD91" s="1807"/>
      <c r="AE91" s="378">
        <f>+'Exhibit F'!AF83+'Exhibit G State'!AG67</f>
        <v>34.1</v>
      </c>
      <c r="AF91" s="378"/>
      <c r="AG91" s="378"/>
      <c r="AH91" s="378">
        <f t="shared" si="18"/>
        <v>-3.5</v>
      </c>
      <c r="AI91" s="152"/>
      <c r="AJ91" s="1133">
        <f>ROUND(SUM(AH91/ABS(AE91)),3)</f>
        <v>-0.10299999999999999</v>
      </c>
    </row>
    <row r="92" spans="1:36" ht="15">
      <c r="A92" s="594" t="s">
        <v>906</v>
      </c>
      <c r="B92" s="152"/>
      <c r="C92" s="378">
        <f>+'Exhibit F'!D84+'Exhibit H'!B45+'Exhibit G State'!D68</f>
        <v>27.3</v>
      </c>
      <c r="D92" s="378"/>
      <c r="E92" s="378">
        <f>+'Exhibit F'!F84+'Exhibit H'!D45+'Exhibit G State'!F68</f>
        <v>16.100000000000001</v>
      </c>
      <c r="F92" s="378"/>
      <c r="G92" s="378">
        <f>+'Exhibit F'!H84+'Exhibit H'!F45+'Exhibit G State'!H68</f>
        <v>2.2000000000000015</v>
      </c>
      <c r="H92" s="378"/>
      <c r="I92" s="378">
        <f>+'Exhibit F'!J84+'Exhibit H'!H45+'Exhibit G State'!J68</f>
        <v>0.89999999999999569</v>
      </c>
      <c r="J92" s="378"/>
      <c r="K92" s="378">
        <f>+'Exhibit F'!L84+'Exhibit H'!J45+'Exhibit G State'!L68</f>
        <v>10.1</v>
      </c>
      <c r="L92" s="378"/>
      <c r="M92" s="378">
        <f>+'Exhibit F'!N84+'Exhibit H'!L45+'Exhibit G State'!N68</f>
        <v>-1.4</v>
      </c>
      <c r="N92" s="378"/>
      <c r="O92" s="378"/>
      <c r="P92" s="378"/>
      <c r="Q92" s="378"/>
      <c r="R92" s="378"/>
      <c r="S92" s="378"/>
      <c r="T92" s="378"/>
      <c r="U92" s="378"/>
      <c r="V92" s="378"/>
      <c r="W92" s="378"/>
      <c r="X92" s="378"/>
      <c r="Y92" s="378"/>
      <c r="Z92" s="378"/>
      <c r="AA92" s="379"/>
      <c r="AB92" s="378">
        <f t="shared" si="22"/>
        <v>55.2</v>
      </c>
      <c r="AC92" s="378"/>
      <c r="AD92" s="1807"/>
      <c r="AE92" s="378">
        <f>+'Exhibit F'!AF84+'Exhibit H'!AD45+'Exhibit G State'!AG68</f>
        <v>85.6</v>
      </c>
      <c r="AF92" s="378"/>
      <c r="AG92" s="378"/>
      <c r="AH92" s="378">
        <f t="shared" si="18"/>
        <v>-30.4</v>
      </c>
      <c r="AI92" s="152"/>
      <c r="AJ92" s="1133">
        <f>ROUND(SUM(AH92/ABS(AE92)),3)</f>
        <v>-0.35499999999999998</v>
      </c>
    </row>
    <row r="93" spans="1:36" ht="15">
      <c r="A93" s="594" t="s">
        <v>1004</v>
      </c>
      <c r="B93" s="152"/>
      <c r="C93" s="378"/>
      <c r="D93" s="378"/>
      <c r="E93" s="378"/>
      <c r="F93" s="378"/>
      <c r="G93" s="378"/>
      <c r="H93" s="378"/>
      <c r="I93" s="378"/>
      <c r="J93" s="378"/>
      <c r="K93" s="378"/>
      <c r="L93" s="378"/>
      <c r="M93" s="378"/>
      <c r="N93" s="378"/>
      <c r="O93" s="378"/>
      <c r="P93" s="378"/>
      <c r="Q93" s="378"/>
      <c r="R93" s="378"/>
      <c r="S93" s="378"/>
      <c r="T93" s="378"/>
      <c r="U93" s="378"/>
      <c r="V93" s="378"/>
      <c r="W93" s="378"/>
      <c r="X93" s="378"/>
      <c r="Y93" s="378"/>
      <c r="Z93" s="378"/>
      <c r="AA93" s="379"/>
      <c r="AB93" s="378"/>
      <c r="AC93" s="378"/>
      <c r="AD93" s="1807"/>
      <c r="AE93" s="378"/>
      <c r="AF93" s="378"/>
      <c r="AG93" s="378"/>
      <c r="AH93" s="378"/>
      <c r="AI93" s="152"/>
      <c r="AJ93" s="469"/>
    </row>
    <row r="94" spans="1:36" ht="15">
      <c r="A94" s="594" t="s">
        <v>907</v>
      </c>
      <c r="B94" s="152"/>
      <c r="C94" s="378">
        <f>+'Exhibit F'!D86+'Exhibit G State'!D70</f>
        <v>8.6999999999999993</v>
      </c>
      <c r="D94" s="378"/>
      <c r="E94" s="378">
        <f>+'Exhibit F'!F86+'Exhibit G State'!F70</f>
        <v>26.799999999999997</v>
      </c>
      <c r="F94" s="378"/>
      <c r="G94" s="378">
        <f>+'Exhibit F'!H86+'Exhibit G State'!H70</f>
        <v>24.9</v>
      </c>
      <c r="H94" s="378"/>
      <c r="I94" s="378">
        <f>+'Exhibit F'!J86+'Exhibit G State'!J70</f>
        <v>25.000000000000004</v>
      </c>
      <c r="J94" s="378"/>
      <c r="K94" s="378">
        <f>+'Exhibit F'!L86+'Exhibit G State'!L70</f>
        <v>10</v>
      </c>
      <c r="L94" s="378"/>
      <c r="M94" s="378">
        <f>+'Exhibit F'!N86+'Exhibit G State'!N70</f>
        <v>24.100000000000005</v>
      </c>
      <c r="N94" s="378"/>
      <c r="O94" s="378"/>
      <c r="P94" s="378"/>
      <c r="Q94" s="378"/>
      <c r="R94" s="378"/>
      <c r="S94" s="378"/>
      <c r="T94" s="378"/>
      <c r="U94" s="378"/>
      <c r="V94" s="378"/>
      <c r="W94" s="378"/>
      <c r="X94" s="378"/>
      <c r="Y94" s="378"/>
      <c r="Z94" s="378"/>
      <c r="AA94" s="379"/>
      <c r="AB94" s="378">
        <f t="shared" ref="AB94:AB105" si="23">ROUND(SUM(C94:Y94),1)</f>
        <v>119.5</v>
      </c>
      <c r="AC94" s="378"/>
      <c r="AD94" s="1807"/>
      <c r="AE94" s="378">
        <f>+'Exhibit F'!AF86+'Exhibit G State'!AG70</f>
        <v>119.7</v>
      </c>
      <c r="AF94" s="378"/>
      <c r="AG94" s="378"/>
      <c r="AH94" s="378">
        <f t="shared" si="18"/>
        <v>-0.2</v>
      </c>
      <c r="AI94" s="152"/>
      <c r="AJ94" s="1133">
        <f>ROUND(SUM(AH94/ABS(AE94)),3)</f>
        <v>-2E-3</v>
      </c>
    </row>
    <row r="95" spans="1:36" ht="15">
      <c r="A95" s="594" t="s">
        <v>908</v>
      </c>
      <c r="B95" s="152"/>
      <c r="C95" s="378">
        <f>+'Exhibit G State'!D71+'Exhibit F'!D87</f>
        <v>1</v>
      </c>
      <c r="D95" s="378"/>
      <c r="E95" s="378">
        <f>+'Exhibit G State'!F71+'Exhibit F'!F87</f>
        <v>0.29999999999999583</v>
      </c>
      <c r="F95" s="378"/>
      <c r="G95" s="378">
        <f>+'Exhibit G State'!H71+'Exhibit F'!H87</f>
        <v>0.20000000000000129</v>
      </c>
      <c r="H95" s="378"/>
      <c r="I95" s="378">
        <f>+'Exhibit G State'!J71+'Exhibit F'!J87</f>
        <v>-0.19999999999999996</v>
      </c>
      <c r="J95" s="378"/>
      <c r="K95" s="378">
        <f>+'Exhibit G State'!L71+'Exhibit F'!L87</f>
        <v>0.59999999999999143</v>
      </c>
      <c r="L95" s="378"/>
      <c r="M95" s="378">
        <f>+'Exhibit G State'!N71+'Exhibit F'!N87</f>
        <v>0</v>
      </c>
      <c r="N95" s="378"/>
      <c r="O95" s="378"/>
      <c r="P95" s="378"/>
      <c r="Q95" s="378"/>
      <c r="R95" s="378"/>
      <c r="S95" s="378"/>
      <c r="T95" s="378"/>
      <c r="U95" s="378"/>
      <c r="V95" s="378"/>
      <c r="W95" s="378"/>
      <c r="X95" s="378"/>
      <c r="Y95" s="378"/>
      <c r="Z95" s="378"/>
      <c r="AA95" s="379"/>
      <c r="AB95" s="378">
        <f t="shared" si="23"/>
        <v>1.9</v>
      </c>
      <c r="AC95" s="378"/>
      <c r="AD95" s="1807"/>
      <c r="AE95" s="378">
        <f>+'Exhibit G State'!AG71+'Exhibit F'!AF87</f>
        <v>8.099999999999989</v>
      </c>
      <c r="AF95" s="378"/>
      <c r="AG95" s="378"/>
      <c r="AH95" s="378">
        <f t="shared" si="18"/>
        <v>-6.2</v>
      </c>
      <c r="AI95" s="152"/>
      <c r="AJ95" s="971">
        <f>ROUND(IF(AE95=0,1,AH95/ABS(AE95)),3)</f>
        <v>-0.76500000000000001</v>
      </c>
    </row>
    <row r="96" spans="1:36" ht="15">
      <c r="A96" s="594" t="s">
        <v>1209</v>
      </c>
      <c r="B96" s="152"/>
      <c r="C96" s="378">
        <f>'Exhibit G State'!D72</f>
        <v>0</v>
      </c>
      <c r="D96" s="378"/>
      <c r="E96" s="378">
        <f>'Exhibit G State'!F72</f>
        <v>0</v>
      </c>
      <c r="F96" s="378"/>
      <c r="G96" s="378">
        <f>'Exhibit G State'!H72</f>
        <v>0</v>
      </c>
      <c r="H96" s="378"/>
      <c r="I96" s="378">
        <f>'Exhibit G State'!J72</f>
        <v>0</v>
      </c>
      <c r="J96" s="378"/>
      <c r="K96" s="378">
        <f>'Exhibit G State'!L72</f>
        <v>0</v>
      </c>
      <c r="L96" s="378"/>
      <c r="M96" s="378">
        <f>'Exhibit G State'!N72</f>
        <v>0</v>
      </c>
      <c r="N96" s="378"/>
      <c r="O96" s="378"/>
      <c r="P96" s="378"/>
      <c r="Q96" s="378"/>
      <c r="R96" s="378"/>
      <c r="S96" s="378"/>
      <c r="T96" s="378"/>
      <c r="U96" s="378"/>
      <c r="V96" s="378"/>
      <c r="W96" s="378"/>
      <c r="X96" s="378"/>
      <c r="Y96" s="378"/>
      <c r="Z96" s="378"/>
      <c r="AA96" s="379"/>
      <c r="AB96" s="378">
        <f t="shared" si="23"/>
        <v>0</v>
      </c>
      <c r="AC96" s="378"/>
      <c r="AD96" s="1807"/>
      <c r="AE96" s="378">
        <f>+'Exhibit G State'!AG72</f>
        <v>0</v>
      </c>
      <c r="AF96" s="378"/>
      <c r="AG96" s="378"/>
      <c r="AH96" s="378">
        <f t="shared" ref="AH96" si="24">ROUND(SUM(AB96-AE96),1)</f>
        <v>0</v>
      </c>
      <c r="AI96" s="152"/>
      <c r="AJ96" s="469">
        <f>ROUND(IF(AE96=0,0,AH96/ABS(AE96)),3)</f>
        <v>0</v>
      </c>
    </row>
    <row r="97" spans="1:45" ht="15">
      <c r="A97" s="594" t="s">
        <v>909</v>
      </c>
      <c r="B97" s="152"/>
      <c r="C97" s="378">
        <f>+'Exhibit F'!D88+'Exhibit G State'!D73</f>
        <v>0.3</v>
      </c>
      <c r="D97" s="378"/>
      <c r="E97" s="378">
        <f>+'Exhibit F'!F88+'Exhibit G State'!F73</f>
        <v>1.3</v>
      </c>
      <c r="F97" s="378"/>
      <c r="G97" s="378">
        <f>+'Exhibit F'!H88+'Exhibit G State'!H73</f>
        <v>19.7</v>
      </c>
      <c r="H97" s="378"/>
      <c r="I97" s="378">
        <f>+'Exhibit F'!J88+'Exhibit G State'!J73</f>
        <v>0.30000000000000071</v>
      </c>
      <c r="J97" s="378"/>
      <c r="K97" s="378">
        <f>+'Exhibit F'!L88+'Exhibit G State'!L73</f>
        <v>1</v>
      </c>
      <c r="L97" s="378"/>
      <c r="M97" s="378">
        <f>+'Exhibit F'!N88+'Exhibit G State'!N73</f>
        <v>0.59999999999999787</v>
      </c>
      <c r="N97" s="378"/>
      <c r="O97" s="378"/>
      <c r="P97" s="378"/>
      <c r="Q97" s="378"/>
      <c r="R97" s="378"/>
      <c r="S97" s="378"/>
      <c r="T97" s="378"/>
      <c r="U97" s="378"/>
      <c r="V97" s="378"/>
      <c r="W97" s="378"/>
      <c r="X97" s="378"/>
      <c r="Y97" s="378"/>
      <c r="Z97" s="378"/>
      <c r="AA97" s="379"/>
      <c r="AB97" s="378">
        <f t="shared" si="23"/>
        <v>23.2</v>
      </c>
      <c r="AC97" s="378"/>
      <c r="AD97" s="1807"/>
      <c r="AE97" s="378">
        <f>+'Exhibit F'!AF88+'Exhibit G State'!AG73</f>
        <v>3.9</v>
      </c>
      <c r="AF97" s="378"/>
      <c r="AG97" s="378"/>
      <c r="AH97" s="378">
        <f t="shared" si="18"/>
        <v>19.3</v>
      </c>
      <c r="AI97" s="152"/>
      <c r="AJ97" s="1133">
        <f t="shared" ref="AJ97:AJ104" si="25">ROUND(SUM(AH97/ABS(AE97)),3)</f>
        <v>4.9489999999999998</v>
      </c>
    </row>
    <row r="98" spans="1:45" ht="15">
      <c r="A98" s="594" t="s">
        <v>910</v>
      </c>
      <c r="B98" s="152"/>
      <c r="C98" s="378">
        <f>+'Exhibit F'!D89+'Exhibit G State'!D74</f>
        <v>0</v>
      </c>
      <c r="D98" s="378"/>
      <c r="E98" s="378">
        <f>+'Exhibit F'!F89+'Exhibit G State'!F74</f>
        <v>14.2</v>
      </c>
      <c r="F98" s="378"/>
      <c r="G98" s="378">
        <f>+'Exhibit F'!H89+'Exhibit G State'!H74</f>
        <v>7.5000000000000018</v>
      </c>
      <c r="H98" s="378"/>
      <c r="I98" s="378">
        <f>+'Exhibit F'!J89+'Exhibit G State'!J74</f>
        <v>5.5999999999999979</v>
      </c>
      <c r="J98" s="378"/>
      <c r="K98" s="378">
        <f>+'Exhibit F'!L89+'Exhibit G State'!L74</f>
        <v>6.0999999999999979</v>
      </c>
      <c r="L98" s="378"/>
      <c r="M98" s="378">
        <f>+'Exhibit F'!N89+'Exhibit G State'!N74</f>
        <v>6.5</v>
      </c>
      <c r="N98" s="378"/>
      <c r="O98" s="378"/>
      <c r="P98" s="378"/>
      <c r="Q98" s="378"/>
      <c r="R98" s="378"/>
      <c r="S98" s="378"/>
      <c r="T98" s="378"/>
      <c r="U98" s="378"/>
      <c r="V98" s="378"/>
      <c r="W98" s="378"/>
      <c r="X98" s="378"/>
      <c r="Y98" s="378"/>
      <c r="Z98" s="378"/>
      <c r="AA98" s="379"/>
      <c r="AB98" s="378">
        <f t="shared" si="23"/>
        <v>39.9</v>
      </c>
      <c r="AC98" s="378"/>
      <c r="AD98" s="1807"/>
      <c r="AE98" s="378">
        <f>+'Exhibit F'!AF89+'Exhibit G State'!AG74</f>
        <v>42</v>
      </c>
      <c r="AF98" s="378"/>
      <c r="AG98" s="378"/>
      <c r="AH98" s="378">
        <f t="shared" si="18"/>
        <v>-2.1</v>
      </c>
      <c r="AI98" s="152"/>
      <c r="AJ98" s="488">
        <f t="shared" si="25"/>
        <v>-0.05</v>
      </c>
    </row>
    <row r="99" spans="1:45" ht="15">
      <c r="A99" s="594" t="s">
        <v>911</v>
      </c>
      <c r="B99" s="152"/>
      <c r="C99" s="378">
        <f>+'Exhibit F'!D90+'Exhibit H'!B47+'Exhibit G State'!D75</f>
        <v>306.89999999999998</v>
      </c>
      <c r="D99" s="378"/>
      <c r="E99" s="378">
        <f>+'Exhibit F'!F90+'Exhibit H'!D47+'Exhibit G State'!F75</f>
        <v>-305.60000000000002</v>
      </c>
      <c r="F99" s="378"/>
      <c r="G99" s="378">
        <f>+'Exhibit F'!H90+'Exhibit H'!F47+'Exhibit G State'!H75</f>
        <v>756.3</v>
      </c>
      <c r="H99" s="378"/>
      <c r="I99" s="378">
        <f>+'Exhibit F'!J90+'Exhibit H'!H47+'Exhibit G State'!J75</f>
        <v>417.8</v>
      </c>
      <c r="J99" s="378"/>
      <c r="K99" s="378">
        <f>+'Exhibit F'!L90+'Exhibit H'!J47+'Exhibit G State'!L75</f>
        <v>327.10000000000008</v>
      </c>
      <c r="L99" s="378"/>
      <c r="M99" s="378">
        <f>+'Exhibit F'!N90+'Exhibit H'!L47+'Exhibit G State'!N75</f>
        <v>252.1</v>
      </c>
      <c r="N99" s="378"/>
      <c r="O99" s="378"/>
      <c r="P99" s="378"/>
      <c r="Q99" s="378"/>
      <c r="R99" s="378"/>
      <c r="S99" s="378"/>
      <c r="T99" s="378"/>
      <c r="U99" s="378"/>
      <c r="V99" s="378"/>
      <c r="W99" s="378"/>
      <c r="X99" s="378"/>
      <c r="Y99" s="378"/>
      <c r="Z99" s="378"/>
      <c r="AA99" s="379"/>
      <c r="AB99" s="378">
        <f t="shared" si="23"/>
        <v>1754.6</v>
      </c>
      <c r="AC99" s="378"/>
      <c r="AD99" s="1807"/>
      <c r="AE99" s="378">
        <f>+'Exhibit F'!AF90+'Exhibit H'!AD47+'Exhibit G State'!AG75</f>
        <v>1493.8</v>
      </c>
      <c r="AF99" s="378"/>
      <c r="AG99" s="378"/>
      <c r="AH99" s="378">
        <f t="shared" si="18"/>
        <v>260.8</v>
      </c>
      <c r="AI99" s="152"/>
      <c r="AJ99" s="488">
        <f t="shared" si="25"/>
        <v>0.17499999999999999</v>
      </c>
    </row>
    <row r="100" spans="1:45" ht="15">
      <c r="A100" s="594" t="s">
        <v>912</v>
      </c>
      <c r="B100" s="152"/>
      <c r="C100" s="378">
        <f>+'Exhibit G State'!D76+'Exhibit F'!D91</f>
        <v>4.0999999999999996</v>
      </c>
      <c r="D100" s="378"/>
      <c r="E100" s="378">
        <f>+'Exhibit G State'!F76+'Exhibit F'!F91</f>
        <v>2.2999999999999998</v>
      </c>
      <c r="F100" s="378"/>
      <c r="G100" s="378">
        <f>+'Exhibit G State'!H76+'Exhibit F'!H91</f>
        <v>6.8999999999999995</v>
      </c>
      <c r="H100" s="378"/>
      <c r="I100" s="378">
        <f>+'Exhibit G State'!J76+'Exhibit F'!J91</f>
        <v>4.9999999999999991</v>
      </c>
      <c r="J100" s="378"/>
      <c r="K100" s="378">
        <f>+'Exhibit G State'!L76+'Exhibit F'!L91</f>
        <v>3.400000000000003</v>
      </c>
      <c r="L100" s="378"/>
      <c r="M100" s="378">
        <f>+'Exhibit G State'!N76+'Exhibit F'!N91</f>
        <v>5.599999999999997</v>
      </c>
      <c r="N100" s="378"/>
      <c r="O100" s="378"/>
      <c r="P100" s="378"/>
      <c r="Q100" s="378"/>
      <c r="R100" s="378"/>
      <c r="S100" s="378"/>
      <c r="T100" s="378"/>
      <c r="U100" s="378"/>
      <c r="V100" s="378"/>
      <c r="W100" s="378"/>
      <c r="X100" s="378"/>
      <c r="Y100" s="378"/>
      <c r="Z100" s="378"/>
      <c r="AA100" s="379"/>
      <c r="AB100" s="378">
        <f t="shared" si="23"/>
        <v>27.3</v>
      </c>
      <c r="AC100" s="378"/>
      <c r="AD100" s="1807"/>
      <c r="AE100" s="378">
        <f>+'Exhibit G State'!AG76+'Exhibit F'!AF91</f>
        <v>26.3</v>
      </c>
      <c r="AF100" s="378"/>
      <c r="AG100" s="378"/>
      <c r="AH100" s="378">
        <f t="shared" si="18"/>
        <v>1</v>
      </c>
      <c r="AI100" s="152"/>
      <c r="AJ100" s="488">
        <f>ROUND(SUM(AH100/ABS(AE100)),3)</f>
        <v>3.7999999999999999E-2</v>
      </c>
    </row>
    <row r="101" spans="1:45" ht="15">
      <c r="A101" s="594" t="s">
        <v>913</v>
      </c>
      <c r="B101" s="152"/>
      <c r="C101" s="378">
        <f>+'Exhibit F'!D92+'Exhibit G State'!D77</f>
        <v>4.5</v>
      </c>
      <c r="D101" s="378"/>
      <c r="E101" s="378">
        <f>+'Exhibit F'!F92+'Exhibit G State'!F77</f>
        <v>0.80000000000000016</v>
      </c>
      <c r="F101" s="378"/>
      <c r="G101" s="378">
        <f>+'Exhibit F'!H92+'Exhibit G State'!H77</f>
        <v>1.7000000000000002</v>
      </c>
      <c r="H101" s="378"/>
      <c r="I101" s="378">
        <f>+'Exhibit F'!J92+'Exhibit G State'!J77</f>
        <v>14.800000000000002</v>
      </c>
      <c r="J101" s="378"/>
      <c r="K101" s="378">
        <f>+'Exhibit F'!L92+'Exhibit G State'!L77</f>
        <v>34.699999999999989</v>
      </c>
      <c r="L101" s="378"/>
      <c r="M101" s="378">
        <f>+'Exhibit F'!N92+'Exhibit G State'!N77</f>
        <v>0.40000000000000424</v>
      </c>
      <c r="N101" s="378"/>
      <c r="O101" s="378"/>
      <c r="P101" s="378"/>
      <c r="Q101" s="378"/>
      <c r="R101" s="378"/>
      <c r="S101" s="378"/>
      <c r="T101" s="378"/>
      <c r="U101" s="378"/>
      <c r="V101" s="378"/>
      <c r="W101" s="378"/>
      <c r="X101" s="378"/>
      <c r="Y101" s="378"/>
      <c r="Z101" s="378"/>
      <c r="AA101" s="379"/>
      <c r="AB101" s="378">
        <f t="shared" si="23"/>
        <v>56.9</v>
      </c>
      <c r="AC101" s="378"/>
      <c r="AD101" s="1807"/>
      <c r="AE101" s="378">
        <f>+'Exhibit F'!AF92+'Exhibit G State'!AG77</f>
        <v>104.8</v>
      </c>
      <c r="AF101" s="378"/>
      <c r="AG101" s="378"/>
      <c r="AH101" s="378">
        <f t="shared" si="18"/>
        <v>-47.9</v>
      </c>
      <c r="AI101" s="152"/>
      <c r="AJ101" s="1133">
        <f t="shared" si="25"/>
        <v>-0.45700000000000002</v>
      </c>
    </row>
    <row r="102" spans="1:45" ht="15">
      <c r="A102" s="594" t="s">
        <v>914</v>
      </c>
      <c r="B102" s="152"/>
      <c r="C102" s="378">
        <f>+'Exhibit F'!D93+'Exhibit G State'!D78</f>
        <v>13.1</v>
      </c>
      <c r="D102" s="378"/>
      <c r="E102" s="378">
        <f>+'Exhibit F'!F93+'Exhibit G State'!F78</f>
        <v>-3.9000000000000004</v>
      </c>
      <c r="F102" s="378"/>
      <c r="G102" s="378">
        <f>+'Exhibit F'!H93+'Exhibit G State'!H78</f>
        <v>1</v>
      </c>
      <c r="H102" s="378"/>
      <c r="I102" s="378">
        <f>+'Exhibit F'!J93+'Exhibit G State'!J78</f>
        <v>11.400000000000002</v>
      </c>
      <c r="J102" s="378"/>
      <c r="K102" s="378">
        <f>+'Exhibit F'!L93+'Exhibit G State'!L78</f>
        <v>1.2999999999999972</v>
      </c>
      <c r="L102" s="378"/>
      <c r="M102" s="378">
        <f>+'Exhibit F'!N93+'Exhibit G State'!N78</f>
        <v>2.7000000000000028</v>
      </c>
      <c r="N102" s="378"/>
      <c r="O102" s="378"/>
      <c r="P102" s="378"/>
      <c r="Q102" s="378"/>
      <c r="R102" s="378"/>
      <c r="S102" s="378"/>
      <c r="T102" s="378"/>
      <c r="U102" s="378"/>
      <c r="V102" s="378"/>
      <c r="W102" s="378"/>
      <c r="X102" s="378"/>
      <c r="Y102" s="378"/>
      <c r="Z102" s="378"/>
      <c r="AA102" s="379"/>
      <c r="AB102" s="378">
        <f t="shared" si="23"/>
        <v>25.6</v>
      </c>
      <c r="AC102" s="378"/>
      <c r="AD102" s="1807"/>
      <c r="AE102" s="378">
        <f>+'Exhibit F'!AF93+'Exhibit G State'!AG78</f>
        <v>7.4</v>
      </c>
      <c r="AF102" s="378"/>
      <c r="AG102" s="378"/>
      <c r="AH102" s="378">
        <f t="shared" si="18"/>
        <v>18.2</v>
      </c>
      <c r="AI102" s="152"/>
      <c r="AJ102" s="488">
        <f t="shared" si="25"/>
        <v>2.4590000000000001</v>
      </c>
    </row>
    <row r="103" spans="1:45" ht="15">
      <c r="A103" s="594" t="s">
        <v>915</v>
      </c>
      <c r="B103" s="152"/>
      <c r="C103" s="378">
        <f>+'Exhibit F'!D94+'Exhibit G State'!D79+'Exhibit H'!B48</f>
        <v>77.599999999999994</v>
      </c>
      <c r="D103" s="378"/>
      <c r="E103" s="378">
        <f>+'Exhibit F'!F94+'Exhibit G State'!F79+'Exhibit H'!D48</f>
        <v>102.9</v>
      </c>
      <c r="F103" s="378"/>
      <c r="G103" s="378">
        <f>+'Exhibit F'!H94+'Exhibit G State'!H79+'Exhibit H'!F48</f>
        <v>94.3</v>
      </c>
      <c r="H103" s="378"/>
      <c r="I103" s="378">
        <f>+'Exhibit F'!J94+'Exhibit G State'!J79+'Exhibit H'!H48</f>
        <v>61.000000000000014</v>
      </c>
      <c r="J103" s="378"/>
      <c r="K103" s="378">
        <f>+'Exhibit F'!L94+'Exhibit G State'!L79+'Exhibit H'!J48</f>
        <v>-27.700000000000017</v>
      </c>
      <c r="L103" s="378"/>
      <c r="M103" s="378">
        <f>+'Exhibit F'!N94+'Exhibit G State'!N79+'Exhibit H'!L48</f>
        <v>44.200000000000031</v>
      </c>
      <c r="N103" s="378"/>
      <c r="O103" s="378"/>
      <c r="P103" s="378"/>
      <c r="Q103" s="378"/>
      <c r="R103" s="378"/>
      <c r="S103" s="378"/>
      <c r="T103" s="378"/>
      <c r="U103" s="378"/>
      <c r="V103" s="378"/>
      <c r="W103" s="378"/>
      <c r="X103" s="378"/>
      <c r="Y103" s="378"/>
      <c r="Z103" s="378"/>
      <c r="AA103" s="379"/>
      <c r="AB103" s="378">
        <f t="shared" si="23"/>
        <v>352.3</v>
      </c>
      <c r="AC103" s="378"/>
      <c r="AD103" s="1807"/>
      <c r="AE103" s="378">
        <f>+'Exhibit F'!AF94+'Exhibit G State'!AG79+'Exhibit H'!AD48</f>
        <v>422.1</v>
      </c>
      <c r="AF103" s="378"/>
      <c r="AG103" s="378"/>
      <c r="AH103" s="378">
        <f t="shared" si="18"/>
        <v>-69.8</v>
      </c>
      <c r="AI103" s="152"/>
      <c r="AJ103" s="1133">
        <f t="shared" si="25"/>
        <v>-0.16500000000000001</v>
      </c>
    </row>
    <row r="104" spans="1:45" ht="15">
      <c r="A104" s="594" t="s">
        <v>916</v>
      </c>
      <c r="B104" s="152"/>
      <c r="C104" s="378">
        <f>+'Exhibit F'!D95+'Exhibit G State'!D80+'Exhibit H'!B49</f>
        <v>0.6</v>
      </c>
      <c r="D104" s="378"/>
      <c r="E104" s="378">
        <f>+'Exhibit F'!F95+'Exhibit G State'!F80+'Exhibit H'!D49</f>
        <v>2.1</v>
      </c>
      <c r="F104" s="378"/>
      <c r="G104" s="378">
        <f>+'Exhibit F'!H95+'Exhibit G State'!H80+'Exhibit H'!F49</f>
        <v>1.0999999999999996</v>
      </c>
      <c r="H104" s="378"/>
      <c r="I104" s="378">
        <f>+'Exhibit F'!J95+'Exhibit G State'!J80+'Exhibit H'!H49</f>
        <v>1.3000000000000003</v>
      </c>
      <c r="J104" s="378"/>
      <c r="K104" s="378">
        <f>+'Exhibit F'!L95+'Exhibit G State'!L80+'Exhibit H'!J49</f>
        <v>1.6</v>
      </c>
      <c r="L104" s="378"/>
      <c r="M104" s="378">
        <f>+'Exhibit F'!N95+'Exhibit G State'!N80+'Exhibit H'!L49</f>
        <v>1.2000000000000011</v>
      </c>
      <c r="N104" s="378"/>
      <c r="O104" s="378"/>
      <c r="P104" s="378"/>
      <c r="Q104" s="378"/>
      <c r="R104" s="378"/>
      <c r="S104" s="378"/>
      <c r="T104" s="378"/>
      <c r="U104" s="378"/>
      <c r="V104" s="378"/>
      <c r="W104" s="378"/>
      <c r="X104" s="378"/>
      <c r="Y104" s="378"/>
      <c r="Z104" s="378"/>
      <c r="AA104" s="379"/>
      <c r="AB104" s="378">
        <f t="shared" si="23"/>
        <v>7.9</v>
      </c>
      <c r="AC104" s="378"/>
      <c r="AD104" s="1807"/>
      <c r="AE104" s="378">
        <f>+'Exhibit F'!AF95+'Exhibit G State'!AG80+'Exhibit H'!AD49</f>
        <v>8.9</v>
      </c>
      <c r="AF104" s="378"/>
      <c r="AG104" s="378"/>
      <c r="AH104" s="378">
        <f t="shared" si="18"/>
        <v>-1</v>
      </c>
      <c r="AI104" s="152"/>
      <c r="AJ104" s="488">
        <f t="shared" si="25"/>
        <v>-0.112</v>
      </c>
    </row>
    <row r="105" spans="1:45" ht="15">
      <c r="A105" s="594" t="s">
        <v>917</v>
      </c>
      <c r="B105" s="152"/>
      <c r="C105" s="378">
        <f>+'Exhibit G State'!D81</f>
        <v>-25.2</v>
      </c>
      <c r="D105" s="378"/>
      <c r="E105" s="378">
        <f>+'Exhibit G State'!F81</f>
        <v>31.299999999999997</v>
      </c>
      <c r="F105" s="378"/>
      <c r="G105" s="378">
        <f>+'Exhibit G State'!H81</f>
        <v>60.900000000000006</v>
      </c>
      <c r="H105" s="378"/>
      <c r="I105" s="378">
        <f>+'Exhibit G State'!J81</f>
        <v>14.699999999999989</v>
      </c>
      <c r="J105" s="378"/>
      <c r="K105" s="378">
        <f>+'Exhibit G State'!L81</f>
        <v>217.4</v>
      </c>
      <c r="L105" s="378"/>
      <c r="M105" s="378">
        <f>+'Exhibit G State'!N81</f>
        <v>268.70000000000005</v>
      </c>
      <c r="N105" s="378"/>
      <c r="O105" s="378"/>
      <c r="P105" s="378"/>
      <c r="Q105" s="378"/>
      <c r="R105" s="378"/>
      <c r="S105" s="378"/>
      <c r="T105" s="378"/>
      <c r="U105" s="378"/>
      <c r="V105" s="378"/>
      <c r="W105" s="378"/>
      <c r="X105" s="378"/>
      <c r="Y105" s="378"/>
      <c r="Z105" s="378"/>
      <c r="AA105" s="379"/>
      <c r="AB105" s="378">
        <f t="shared" si="23"/>
        <v>567.79999999999995</v>
      </c>
      <c r="AC105" s="378"/>
      <c r="AD105" s="1807"/>
      <c r="AE105" s="378">
        <f>+'Exhibit G State'!AG81</f>
        <v>603.79999999999995</v>
      </c>
      <c r="AF105" s="378"/>
      <c r="AG105" s="378"/>
      <c r="AH105" s="378">
        <f t="shared" si="18"/>
        <v>-36</v>
      </c>
      <c r="AI105" s="152"/>
      <c r="AJ105" s="488">
        <f>ROUND(SUM(AH105/ABS(AE105)),3)</f>
        <v>-0.06</v>
      </c>
    </row>
    <row r="106" spans="1:45" ht="15.75">
      <c r="A106" s="218" t="s">
        <v>949</v>
      </c>
      <c r="B106" s="139"/>
      <c r="C106" s="179">
        <f>ROUND(SUM(C64:C105),1)</f>
        <v>1976.7</v>
      </c>
      <c r="D106" s="749"/>
      <c r="E106" s="179">
        <f>ROUND(SUM(E64:E105),1)</f>
        <v>1297.0999999999999</v>
      </c>
      <c r="F106" s="749"/>
      <c r="G106" s="179">
        <f>ROUND(SUM(G64:G105),1)</f>
        <v>2599.1</v>
      </c>
      <c r="H106" s="42"/>
      <c r="I106" s="179">
        <f>ROUND(SUM(I64:I105),1)</f>
        <v>2152.8000000000002</v>
      </c>
      <c r="J106" s="42"/>
      <c r="K106" s="179">
        <f>ROUND(SUM(K64:K105),1)</f>
        <v>2413.8000000000002</v>
      </c>
      <c r="L106" s="42"/>
      <c r="M106" s="179">
        <f>ROUND(SUM(M64:M105),1)</f>
        <v>2591.9</v>
      </c>
      <c r="N106" s="42"/>
      <c r="O106" s="179">
        <f>ROUND(SUM(O64:O105),1)</f>
        <v>0</v>
      </c>
      <c r="P106" s="42"/>
      <c r="Q106" s="179">
        <f>ROUND(SUM(Q64:Q105),1)</f>
        <v>0</v>
      </c>
      <c r="R106" s="42"/>
      <c r="S106" s="179">
        <f>ROUND(SUM(S64:S105),1)</f>
        <v>0</v>
      </c>
      <c r="T106" s="42"/>
      <c r="U106" s="179">
        <f>ROUND(SUM(U64:U105),1)</f>
        <v>0</v>
      </c>
      <c r="V106" s="42"/>
      <c r="W106" s="179">
        <f>ROUND(SUM(W64:W105),1)</f>
        <v>0</v>
      </c>
      <c r="X106" s="112"/>
      <c r="Y106" s="179">
        <f>ROUND(SUM(Y64:Y105),1)</f>
        <v>0</v>
      </c>
      <c r="Z106" s="112"/>
      <c r="AA106" s="180"/>
      <c r="AB106" s="179">
        <f>ROUND(SUM(AB64:AB105),1)</f>
        <v>13031.4</v>
      </c>
      <c r="AC106" s="42"/>
      <c r="AD106" s="44"/>
      <c r="AE106" s="179">
        <f>ROUND(SUM(AE64:AE105),1)</f>
        <v>11156.1</v>
      </c>
      <c r="AF106" s="42"/>
      <c r="AG106" s="1808"/>
      <c r="AH106" s="179">
        <f>ROUND(SUM(AH64:AH105),1)</f>
        <v>1875.3</v>
      </c>
      <c r="AI106" s="42"/>
      <c r="AJ106" s="747">
        <f>ROUND(SUM(+AH106/ABS(AE106)),3)</f>
        <v>0.16800000000000001</v>
      </c>
    </row>
    <row r="107" spans="1:45" ht="15">
      <c r="A107" s="152"/>
      <c r="B107" s="152"/>
      <c r="C107" s="378"/>
      <c r="D107" s="378"/>
      <c r="E107" s="378"/>
      <c r="F107" s="378"/>
      <c r="G107" s="378"/>
      <c r="H107" s="378"/>
      <c r="I107" s="378"/>
      <c r="J107" s="378"/>
      <c r="K107" s="378"/>
      <c r="L107" s="378"/>
      <c r="M107" s="378"/>
      <c r="N107" s="378"/>
      <c r="O107" s="378"/>
      <c r="P107" s="378"/>
      <c r="Q107" s="378"/>
      <c r="R107" s="378"/>
      <c r="S107" s="378"/>
      <c r="T107" s="378"/>
      <c r="U107" s="378"/>
      <c r="V107" s="378"/>
      <c r="W107" s="378"/>
      <c r="X107" s="378"/>
      <c r="Y107" s="378"/>
      <c r="Z107" s="378"/>
      <c r="AA107" s="685"/>
      <c r="AB107" s="378"/>
      <c r="AC107" s="378"/>
      <c r="AD107" s="379"/>
      <c r="AE107" s="378"/>
      <c r="AF107" s="378"/>
      <c r="AG107" s="378"/>
      <c r="AH107" s="378"/>
      <c r="AI107" s="152"/>
      <c r="AJ107" s="488"/>
    </row>
    <row r="108" spans="1:45" ht="15">
      <c r="A108" s="152" t="s">
        <v>20</v>
      </c>
      <c r="B108" s="152"/>
      <c r="C108" s="380">
        <f>+'Exhibit F'!D98+'Exhibit G State'!D84+'Exhibit H'!B52</f>
        <v>3.2</v>
      </c>
      <c r="D108" s="378"/>
      <c r="E108" s="380">
        <f>+'Exhibit F'!F98+'Exhibit G State'!F84+'Exhibit H'!D52</f>
        <v>0</v>
      </c>
      <c r="F108" s="378"/>
      <c r="G108" s="380">
        <f>+'Exhibit F'!H98+'Exhibit G State'!H84+'Exhibit H'!F52</f>
        <v>0.99999999999999944</v>
      </c>
      <c r="H108" s="378"/>
      <c r="I108" s="380">
        <f>+'Exhibit F'!J98+'Exhibit G State'!J84+'Exhibit H'!H52</f>
        <v>30.8</v>
      </c>
      <c r="J108" s="378"/>
      <c r="K108" s="380">
        <f>+'Exhibit F'!L98+'Exhibit G State'!L84+'Exhibit H'!J52</f>
        <v>0</v>
      </c>
      <c r="L108" s="378"/>
      <c r="M108" s="380">
        <f>+'Exhibit F'!N98+'Exhibit G State'!N84+'Exhibit H'!L52</f>
        <v>0</v>
      </c>
      <c r="N108" s="378"/>
      <c r="O108" s="380"/>
      <c r="P108" s="378"/>
      <c r="Q108" s="380"/>
      <c r="R108" s="378"/>
      <c r="S108" s="380"/>
      <c r="T108" s="378"/>
      <c r="U108" s="380"/>
      <c r="V108" s="378"/>
      <c r="W108" s="380"/>
      <c r="X108" s="378"/>
      <c r="Y108" s="380"/>
      <c r="Z108" s="378"/>
      <c r="AA108" s="379"/>
      <c r="AB108" s="380">
        <f>ROUND(SUM(C108:Y108),1)</f>
        <v>35</v>
      </c>
      <c r="AC108" s="378"/>
      <c r="AD108" s="1807"/>
      <c r="AE108" s="380">
        <f>'Exhibit F'!AF98+'Exhibit G State'!AG84+'Exhibit H'!AD52</f>
        <v>52.199999999999996</v>
      </c>
      <c r="AF108" s="378"/>
      <c r="AG108" s="378"/>
      <c r="AH108" s="380">
        <f>ROUND(SUM(AB108-AE108),1)</f>
        <v>-17.2</v>
      </c>
      <c r="AI108" s="152"/>
      <c r="AJ108" s="1018">
        <f>ROUND(IF(AE108=0,1,AH108/ABS(AE108)),3)</f>
        <v>-0.33</v>
      </c>
    </row>
    <row r="109" spans="1:45" ht="15">
      <c r="A109" s="152"/>
      <c r="B109" s="152"/>
      <c r="C109" s="378"/>
      <c r="D109" s="378"/>
      <c r="E109" s="378"/>
      <c r="F109" s="378"/>
      <c r="G109" s="378"/>
      <c r="H109" s="378"/>
      <c r="I109" s="378"/>
      <c r="J109" s="378"/>
      <c r="K109" s="378"/>
      <c r="L109" s="378"/>
      <c r="M109" s="378"/>
      <c r="N109" s="378"/>
      <c r="O109" s="378"/>
      <c r="P109" s="378"/>
      <c r="Q109" s="378"/>
      <c r="R109" s="378"/>
      <c r="S109" s="378"/>
      <c r="T109" s="378"/>
      <c r="U109" s="378"/>
      <c r="V109" s="378"/>
      <c r="W109" s="378"/>
      <c r="X109" s="378"/>
      <c r="Y109" s="378"/>
      <c r="Z109" s="378"/>
      <c r="AA109" s="379"/>
      <c r="AB109" s="378"/>
      <c r="AC109" s="378"/>
      <c r="AD109" s="1807"/>
      <c r="AE109" s="378"/>
      <c r="AF109" s="378"/>
      <c r="AG109" s="378"/>
      <c r="AH109" s="378"/>
      <c r="AI109" s="152"/>
      <c r="AJ109" s="1810"/>
    </row>
    <row r="110" spans="1:45" ht="15.75">
      <c r="A110" s="19" t="s">
        <v>147</v>
      </c>
      <c r="B110" s="20"/>
      <c r="C110" s="601">
        <f>ROUND(SUM(C108+C106+C60),1)</f>
        <v>12786.5</v>
      </c>
      <c r="D110" s="42"/>
      <c r="E110" s="601">
        <f>ROUND(SUM(E108+E106+E60),1)</f>
        <v>5801.7</v>
      </c>
      <c r="F110" s="42"/>
      <c r="G110" s="601">
        <f>ROUND(SUM(G108+G106+G60),1)</f>
        <v>14574</v>
      </c>
      <c r="H110" s="42"/>
      <c r="I110" s="601">
        <f>ROUND(SUM(I108+I106+I60),1)</f>
        <v>7756.8</v>
      </c>
      <c r="J110" s="42"/>
      <c r="K110" s="601">
        <f>ROUND(SUM(K108+K106+K60),1)</f>
        <v>8308.1</v>
      </c>
      <c r="L110" s="42"/>
      <c r="M110" s="601">
        <f>ROUND(SUM(M108+M106+M60),1)</f>
        <v>14567.5</v>
      </c>
      <c r="N110" s="42"/>
      <c r="O110" s="601">
        <f>ROUND(SUM(O108+O106+O60),1)</f>
        <v>0</v>
      </c>
      <c r="P110" s="42"/>
      <c r="Q110" s="601">
        <f>ROUND(SUM(Q108+Q106+Q60),1)</f>
        <v>0</v>
      </c>
      <c r="R110" s="42"/>
      <c r="S110" s="601">
        <f>ROUND(SUM(S108+S106+S60),1)</f>
        <v>0</v>
      </c>
      <c r="T110" s="42"/>
      <c r="U110" s="601">
        <f>ROUND(SUM(U108+U106+U60),1)</f>
        <v>0</v>
      </c>
      <c r="V110" s="42"/>
      <c r="W110" s="601">
        <f>ROUND(SUM(W108+W106+W60),1)</f>
        <v>0</v>
      </c>
      <c r="X110" s="112"/>
      <c r="Y110" s="601">
        <f>ROUND(SUM(Y108+Y106+Y60),1)</f>
        <v>0</v>
      </c>
      <c r="Z110" s="176"/>
      <c r="AA110" s="19"/>
      <c r="AB110" s="601">
        <f>ROUND(SUM(AB108+AB106+AB60),1)</f>
        <v>63794.6</v>
      </c>
      <c r="AC110" s="42"/>
      <c r="AD110" s="44"/>
      <c r="AE110" s="601">
        <f>ROUND(SUM(AE108+AE106+AE60),1)</f>
        <v>68990.2</v>
      </c>
      <c r="AF110" s="42"/>
      <c r="AG110" s="1808"/>
      <c r="AH110" s="601">
        <f>ROUND(SUM(AH108+AH106+AH60),1)</f>
        <v>-5195.6000000000004</v>
      </c>
      <c r="AI110" s="42"/>
      <c r="AJ110" s="211">
        <f>ROUND(SUM(+AH110/ABS(AE110)),3)</f>
        <v>-7.4999999999999997E-2</v>
      </c>
      <c r="AK110" s="303"/>
      <c r="AL110" s="303"/>
      <c r="AM110" s="303"/>
      <c r="AN110" s="303"/>
      <c r="AO110" s="303"/>
      <c r="AP110" s="303"/>
      <c r="AQ110" s="303"/>
      <c r="AR110" s="303"/>
      <c r="AS110" s="303"/>
    </row>
    <row r="111" spans="1:45" ht="15.75">
      <c r="A111" s="112"/>
      <c r="B111" s="152"/>
      <c r="C111" s="35"/>
      <c r="D111" s="378"/>
      <c r="E111" s="35"/>
      <c r="F111" s="378"/>
      <c r="G111" s="35"/>
      <c r="H111" s="378"/>
      <c r="I111" s="35"/>
      <c r="J111" s="378"/>
      <c r="K111" s="35"/>
      <c r="L111" s="378"/>
      <c r="M111" s="35"/>
      <c r="N111" s="378"/>
      <c r="O111" s="35"/>
      <c r="P111" s="378"/>
      <c r="Q111" s="35"/>
      <c r="R111" s="378"/>
      <c r="S111" s="35"/>
      <c r="T111" s="378"/>
      <c r="U111" s="35"/>
      <c r="V111" s="378"/>
      <c r="W111" s="35"/>
      <c r="X111" s="378"/>
      <c r="Y111" s="35"/>
      <c r="Z111" s="378"/>
      <c r="AA111" s="379"/>
      <c r="AB111" s="35"/>
      <c r="AC111" s="378"/>
      <c r="AD111" s="1807"/>
      <c r="AE111" s="35"/>
      <c r="AF111" s="378"/>
      <c r="AG111" s="378"/>
      <c r="AH111" s="467"/>
      <c r="AI111" s="152"/>
      <c r="AJ111" s="472"/>
    </row>
    <row r="112" spans="1:45" ht="15.75">
      <c r="A112" s="112" t="s">
        <v>22</v>
      </c>
      <c r="B112" s="152"/>
      <c r="C112" s="378"/>
      <c r="D112" s="378"/>
      <c r="E112" s="378"/>
      <c r="F112" s="378"/>
      <c r="G112" s="378"/>
      <c r="H112" s="378"/>
      <c r="I112" s="378"/>
      <c r="J112" s="378"/>
      <c r="K112" s="378"/>
      <c r="L112" s="378"/>
      <c r="M112" s="378"/>
      <c r="N112" s="378"/>
      <c r="O112" s="378"/>
      <c r="P112" s="378"/>
      <c r="Q112" s="378"/>
      <c r="R112" s="378"/>
      <c r="S112" s="378"/>
      <c r="T112" s="378"/>
      <c r="U112" s="378"/>
      <c r="V112" s="378"/>
      <c r="W112" s="378"/>
      <c r="X112" s="378"/>
      <c r="Y112" s="378"/>
      <c r="Z112" s="378"/>
      <c r="AA112" s="379"/>
      <c r="AB112" s="378"/>
      <c r="AC112" s="378"/>
      <c r="AD112" s="1807"/>
      <c r="AE112" s="378"/>
      <c r="AF112" s="378"/>
      <c r="AG112" s="378"/>
      <c r="AH112" s="467"/>
      <c r="AI112" s="152"/>
      <c r="AJ112" s="472"/>
    </row>
    <row r="113" spans="1:38" ht="15">
      <c r="A113" s="152" t="s">
        <v>135</v>
      </c>
      <c r="B113" s="152"/>
      <c r="C113" s="378"/>
      <c r="D113" s="378"/>
      <c r="E113" s="378"/>
      <c r="F113" s="378"/>
      <c r="G113" s="378"/>
      <c r="H113" s="378"/>
      <c r="I113" s="378"/>
      <c r="J113" s="378"/>
      <c r="K113" s="378"/>
      <c r="L113" s="378"/>
      <c r="M113" s="378"/>
      <c r="N113" s="378"/>
      <c r="O113" s="378"/>
      <c r="P113" s="378"/>
      <c r="Q113" s="378"/>
      <c r="R113" s="378"/>
      <c r="S113" s="378"/>
      <c r="T113" s="378"/>
      <c r="U113" s="378"/>
      <c r="V113" s="378"/>
      <c r="W113" s="378"/>
      <c r="X113" s="378"/>
      <c r="Y113" s="378"/>
      <c r="Z113" s="378"/>
      <c r="AA113" s="379"/>
      <c r="AB113" s="378"/>
      <c r="AC113" s="378"/>
      <c r="AD113" s="1807"/>
      <c r="AE113" s="467"/>
      <c r="AF113" s="378"/>
      <c r="AG113" s="378"/>
      <c r="AH113" s="378"/>
      <c r="AI113" s="152"/>
      <c r="AJ113" s="488"/>
    </row>
    <row r="114" spans="1:38" ht="15">
      <c r="A114" s="1558" t="s">
        <v>24</v>
      </c>
      <c r="B114" s="152"/>
      <c r="C114" s="378">
        <f>+'Exhibit F'!D104+'Exhibit G State'!D90</f>
        <v>1443.5</v>
      </c>
      <c r="D114" s="378"/>
      <c r="E114" s="378">
        <f>+'Exhibit F'!F104+'Exhibit G State'!F90</f>
        <v>4550.7000000000007</v>
      </c>
      <c r="F114" s="378"/>
      <c r="G114" s="378">
        <f>+'Exhibit F'!H104+'Exhibit G State'!H90</f>
        <v>3101.1999999999994</v>
      </c>
      <c r="H114" s="378"/>
      <c r="I114" s="378">
        <f>+'Exhibit F'!J104+'Exhibit G State'!J90</f>
        <v>674.6</v>
      </c>
      <c r="J114" s="378"/>
      <c r="K114" s="378">
        <f>+'Exhibit F'!L104+'Exhibit G State'!L90</f>
        <v>1652.5999999999997</v>
      </c>
      <c r="L114" s="378"/>
      <c r="M114" s="378">
        <f>+'Exhibit F'!N104+'Exhibit G State'!N90</f>
        <v>5122.5</v>
      </c>
      <c r="N114" s="378"/>
      <c r="O114" s="378"/>
      <c r="P114" s="378"/>
      <c r="Q114" s="378"/>
      <c r="R114" s="378"/>
      <c r="S114" s="378"/>
      <c r="T114" s="378"/>
      <c r="U114" s="378"/>
      <c r="V114" s="378"/>
      <c r="W114" s="378"/>
      <c r="X114" s="378"/>
      <c r="Y114" s="378"/>
      <c r="Z114" s="378"/>
      <c r="AA114" s="379"/>
      <c r="AB114" s="467">
        <f>ROUND(SUM(C114:Y114),1)</f>
        <v>16545.099999999999</v>
      </c>
      <c r="AC114" s="378"/>
      <c r="AD114" s="1807"/>
      <c r="AE114" s="467">
        <f>+'Exhibit F'!AF104+'Exhibit G State'!AG90</f>
        <v>15046</v>
      </c>
      <c r="AF114" s="378"/>
      <c r="AG114" s="378"/>
      <c r="AH114" s="378">
        <f>ROUND(SUM(AB114-AE114),1)</f>
        <v>1499.1</v>
      </c>
      <c r="AI114" s="152"/>
      <c r="AJ114" s="488">
        <f>ROUND(SUM(AH114/ABS(AE114)),3)</f>
        <v>0.1</v>
      </c>
    </row>
    <row r="115" spans="1:38" ht="15">
      <c r="A115" s="1558" t="s">
        <v>25</v>
      </c>
      <c r="B115" s="152"/>
      <c r="C115" s="378">
        <f>+'Exhibit F'!D105+'Exhibit G State'!D91</f>
        <v>0.1</v>
      </c>
      <c r="D115" s="378"/>
      <c r="E115" s="378">
        <f>+'Exhibit F'!F105+'Exhibit G State'!F91</f>
        <v>0.30000000000000004</v>
      </c>
      <c r="F115" s="378"/>
      <c r="G115" s="378">
        <f>+'Exhibit F'!H105+'Exhibit G State'!H91</f>
        <v>9.9999999999999978E-2</v>
      </c>
      <c r="H115" s="378"/>
      <c r="I115" s="378">
        <f>+'Exhibit F'!J105+'Exhibit G State'!J91</f>
        <v>1.5</v>
      </c>
      <c r="J115" s="378"/>
      <c r="K115" s="378">
        <f>+'Exhibit F'!L105+'Exhibit G State'!L91</f>
        <v>0.4</v>
      </c>
      <c r="L115" s="378"/>
      <c r="M115" s="378">
        <f>+'Exhibit F'!N105+'Exhibit G State'!N91</f>
        <v>1.2999999999999998</v>
      </c>
      <c r="N115" s="378"/>
      <c r="O115" s="378"/>
      <c r="P115" s="378"/>
      <c r="Q115" s="378"/>
      <c r="R115" s="378"/>
      <c r="S115" s="378"/>
      <c r="T115" s="378"/>
      <c r="U115" s="378"/>
      <c r="V115" s="378"/>
      <c r="W115" s="378"/>
      <c r="X115" s="378"/>
      <c r="Y115" s="378"/>
      <c r="Z115" s="378"/>
      <c r="AA115" s="379"/>
      <c r="AB115" s="467">
        <f t="shared" ref="AB115:AB122" si="26">ROUND(SUM(C115:Y115),1)</f>
        <v>3.7</v>
      </c>
      <c r="AC115" s="378"/>
      <c r="AD115" s="1807"/>
      <c r="AE115" s="467">
        <f>+'Exhibit F'!AF105+'Exhibit G State'!AG91</f>
        <v>2.2999999999999998</v>
      </c>
      <c r="AF115" s="378"/>
      <c r="AG115" s="378"/>
      <c r="AH115" s="378">
        <f t="shared" ref="AH115:AH122" si="27">ROUND(SUM(AB115-AE115),1)</f>
        <v>1.4</v>
      </c>
      <c r="AI115" s="152"/>
      <c r="AJ115" s="1133">
        <f>ROUND(IF(AE115=0,1,AH115/ABS(AE115)),3)</f>
        <v>0.60899999999999999</v>
      </c>
    </row>
    <row r="116" spans="1:38" ht="15">
      <c r="A116" s="1558" t="s">
        <v>26</v>
      </c>
      <c r="B116" s="152"/>
      <c r="C116" s="378">
        <f>+'Exhibit F'!D106+'Exhibit G State'!D92</f>
        <v>31.3</v>
      </c>
      <c r="D116" s="378"/>
      <c r="E116" s="378">
        <f>+'Exhibit F'!F106+'Exhibit G State'!F92</f>
        <v>92.800000000000011</v>
      </c>
      <c r="F116" s="378"/>
      <c r="G116" s="378">
        <f>+'Exhibit F'!H106+'Exhibit G State'!H92</f>
        <v>459.8</v>
      </c>
      <c r="H116" s="378"/>
      <c r="I116" s="378">
        <f>+'Exhibit F'!J106+'Exhibit G State'!J92</f>
        <v>34.900000000000055</v>
      </c>
      <c r="J116" s="378"/>
      <c r="K116" s="378">
        <f>+'Exhibit F'!L106+'Exhibit G State'!L92</f>
        <v>63.299999999999933</v>
      </c>
      <c r="L116" s="378"/>
      <c r="M116" s="378">
        <f>+'Exhibit F'!N106+'Exhibit G State'!N92</f>
        <v>131.40000000000003</v>
      </c>
      <c r="N116" s="378"/>
      <c r="O116" s="378"/>
      <c r="P116" s="378"/>
      <c r="Q116" s="378"/>
      <c r="R116" s="378"/>
      <c r="S116" s="378"/>
      <c r="T116" s="378"/>
      <c r="U116" s="378"/>
      <c r="V116" s="378"/>
      <c r="W116" s="378"/>
      <c r="X116" s="378"/>
      <c r="Y116" s="378"/>
      <c r="Z116" s="378"/>
      <c r="AA116" s="379"/>
      <c r="AB116" s="467">
        <f t="shared" si="26"/>
        <v>813.5</v>
      </c>
      <c r="AC116" s="378"/>
      <c r="AD116" s="1807"/>
      <c r="AE116" s="467">
        <f>+'Exhibit F'!AF106+'Exhibit G State'!AG92</f>
        <v>912.6</v>
      </c>
      <c r="AF116" s="378"/>
      <c r="AG116" s="378"/>
      <c r="AH116" s="378">
        <f t="shared" si="27"/>
        <v>-99.1</v>
      </c>
      <c r="AI116" s="152"/>
      <c r="AJ116" s="488">
        <f>ROUND(SUM(AH116/ABS(AE116)),3)</f>
        <v>-0.109</v>
      </c>
    </row>
    <row r="117" spans="1:38" ht="15">
      <c r="A117" s="1558" t="s">
        <v>27</v>
      </c>
      <c r="B117" s="152"/>
      <c r="C117" s="378"/>
      <c r="D117" s="378"/>
      <c r="E117" s="378"/>
      <c r="F117" s="378"/>
      <c r="G117" s="378"/>
      <c r="H117" s="378"/>
      <c r="I117" s="378"/>
      <c r="J117" s="378"/>
      <c r="K117" s="378"/>
      <c r="L117" s="378"/>
      <c r="M117" s="378"/>
      <c r="N117" s="378"/>
      <c r="O117" s="378"/>
      <c r="P117" s="378"/>
      <c r="Q117" s="378"/>
      <c r="R117" s="378"/>
      <c r="S117" s="378"/>
      <c r="T117" s="378"/>
      <c r="U117" s="378"/>
      <c r="V117" s="378"/>
      <c r="W117" s="378"/>
      <c r="X117" s="378"/>
      <c r="Y117" s="378"/>
      <c r="Z117" s="378"/>
      <c r="AA117" s="379"/>
      <c r="AB117" s="467"/>
      <c r="AC117" s="378"/>
      <c r="AD117" s="1807"/>
      <c r="AE117" s="480"/>
      <c r="AF117" s="378"/>
      <c r="AG117" s="378"/>
      <c r="AH117" s="378" t="s">
        <v>14</v>
      </c>
      <c r="AI117" s="152"/>
      <c r="AJ117" s="488"/>
    </row>
    <row r="118" spans="1:38" ht="15">
      <c r="A118" s="1559" t="s">
        <v>28</v>
      </c>
      <c r="B118" s="152"/>
      <c r="C118" s="378">
        <f>+'Exhibit F'!D108+'Exhibit G State'!D94</f>
        <v>3897.5</v>
      </c>
      <c r="D118" s="378"/>
      <c r="E118" s="378">
        <f>+'Exhibit F'!F108+'Exhibit G State'!F94</f>
        <v>3299.7999999999997</v>
      </c>
      <c r="F118" s="378"/>
      <c r="G118" s="378">
        <f>+'Exhibit F'!H108+'Exhibit G State'!H94</f>
        <v>2945.099999999999</v>
      </c>
      <c r="H118" s="378"/>
      <c r="I118" s="378">
        <f>+'Exhibit F'!J108+'Exhibit G State'!J94</f>
        <v>2972.8000000000011</v>
      </c>
      <c r="J118" s="378"/>
      <c r="K118" s="378">
        <f>+'Exhibit F'!L108+'Exhibit G State'!L94</f>
        <v>3486.7999999999993</v>
      </c>
      <c r="L118" s="378"/>
      <c r="M118" s="378">
        <f>+'Exhibit F'!N108+'Exhibit G State'!N94</f>
        <v>3122.6999999999994</v>
      </c>
      <c r="N118" s="378"/>
      <c r="O118" s="378"/>
      <c r="P118" s="378"/>
      <c r="Q118" s="378"/>
      <c r="R118" s="378"/>
      <c r="S118" s="378"/>
      <c r="T118" s="378"/>
      <c r="U118" s="378"/>
      <c r="V118" s="378"/>
      <c r="W118" s="378"/>
      <c r="X118" s="378"/>
      <c r="Y118" s="378"/>
      <c r="Z118" s="378"/>
      <c r="AA118" s="379"/>
      <c r="AB118" s="467">
        <f t="shared" si="26"/>
        <v>19724.7</v>
      </c>
      <c r="AC118" s="378"/>
      <c r="AD118" s="1807"/>
      <c r="AE118" s="467">
        <f>+'Exhibit F'!AF108+'Exhibit G State'!AG94</f>
        <v>13792.1</v>
      </c>
      <c r="AF118" s="378"/>
      <c r="AG118" s="378"/>
      <c r="AH118" s="378">
        <f t="shared" si="27"/>
        <v>5932.6</v>
      </c>
      <c r="AI118" s="152"/>
      <c r="AJ118" s="488">
        <f t="shared" ref="AJ118:AJ124" si="28">ROUND(SUM(AH118/ABS(AE118)),3)</f>
        <v>0.43</v>
      </c>
    </row>
    <row r="119" spans="1:38" ht="15">
      <c r="A119" s="1558" t="s">
        <v>29</v>
      </c>
      <c r="B119" s="152"/>
      <c r="C119" s="378">
        <f>+'Exhibit F'!D109+'Exhibit G State'!D95</f>
        <v>132.19999999999999</v>
      </c>
      <c r="D119" s="378"/>
      <c r="E119" s="378">
        <f>+'Exhibit F'!F109+'Exhibit G State'!F95</f>
        <v>226.5</v>
      </c>
      <c r="F119" s="378"/>
      <c r="G119" s="378">
        <f>+'Exhibit F'!H109+'Exhibit G State'!H95</f>
        <v>501.00000000000011</v>
      </c>
      <c r="H119" s="378"/>
      <c r="I119" s="378">
        <f>+'Exhibit F'!J109+'Exhibit G State'!J95</f>
        <v>318.20000000000005</v>
      </c>
      <c r="J119" s="378"/>
      <c r="K119" s="378">
        <f>+'Exhibit F'!L109+'Exhibit G State'!L95</f>
        <v>204.40000000000003</v>
      </c>
      <c r="L119" s="378"/>
      <c r="M119" s="378">
        <f>+'Exhibit F'!N109+'Exhibit G State'!N95</f>
        <v>542.19999999999982</v>
      </c>
      <c r="N119" s="378"/>
      <c r="O119" s="378"/>
      <c r="P119" s="378"/>
      <c r="Q119" s="378"/>
      <c r="R119" s="378"/>
      <c r="S119" s="378"/>
      <c r="T119" s="378"/>
      <c r="U119" s="378"/>
      <c r="V119" s="378"/>
      <c r="W119" s="378"/>
      <c r="X119" s="378"/>
      <c r="Y119" s="378"/>
      <c r="Z119" s="378"/>
      <c r="AA119" s="379"/>
      <c r="AB119" s="467">
        <f t="shared" si="26"/>
        <v>1924.5</v>
      </c>
      <c r="AC119" s="1827"/>
      <c r="AD119" s="378"/>
      <c r="AE119" s="467">
        <f>+'Exhibit F'!AF109+'Exhibit G State'!AG95</f>
        <v>1758</v>
      </c>
      <c r="AF119" s="378"/>
      <c r="AG119" s="378"/>
      <c r="AH119" s="378">
        <f t="shared" si="27"/>
        <v>166.5</v>
      </c>
      <c r="AI119" s="152"/>
      <c r="AJ119" s="488">
        <f t="shared" si="28"/>
        <v>9.5000000000000001E-2</v>
      </c>
    </row>
    <row r="120" spans="1:38" ht="15">
      <c r="A120" s="1558" t="s">
        <v>30</v>
      </c>
      <c r="B120" s="152"/>
      <c r="C120" s="378">
        <f>+'Exhibit F'!D110+'Exhibit G State'!D96</f>
        <v>14.600000000000001</v>
      </c>
      <c r="D120" s="378"/>
      <c r="E120" s="378">
        <f>+'Exhibit F'!F110+'Exhibit G State'!F96</f>
        <v>34.700000000000003</v>
      </c>
      <c r="F120" s="378"/>
      <c r="G120" s="378">
        <f>+'Exhibit F'!H110+'Exhibit G State'!H96</f>
        <v>31.000000000000007</v>
      </c>
      <c r="H120" s="378"/>
      <c r="I120" s="378">
        <f>+'Exhibit F'!J110+'Exhibit G State'!J96</f>
        <v>32.200000000000003</v>
      </c>
      <c r="J120" s="378"/>
      <c r="K120" s="378">
        <f>+'Exhibit F'!L110+'Exhibit G State'!L96</f>
        <v>44.8</v>
      </c>
      <c r="L120" s="378"/>
      <c r="M120" s="378">
        <f>+'Exhibit F'!N110+'Exhibit G State'!N96</f>
        <v>110.39999999999998</v>
      </c>
      <c r="N120" s="378"/>
      <c r="O120" s="378"/>
      <c r="P120" s="378"/>
      <c r="Q120" s="378"/>
      <c r="R120" s="378"/>
      <c r="S120" s="378"/>
      <c r="T120" s="378"/>
      <c r="U120" s="378"/>
      <c r="V120" s="378"/>
      <c r="W120" s="378"/>
      <c r="X120" s="378"/>
      <c r="Y120" s="378"/>
      <c r="Z120" s="378"/>
      <c r="AA120" s="379"/>
      <c r="AB120" s="467">
        <f t="shared" si="26"/>
        <v>267.7</v>
      </c>
      <c r="AC120" s="1828"/>
      <c r="AD120" s="1807"/>
      <c r="AE120" s="467">
        <f>+'Exhibit F'!AF110+'Exhibit G State'!AG96</f>
        <v>201.7</v>
      </c>
      <c r="AF120" s="378"/>
      <c r="AG120" s="378"/>
      <c r="AH120" s="378">
        <f t="shared" si="27"/>
        <v>66</v>
      </c>
      <c r="AI120" s="152"/>
      <c r="AJ120" s="488">
        <f t="shared" si="28"/>
        <v>0.32700000000000001</v>
      </c>
    </row>
    <row r="121" spans="1:38" ht="15">
      <c r="A121" s="1558" t="s">
        <v>31</v>
      </c>
      <c r="B121" s="152"/>
      <c r="C121" s="378">
        <f>+'Exhibit F'!D111+'Exhibit G State'!D97</f>
        <v>189.89999999999998</v>
      </c>
      <c r="D121" s="378"/>
      <c r="E121" s="378">
        <f>+'Exhibit F'!F111+'Exhibit G State'!F97</f>
        <v>202</v>
      </c>
      <c r="F121" s="378"/>
      <c r="G121" s="378">
        <f>+'Exhibit F'!H111+'Exhibit G State'!H97</f>
        <v>344.3</v>
      </c>
      <c r="H121" s="378"/>
      <c r="I121" s="378">
        <f>+'Exhibit F'!J111+'Exhibit G State'!J97</f>
        <v>511.09999999999997</v>
      </c>
      <c r="J121" s="378"/>
      <c r="K121" s="378">
        <f>+'Exhibit F'!L111+'Exhibit G State'!L97</f>
        <v>211.69999999999993</v>
      </c>
      <c r="L121" s="378"/>
      <c r="M121" s="378">
        <f>+'Exhibit F'!N111+'Exhibit G State'!N97</f>
        <v>384.09999999999997</v>
      </c>
      <c r="N121" s="378"/>
      <c r="O121" s="378"/>
      <c r="P121" s="378"/>
      <c r="Q121" s="378"/>
      <c r="R121" s="378"/>
      <c r="S121" s="378"/>
      <c r="T121" s="378"/>
      <c r="U121" s="378"/>
      <c r="V121" s="378"/>
      <c r="W121" s="378"/>
      <c r="X121" s="378"/>
      <c r="Y121" s="378"/>
      <c r="Z121" s="378"/>
      <c r="AA121" s="379"/>
      <c r="AB121" s="467">
        <f t="shared" si="26"/>
        <v>1843.1</v>
      </c>
      <c r="AC121" s="1828"/>
      <c r="AD121" s="1807"/>
      <c r="AE121" s="467">
        <f>+'Exhibit F'!AF111+'Exhibit G State'!AG97</f>
        <v>1761.9</v>
      </c>
      <c r="AF121" s="378"/>
      <c r="AG121" s="378"/>
      <c r="AH121" s="378">
        <f t="shared" si="27"/>
        <v>81.2</v>
      </c>
      <c r="AI121" s="152"/>
      <c r="AJ121" s="488">
        <f t="shared" si="28"/>
        <v>4.5999999999999999E-2</v>
      </c>
    </row>
    <row r="122" spans="1:38" ht="15">
      <c r="A122" s="1558" t="s">
        <v>32</v>
      </c>
      <c r="B122" s="152"/>
      <c r="C122" s="378">
        <f>+'Exhibit F'!D112+'Exhibit G State'!D98</f>
        <v>13.3</v>
      </c>
      <c r="D122" s="378"/>
      <c r="E122" s="378">
        <f>+'Exhibit F'!F112+'Exhibit G State'!F98</f>
        <v>14.9</v>
      </c>
      <c r="F122" s="378"/>
      <c r="G122" s="378">
        <f>+'Exhibit F'!H112+'Exhibit G State'!H98</f>
        <v>9.1000000000000014</v>
      </c>
      <c r="H122" s="378"/>
      <c r="I122" s="378">
        <f>+'Exhibit F'!J112+'Exhibit G State'!J98</f>
        <v>38.5</v>
      </c>
      <c r="J122" s="378"/>
      <c r="K122" s="378">
        <f>+'Exhibit F'!L112+'Exhibit G State'!L98</f>
        <v>18.5</v>
      </c>
      <c r="L122" s="378"/>
      <c r="M122" s="378">
        <f>+'Exhibit F'!N112+'Exhibit G State'!N98</f>
        <v>18.5</v>
      </c>
      <c r="N122" s="378"/>
      <c r="O122" s="378"/>
      <c r="P122" s="378"/>
      <c r="Q122" s="378"/>
      <c r="R122" s="378"/>
      <c r="S122" s="378"/>
      <c r="T122" s="378"/>
      <c r="U122" s="378"/>
      <c r="V122" s="378"/>
      <c r="W122" s="378"/>
      <c r="X122" s="378"/>
      <c r="Y122" s="378"/>
      <c r="Z122" s="378"/>
      <c r="AA122" s="379"/>
      <c r="AB122" s="467">
        <f t="shared" si="26"/>
        <v>112.8</v>
      </c>
      <c r="AC122" s="1828"/>
      <c r="AD122" s="1807"/>
      <c r="AE122" s="467">
        <f>+'Exhibit F'!AF112+'Exhibit G State'!AG98</f>
        <v>446.59999999999997</v>
      </c>
      <c r="AF122" s="378"/>
      <c r="AG122" s="378"/>
      <c r="AH122" s="378">
        <f t="shared" si="27"/>
        <v>-333.8</v>
      </c>
      <c r="AI122" s="152"/>
      <c r="AJ122" s="488">
        <f t="shared" si="28"/>
        <v>-0.747</v>
      </c>
    </row>
    <row r="123" spans="1:38" ht="15">
      <c r="A123" s="1558" t="s">
        <v>33</v>
      </c>
      <c r="B123" s="152"/>
      <c r="C123" s="378">
        <f>+'Exhibit F'!D113+'Exhibit G State'!D99</f>
        <v>84.2</v>
      </c>
      <c r="D123" s="378"/>
      <c r="E123" s="378">
        <f>+'Exhibit F'!F113+'Exhibit G State'!F99</f>
        <v>619.79999999999995</v>
      </c>
      <c r="F123" s="378"/>
      <c r="G123" s="378">
        <f>+'Exhibit F'!H113+'Exhibit G State'!H99</f>
        <v>362.00000000000006</v>
      </c>
      <c r="H123" s="378"/>
      <c r="I123" s="378">
        <f>+'Exhibit F'!J113+'Exhibit G State'!J99</f>
        <v>380.59999999999997</v>
      </c>
      <c r="J123" s="378"/>
      <c r="K123" s="378">
        <f>+'Exhibit F'!L113+'Exhibit G State'!L99</f>
        <v>584.19999999999982</v>
      </c>
      <c r="L123" s="378"/>
      <c r="M123" s="378">
        <f>+'Exhibit F'!N113+'Exhibit G State'!N99</f>
        <v>360.20000000000044</v>
      </c>
      <c r="N123" s="378"/>
      <c r="O123" s="378"/>
      <c r="P123" s="378"/>
      <c r="Q123" s="378"/>
      <c r="R123" s="378"/>
      <c r="S123" s="378"/>
      <c r="T123" s="378"/>
      <c r="U123" s="378"/>
      <c r="V123" s="378"/>
      <c r="W123" s="378"/>
      <c r="X123" s="378"/>
      <c r="Y123" s="378"/>
      <c r="Z123" s="378"/>
      <c r="AA123" s="379"/>
      <c r="AB123" s="378">
        <f>ROUND(SUM(C123:Y123),1)</f>
        <v>2391</v>
      </c>
      <c r="AC123" s="1828"/>
      <c r="AD123" s="1807"/>
      <c r="AE123" s="467">
        <f>+'Exhibit F'!AF113+'Exhibit G State'!AG99</f>
        <v>2208.6</v>
      </c>
      <c r="AF123" s="378"/>
      <c r="AG123" s="378"/>
      <c r="AH123" s="378">
        <f>ROUND(SUM(AB123-AE123),1)</f>
        <v>182.4</v>
      </c>
      <c r="AI123" s="152"/>
      <c r="AJ123" s="488">
        <f t="shared" si="28"/>
        <v>8.3000000000000004E-2</v>
      </c>
    </row>
    <row r="124" spans="1:38" ht="15.75">
      <c r="A124" s="152" t="s">
        <v>34</v>
      </c>
      <c r="B124" s="152"/>
      <c r="C124" s="385">
        <f>ROUND(SUM(C114:C123),1)</f>
        <v>5806.6</v>
      </c>
      <c r="D124" s="382"/>
      <c r="E124" s="385">
        <f>ROUND(SUM(E114:E123),1)</f>
        <v>9041.5</v>
      </c>
      <c r="F124" s="382"/>
      <c r="G124" s="385">
        <f>ROUND(SUM(G114:G123),1)</f>
        <v>7753.6</v>
      </c>
      <c r="H124" s="382"/>
      <c r="I124" s="385">
        <f>ROUND(SUM(I114:I123),1)</f>
        <v>4964.3999999999996</v>
      </c>
      <c r="J124" s="382"/>
      <c r="K124" s="385">
        <f>ROUND(SUM(K114:K123),1)</f>
        <v>6266.7</v>
      </c>
      <c r="L124" s="382"/>
      <c r="M124" s="385">
        <f>ROUND(SUM(M114:M123),1)</f>
        <v>9793.2999999999993</v>
      </c>
      <c r="N124" s="382"/>
      <c r="O124" s="385">
        <f>ROUND(SUM(O114:O123),1)</f>
        <v>0</v>
      </c>
      <c r="P124" s="382"/>
      <c r="Q124" s="385">
        <f>ROUND(SUM(Q114:Q123),1)</f>
        <v>0</v>
      </c>
      <c r="R124" s="382"/>
      <c r="S124" s="385">
        <f>ROUND(SUM(S114:S123),1)</f>
        <v>0</v>
      </c>
      <c r="T124" s="382"/>
      <c r="U124" s="385">
        <f>ROUND(SUM(U114:U123),1)</f>
        <v>0</v>
      </c>
      <c r="V124" s="382"/>
      <c r="W124" s="385">
        <f>ROUND(SUM(W114:W123),1)</f>
        <v>0</v>
      </c>
      <c r="X124" s="382"/>
      <c r="Y124" s="385">
        <f>ROUND(SUM(Y114:Y123),1)</f>
        <v>0</v>
      </c>
      <c r="Z124" s="382"/>
      <c r="AA124" s="383"/>
      <c r="AB124" s="385">
        <f>ROUND(SUM(AB114:AB123),1)</f>
        <v>43626.1</v>
      </c>
      <c r="AC124" s="1829"/>
      <c r="AD124" s="1811"/>
      <c r="AE124" s="179">
        <f>ROUND(SUM(AE114:AE123),1)</f>
        <v>36129.800000000003</v>
      </c>
      <c r="AF124" s="382"/>
      <c r="AG124" s="382"/>
      <c r="AH124" s="179">
        <f>ROUND(SUM(AH114:AH123),1)</f>
        <v>7496.3</v>
      </c>
      <c r="AI124" s="370"/>
      <c r="AJ124" s="200">
        <f t="shared" si="28"/>
        <v>0.20699999999999999</v>
      </c>
      <c r="AK124" s="303"/>
      <c r="AL124" s="303"/>
    </row>
    <row r="125" spans="1:38" ht="15">
      <c r="A125" s="152" t="s">
        <v>35</v>
      </c>
      <c r="B125" s="152"/>
      <c r="C125" s="378"/>
      <c r="D125" s="378"/>
      <c r="E125" s="378"/>
      <c r="F125" s="378"/>
      <c r="G125" s="378"/>
      <c r="H125" s="378"/>
      <c r="I125" s="378"/>
      <c r="J125" s="378"/>
      <c r="K125" s="378"/>
      <c r="L125" s="378"/>
      <c r="M125" s="378"/>
      <c r="N125" s="378"/>
      <c r="O125" s="378"/>
      <c r="P125" s="378"/>
      <c r="Q125" s="378"/>
      <c r="R125" s="378"/>
      <c r="S125" s="378"/>
      <c r="T125" s="378"/>
      <c r="U125" s="378"/>
      <c r="V125" s="378"/>
      <c r="W125" s="378"/>
      <c r="X125" s="378"/>
      <c r="Y125" s="378"/>
      <c r="Z125" s="378"/>
      <c r="AA125" s="379"/>
      <c r="AB125" s="378"/>
      <c r="AC125" s="378"/>
      <c r="AD125" s="1807"/>
      <c r="AE125" s="467"/>
      <c r="AF125" s="378"/>
      <c r="AG125" s="378"/>
      <c r="AH125" s="467"/>
      <c r="AI125" s="152"/>
      <c r="AJ125" s="472"/>
    </row>
    <row r="126" spans="1:38" ht="15">
      <c r="A126" s="152" t="s">
        <v>136</v>
      </c>
      <c r="B126" s="152"/>
      <c r="C126" s="378">
        <f>+'Exhibit F'!D116+'Exhibit G State'!D102</f>
        <v>1249.7</v>
      </c>
      <c r="D126" s="378"/>
      <c r="E126" s="378">
        <f>+'Exhibit F'!F116+'Exhibit G State'!F102</f>
        <v>1233.3</v>
      </c>
      <c r="F126" s="378"/>
      <c r="G126" s="378">
        <f>+'Exhibit F'!H116+'Exhibit G State'!H102</f>
        <v>1312.1</v>
      </c>
      <c r="H126" s="378"/>
      <c r="I126" s="378">
        <f>+'Exhibit F'!J116+'Exhibit G State'!J102</f>
        <v>1158.9000000000003</v>
      </c>
      <c r="J126" s="378"/>
      <c r="K126" s="378">
        <f>+'Exhibit F'!L116+'Exhibit G State'!L102</f>
        <v>1616.5</v>
      </c>
      <c r="L126" s="378"/>
      <c r="M126" s="378">
        <f>+'Exhibit F'!N116+'Exhibit G State'!N102</f>
        <v>1172.3999999999992</v>
      </c>
      <c r="N126" s="378"/>
      <c r="O126" s="378"/>
      <c r="P126" s="378"/>
      <c r="Q126" s="378"/>
      <c r="R126" s="378"/>
      <c r="S126" s="378"/>
      <c r="T126" s="378"/>
      <c r="U126" s="378"/>
      <c r="V126" s="378"/>
      <c r="W126" s="378"/>
      <c r="X126" s="378"/>
      <c r="Y126" s="378"/>
      <c r="Z126" s="378"/>
      <c r="AA126" s="379"/>
      <c r="AB126" s="378">
        <f>ROUND(SUM(C126:Y126),1)</f>
        <v>7742.9</v>
      </c>
      <c r="AC126" s="378"/>
      <c r="AD126" s="1807"/>
      <c r="AE126" s="467">
        <f>+'Exhibit F'!AF116+'Exhibit G State'!AG102</f>
        <v>7228.0999999999995</v>
      </c>
      <c r="AF126" s="378"/>
      <c r="AG126" s="378"/>
      <c r="AH126" s="378">
        <f>ROUND(SUM(AB126-AE126),1)</f>
        <v>514.79999999999995</v>
      </c>
      <c r="AI126" s="152"/>
      <c r="AJ126" s="488">
        <f>ROUND(SUM(AH126/ABS(AE126)),3)</f>
        <v>7.0999999999999994E-2</v>
      </c>
    </row>
    <row r="127" spans="1:38" ht="15">
      <c r="A127" s="152" t="s">
        <v>137</v>
      </c>
      <c r="B127" s="152"/>
      <c r="C127" s="378">
        <f>+'Exhibit F'!D117+'Exhibit G State'!D103+'Exhibit H'!B58</f>
        <v>376.1</v>
      </c>
      <c r="D127" s="378"/>
      <c r="E127" s="378">
        <f>+'Exhibit F'!F117+'Exhibit G State'!F103+'Exhibit H'!D58</f>
        <v>503.20000000000005</v>
      </c>
      <c r="F127" s="378"/>
      <c r="G127" s="378">
        <f>+'Exhibit F'!H117+'Exhibit G State'!H103+'Exhibit H'!F58</f>
        <v>-134.10000000000002</v>
      </c>
      <c r="H127" s="378"/>
      <c r="I127" s="378">
        <f>+'Exhibit F'!J117+'Exhibit G State'!J103+'Exhibit H'!H58</f>
        <v>462.8</v>
      </c>
      <c r="J127" s="378"/>
      <c r="K127" s="378">
        <f>+'Exhibit F'!L117+'Exhibit G State'!L103+'Exhibit H'!J58</f>
        <v>592.89999999999986</v>
      </c>
      <c r="L127" s="378"/>
      <c r="M127" s="378">
        <f>+'Exhibit F'!N117+'Exhibit G State'!N103+'Exhibit H'!L58</f>
        <v>461.20000000000016</v>
      </c>
      <c r="N127" s="378"/>
      <c r="O127" s="378"/>
      <c r="P127" s="378"/>
      <c r="Q127" s="378"/>
      <c r="R127" s="378"/>
      <c r="S127" s="378"/>
      <c r="T127" s="378"/>
      <c r="U127" s="378"/>
      <c r="V127" s="378"/>
      <c r="W127" s="378"/>
      <c r="X127" s="378"/>
      <c r="Y127" s="378"/>
      <c r="Z127" s="378"/>
      <c r="AA127" s="379"/>
      <c r="AB127" s="378">
        <f>ROUND(SUM(C127:Y127),1)</f>
        <v>2262.1</v>
      </c>
      <c r="AC127" s="378"/>
      <c r="AD127" s="1807"/>
      <c r="AE127" s="467">
        <f>+'Exhibit F'!AF117+'Exhibit G State'!AG103+'Exhibit H'!AD58</f>
        <v>2749.1</v>
      </c>
      <c r="AF127" s="378"/>
      <c r="AG127" s="378"/>
      <c r="AH127" s="378">
        <f>ROUND(SUM(AB127-AE127),1)</f>
        <v>-487</v>
      </c>
      <c r="AI127" s="152"/>
      <c r="AJ127" s="488">
        <f>ROUND(SUM(AH127/ABS(AE127)),3)</f>
        <v>-0.17699999999999999</v>
      </c>
    </row>
    <row r="128" spans="1:38" ht="15">
      <c r="A128" s="152" t="s">
        <v>38</v>
      </c>
      <c r="B128" s="152"/>
      <c r="C128" s="378">
        <f>+'Exhibit F'!D118+'Exhibit G State'!D104</f>
        <v>687</v>
      </c>
      <c r="D128" s="378"/>
      <c r="E128" s="378">
        <f>+'Exhibit F'!F118+'Exhibit G State'!F104</f>
        <v>1944.6000000000004</v>
      </c>
      <c r="F128" s="378"/>
      <c r="G128" s="378">
        <f>+'Exhibit F'!H118+'Exhibit G State'!H104</f>
        <v>563.69999999999959</v>
      </c>
      <c r="H128" s="378"/>
      <c r="I128" s="378">
        <f>+'Exhibit F'!J118+'Exhibit G State'!J104</f>
        <v>500.80000000000018</v>
      </c>
      <c r="J128" s="378"/>
      <c r="K128" s="378">
        <f>+'Exhibit F'!L118+'Exhibit G State'!L104</f>
        <v>609.39999999999986</v>
      </c>
      <c r="L128" s="378"/>
      <c r="M128" s="378">
        <f>+'Exhibit F'!N118+'Exhibit G State'!N104</f>
        <v>555.39999999999952</v>
      </c>
      <c r="N128" s="378"/>
      <c r="O128" s="378"/>
      <c r="P128" s="378"/>
      <c r="Q128" s="378"/>
      <c r="R128" s="378"/>
      <c r="S128" s="378"/>
      <c r="T128" s="378"/>
      <c r="U128" s="378"/>
      <c r="V128" s="378"/>
      <c r="W128" s="378"/>
      <c r="X128" s="378"/>
      <c r="Y128" s="378"/>
      <c r="Z128" s="378"/>
      <c r="AA128" s="379"/>
      <c r="AB128" s="378">
        <f>ROUND(SUM(C128:Y128),1)</f>
        <v>4860.8999999999996</v>
      </c>
      <c r="AC128" s="378"/>
      <c r="AD128" s="1807"/>
      <c r="AE128" s="467">
        <f>+'Exhibit F'!AF118+'Exhibit G State'!AG104</f>
        <v>5040</v>
      </c>
      <c r="AF128" s="378"/>
      <c r="AG128" s="378"/>
      <c r="AH128" s="378">
        <f>ROUND(SUM(AB128-AE128),1)</f>
        <v>-179.1</v>
      </c>
      <c r="AI128" s="152"/>
      <c r="AJ128" s="488">
        <f>ROUND(SUM(AH128/ABS(AE128)),3)</f>
        <v>-3.5999999999999997E-2</v>
      </c>
    </row>
    <row r="129" spans="1:44" ht="15">
      <c r="A129" s="152" t="s">
        <v>39</v>
      </c>
      <c r="B129" s="152"/>
      <c r="C129" s="378"/>
      <c r="D129" s="378"/>
      <c r="E129" s="378"/>
      <c r="F129" s="378"/>
      <c r="G129" s="378"/>
      <c r="H129" s="378"/>
      <c r="I129" s="378"/>
      <c r="J129" s="378"/>
      <c r="K129" s="378"/>
      <c r="L129" s="378"/>
      <c r="M129" s="378"/>
      <c r="N129" s="378"/>
      <c r="O129" s="378"/>
      <c r="P129" s="378"/>
      <c r="Q129" s="378"/>
      <c r="R129" s="378"/>
      <c r="S129" s="378"/>
      <c r="T129" s="378"/>
      <c r="U129" s="378"/>
      <c r="V129" s="378"/>
      <c r="W129" s="378"/>
      <c r="X129" s="378"/>
      <c r="Y129" s="378"/>
      <c r="Z129" s="378"/>
      <c r="AA129" s="379"/>
      <c r="AB129" s="378"/>
      <c r="AC129" s="378"/>
      <c r="AD129" s="1807"/>
      <c r="AE129" s="378"/>
      <c r="AF129" s="378"/>
      <c r="AG129" s="378"/>
      <c r="AH129" s="378"/>
      <c r="AI129" s="152"/>
      <c r="AJ129" s="488"/>
    </row>
    <row r="130" spans="1:44" ht="15">
      <c r="A130" s="152" t="s">
        <v>40</v>
      </c>
      <c r="B130" s="152"/>
      <c r="C130" s="378">
        <f>+'Exhibit H'!B60</f>
        <v>35.200000000000003</v>
      </c>
      <c r="D130" s="378"/>
      <c r="E130" s="378">
        <f>+'Exhibit H'!D60</f>
        <v>28.5</v>
      </c>
      <c r="F130" s="378"/>
      <c r="G130" s="378">
        <f>+'Exhibit H'!F60</f>
        <v>4.8999999999999915</v>
      </c>
      <c r="H130" s="378"/>
      <c r="I130" s="378">
        <f>+'Exhibit H'!H60</f>
        <v>4.5</v>
      </c>
      <c r="J130" s="378"/>
      <c r="K130" s="378">
        <f>+'Exhibit H'!J60</f>
        <v>61.400000000000006</v>
      </c>
      <c r="L130" s="378"/>
      <c r="M130" s="378">
        <f>+'Exhibit H'!L60</f>
        <v>426.9</v>
      </c>
      <c r="N130" s="378"/>
      <c r="O130" s="378"/>
      <c r="P130" s="378"/>
      <c r="Q130" s="378"/>
      <c r="R130" s="378"/>
      <c r="S130" s="378"/>
      <c r="T130" s="378"/>
      <c r="U130" s="378"/>
      <c r="V130" s="378"/>
      <c r="W130" s="378"/>
      <c r="X130" s="378"/>
      <c r="Y130" s="378"/>
      <c r="Z130" s="378"/>
      <c r="AA130" s="379"/>
      <c r="AB130" s="378">
        <f>ROUND(SUM(C130:Y130),1)</f>
        <v>561.4</v>
      </c>
      <c r="AC130" s="378"/>
      <c r="AD130" s="1807"/>
      <c r="AE130" s="467">
        <f>+'Exhibit H'!AD60</f>
        <v>1425.4</v>
      </c>
      <c r="AF130" s="378"/>
      <c r="AG130" s="378"/>
      <c r="AH130" s="378">
        <f>ROUND(SUM(AB130-AE130),1)</f>
        <v>-864</v>
      </c>
      <c r="AI130" s="152"/>
      <c r="AJ130" s="488">
        <f>ROUND(SUM(AH130/ABS(AE130)),3)</f>
        <v>-0.60599999999999998</v>
      </c>
    </row>
    <row r="131" spans="1:44" ht="15">
      <c r="A131" s="152" t="s">
        <v>138</v>
      </c>
      <c r="B131" s="152"/>
      <c r="C131" s="378">
        <f>'Exhibit G State'!D105</f>
        <v>0</v>
      </c>
      <c r="D131" s="378"/>
      <c r="E131" s="378">
        <f>'Exhibit G State'!F105</f>
        <v>0</v>
      </c>
      <c r="F131" s="378"/>
      <c r="G131" s="378">
        <f>'Exhibit G State'!H105</f>
        <v>0</v>
      </c>
      <c r="H131" s="378"/>
      <c r="I131" s="378">
        <f>'Exhibit G State'!J105</f>
        <v>0</v>
      </c>
      <c r="J131" s="378"/>
      <c r="K131" s="378">
        <f>'Exhibit G State'!L105</f>
        <v>0</v>
      </c>
      <c r="L131" s="378"/>
      <c r="M131" s="378">
        <f>'Exhibit G State'!N105</f>
        <v>0</v>
      </c>
      <c r="N131" s="378"/>
      <c r="O131" s="378"/>
      <c r="P131" s="378"/>
      <c r="Q131" s="378"/>
      <c r="R131" s="378"/>
      <c r="S131" s="378"/>
      <c r="T131" s="378"/>
      <c r="U131" s="378"/>
      <c r="V131" s="378"/>
      <c r="W131" s="378"/>
      <c r="X131" s="378"/>
      <c r="Y131" s="378"/>
      <c r="Z131" s="378"/>
      <c r="AA131" s="685"/>
      <c r="AB131" s="378">
        <f>ROUND(SUM(C131:Y131),1)</f>
        <v>0</v>
      </c>
      <c r="AC131" s="378"/>
      <c r="AD131" s="1807"/>
      <c r="AE131" s="467">
        <f>+'Exhibit G'!AG107</f>
        <v>0</v>
      </c>
      <c r="AF131" s="378"/>
      <c r="AG131" s="378"/>
      <c r="AH131" s="378">
        <f>ROUND(SUM(AB131-AE131),1)</f>
        <v>0</v>
      </c>
      <c r="AI131" s="152"/>
      <c r="AJ131" s="469">
        <f>ROUND(IF(AE131=0,0,AH131/ABS(AE131)),3)</f>
        <v>0</v>
      </c>
    </row>
    <row r="132" spans="1:44" ht="16.5" customHeight="1">
      <c r="A132" s="152"/>
      <c r="B132" s="152"/>
      <c r="C132" s="1890"/>
      <c r="D132" s="378"/>
      <c r="E132" s="1890"/>
      <c r="F132" s="378"/>
      <c r="G132" s="1890"/>
      <c r="H132" s="378"/>
      <c r="I132" s="1890"/>
      <c r="J132" s="378"/>
      <c r="K132" s="1890"/>
      <c r="L132" s="378"/>
      <c r="M132" s="1890"/>
      <c r="N132" s="378"/>
      <c r="O132" s="1890"/>
      <c r="P132" s="378"/>
      <c r="Q132" s="1890"/>
      <c r="R132" s="378"/>
      <c r="S132" s="1890"/>
      <c r="T132" s="378"/>
      <c r="U132" s="1890"/>
      <c r="V132" s="378"/>
      <c r="W132" s="1890"/>
      <c r="X132" s="378"/>
      <c r="Y132" s="1890"/>
      <c r="Z132" s="378"/>
      <c r="AA132" s="379"/>
      <c r="AB132" s="1890"/>
      <c r="AC132" s="378"/>
      <c r="AD132" s="1807"/>
      <c r="AE132" s="1890"/>
      <c r="AF132" s="378"/>
      <c r="AG132" s="378"/>
      <c r="AH132" s="1890"/>
      <c r="AI132" s="152"/>
      <c r="AJ132" s="1891"/>
    </row>
    <row r="133" spans="1:44" ht="16.5" customHeight="1">
      <c r="A133" s="112" t="s">
        <v>56</v>
      </c>
      <c r="B133" s="152"/>
      <c r="C133" s="1560">
        <f>ROUND(SUM(C124:C131),1)</f>
        <v>8154.6</v>
      </c>
      <c r="D133" s="382"/>
      <c r="E133" s="1560">
        <f>ROUND(SUM(E124:E131),1)</f>
        <v>12751.1</v>
      </c>
      <c r="F133" s="382"/>
      <c r="G133" s="1560">
        <f>ROUND(SUM(G124:G131),1)</f>
        <v>9500.2000000000007</v>
      </c>
      <c r="H133" s="382"/>
      <c r="I133" s="1560">
        <f>ROUND(SUM(I124:I131),1)</f>
        <v>7091.4</v>
      </c>
      <c r="J133" s="382"/>
      <c r="K133" s="1560">
        <f>ROUND(SUM(K124:K131),1)</f>
        <v>9146.9</v>
      </c>
      <c r="L133" s="382"/>
      <c r="M133" s="1560">
        <f>ROUND(SUM(M124:M131),1)</f>
        <v>12409.2</v>
      </c>
      <c r="N133" s="382"/>
      <c r="O133" s="1560">
        <f>ROUND(SUM(O124:O131),1)</f>
        <v>0</v>
      </c>
      <c r="P133" s="382"/>
      <c r="Q133" s="1560">
        <f>ROUND(SUM(Q124:Q131),1)</f>
        <v>0</v>
      </c>
      <c r="R133" s="382"/>
      <c r="S133" s="1560">
        <f>ROUND(SUM(S124:S131),1)</f>
        <v>0</v>
      </c>
      <c r="T133" s="382"/>
      <c r="U133" s="1560">
        <f>ROUND(SUM(U124:U131),1)</f>
        <v>0</v>
      </c>
      <c r="V133" s="382"/>
      <c r="W133" s="1560">
        <f>ROUND(SUM(W124:W131),1)</f>
        <v>0</v>
      </c>
      <c r="X133" s="382"/>
      <c r="Y133" s="1560">
        <f>ROUND(SUM(Y124:Y131),1)</f>
        <v>0</v>
      </c>
      <c r="Z133" s="382"/>
      <c r="AA133" s="383"/>
      <c r="AB133" s="1560">
        <f>ROUND(SUM(AB124:AB131),1)</f>
        <v>59053.4</v>
      </c>
      <c r="AC133" s="382"/>
      <c r="AD133" s="1811"/>
      <c r="AE133" s="601">
        <f>ROUND(SUM(AE124:AE132),1)</f>
        <v>52572.4</v>
      </c>
      <c r="AF133" s="382"/>
      <c r="AG133" s="382"/>
      <c r="AH133" s="601">
        <f>ROUND(SUM(AH124:AH132),1)</f>
        <v>6481</v>
      </c>
      <c r="AI133" s="370"/>
      <c r="AJ133" s="651">
        <f>ROUND(SUM(AH133/ABS(AE133)),3)</f>
        <v>0.123</v>
      </c>
      <c r="AK133" s="303"/>
      <c r="AL133" s="303"/>
      <c r="AM133" s="303"/>
      <c r="AN133" s="303"/>
      <c r="AO133" s="303"/>
      <c r="AP133" s="303"/>
      <c r="AQ133" s="303"/>
      <c r="AR133" s="303"/>
    </row>
    <row r="134" spans="1:44" ht="16.5" customHeight="1">
      <c r="A134" s="112"/>
      <c r="B134" s="152"/>
      <c r="C134" s="378"/>
      <c r="D134" s="378"/>
      <c r="E134" s="378"/>
      <c r="F134" s="378"/>
      <c r="G134" s="378"/>
      <c r="H134" s="378"/>
      <c r="I134" s="378"/>
      <c r="J134" s="378"/>
      <c r="K134" s="378"/>
      <c r="L134" s="378"/>
      <c r="M134" s="378"/>
      <c r="N134" s="378"/>
      <c r="O134" s="378"/>
      <c r="P134" s="378"/>
      <c r="Q134" s="378"/>
      <c r="R134" s="378"/>
      <c r="S134" s="378"/>
      <c r="T134" s="378"/>
      <c r="U134" s="378"/>
      <c r="V134" s="378"/>
      <c r="W134" s="378"/>
      <c r="X134" s="378"/>
      <c r="Y134" s="378"/>
      <c r="Z134" s="378"/>
      <c r="AA134" s="379"/>
      <c r="AB134" s="378"/>
      <c r="AC134" s="378"/>
      <c r="AD134" s="1807"/>
      <c r="AE134" s="378"/>
      <c r="AF134" s="378"/>
      <c r="AG134" s="378"/>
      <c r="AH134" s="467"/>
      <c r="AI134" s="152"/>
      <c r="AJ134" s="472"/>
    </row>
    <row r="135" spans="1:44" ht="16.5" customHeight="1">
      <c r="A135" s="112" t="s">
        <v>43</v>
      </c>
      <c r="B135" s="152"/>
      <c r="C135" s="378"/>
      <c r="D135" s="378"/>
      <c r="E135" s="378"/>
      <c r="F135" s="378"/>
      <c r="G135" s="378"/>
      <c r="H135" s="378"/>
      <c r="I135" s="378"/>
      <c r="J135" s="378"/>
      <c r="K135" s="378"/>
      <c r="L135" s="378"/>
      <c r="M135" s="378"/>
      <c r="N135" s="378"/>
      <c r="O135" s="378"/>
      <c r="P135" s="378"/>
      <c r="Q135" s="378"/>
      <c r="R135" s="378"/>
      <c r="S135" s="378"/>
      <c r="T135" s="378"/>
      <c r="U135" s="378"/>
      <c r="V135" s="378"/>
      <c r="W135" s="378"/>
      <c r="X135" s="378"/>
      <c r="Y135" s="378"/>
      <c r="Z135" s="378"/>
      <c r="AA135" s="379"/>
      <c r="AB135" s="378"/>
      <c r="AC135" s="378"/>
      <c r="AD135" s="1807"/>
      <c r="AE135" s="378"/>
      <c r="AF135" s="378"/>
      <c r="AG135" s="378"/>
      <c r="AH135" s="467"/>
      <c r="AI135" s="152"/>
      <c r="AJ135" s="472"/>
    </row>
    <row r="136" spans="1:44" ht="16.5" customHeight="1">
      <c r="A136" s="112" t="s">
        <v>44</v>
      </c>
      <c r="B136" s="152"/>
      <c r="C136" s="1560">
        <f>ROUND(SUM(C110-C133),1)</f>
        <v>4631.8999999999996</v>
      </c>
      <c r="D136" s="382"/>
      <c r="E136" s="1560">
        <f>ROUND(SUM(E110-E133),1)</f>
        <v>-6949.4</v>
      </c>
      <c r="F136" s="382"/>
      <c r="G136" s="1560">
        <f>ROUND(SUM(G110-G133),1)</f>
        <v>5073.8</v>
      </c>
      <c r="H136" s="382"/>
      <c r="I136" s="1560">
        <f>ROUND(SUM(I110-I133),1)</f>
        <v>665.4</v>
      </c>
      <c r="J136" s="382"/>
      <c r="K136" s="1560">
        <f>ROUND(SUM(K110-K133),1)</f>
        <v>-838.8</v>
      </c>
      <c r="L136" s="382"/>
      <c r="M136" s="1560">
        <f>ROUND(SUM(M110-M133),1)</f>
        <v>2158.3000000000002</v>
      </c>
      <c r="N136" s="382"/>
      <c r="O136" s="1560">
        <f>ROUND(SUM(O110-O133),1)</f>
        <v>0</v>
      </c>
      <c r="P136" s="382"/>
      <c r="Q136" s="1560">
        <f>ROUND(SUM(Q110-Q133),1)</f>
        <v>0</v>
      </c>
      <c r="R136" s="382"/>
      <c r="S136" s="1560">
        <f>ROUND(SUM(S110-S133),1)</f>
        <v>0</v>
      </c>
      <c r="T136" s="382"/>
      <c r="U136" s="1560">
        <f>ROUND(SUM(U110-U133),1)</f>
        <v>0</v>
      </c>
      <c r="V136" s="382"/>
      <c r="W136" s="1560">
        <f>ROUND(SUM(W110-W133),1)</f>
        <v>0</v>
      </c>
      <c r="X136" s="382"/>
      <c r="Y136" s="1560">
        <f>ROUND(SUM(Y110-Y133),1)</f>
        <v>0</v>
      </c>
      <c r="Z136" s="382"/>
      <c r="AA136" s="383"/>
      <c r="AB136" s="1560">
        <f>ROUND(SUM(AB110-AB133),1)</f>
        <v>4741.2</v>
      </c>
      <c r="AC136" s="382"/>
      <c r="AD136" s="1811"/>
      <c r="AE136" s="1560">
        <f>ROUND(SUM(AE110-AE133),1)</f>
        <v>16417.8</v>
      </c>
      <c r="AF136" s="382"/>
      <c r="AG136" s="382"/>
      <c r="AH136" s="1817">
        <f>ROUND(SUM(AB136-AE136),1)</f>
        <v>-11676.6</v>
      </c>
      <c r="AI136" s="370"/>
      <c r="AJ136" s="1151">
        <f>ROUND(SUM(AH136/ABS(AE136)),3)</f>
        <v>-0.71099999999999997</v>
      </c>
      <c r="AK136" s="303"/>
      <c r="AL136" s="303"/>
    </row>
    <row r="137" spans="1:44" ht="16.5" customHeight="1">
      <c r="A137" s="472"/>
      <c r="B137" s="152"/>
      <c r="C137" s="35"/>
      <c r="D137" s="378"/>
      <c r="E137" s="35"/>
      <c r="F137" s="378"/>
      <c r="G137" s="35"/>
      <c r="H137" s="378"/>
      <c r="I137" s="35"/>
      <c r="J137" s="378"/>
      <c r="K137" s="35"/>
      <c r="L137" s="378"/>
      <c r="M137" s="35"/>
      <c r="N137" s="378"/>
      <c r="O137" s="35"/>
      <c r="P137" s="378"/>
      <c r="Q137" s="35"/>
      <c r="R137" s="378"/>
      <c r="S137" s="35"/>
      <c r="T137" s="378"/>
      <c r="U137" s="35"/>
      <c r="V137" s="378"/>
      <c r="W137" s="35"/>
      <c r="X137" s="378"/>
      <c r="Y137" s="35"/>
      <c r="Z137" s="254"/>
      <c r="AA137" s="379"/>
      <c r="AB137" s="35"/>
      <c r="AC137" s="378"/>
      <c r="AD137" s="1807"/>
      <c r="AE137" s="35"/>
      <c r="AF137" s="378"/>
      <c r="AG137" s="378"/>
      <c r="AH137" s="467"/>
      <c r="AI137" s="152"/>
      <c r="AJ137" s="472"/>
    </row>
    <row r="138" spans="1:44" ht="16.5" customHeight="1">
      <c r="A138" s="112" t="s">
        <v>45</v>
      </c>
      <c r="B138" s="152"/>
      <c r="C138" s="378"/>
      <c r="D138" s="378"/>
      <c r="E138" s="378"/>
      <c r="F138" s="386"/>
      <c r="G138" s="378"/>
      <c r="H138" s="386"/>
      <c r="I138" s="386"/>
      <c r="J138" s="386"/>
      <c r="K138" s="386"/>
      <c r="L138" s="386"/>
      <c r="M138" s="386"/>
      <c r="N138" s="386"/>
      <c r="O138" s="386"/>
      <c r="P138" s="386"/>
      <c r="Q138" s="386"/>
      <c r="R138" s="386"/>
      <c r="S138" s="386"/>
      <c r="T138" s="386"/>
      <c r="U138" s="386"/>
      <c r="V138" s="378"/>
      <c r="W138" s="386"/>
      <c r="X138" s="378"/>
      <c r="Y138" s="386"/>
      <c r="Z138" s="1561"/>
      <c r="AA138" s="379"/>
      <c r="AB138" s="378"/>
      <c r="AC138" s="1561"/>
      <c r="AD138" s="378"/>
      <c r="AE138" s="378"/>
      <c r="AF138" s="378"/>
      <c r="AG138" s="378"/>
      <c r="AH138" s="467"/>
      <c r="AI138" s="152"/>
      <c r="AJ138" s="472"/>
    </row>
    <row r="139" spans="1:44" ht="16.5" customHeight="1">
      <c r="A139" s="152" t="s">
        <v>1034</v>
      </c>
      <c r="B139" s="152"/>
      <c r="C139" s="1314">
        <f>+'Exhibit F'!D127+'Exhibit F'!D128+'Exhibit F'!D129+'Exhibit F'!D130+'Exhibit G State'!D113+'Exhibit H'!B68</f>
        <v>5084.3999999999987</v>
      </c>
      <c r="D139" s="1314"/>
      <c r="E139" s="1314">
        <f>+'Exhibit F'!F127+'Exhibit F'!F128+'Exhibit F'!F129+'Exhibit F'!F130+'Exhibit G State'!F113+'Exhibit H'!D68</f>
        <v>2952.9</v>
      </c>
      <c r="F139" s="1314"/>
      <c r="G139" s="1314">
        <f>+'Exhibit F'!H127+'Exhibit F'!H128+'Exhibit F'!H129+'Exhibit F'!H130+'Exhibit G State'!H113+'Exhibit H'!F68</f>
        <v>5433.5999999999995</v>
      </c>
      <c r="H139" s="378"/>
      <c r="I139" s="1314">
        <f>+'Exhibit F'!J127+'Exhibit F'!J128+'Exhibit F'!J129+'Exhibit F'!J130+'Exhibit G State'!J113+'Exhibit H'!H68</f>
        <v>2948.6000000000013</v>
      </c>
      <c r="J139" s="378"/>
      <c r="K139" s="1314">
        <f>+'Exhibit F'!L127+'Exhibit F'!L128+'Exhibit F'!L129+'Exhibit F'!L130+'Exhibit G State'!L113+'Exhibit H'!J68</f>
        <v>2601.8000000000002</v>
      </c>
      <c r="L139" s="378"/>
      <c r="M139" s="1314">
        <f>+'Exhibit F'!N127+'Exhibit F'!N128+'Exhibit F'!N129+'Exhibit F'!N130+'Exhibit G State'!N113+'Exhibit H'!L68</f>
        <v>5391.3999999999987</v>
      </c>
      <c r="N139" s="378"/>
      <c r="O139" s="1314"/>
      <c r="P139" s="378"/>
      <c r="Q139" s="1314"/>
      <c r="R139" s="1314"/>
      <c r="S139" s="1314"/>
      <c r="T139" s="1314"/>
      <c r="U139" s="1314"/>
      <c r="V139" s="1314"/>
      <c r="W139" s="1314"/>
      <c r="X139" s="1314"/>
      <c r="Y139" s="1314"/>
      <c r="Z139" s="378"/>
      <c r="AA139" s="379"/>
      <c r="AB139" s="378">
        <f>ROUND(SUM(C139:Y139),1)</f>
        <v>24412.7</v>
      </c>
      <c r="AC139" s="378"/>
      <c r="AD139" s="379"/>
      <c r="AE139" s="378">
        <f>'Exhibit F'!AF127+'Exhibit F'!AF128+'Exhibit F'!AF129+'Exhibit F'!AF130+'Exhibit G State'!AG113+'Exhibit H'!AD68</f>
        <v>29795.1</v>
      </c>
      <c r="AF139" s="378"/>
      <c r="AG139" s="378"/>
      <c r="AH139" s="378">
        <f>ROUND(SUM(AB139-AE139),1)</f>
        <v>-5382.4</v>
      </c>
      <c r="AI139" s="152"/>
      <c r="AJ139" s="488">
        <f>ROUND(SUM(AH139/ABS(AE139)),3)</f>
        <v>-0.18099999999999999</v>
      </c>
    </row>
    <row r="140" spans="1:44" ht="16.5" customHeight="1">
      <c r="A140" s="152" t="s">
        <v>1035</v>
      </c>
      <c r="C140" s="1562">
        <f>+'Exhibit F'!D131+'Exhibit F'!D132+'Exhibit F'!D133+'Exhibit F'!D134+'Exhibit G State'!D114+'Exhibit H'!B69</f>
        <v>-5088.5</v>
      </c>
      <c r="D140" s="1314"/>
      <c r="E140" s="1562">
        <f>+'Exhibit F'!F131+'Exhibit F'!F132+'Exhibit F'!F133+'Exhibit F'!F134+'Exhibit G State'!F114+'Exhibit H'!D69</f>
        <v>-2526.3000000000002</v>
      </c>
      <c r="F140" s="1314"/>
      <c r="G140" s="1562">
        <f>+'Exhibit F'!H131+'Exhibit F'!H132+'Exhibit F'!H133+'Exhibit F'!H134+'Exhibit G State'!H114+'Exhibit H'!F69</f>
        <v>-5573.6</v>
      </c>
      <c r="H140" s="35"/>
      <c r="I140" s="1562">
        <f>+'Exhibit F'!J131+'Exhibit F'!J132+'Exhibit F'!J133+'Exhibit F'!J134+'Exhibit G State'!J114+'Exhibit H'!H69</f>
        <v>-2658.7000000000007</v>
      </c>
      <c r="J140" s="35"/>
      <c r="K140" s="1562">
        <f>+'Exhibit F'!L131+'Exhibit F'!L132+'Exhibit F'!L133+'Exhibit F'!L134+'Exhibit G State'!L114+'Exhibit H'!J69</f>
        <v>-2816.5999999999995</v>
      </c>
      <c r="L140" s="35"/>
      <c r="M140" s="1562">
        <f>+'Exhibit F'!N131+'Exhibit F'!N132+'Exhibit F'!N133+'Exhibit F'!N134+'Exhibit G State'!N114+'Exhibit H'!L69</f>
        <v>-5318.6999999999962</v>
      </c>
      <c r="N140" s="35"/>
      <c r="O140" s="1562"/>
      <c r="P140" s="35"/>
      <c r="Q140" s="1562"/>
      <c r="R140" s="1314"/>
      <c r="S140" s="1562"/>
      <c r="T140" s="1314"/>
      <c r="U140" s="1562"/>
      <c r="V140" s="1314"/>
      <c r="W140" s="1562"/>
      <c r="X140" s="1314"/>
      <c r="Y140" s="1562"/>
      <c r="Z140" s="35"/>
      <c r="AA140" s="387"/>
      <c r="AB140" s="380">
        <f>ROUND(SUM(C140:Y140),1)</f>
        <v>-23982.400000000001</v>
      </c>
      <c r="AC140" s="35"/>
      <c r="AD140" s="387"/>
      <c r="AE140" s="380">
        <f>'Exhibit F'!AF131+'Exhibit F'!AF132+'Exhibit F'!AF133+'Exhibit F'!AF134+'Exhibit G State'!AG114+'Exhibit H'!AD69</f>
        <v>-28480.799999999999</v>
      </c>
      <c r="AF140" s="35"/>
      <c r="AG140" s="35"/>
      <c r="AH140" s="380">
        <f>ROUND(SUM(-AB140+AE140),1)</f>
        <v>-4498.3999999999996</v>
      </c>
      <c r="AI140" s="472"/>
      <c r="AJ140" s="1818">
        <f>ROUND(SUM(AH140/ABS(AE140)),3)</f>
        <v>-0.158</v>
      </c>
    </row>
    <row r="141" spans="1:44" ht="16.5" customHeight="1">
      <c r="A141" s="152"/>
      <c r="C141" s="378"/>
      <c r="D141" s="35"/>
      <c r="E141" s="378"/>
      <c r="F141" s="35"/>
      <c r="G141" s="378"/>
      <c r="H141" s="35"/>
      <c r="I141" s="378"/>
      <c r="J141" s="35"/>
      <c r="K141" s="378"/>
      <c r="L141" s="35"/>
      <c r="M141" s="378"/>
      <c r="N141" s="35"/>
      <c r="O141" s="378"/>
      <c r="P141" s="35"/>
      <c r="Q141" s="378"/>
      <c r="R141" s="35"/>
      <c r="S141" s="378"/>
      <c r="T141" s="35"/>
      <c r="U141" s="378"/>
      <c r="V141" s="35"/>
      <c r="W141" s="378"/>
      <c r="X141" s="35"/>
      <c r="Y141" s="378"/>
      <c r="Z141" s="35"/>
      <c r="AA141" s="387"/>
      <c r="AB141" s="378"/>
      <c r="AC141" s="35"/>
      <c r="AD141" s="387"/>
      <c r="AE141" s="378"/>
      <c r="AF141" s="35"/>
      <c r="AG141" s="35"/>
      <c r="AH141" s="378"/>
      <c r="AI141" s="472"/>
      <c r="AJ141" s="488"/>
    </row>
    <row r="142" spans="1:44" ht="16.5" customHeight="1">
      <c r="A142" s="112" t="s">
        <v>48</v>
      </c>
      <c r="C142" s="1560">
        <f>ROUND(SUM(C139:C140),1)</f>
        <v>-4.0999999999999996</v>
      </c>
      <c r="D142" s="388"/>
      <c r="E142" s="1560">
        <f>ROUND(SUM(E139:E140),1)</f>
        <v>426.6</v>
      </c>
      <c r="F142" s="388"/>
      <c r="G142" s="1560">
        <f>ROUND(SUM(G139:G140),1)</f>
        <v>-140</v>
      </c>
      <c r="H142" s="388"/>
      <c r="I142" s="1560">
        <f>ROUND(SUM(I139:I140),1)</f>
        <v>289.89999999999998</v>
      </c>
      <c r="J142" s="388"/>
      <c r="K142" s="1560">
        <f>ROUND(SUM(K139:K140),1)</f>
        <v>-214.8</v>
      </c>
      <c r="L142" s="388"/>
      <c r="M142" s="1560">
        <f>ROUND(SUM(M139:M140),1)</f>
        <v>72.7</v>
      </c>
      <c r="N142" s="388"/>
      <c r="O142" s="1560">
        <f>ROUND(SUM(O139:O140),1)</f>
        <v>0</v>
      </c>
      <c r="P142" s="388"/>
      <c r="Q142" s="1560">
        <f>ROUND(SUM(Q139:Q140),1)</f>
        <v>0</v>
      </c>
      <c r="R142" s="388"/>
      <c r="S142" s="1560">
        <f>ROUND(SUM(S139:S140),1)</f>
        <v>0</v>
      </c>
      <c r="T142" s="388"/>
      <c r="U142" s="1560">
        <f>ROUND(SUM(U139:U140),1)</f>
        <v>0</v>
      </c>
      <c r="V142" s="388"/>
      <c r="W142" s="1560">
        <f>ROUND(SUM(W139:W140),1)</f>
        <v>0</v>
      </c>
      <c r="X142" s="388"/>
      <c r="Y142" s="1560">
        <f>ROUND(SUM(Y139:Y140),1)</f>
        <v>0</v>
      </c>
      <c r="Z142" s="388"/>
      <c r="AA142" s="389"/>
      <c r="AB142" s="1560">
        <f>ROUND(SUM(AB139:AB140),1)</f>
        <v>430.3</v>
      </c>
      <c r="AC142" s="388"/>
      <c r="AD142" s="389"/>
      <c r="AE142" s="1560">
        <f>ROUND(SUM(AE139:AE140),1)</f>
        <v>1314.3</v>
      </c>
      <c r="AF142" s="388"/>
      <c r="AG142" s="35"/>
      <c r="AH142" s="1560">
        <f>ROUND(SUM(AH139-AH140),1)</f>
        <v>-884</v>
      </c>
      <c r="AI142" s="112"/>
      <c r="AJ142" s="1151">
        <f>ROUND(SUM(AH142/ABS(AE142)),3)</f>
        <v>-0.67300000000000004</v>
      </c>
      <c r="AK142" s="303"/>
      <c r="AL142" s="303"/>
    </row>
    <row r="143" spans="1:44" ht="16.5" customHeight="1">
      <c r="A143" s="472"/>
      <c r="C143" s="35"/>
      <c r="D143" s="35"/>
      <c r="E143" s="35"/>
      <c r="F143" s="35"/>
      <c r="G143" s="35"/>
      <c r="H143" s="35"/>
      <c r="I143" s="35"/>
      <c r="J143" s="35"/>
      <c r="K143" s="35"/>
      <c r="L143" s="35"/>
      <c r="M143" s="35"/>
      <c r="N143" s="35"/>
      <c r="O143" s="35"/>
      <c r="P143" s="35"/>
      <c r="Q143" s="35"/>
      <c r="R143" s="35"/>
      <c r="S143" s="35"/>
      <c r="T143" s="35"/>
      <c r="U143" s="35"/>
      <c r="V143" s="35"/>
      <c r="W143" s="35"/>
      <c r="X143" s="35"/>
      <c r="Y143" s="35"/>
      <c r="Z143" s="35"/>
      <c r="AA143" s="387"/>
      <c r="AB143" s="35"/>
      <c r="AC143" s="35"/>
      <c r="AD143" s="387"/>
      <c r="AE143" s="35"/>
      <c r="AF143" s="35"/>
      <c r="AH143" s="467"/>
      <c r="AI143" s="472"/>
      <c r="AJ143" s="472"/>
    </row>
    <row r="144" spans="1:44" ht="16.5" customHeight="1">
      <c r="A144" s="112" t="s">
        <v>43</v>
      </c>
      <c r="C144" s="378"/>
      <c r="D144" s="35"/>
      <c r="E144" s="378"/>
      <c r="F144" s="35"/>
      <c r="G144" s="378"/>
      <c r="H144" s="35"/>
      <c r="I144" s="378"/>
      <c r="J144" s="35"/>
      <c r="K144" s="378"/>
      <c r="L144" s="35"/>
      <c r="M144" s="378"/>
      <c r="N144" s="35"/>
      <c r="O144" s="378"/>
      <c r="P144" s="35"/>
      <c r="Q144" s="378"/>
      <c r="R144" s="35"/>
      <c r="S144" s="378"/>
      <c r="T144" s="35"/>
      <c r="U144" s="378"/>
      <c r="V144" s="35"/>
      <c r="W144" s="378"/>
      <c r="X144" s="35"/>
      <c r="Y144" s="378"/>
      <c r="Z144" s="35"/>
      <c r="AA144" s="387"/>
      <c r="AB144" s="378"/>
      <c r="AC144" s="35"/>
      <c r="AD144" s="387"/>
      <c r="AE144" s="378"/>
      <c r="AF144" s="35"/>
      <c r="AG144" s="174"/>
      <c r="AH144" s="467"/>
      <c r="AI144" s="472"/>
      <c r="AJ144" s="472"/>
    </row>
    <row r="145" spans="1:59" ht="16.5" customHeight="1">
      <c r="A145" s="112" t="s">
        <v>49</v>
      </c>
      <c r="C145" s="382"/>
      <c r="D145" s="388"/>
      <c r="E145" s="382"/>
      <c r="F145" s="388"/>
      <c r="G145" s="382"/>
      <c r="H145" s="388"/>
      <c r="I145" s="382"/>
      <c r="J145" s="388"/>
      <c r="K145" s="382"/>
      <c r="L145" s="388"/>
      <c r="M145" s="382"/>
      <c r="N145" s="388"/>
      <c r="O145" s="382"/>
      <c r="P145" s="388"/>
      <c r="Q145" s="382"/>
      <c r="R145" s="388"/>
      <c r="S145" s="382"/>
      <c r="T145" s="388"/>
      <c r="U145" s="382"/>
      <c r="V145" s="388"/>
      <c r="W145" s="382"/>
      <c r="X145" s="388"/>
      <c r="Y145" s="382"/>
      <c r="Z145" s="388"/>
      <c r="AA145" s="389"/>
      <c r="AB145" s="382"/>
      <c r="AC145" s="388"/>
      <c r="AD145" s="389"/>
      <c r="AE145" s="382"/>
      <c r="AF145" s="35"/>
      <c r="AG145" s="174"/>
      <c r="AH145" s="42"/>
      <c r="AI145" s="112"/>
      <c r="AJ145" s="112"/>
      <c r="AK145" s="303"/>
      <c r="AL145" s="303"/>
      <c r="AM145" s="303"/>
      <c r="AN145" s="303"/>
      <c r="AO145" s="303"/>
      <c r="AP145" s="303"/>
      <c r="AQ145" s="303"/>
      <c r="AR145" s="303"/>
      <c r="AS145" s="303"/>
      <c r="AT145" s="303"/>
      <c r="AU145" s="303"/>
      <c r="AV145" s="303"/>
      <c r="AW145" s="303"/>
      <c r="AX145" s="303"/>
      <c r="AY145" s="303"/>
      <c r="AZ145" s="303"/>
      <c r="BA145" s="303"/>
      <c r="BB145" s="303"/>
      <c r="BC145" s="303"/>
      <c r="BD145" s="303"/>
      <c r="BE145" s="303"/>
      <c r="BF145" s="303"/>
      <c r="BG145" s="303"/>
    </row>
    <row r="146" spans="1:59" ht="16.5" customHeight="1">
      <c r="A146" s="112" t="s">
        <v>50</v>
      </c>
      <c r="C146" s="390">
        <f>ROUND(SUM(C136+C142),1)</f>
        <v>4627.8</v>
      </c>
      <c r="D146" s="388"/>
      <c r="E146" s="390">
        <f>ROUND(SUM(E136+E142),1)</f>
        <v>-6522.8</v>
      </c>
      <c r="F146" s="388"/>
      <c r="G146" s="390">
        <f>ROUND(SUM(G136+G142),1)</f>
        <v>4933.8</v>
      </c>
      <c r="H146" s="388"/>
      <c r="I146" s="390">
        <f>ROUND(SUM(I136+I142),1)</f>
        <v>955.3</v>
      </c>
      <c r="J146" s="388"/>
      <c r="K146" s="390">
        <f>ROUND(SUM(K136+K142),1)</f>
        <v>-1053.5999999999999</v>
      </c>
      <c r="L146" s="388"/>
      <c r="M146" s="390">
        <f>ROUND(SUM(M136+M142),1)</f>
        <v>2231</v>
      </c>
      <c r="N146" s="388"/>
      <c r="O146" s="390">
        <f>ROUND(SUM(O136+O142),1)</f>
        <v>0</v>
      </c>
      <c r="P146" s="388"/>
      <c r="Q146" s="390">
        <f>ROUND(SUM(Q136+Q142),1)</f>
        <v>0</v>
      </c>
      <c r="R146" s="388"/>
      <c r="S146" s="390">
        <f>ROUND(SUM(S136+S142),1)</f>
        <v>0</v>
      </c>
      <c r="T146" s="388"/>
      <c r="U146" s="390">
        <f>ROUND(SUM(U136+U142),1)</f>
        <v>0</v>
      </c>
      <c r="V146" s="388"/>
      <c r="W146" s="390">
        <f>ROUND(SUM(W136+W142),1)</f>
        <v>0</v>
      </c>
      <c r="X146" s="388"/>
      <c r="Y146" s="390">
        <f>ROUND(SUM(Y136+Y142),1)</f>
        <v>0</v>
      </c>
      <c r="Z146" s="388"/>
      <c r="AA146" s="389"/>
      <c r="AB146" s="390">
        <f>ROUND(SUM(AB136+AB142),1)</f>
        <v>5171.5</v>
      </c>
      <c r="AC146" s="388"/>
      <c r="AD146" s="389"/>
      <c r="AE146" s="390">
        <f>ROUND(SUM(AE136+AE142),1)</f>
        <v>17732.099999999999</v>
      </c>
      <c r="AF146" s="35"/>
      <c r="AG146" s="174"/>
      <c r="AH146" s="1817">
        <f>ROUND(SUM(AB146-AE146),1)</f>
        <v>-12560.6</v>
      </c>
      <c r="AI146" s="112"/>
      <c r="AJ146" s="1151">
        <f>ROUND(SUM(AH146/ABS(AE146)),3)</f>
        <v>-0.70799999999999996</v>
      </c>
      <c r="AK146" s="303"/>
      <c r="AL146" s="303"/>
      <c r="AM146" s="303"/>
      <c r="AN146" s="303"/>
      <c r="AO146" s="303"/>
      <c r="AP146" s="303"/>
      <c r="AQ146" s="303"/>
      <c r="AR146" s="303"/>
      <c r="AS146" s="303"/>
      <c r="AT146" s="303"/>
      <c r="AU146" s="303"/>
      <c r="AV146" s="303"/>
      <c r="AW146" s="303"/>
      <c r="AX146" s="303"/>
      <c r="AY146" s="303"/>
      <c r="AZ146" s="303"/>
      <c r="BA146" s="303"/>
      <c r="BB146" s="303"/>
      <c r="BC146" s="303"/>
      <c r="BD146" s="303"/>
      <c r="BE146" s="303"/>
      <c r="BF146" s="303"/>
      <c r="BG146" s="303"/>
    </row>
    <row r="147" spans="1:59" ht="15.75">
      <c r="A147" s="112"/>
      <c r="C147" s="373"/>
      <c r="E147" s="373"/>
      <c r="G147" s="373"/>
      <c r="I147" s="373"/>
      <c r="K147" s="373"/>
      <c r="M147" s="373"/>
      <c r="O147" s="373"/>
      <c r="Q147" s="373"/>
      <c r="S147" s="373"/>
      <c r="U147" s="373"/>
      <c r="W147" s="373"/>
      <c r="Y147" s="373"/>
      <c r="AA147" s="391"/>
      <c r="AB147" s="373"/>
      <c r="AD147" s="391"/>
      <c r="AE147" s="2056"/>
      <c r="AF147" s="35"/>
      <c r="AG147" s="174"/>
      <c r="AH147" s="472"/>
      <c r="AI147" s="472"/>
      <c r="AJ147" s="472"/>
    </row>
    <row r="148" spans="1:59" thickBot="1">
      <c r="A148" s="392" t="s">
        <v>139</v>
      </c>
      <c r="C148" s="393">
        <f>ROUND(SUM(C16+C146),1)</f>
        <v>57351.6</v>
      </c>
      <c r="D148" s="174"/>
      <c r="E148" s="393">
        <f>ROUND(SUM(E16+E146),1)</f>
        <v>50828.800000000003</v>
      </c>
      <c r="F148" s="174"/>
      <c r="G148" s="393">
        <f>ROUND(SUM(G16+G146),1)</f>
        <v>55762.6</v>
      </c>
      <c r="H148" s="174"/>
      <c r="I148" s="393">
        <f>ROUND(SUM(I16+I146),1)</f>
        <v>56717.9</v>
      </c>
      <c r="J148" s="394"/>
      <c r="K148" s="393">
        <f>ROUND(SUM(K16+K146),1)</f>
        <v>55664.3</v>
      </c>
      <c r="L148" s="394"/>
      <c r="M148" s="393">
        <f>ROUND(SUM(M16+M146),1)</f>
        <v>57895.3</v>
      </c>
      <c r="N148" s="394"/>
      <c r="O148" s="393">
        <f>ROUND(SUM(O16+O146),1)</f>
        <v>0</v>
      </c>
      <c r="P148" s="394"/>
      <c r="Q148" s="393">
        <f>ROUND(SUM(Q16+Q146),1)</f>
        <v>0</v>
      </c>
      <c r="R148" s="394"/>
      <c r="S148" s="393">
        <f>ROUND(SUM(S16+S146),1)</f>
        <v>0</v>
      </c>
      <c r="T148" s="394"/>
      <c r="U148" s="393">
        <f>ROUND(SUM(U16+U146),1)</f>
        <v>0</v>
      </c>
      <c r="V148" s="394"/>
      <c r="W148" s="393">
        <f>ROUND(SUM(W16+W146),1)</f>
        <v>0</v>
      </c>
      <c r="X148" s="394"/>
      <c r="Y148" s="393">
        <f>ROUND(SUM(Y16+Y146),1)</f>
        <v>0</v>
      </c>
      <c r="Z148" s="174"/>
      <c r="AA148" s="395"/>
      <c r="AB148" s="393">
        <f>ROUND(SUM(AB16+AB146),1)</f>
        <v>57895.3</v>
      </c>
      <c r="AC148" s="174"/>
      <c r="AD148" s="395"/>
      <c r="AE148" s="393">
        <f>ROUND(SUM(AE16+AE146),1)</f>
        <v>58499.3</v>
      </c>
      <c r="AF148" s="35"/>
      <c r="AG148" s="174"/>
      <c r="AH148" s="393">
        <f>ROUND(SUM(AB148-AE148),1)</f>
        <v>-604</v>
      </c>
      <c r="AI148" s="112"/>
      <c r="AJ148" s="201">
        <f>ROUND(SUM(AH148/ABS(AE148)),3)</f>
        <v>-0.01</v>
      </c>
      <c r="AK148" s="303"/>
    </row>
    <row r="149" spans="1:59" thickTop="1">
      <c r="A149" s="396"/>
      <c r="AH149" s="472"/>
      <c r="AI149" s="472"/>
      <c r="AJ149" s="472"/>
    </row>
    <row r="150" spans="1:59" ht="15">
      <c r="A150" s="489" t="s">
        <v>1026</v>
      </c>
      <c r="O150" s="142" t="s">
        <v>14</v>
      </c>
      <c r="AH150" s="472"/>
      <c r="AI150" s="472"/>
      <c r="AJ150" s="472"/>
    </row>
    <row r="151" spans="1:59" ht="15">
      <c r="A151" s="489" t="s">
        <v>1402</v>
      </c>
      <c r="AB151" s="142" t="s">
        <v>14</v>
      </c>
      <c r="AH151" s="472"/>
      <c r="AI151" s="472"/>
      <c r="AJ151" s="472"/>
    </row>
    <row r="152" spans="1:59" ht="15">
      <c r="A152" s="815" t="s">
        <v>1401</v>
      </c>
      <c r="AB152" s="142" t="s">
        <v>14</v>
      </c>
      <c r="AH152" s="472"/>
      <c r="AI152" s="472"/>
      <c r="AJ152" s="472"/>
    </row>
    <row r="153" spans="1:59" ht="16.5" customHeight="1">
      <c r="AH153" s="472"/>
      <c r="AI153" s="472"/>
      <c r="AJ153" s="472"/>
    </row>
    <row r="154" spans="1:59" ht="16.5" customHeight="1">
      <c r="AH154" s="472"/>
      <c r="AI154" s="472"/>
      <c r="AJ154" s="472"/>
    </row>
    <row r="155" spans="1:59" ht="16.5" customHeight="1">
      <c r="AH155" s="472"/>
      <c r="AI155" s="472"/>
      <c r="AJ155" s="472"/>
    </row>
    <row r="156" spans="1:59" ht="16.5" customHeight="1">
      <c r="AH156" s="472"/>
      <c r="AI156" s="472"/>
      <c r="AJ156" s="472"/>
    </row>
    <row r="157" spans="1:59" ht="16.5" customHeight="1">
      <c r="AH157" s="472"/>
      <c r="AI157" s="472"/>
      <c r="AJ157" s="472"/>
    </row>
    <row r="158" spans="1:59" ht="16.5" customHeight="1">
      <c r="AH158" s="472"/>
      <c r="AI158" s="472"/>
      <c r="AJ158" s="472"/>
    </row>
    <row r="159" spans="1:59" ht="16.5" customHeight="1">
      <c r="AH159" s="472"/>
      <c r="AI159" s="472"/>
      <c r="AJ159" s="472"/>
    </row>
    <row r="160" spans="1:59" ht="16.5" customHeight="1">
      <c r="AH160" s="472"/>
      <c r="AI160" s="472"/>
      <c r="AJ160" s="472"/>
    </row>
    <row r="161" spans="34:36" ht="16.5" customHeight="1">
      <c r="AH161" s="472"/>
      <c r="AI161" s="472"/>
      <c r="AJ161" s="472"/>
    </row>
    <row r="162" spans="34:36" ht="16.5" customHeight="1">
      <c r="AH162" s="472"/>
      <c r="AI162" s="472"/>
      <c r="AJ162" s="472"/>
    </row>
    <row r="163" spans="34:36" ht="16.5" customHeight="1">
      <c r="AH163" s="472"/>
      <c r="AI163" s="472"/>
      <c r="AJ163" s="472"/>
    </row>
    <row r="164" spans="34:36" ht="16.5" customHeight="1">
      <c r="AH164" s="472"/>
      <c r="AI164" s="472"/>
      <c r="AJ164" s="472"/>
    </row>
    <row r="165" spans="34:36" ht="16.5" customHeight="1">
      <c r="AH165" s="472"/>
      <c r="AI165" s="472"/>
      <c r="AJ165" s="472"/>
    </row>
    <row r="166" spans="34:36" ht="16.5" customHeight="1">
      <c r="AH166" s="472"/>
      <c r="AI166" s="472"/>
      <c r="AJ166" s="472"/>
    </row>
  </sheetData>
  <mergeCells count="2">
    <mergeCell ref="AC5:AJ5"/>
    <mergeCell ref="AB12:AJ12"/>
  </mergeCells>
  <pageMargins left="0.25" right="0.25" top="0.5" bottom="0.25" header="0.47" footer="0.3"/>
  <pageSetup scale="38" firstPageNumber="18" orientation="landscape" useFirstPageNumber="1" r:id="rId1"/>
  <headerFooter scaleWithDoc="0" alignWithMargins="0">
    <oddFooter>&amp;C&amp;8&amp;P</oddFooter>
  </headerFooter>
  <rowBreaks count="1" manualBreakCount="1">
    <brk id="86" max="35" man="1"/>
  </rowBreaks>
  <customProperties>
    <customPr name="SheetOptions" r:id="rId2"/>
  </customProperties>
  <ignoredErrors>
    <ignoredError sqref="AJ27:AJ32" unlockedFormula="1"/>
    <ignoredError sqref="AH35:AJ35 AJ95 AB26 AB37 AH24:AH34 AH36:AH76 AJ37 AJ39:AJ52 AH83:AH98 AJ82" formula="1"/>
    <ignoredError sqref="AJ87 AJ69 AJ71:AJ72 AJ74:AJ77 AJ115 AJ34 AJ36 AJ38" formula="1" unlockedFormula="1"/>
  </ignoredErrors>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dimension ref="A1:AO217"/>
  <sheetViews>
    <sheetView showGridLines="0" zoomScale="80" zoomScaleNormal="80" workbookViewId="0"/>
  </sheetViews>
  <sheetFormatPr defaultColWidth="8.88671875" defaultRowHeight="12.75"/>
  <cols>
    <col min="1" max="1" width="2.5546875" style="138" customWidth="1"/>
    <col min="2" max="2" width="48.5546875" style="138" customWidth="1"/>
    <col min="3" max="3" width="1.109375" style="138" customWidth="1"/>
    <col min="4" max="4" width="12.44140625" style="138" bestFit="1" customWidth="1"/>
    <col min="5" max="5" width="1.88671875" style="138" customWidth="1"/>
    <col min="6" max="6" width="12.88671875" style="138" bestFit="1" customWidth="1"/>
    <col min="7" max="7" width="1.88671875" style="138" customWidth="1"/>
    <col min="8" max="8" width="12.88671875" style="138" bestFit="1" customWidth="1"/>
    <col min="9" max="9" width="1.88671875" style="138" customWidth="1"/>
    <col min="10" max="10" width="13.88671875" style="1432" customWidth="1"/>
    <col min="11" max="11" width="1.88671875" style="138" customWidth="1"/>
    <col min="12" max="12" width="12.88671875" style="138" bestFit="1" customWidth="1"/>
    <col min="13" max="13" width="1.88671875" style="138" customWidth="1"/>
    <col min="14" max="14" width="13.88671875" style="138" customWidth="1"/>
    <col min="15" max="15" width="1.88671875" style="138" customWidth="1"/>
    <col min="16" max="16" width="12.88671875" style="138" bestFit="1" customWidth="1"/>
    <col min="17" max="17" width="1.88671875" style="138" customWidth="1"/>
    <col min="18" max="18" width="12.109375" style="138" customWidth="1"/>
    <col min="19" max="19" width="1.88671875" style="138" customWidth="1"/>
    <col min="20" max="20" width="14.88671875" style="138" customWidth="1"/>
    <col min="21" max="21" width="1.88671875" style="138" customWidth="1"/>
    <col min="22" max="22" width="12.109375" style="138" customWidth="1"/>
    <col min="23" max="23" width="1.88671875" style="138" customWidth="1"/>
    <col min="24" max="24" width="12.88671875" style="138" customWidth="1"/>
    <col min="25" max="25" width="1.88671875" style="138" customWidth="1"/>
    <col min="26" max="26" width="14.5546875" style="138" customWidth="1"/>
    <col min="27" max="27" width="1.5546875" style="138" customWidth="1"/>
    <col min="28" max="28" width="1.88671875" style="138" customWidth="1"/>
    <col min="29" max="29" width="13.109375" style="138" customWidth="1"/>
    <col min="30" max="30" width="1.44140625" style="138" customWidth="1"/>
    <col min="31" max="31" width="1.109375" style="138" customWidth="1"/>
    <col min="32" max="32" width="15.109375" style="138" customWidth="1"/>
    <col min="33" max="33" width="1" style="138" customWidth="1"/>
    <col min="34" max="34" width="1.109375" style="138" customWidth="1"/>
    <col min="35" max="35" width="13.109375" style="138" bestFit="1" customWidth="1"/>
    <col min="36" max="36" width="1" style="138" customWidth="1"/>
    <col min="37" max="37" width="13.88671875" style="1433" bestFit="1" customWidth="1"/>
    <col min="38" max="38" width="10.109375" style="138" customWidth="1"/>
    <col min="39" max="16384" width="8.88671875" style="138"/>
  </cols>
  <sheetData>
    <row r="1" spans="1:37" ht="15">
      <c r="B1" s="489" t="s">
        <v>841</v>
      </c>
    </row>
    <row r="2" spans="1:37">
      <c r="A2" s="170"/>
      <c r="B2" s="170"/>
      <c r="C2" s="170"/>
      <c r="D2" s="170"/>
      <c r="E2" s="170"/>
      <c r="F2" s="170"/>
      <c r="G2" s="170"/>
      <c r="H2" s="170"/>
      <c r="I2" s="170"/>
      <c r="J2" s="756"/>
      <c r="K2" s="170"/>
      <c r="L2" s="170"/>
      <c r="M2" s="170"/>
      <c r="N2" s="170"/>
      <c r="O2" s="170"/>
      <c r="P2" s="170"/>
      <c r="Q2" s="170"/>
      <c r="R2" s="170"/>
      <c r="S2" s="170"/>
      <c r="T2" s="170"/>
      <c r="U2" s="170"/>
      <c r="V2" s="170"/>
      <c r="W2" s="170"/>
      <c r="X2" s="170"/>
      <c r="Y2" s="170"/>
      <c r="Z2" s="170"/>
      <c r="AA2" s="170"/>
      <c r="AB2" s="170"/>
      <c r="AC2" s="170"/>
      <c r="AD2" s="170"/>
      <c r="AE2" s="170"/>
      <c r="AF2" s="170"/>
      <c r="AG2" s="170"/>
    </row>
    <row r="3" spans="1:37" ht="18">
      <c r="A3" s="170"/>
      <c r="B3" s="171" t="s">
        <v>0</v>
      </c>
      <c r="C3" s="170"/>
      <c r="D3" s="170"/>
      <c r="E3" s="170"/>
      <c r="F3" s="104"/>
      <c r="G3" s="170"/>
      <c r="H3" s="170"/>
      <c r="I3" s="170"/>
      <c r="J3" s="756"/>
      <c r="K3" s="170"/>
      <c r="L3" s="170"/>
      <c r="M3" s="19"/>
      <c r="N3" s="139"/>
      <c r="O3" s="170"/>
      <c r="P3" s="170"/>
      <c r="Q3" s="170"/>
      <c r="R3" s="170"/>
      <c r="S3" s="170"/>
      <c r="T3" s="170"/>
      <c r="U3" s="170"/>
      <c r="V3" s="170"/>
      <c r="W3" s="170"/>
      <c r="X3" s="170"/>
      <c r="Y3" s="170"/>
      <c r="Z3" s="170"/>
      <c r="AA3" s="170"/>
      <c r="AB3" s="170"/>
      <c r="AC3" s="170"/>
      <c r="AD3" s="170"/>
      <c r="AE3" s="170"/>
      <c r="AF3" s="170"/>
      <c r="AG3" s="170"/>
      <c r="AK3" s="173" t="s">
        <v>144</v>
      </c>
    </row>
    <row r="4" spans="1:37" ht="18">
      <c r="A4" s="170"/>
      <c r="B4" s="172" t="s">
        <v>143</v>
      </c>
      <c r="C4" s="170"/>
      <c r="D4" s="170"/>
      <c r="E4" s="170"/>
      <c r="F4" s="104"/>
      <c r="G4" s="170"/>
      <c r="H4" s="170" t="s">
        <v>14</v>
      </c>
      <c r="I4" s="170"/>
      <c r="J4" s="756"/>
      <c r="K4" s="170"/>
      <c r="L4" s="170"/>
      <c r="M4" s="19"/>
      <c r="N4" s="139"/>
      <c r="O4" s="170"/>
      <c r="P4" s="170"/>
      <c r="Q4" s="170"/>
      <c r="R4" s="170"/>
      <c r="S4" s="170"/>
      <c r="T4" s="170"/>
      <c r="U4" s="170"/>
      <c r="V4" s="170"/>
      <c r="W4" s="170"/>
      <c r="X4" s="170"/>
      <c r="Y4" s="170"/>
      <c r="Z4" s="170"/>
      <c r="AA4" s="170"/>
      <c r="AB4" s="170"/>
      <c r="AC4" s="1434"/>
      <c r="AD4" s="1434"/>
      <c r="AE4" s="1434"/>
      <c r="AF4" s="1434"/>
      <c r="AG4" s="1434"/>
    </row>
    <row r="5" spans="1:37" ht="18">
      <c r="A5" s="170"/>
      <c r="B5" s="172" t="s">
        <v>145</v>
      </c>
      <c r="C5" s="170"/>
      <c r="D5" s="170"/>
      <c r="E5" s="170"/>
      <c r="F5" s="104"/>
      <c r="G5" s="170"/>
      <c r="H5" s="170"/>
      <c r="I5" s="170"/>
      <c r="J5" s="756"/>
      <c r="K5" s="170"/>
      <c r="L5" s="170"/>
      <c r="M5" s="19"/>
      <c r="N5" s="139"/>
      <c r="O5" s="170"/>
      <c r="P5" s="170"/>
      <c r="Q5" s="170"/>
      <c r="R5" s="170"/>
      <c r="S5" s="170"/>
      <c r="T5" s="170"/>
      <c r="U5" s="170"/>
      <c r="V5" s="170"/>
      <c r="W5" s="170"/>
      <c r="X5" s="170"/>
      <c r="Y5" s="170"/>
      <c r="Z5" s="170"/>
      <c r="AA5" s="170"/>
      <c r="AB5" s="170"/>
      <c r="AD5" s="1747"/>
      <c r="AE5" s="1747"/>
    </row>
    <row r="6" spans="1:37" ht="18" customHeight="1">
      <c r="A6" s="170"/>
      <c r="B6" s="967" t="str">
        <f>'Cashflow Governmental'!A6</f>
        <v xml:space="preserve">FISCAL YEAR 2023-2024   </v>
      </c>
      <c r="C6" s="170"/>
      <c r="D6" s="170"/>
      <c r="E6" s="170"/>
      <c r="F6" s="104"/>
      <c r="G6" s="170"/>
      <c r="H6" s="170"/>
      <c r="I6" s="170"/>
      <c r="J6" s="756"/>
      <c r="K6" s="170"/>
      <c r="L6" s="170"/>
      <c r="M6" s="19"/>
      <c r="N6" s="139"/>
      <c r="O6" s="170"/>
      <c r="P6" s="170"/>
      <c r="Q6" s="170"/>
      <c r="R6" s="170"/>
      <c r="S6" s="170"/>
      <c r="T6" s="170"/>
      <c r="U6" s="170"/>
      <c r="V6" s="170"/>
      <c r="W6" s="170"/>
      <c r="X6" s="170"/>
      <c r="Y6" s="170"/>
      <c r="Z6" s="170"/>
      <c r="AA6" s="170"/>
      <c r="AB6" s="170"/>
      <c r="AC6" s="170"/>
      <c r="AD6" s="170"/>
      <c r="AE6" s="170"/>
      <c r="AF6" s="170"/>
      <c r="AG6" s="170"/>
    </row>
    <row r="7" spans="1:37" ht="15" customHeight="1">
      <c r="A7" s="170"/>
      <c r="B7" s="172" t="s">
        <v>1199</v>
      </c>
      <c r="C7" s="170"/>
      <c r="D7" s="170"/>
      <c r="E7" s="170"/>
      <c r="F7" s="104"/>
      <c r="G7" s="170"/>
      <c r="H7" s="170"/>
      <c r="I7" s="170"/>
      <c r="J7" s="756"/>
      <c r="K7" s="170"/>
      <c r="L7" s="139"/>
      <c r="M7" s="19"/>
      <c r="N7" s="170"/>
      <c r="O7" s="170"/>
      <c r="P7" s="1729"/>
      <c r="Q7" s="170"/>
      <c r="R7" s="170"/>
      <c r="S7" s="170"/>
      <c r="T7" s="170"/>
      <c r="U7" s="170"/>
      <c r="V7" s="170"/>
      <c r="W7" s="170"/>
      <c r="X7" s="170"/>
      <c r="Y7" s="170"/>
      <c r="Z7" s="170"/>
      <c r="AA7" s="170"/>
      <c r="AB7" s="170"/>
      <c r="AC7" s="170"/>
      <c r="AD7" s="170"/>
      <c r="AE7" s="170"/>
      <c r="AF7" s="170"/>
      <c r="AG7" s="170"/>
    </row>
    <row r="8" spans="1:37" ht="15.75">
      <c r="A8" s="170"/>
      <c r="B8" s="170"/>
      <c r="C8" s="170"/>
      <c r="D8" s="170"/>
      <c r="E8" s="170"/>
      <c r="F8" s="104"/>
      <c r="G8" s="170"/>
      <c r="H8" s="170"/>
      <c r="I8" s="170"/>
      <c r="J8" s="756"/>
      <c r="K8" s="170"/>
      <c r="L8" s="170"/>
      <c r="M8" s="170"/>
      <c r="N8" s="170"/>
      <c r="O8" s="170"/>
      <c r="P8" s="170"/>
      <c r="Q8" s="170"/>
      <c r="R8" s="170"/>
      <c r="S8" s="170"/>
      <c r="T8" s="170"/>
      <c r="U8" s="170"/>
      <c r="V8" s="170"/>
      <c r="W8" s="170"/>
      <c r="X8" s="170"/>
      <c r="Y8" s="170"/>
      <c r="Z8" s="170"/>
      <c r="AA8" s="170"/>
      <c r="AB8" s="2333" t="str">
        <f>+'Cashflow Governmental'!AB12:AJ12</f>
        <v>6 Months Ended September 30</v>
      </c>
      <c r="AC8" s="2333"/>
      <c r="AD8" s="2333"/>
      <c r="AE8" s="2333"/>
      <c r="AF8" s="2333"/>
      <c r="AG8" s="2333"/>
      <c r="AH8" s="2333"/>
      <c r="AI8" s="2333"/>
      <c r="AJ8" s="2333"/>
      <c r="AK8" s="2333"/>
    </row>
    <row r="9" spans="1:37" ht="15" customHeight="1">
      <c r="A9" s="170"/>
      <c r="B9" s="20"/>
      <c r="C9" s="20"/>
      <c r="D9" s="1010" t="str">
        <f>'Cashflow Governmental'!C13</f>
        <v>2023</v>
      </c>
      <c r="E9" s="370"/>
      <c r="F9" s="370"/>
      <c r="G9" s="370"/>
      <c r="H9" s="370"/>
      <c r="I9" s="370"/>
      <c r="J9" s="370"/>
      <c r="K9" s="370"/>
      <c r="L9" s="370"/>
      <c r="M9" s="370"/>
      <c r="N9" s="370"/>
      <c r="O9" s="370"/>
      <c r="P9" s="370"/>
      <c r="Q9" s="370"/>
      <c r="R9" s="370"/>
      <c r="S9" s="370"/>
      <c r="T9" s="370"/>
      <c r="U9" s="370"/>
      <c r="V9" s="1010">
        <f>'Cashflow Governmental'!U13</f>
        <v>2024</v>
      </c>
      <c r="W9" s="370"/>
      <c r="X9" s="370"/>
      <c r="Y9" s="370"/>
      <c r="Z9" s="370"/>
      <c r="AA9" s="139"/>
      <c r="AB9" s="19"/>
      <c r="AC9" s="139"/>
      <c r="AD9" s="19"/>
      <c r="AE9" s="19"/>
      <c r="AF9" s="139"/>
      <c r="AG9" s="139"/>
      <c r="AH9" s="145"/>
      <c r="AI9" s="544" t="s">
        <v>7</v>
      </c>
      <c r="AJ9" s="139"/>
      <c r="AK9" s="545" t="s">
        <v>8</v>
      </c>
    </row>
    <row r="10" spans="1:37" ht="15" customHeight="1">
      <c r="A10" s="170"/>
      <c r="B10" s="20"/>
      <c r="C10" s="20"/>
      <c r="D10" s="133" t="s">
        <v>122</v>
      </c>
      <c r="E10" s="19"/>
      <c r="F10" s="1435" t="s">
        <v>123</v>
      </c>
      <c r="G10" s="19"/>
      <c r="H10" s="1435" t="s">
        <v>124</v>
      </c>
      <c r="I10" s="19"/>
      <c r="J10" s="55" t="s">
        <v>125</v>
      </c>
      <c r="K10" s="19"/>
      <c r="L10" s="545" t="s">
        <v>126</v>
      </c>
      <c r="M10" s="19"/>
      <c r="N10" s="545" t="s">
        <v>141</v>
      </c>
      <c r="O10" s="19"/>
      <c r="P10" s="545" t="s">
        <v>142</v>
      </c>
      <c r="Q10" s="19"/>
      <c r="R10" s="545" t="s">
        <v>129</v>
      </c>
      <c r="S10" s="19"/>
      <c r="T10" s="545" t="s">
        <v>130</v>
      </c>
      <c r="U10" s="19"/>
      <c r="V10" s="545" t="s">
        <v>131</v>
      </c>
      <c r="W10" s="19"/>
      <c r="X10" s="545" t="s">
        <v>132</v>
      </c>
      <c r="Y10" s="19"/>
      <c r="Z10" s="545" t="s">
        <v>182</v>
      </c>
      <c r="AA10" s="545"/>
      <c r="AB10" s="19"/>
      <c r="AC10" s="1748">
        <f>'Cashflow Governmental'!AB14</f>
        <v>2023</v>
      </c>
      <c r="AD10" s="19" t="s">
        <v>14</v>
      </c>
      <c r="AE10" s="19"/>
      <c r="AF10" s="1748">
        <f>'Cashflow Governmental'!AE14</f>
        <v>2022</v>
      </c>
      <c r="AG10" s="1436"/>
      <c r="AH10" s="145"/>
      <c r="AI10" s="546" t="s">
        <v>11</v>
      </c>
      <c r="AJ10" s="139"/>
      <c r="AK10" s="547" t="s">
        <v>12</v>
      </c>
    </row>
    <row r="11" spans="1:37" ht="5.25" customHeight="1">
      <c r="A11" s="170"/>
      <c r="B11" s="20"/>
      <c r="C11" s="20"/>
      <c r="D11" s="29" t="s">
        <v>14</v>
      </c>
      <c r="E11" s="20"/>
      <c r="F11" s="1437"/>
      <c r="G11" s="20"/>
      <c r="H11" s="29"/>
      <c r="I11" s="20"/>
      <c r="J11" s="61"/>
      <c r="K11" s="20"/>
      <c r="L11" s="29"/>
      <c r="M11" s="20"/>
      <c r="N11" s="29"/>
      <c r="O11" s="20"/>
      <c r="P11" s="29"/>
      <c r="Q11" s="20"/>
      <c r="R11" s="29"/>
      <c r="S11" s="20"/>
      <c r="T11" s="29"/>
      <c r="U11" s="20"/>
      <c r="V11" s="29"/>
      <c r="W11" s="20"/>
      <c r="X11" s="29"/>
      <c r="Y11" s="20"/>
      <c r="Z11" s="29"/>
      <c r="AA11" s="20"/>
      <c r="AB11" s="20"/>
      <c r="AC11" s="20"/>
      <c r="AD11" s="20"/>
      <c r="AE11" s="20"/>
      <c r="AF11" s="20"/>
      <c r="AG11" s="20"/>
      <c r="AH11" s="1438"/>
    </row>
    <row r="12" spans="1:37" ht="15" customHeight="1">
      <c r="A12" s="100"/>
      <c r="B12" s="23" t="s">
        <v>134</v>
      </c>
      <c r="C12" s="21"/>
      <c r="D12" s="217">
        <v>43450.6</v>
      </c>
      <c r="E12" s="217"/>
      <c r="F12" s="217">
        <f>D143</f>
        <v>46939.4</v>
      </c>
      <c r="G12" s="217"/>
      <c r="H12" s="217">
        <f t="shared" ref="H12:N12" si="0">F143</f>
        <v>40447.599999999999</v>
      </c>
      <c r="I12" s="123"/>
      <c r="J12" s="217">
        <f t="shared" si="0"/>
        <v>44183.9</v>
      </c>
      <c r="K12" s="123"/>
      <c r="L12" s="217">
        <f t="shared" si="0"/>
        <v>44319</v>
      </c>
      <c r="M12" s="123"/>
      <c r="N12" s="217">
        <f t="shared" si="0"/>
        <v>42520.3</v>
      </c>
      <c r="O12" s="123"/>
      <c r="P12" s="65"/>
      <c r="Q12" s="123"/>
      <c r="R12" s="65"/>
      <c r="S12" s="65"/>
      <c r="T12" s="65"/>
      <c r="U12" s="65"/>
      <c r="V12" s="65"/>
      <c r="W12" s="65"/>
      <c r="X12" s="65"/>
      <c r="Y12" s="65"/>
      <c r="Z12" s="65"/>
      <c r="AA12" s="123"/>
      <c r="AB12" s="1439"/>
      <c r="AC12" s="65">
        <f>D12</f>
        <v>43450.6</v>
      </c>
      <c r="AD12" s="123"/>
      <c r="AE12" s="1439"/>
      <c r="AF12" s="1859">
        <v>33052.699999999997</v>
      </c>
      <c r="AG12" s="123"/>
      <c r="AH12" s="1440"/>
      <c r="AI12" s="65">
        <f>ROUND(SUM(+AC12-AF12),1)</f>
        <v>10397.9</v>
      </c>
      <c r="AJ12" s="1441"/>
      <c r="AK12" s="486">
        <f>ROUND(IF(AF12=0,0,AI12/ABS(AF12)),3)</f>
        <v>0.315</v>
      </c>
    </row>
    <row r="13" spans="1:37" ht="15" customHeight="1">
      <c r="A13" s="100"/>
      <c r="B13" s="21"/>
      <c r="C13" s="21"/>
      <c r="D13" s="21"/>
      <c r="E13" s="21"/>
      <c r="F13" s="120"/>
      <c r="G13" s="21"/>
      <c r="H13" s="120"/>
      <c r="I13" s="21"/>
      <c r="J13" s="36"/>
      <c r="K13" s="21"/>
      <c r="L13" s="36"/>
      <c r="M13" s="21"/>
      <c r="N13" s="20"/>
      <c r="O13" s="21"/>
      <c r="P13" s="20"/>
      <c r="Q13" s="21"/>
      <c r="R13" s="20"/>
      <c r="S13" s="21"/>
      <c r="T13" s="20"/>
      <c r="U13" s="21"/>
      <c r="V13" s="20"/>
      <c r="W13" s="21"/>
      <c r="X13" s="20"/>
      <c r="Y13" s="21"/>
      <c r="Z13" s="20"/>
      <c r="AA13" s="20"/>
      <c r="AB13" s="30"/>
      <c r="AC13" s="20"/>
      <c r="AD13" s="21"/>
      <c r="AE13" s="30"/>
      <c r="AF13" s="20"/>
      <c r="AG13" s="20"/>
      <c r="AH13" s="1438"/>
      <c r="AI13" s="170"/>
      <c r="AJ13" s="170"/>
      <c r="AK13" s="567"/>
    </row>
    <row r="14" spans="1:37" ht="15" customHeight="1">
      <c r="A14" s="100"/>
      <c r="B14" s="19" t="s">
        <v>13</v>
      </c>
      <c r="C14" s="21"/>
      <c r="D14" s="21"/>
      <c r="E14" s="21"/>
      <c r="F14" s="20"/>
      <c r="G14" s="21"/>
      <c r="H14" s="20"/>
      <c r="I14" s="21"/>
      <c r="J14" s="36"/>
      <c r="K14" s="21"/>
      <c r="L14" s="36"/>
      <c r="M14" s="21"/>
      <c r="N14" s="20"/>
      <c r="O14" s="21"/>
      <c r="P14" s="20"/>
      <c r="Q14" s="21"/>
      <c r="R14" s="20"/>
      <c r="S14" s="21"/>
      <c r="T14" s="20"/>
      <c r="U14" s="21"/>
      <c r="V14" s="20"/>
      <c r="W14" s="21"/>
      <c r="X14" s="20"/>
      <c r="Y14" s="21"/>
      <c r="Z14" s="20"/>
      <c r="AA14" s="20"/>
      <c r="AB14" s="30"/>
      <c r="AC14" s="20"/>
      <c r="AD14" s="21"/>
      <c r="AE14" s="30"/>
      <c r="AF14" s="20"/>
      <c r="AG14" s="20"/>
      <c r="AH14" s="1438"/>
      <c r="AI14" s="170"/>
      <c r="AJ14" s="170"/>
      <c r="AK14" s="567"/>
    </row>
    <row r="15" spans="1:37" ht="15" customHeight="1">
      <c r="A15" s="100"/>
      <c r="B15" s="118" t="s">
        <v>947</v>
      </c>
      <c r="C15" s="21"/>
      <c r="D15" s="21"/>
      <c r="E15" s="21"/>
      <c r="F15" s="20"/>
      <c r="G15" s="21"/>
      <c r="H15" s="20"/>
      <c r="I15" s="21"/>
      <c r="J15" s="36"/>
      <c r="K15" s="21"/>
      <c r="L15" s="36"/>
      <c r="M15" s="21"/>
      <c r="N15" s="20"/>
      <c r="O15" s="21"/>
      <c r="P15" s="20"/>
      <c r="Q15" s="21"/>
      <c r="R15" s="20"/>
      <c r="S15" s="21"/>
      <c r="T15" s="20"/>
      <c r="U15" s="21"/>
      <c r="V15" s="20"/>
      <c r="W15" s="21"/>
      <c r="X15" s="20"/>
      <c r="Y15" s="21"/>
      <c r="Z15" s="20"/>
      <c r="AA15" s="20"/>
      <c r="AB15" s="30"/>
      <c r="AC15" s="20"/>
      <c r="AD15" s="21"/>
      <c r="AE15" s="30"/>
      <c r="AF15" s="20"/>
      <c r="AG15" s="20"/>
      <c r="AH15" s="1438"/>
      <c r="AI15" s="170"/>
      <c r="AJ15" s="170"/>
      <c r="AK15" s="567"/>
    </row>
    <row r="16" spans="1:37" ht="15" customHeight="1">
      <c r="A16" s="100"/>
      <c r="B16" s="737" t="s">
        <v>1009</v>
      </c>
      <c r="C16" s="21"/>
      <c r="D16" s="21"/>
      <c r="E16" s="21"/>
      <c r="F16" s="20"/>
      <c r="G16" s="21"/>
      <c r="H16" s="20"/>
      <c r="I16" s="21"/>
      <c r="J16" s="36"/>
      <c r="K16" s="21"/>
      <c r="L16" s="36"/>
      <c r="M16" s="21"/>
      <c r="N16" s="20"/>
      <c r="O16" s="21"/>
      <c r="P16" s="20"/>
      <c r="Q16" s="21"/>
      <c r="R16" s="20"/>
      <c r="S16" s="21"/>
      <c r="T16" s="20"/>
      <c r="U16" s="21"/>
      <c r="V16" s="20"/>
      <c r="W16" s="21"/>
      <c r="X16" s="20"/>
      <c r="Y16" s="21"/>
      <c r="Z16" s="20"/>
      <c r="AA16" s="20"/>
      <c r="AB16" s="30"/>
      <c r="AC16" s="20"/>
      <c r="AD16" s="21"/>
      <c r="AE16" s="30"/>
      <c r="AF16" s="20"/>
      <c r="AG16" s="20"/>
      <c r="AH16" s="1438"/>
      <c r="AI16" s="170"/>
      <c r="AJ16" s="170"/>
      <c r="AK16" s="567"/>
    </row>
    <row r="17" spans="1:38" ht="15" customHeight="1">
      <c r="A17" s="100"/>
      <c r="B17" s="489" t="s">
        <v>953</v>
      </c>
      <c r="C17" s="21"/>
      <c r="D17" s="912">
        <v>3783.8</v>
      </c>
      <c r="E17" s="912"/>
      <c r="F17" s="912">
        <v>3939.7</v>
      </c>
      <c r="G17" s="912"/>
      <c r="H17" s="912">
        <v>4133.5</v>
      </c>
      <c r="I17" s="935"/>
      <c r="J17" s="912">
        <v>3618.8999999999987</v>
      </c>
      <c r="K17" s="912"/>
      <c r="L17" s="912">
        <v>4079.7</v>
      </c>
      <c r="M17" s="1004"/>
      <c r="N17" s="912">
        <f>$AC17-$D17-$F17-$H17-$J17-$L17</f>
        <v>3450.4000000000015</v>
      </c>
      <c r="O17" s="1004"/>
      <c r="P17" s="912"/>
      <c r="Q17" s="1004"/>
      <c r="R17" s="912"/>
      <c r="S17" s="912"/>
      <c r="T17" s="912"/>
      <c r="U17" s="912"/>
      <c r="V17" s="912"/>
      <c r="W17" s="912"/>
      <c r="X17" s="912"/>
      <c r="Y17" s="912"/>
      <c r="Z17" s="912"/>
      <c r="AA17" s="496"/>
      <c r="AB17" s="933"/>
      <c r="AC17" s="912">
        <v>23006</v>
      </c>
      <c r="AD17" s="467"/>
      <c r="AE17" s="933" t="s">
        <v>14</v>
      </c>
      <c r="AF17" s="912">
        <v>22335.8</v>
      </c>
      <c r="AG17" s="20"/>
      <c r="AH17" s="1438"/>
      <c r="AI17" s="467">
        <f>ROUND(SUM(+AC17-AF17),1)</f>
        <v>670.2</v>
      </c>
      <c r="AJ17" s="170"/>
      <c r="AK17" s="469">
        <f t="shared" ref="AK17:AK21" si="1">ROUND(IF(AF17=0,0,AI17/ABS(AF17)),3)</f>
        <v>0.03</v>
      </c>
      <c r="AL17" s="138" t="s">
        <v>14</v>
      </c>
    </row>
    <row r="18" spans="1:38" ht="15" customHeight="1">
      <c r="A18" s="100"/>
      <c r="B18" s="489" t="s">
        <v>1190</v>
      </c>
      <c r="C18" s="21"/>
      <c r="D18" s="912">
        <v>4875.8999999999996</v>
      </c>
      <c r="E18" s="912"/>
      <c r="F18" s="912">
        <v>110.39999999999964</v>
      </c>
      <c r="G18" s="912"/>
      <c r="H18" s="912">
        <v>1299.6000000000004</v>
      </c>
      <c r="I18" s="499"/>
      <c r="J18" s="912">
        <v>85.800000000000182</v>
      </c>
      <c r="K18" s="1004"/>
      <c r="L18" s="912">
        <v>85.5</v>
      </c>
      <c r="M18" s="1004"/>
      <c r="N18" s="912">
        <f t="shared" ref="N18:N23" si="2">$AC18-$D18-$F18-$H18-$J18-$L18</f>
        <v>1473.4000000000005</v>
      </c>
      <c r="O18" s="1004"/>
      <c r="P18" s="912"/>
      <c r="Q18" s="1004"/>
      <c r="R18" s="912"/>
      <c r="S18" s="912"/>
      <c r="T18" s="912"/>
      <c r="U18" s="1004"/>
      <c r="V18" s="912"/>
      <c r="W18" s="912"/>
      <c r="X18" s="912"/>
      <c r="Y18" s="1004"/>
      <c r="Z18" s="912"/>
      <c r="AA18" s="496"/>
      <c r="AB18" s="933"/>
      <c r="AC18" s="912">
        <v>7930.6</v>
      </c>
      <c r="AD18" s="467"/>
      <c r="AE18" s="933" t="s">
        <v>14</v>
      </c>
      <c r="AF18" s="912">
        <v>15177.7</v>
      </c>
      <c r="AG18" s="20"/>
      <c r="AH18" s="1438"/>
      <c r="AI18" s="467">
        <f>ROUND(SUM(+AC18-AF18),1)</f>
        <v>-7247.1</v>
      </c>
      <c r="AJ18" s="170"/>
      <c r="AK18" s="971">
        <f t="shared" si="1"/>
        <v>-0.47699999999999998</v>
      </c>
      <c r="AL18" s="138" t="s">
        <v>14</v>
      </c>
    </row>
    <row r="19" spans="1:38" ht="15" customHeight="1">
      <c r="A19" s="100"/>
      <c r="B19" s="489" t="s">
        <v>954</v>
      </c>
      <c r="C19" s="21"/>
      <c r="D19" s="912">
        <v>2097.1</v>
      </c>
      <c r="E19" s="912"/>
      <c r="F19" s="912">
        <v>131</v>
      </c>
      <c r="G19" s="912"/>
      <c r="H19" s="912">
        <v>85.5</v>
      </c>
      <c r="I19" s="499"/>
      <c r="J19" s="912">
        <v>61</v>
      </c>
      <c r="K19" s="1004"/>
      <c r="L19" s="912">
        <v>63.099999999999909</v>
      </c>
      <c r="M19" s="1004"/>
      <c r="N19" s="912">
        <f t="shared" si="2"/>
        <v>87.800000000000182</v>
      </c>
      <c r="O19" s="1004"/>
      <c r="P19" s="912"/>
      <c r="Q19" s="1004"/>
      <c r="R19" s="912"/>
      <c r="S19" s="912"/>
      <c r="T19" s="912"/>
      <c r="U19" s="1004"/>
      <c r="V19" s="912"/>
      <c r="W19" s="912"/>
      <c r="X19" s="912"/>
      <c r="Y19" s="1004"/>
      <c r="Z19" s="912"/>
      <c r="AA19" s="496"/>
      <c r="AB19" s="933"/>
      <c r="AC19" s="912">
        <v>2525.5</v>
      </c>
      <c r="AD19" s="467"/>
      <c r="AE19" s="933" t="s">
        <v>14</v>
      </c>
      <c r="AF19" s="912">
        <v>3815.6</v>
      </c>
      <c r="AG19" s="20"/>
      <c r="AH19" s="1438"/>
      <c r="AI19" s="467">
        <f>ROUND(SUM(+AC19-AF19),1)</f>
        <v>-1290.0999999999999</v>
      </c>
      <c r="AJ19" s="170"/>
      <c r="AK19" s="469">
        <f t="shared" si="1"/>
        <v>-0.33800000000000002</v>
      </c>
      <c r="AL19" s="138" t="s">
        <v>14</v>
      </c>
    </row>
    <row r="20" spans="1:38" ht="15" customHeight="1">
      <c r="A20" s="100"/>
      <c r="B20" s="752" t="s">
        <v>955</v>
      </c>
      <c r="C20" s="21"/>
      <c r="D20" s="912">
        <v>-509.9</v>
      </c>
      <c r="E20" s="912"/>
      <c r="F20" s="912">
        <v>-69.200000000000045</v>
      </c>
      <c r="G20" s="912"/>
      <c r="H20" s="912">
        <v>-49.399999999999977</v>
      </c>
      <c r="I20" s="499"/>
      <c r="J20" s="912">
        <v>-46.199999999999932</v>
      </c>
      <c r="K20" s="1004"/>
      <c r="L20" s="912">
        <v>-98.000000000000114</v>
      </c>
      <c r="M20" s="1004"/>
      <c r="N20" s="912">
        <f t="shared" si="2"/>
        <v>-119.69999999999993</v>
      </c>
      <c r="O20" s="1004"/>
      <c r="P20" s="912"/>
      <c r="Q20" s="1004"/>
      <c r="R20" s="912"/>
      <c r="S20" s="912"/>
      <c r="T20" s="912"/>
      <c r="U20" s="1004"/>
      <c r="V20" s="912"/>
      <c r="W20" s="912"/>
      <c r="X20" s="912"/>
      <c r="Y20" s="1004"/>
      <c r="Z20" s="912"/>
      <c r="AA20" s="496"/>
      <c r="AB20" s="933"/>
      <c r="AC20" s="912">
        <v>-892.4</v>
      </c>
      <c r="AD20" s="467"/>
      <c r="AE20" s="933" t="s">
        <v>14</v>
      </c>
      <c r="AF20" s="912">
        <v>-746.5</v>
      </c>
      <c r="AG20" s="20"/>
      <c r="AH20" s="1438"/>
      <c r="AI20" s="467">
        <f>-ROUND(SUM(+AC20-AF20),1)</f>
        <v>145.9</v>
      </c>
      <c r="AJ20" s="170"/>
      <c r="AK20" s="469">
        <f t="shared" si="1"/>
        <v>0.19500000000000001</v>
      </c>
      <c r="AL20" s="138" t="s">
        <v>14</v>
      </c>
    </row>
    <row r="21" spans="1:38" ht="15" customHeight="1">
      <c r="A21" s="100"/>
      <c r="B21" s="752" t="s">
        <v>1189</v>
      </c>
      <c r="C21" s="21"/>
      <c r="D21" s="912">
        <v>242.1</v>
      </c>
      <c r="E21" s="912"/>
      <c r="F21" s="912">
        <v>174.6</v>
      </c>
      <c r="G21" s="912"/>
      <c r="H21" s="912">
        <v>128.29999999999998</v>
      </c>
      <c r="I21" s="499"/>
      <c r="J21" s="912">
        <v>109.70000000000005</v>
      </c>
      <c r="K21" s="1004"/>
      <c r="L21" s="912">
        <v>100.6999999999999</v>
      </c>
      <c r="M21" s="1004"/>
      <c r="N21" s="912">
        <f t="shared" si="2"/>
        <v>113.3000000000001</v>
      </c>
      <c r="O21" s="1004"/>
      <c r="P21" s="912"/>
      <c r="Q21" s="1004"/>
      <c r="R21" s="912"/>
      <c r="S21" s="912"/>
      <c r="T21" s="912"/>
      <c r="U21" s="1004"/>
      <c r="V21" s="912"/>
      <c r="W21" s="912"/>
      <c r="X21" s="912"/>
      <c r="Y21" s="1004"/>
      <c r="Z21" s="912"/>
      <c r="AA21" s="496"/>
      <c r="AB21" s="933"/>
      <c r="AC21" s="912">
        <v>868.7</v>
      </c>
      <c r="AD21" s="467"/>
      <c r="AE21" s="933" t="s">
        <v>14</v>
      </c>
      <c r="AF21" s="912">
        <v>859</v>
      </c>
      <c r="AG21" s="20"/>
      <c r="AH21" s="1438"/>
      <c r="AI21" s="467">
        <f>ROUND(SUM(+AC21-AF21),1)</f>
        <v>9.6999999999999993</v>
      </c>
      <c r="AJ21" s="170"/>
      <c r="AK21" s="469">
        <f t="shared" si="1"/>
        <v>1.0999999999999999E-2</v>
      </c>
      <c r="AL21" s="138" t="s">
        <v>14</v>
      </c>
    </row>
    <row r="22" spans="1:38" ht="15" customHeight="1">
      <c r="A22" s="100"/>
      <c r="B22" s="490" t="s">
        <v>956</v>
      </c>
      <c r="C22" s="21"/>
      <c r="D22" s="1442">
        <f>ROUND(SUM(D17:D21),1)</f>
        <v>10489</v>
      </c>
      <c r="E22" s="499"/>
      <c r="F22" s="1442">
        <f>ROUND(SUM(F17:F21),1)</f>
        <v>4286.5</v>
      </c>
      <c r="G22" s="499"/>
      <c r="H22" s="1442">
        <f>ROUND(SUM(H17:H21),1)</f>
        <v>5597.5</v>
      </c>
      <c r="I22" s="499"/>
      <c r="J22" s="1442">
        <f>ROUND(SUM(J17:J21),1)</f>
        <v>3829.2</v>
      </c>
      <c r="K22" s="21"/>
      <c r="L22" s="179">
        <f>ROUND(SUM(L17:L21),1)</f>
        <v>4231</v>
      </c>
      <c r="M22" s="21"/>
      <c r="N22" s="179">
        <f>ROUND(SUM(N17:N21),1)</f>
        <v>5005.2</v>
      </c>
      <c r="O22" s="36"/>
      <c r="P22" s="179">
        <f>ROUND(SUM(P17:P21),1)</f>
        <v>0</v>
      </c>
      <c r="Q22" s="36"/>
      <c r="R22" s="179">
        <f>ROUND(SUM(R17:R21),1)</f>
        <v>0</v>
      </c>
      <c r="S22" s="42"/>
      <c r="T22" s="179">
        <f t="shared" ref="T22" si="3">ROUND(SUM(T17:T21),1)</f>
        <v>0</v>
      </c>
      <c r="U22" s="36"/>
      <c r="V22" s="179">
        <f>ROUND(SUM(V17:V21),1)</f>
        <v>0</v>
      </c>
      <c r="W22" s="36"/>
      <c r="X22" s="179">
        <f>ROUND(SUM(X17:X21),1)</f>
        <v>0</v>
      </c>
      <c r="Y22" s="36"/>
      <c r="Z22" s="179">
        <f>ROUND(SUM(Z17:Z21),1)</f>
        <v>0</v>
      </c>
      <c r="AA22" s="20"/>
      <c r="AB22" s="30"/>
      <c r="AC22" s="1244">
        <f>ROUND(SUM(AC17:AC21),1)</f>
        <v>33438.400000000001</v>
      </c>
      <c r="AD22" s="21"/>
      <c r="AE22" s="1749" t="s">
        <v>14</v>
      </c>
      <c r="AF22" s="179">
        <f>ROUND(SUM(AF17:AF21),1)</f>
        <v>41441.599999999999</v>
      </c>
      <c r="AG22" s="20"/>
      <c r="AH22" s="1438"/>
      <c r="AI22" s="179">
        <f>ROUND(SUM(AC22-AF22),1)</f>
        <v>-8003.2</v>
      </c>
      <c r="AJ22" s="170"/>
      <c r="AK22" s="747">
        <f>ROUND(SUM(+AI22/AF22),3)</f>
        <v>-0.193</v>
      </c>
      <c r="AL22" s="138" t="s">
        <v>14</v>
      </c>
    </row>
    <row r="23" spans="1:38" ht="15" customHeight="1">
      <c r="A23" s="100"/>
      <c r="B23" s="752" t="s">
        <v>958</v>
      </c>
      <c r="C23" s="21"/>
      <c r="D23" s="912">
        <v>0</v>
      </c>
      <c r="E23" s="912"/>
      <c r="F23" s="912">
        <v>0</v>
      </c>
      <c r="G23" s="912"/>
      <c r="H23" s="912">
        <v>0</v>
      </c>
      <c r="I23" s="499"/>
      <c r="J23" s="912">
        <v>0</v>
      </c>
      <c r="K23" s="1004"/>
      <c r="L23" s="912">
        <v>0</v>
      </c>
      <c r="M23" s="1004"/>
      <c r="N23" s="912">
        <f t="shared" si="2"/>
        <v>0</v>
      </c>
      <c r="O23" s="1004"/>
      <c r="P23" s="912"/>
      <c r="Q23" s="1004"/>
      <c r="R23" s="912"/>
      <c r="S23" s="1004"/>
      <c r="T23" s="912"/>
      <c r="U23" s="1004"/>
      <c r="V23" s="912"/>
      <c r="W23" s="1004"/>
      <c r="X23" s="912"/>
      <c r="Y23" s="1004"/>
      <c r="Z23" s="912"/>
      <c r="AA23" s="496"/>
      <c r="AB23" s="933"/>
      <c r="AC23" s="912">
        <v>0</v>
      </c>
      <c r="AD23" s="467"/>
      <c r="AE23" s="933" t="s">
        <v>14</v>
      </c>
      <c r="AF23" s="912">
        <v>0</v>
      </c>
      <c r="AG23" s="20"/>
      <c r="AH23" s="1438"/>
      <c r="AI23" s="467">
        <f>-ROUND(SUM(+AC23-AF23),1)</f>
        <v>0</v>
      </c>
      <c r="AJ23" s="170"/>
      <c r="AK23" s="469">
        <f>ROUND(IF(AF23=0,0,AI23/ABS(AF23)),3)</f>
        <v>0</v>
      </c>
    </row>
    <row r="24" spans="1:38" ht="15" customHeight="1">
      <c r="A24" s="100"/>
      <c r="B24" s="752" t="s">
        <v>959</v>
      </c>
      <c r="C24" s="21"/>
      <c r="D24" s="912">
        <v>-3727.2</v>
      </c>
      <c r="E24" s="912"/>
      <c r="F24" s="912">
        <v>-1044.3000000000002</v>
      </c>
      <c r="G24" s="912"/>
      <c r="H24" s="912">
        <v>-2497.3000000000002</v>
      </c>
      <c r="I24" s="499"/>
      <c r="J24" s="912">
        <v>-1712.9999999999991</v>
      </c>
      <c r="K24" s="1004"/>
      <c r="L24" s="912">
        <v>-1850.1000000000004</v>
      </c>
      <c r="M24" s="1004"/>
      <c r="N24" s="912">
        <f t="shared" ref="N24:N25" si="4">$AC24-$D24-$F24-$H24-$J24-$L24</f>
        <v>-2158.6000000000004</v>
      </c>
      <c r="O24" s="1004"/>
      <c r="P24" s="912"/>
      <c r="Q24" s="1004"/>
      <c r="R24" s="912"/>
      <c r="S24" s="1004"/>
      <c r="T24" s="912"/>
      <c r="U24" s="1004"/>
      <c r="V24" s="912"/>
      <c r="W24" s="1004"/>
      <c r="X24" s="912"/>
      <c r="Y24" s="1004"/>
      <c r="Z24" s="912"/>
      <c r="AA24" s="496"/>
      <c r="AB24" s="933"/>
      <c r="AC24" s="912">
        <v>-12990.5</v>
      </c>
      <c r="AD24" s="467"/>
      <c r="AE24" s="933" t="s">
        <v>14</v>
      </c>
      <c r="AF24" s="912">
        <v>-16589.3</v>
      </c>
      <c r="AG24" s="20"/>
      <c r="AH24" s="1438"/>
      <c r="AI24" s="467">
        <f>-ROUND(SUM(+AC24-AF24),1)</f>
        <v>-3598.8</v>
      </c>
      <c r="AJ24" s="170"/>
      <c r="AK24" s="469">
        <f>ROUND(IF(AF24=0,0,AI24/ABS(AF24)),3)</f>
        <v>-0.217</v>
      </c>
    </row>
    <row r="25" spans="1:38" ht="15" customHeight="1">
      <c r="A25" s="100"/>
      <c r="B25" s="489" t="s">
        <v>1191</v>
      </c>
      <c r="C25" s="21"/>
      <c r="D25" s="912">
        <v>-3034.6</v>
      </c>
      <c r="E25" s="912"/>
      <c r="F25" s="912">
        <v>-2197.9</v>
      </c>
      <c r="G25" s="912"/>
      <c r="H25" s="912">
        <v>-602.89999999999964</v>
      </c>
      <c r="I25" s="499"/>
      <c r="J25" s="912">
        <v>-403.30000000000018</v>
      </c>
      <c r="K25" s="1004"/>
      <c r="L25" s="912">
        <v>-530.69999999999982</v>
      </c>
      <c r="M25" s="1004"/>
      <c r="N25" s="912">
        <f t="shared" si="4"/>
        <v>-687.99999999999955</v>
      </c>
      <c r="O25" s="1004"/>
      <c r="P25" s="912"/>
      <c r="Q25" s="1004"/>
      <c r="R25" s="912"/>
      <c r="S25" s="1004"/>
      <c r="T25" s="912"/>
      <c r="U25" s="1004"/>
      <c r="V25" s="912"/>
      <c r="W25" s="1004"/>
      <c r="X25" s="912"/>
      <c r="Y25" s="1004"/>
      <c r="Z25" s="912"/>
      <c r="AA25" s="496"/>
      <c r="AB25" s="933"/>
      <c r="AC25" s="912">
        <v>-7457.4</v>
      </c>
      <c r="AD25" s="467"/>
      <c r="AE25" s="933" t="s">
        <v>14</v>
      </c>
      <c r="AF25" s="912">
        <v>-8263</v>
      </c>
      <c r="AG25" s="20"/>
      <c r="AH25" s="1438"/>
      <c r="AI25" s="467">
        <f>-ROUND(SUM(+AC25-AF25),1)</f>
        <v>-805.6</v>
      </c>
      <c r="AJ25" s="170"/>
      <c r="AK25" s="469">
        <f>ROUND(IF(AF25=0,0,AI25/ABS(AF25)),3)</f>
        <v>-9.7000000000000003E-2</v>
      </c>
    </row>
    <row r="26" spans="1:38" ht="15" customHeight="1">
      <c r="A26" s="100"/>
      <c r="B26" s="218" t="s">
        <v>957</v>
      </c>
      <c r="C26" s="20"/>
      <c r="D26" s="1138">
        <f>ROUND(SUM(D22:D25),1)</f>
        <v>3727.2</v>
      </c>
      <c r="E26" s="467"/>
      <c r="F26" s="1138">
        <f>ROUND(SUM(F22+F23+F24+F25),1)</f>
        <v>1044.3</v>
      </c>
      <c r="G26" s="467"/>
      <c r="H26" s="1138">
        <f>ROUND(SUM(H22+H23+H24+H25),1)</f>
        <v>2497.3000000000002</v>
      </c>
      <c r="I26" s="467"/>
      <c r="J26" s="1138">
        <f>ROUND(SUM(J22+J23+J24+J25),1)</f>
        <v>1712.9</v>
      </c>
      <c r="K26" s="36"/>
      <c r="L26" s="179">
        <f>ROUND(SUM(L22+L23+L24+L25),1)</f>
        <v>1850.2</v>
      </c>
      <c r="M26" s="36"/>
      <c r="N26" s="179">
        <f>ROUND(SUM(N22+N23+N24+N25),1)</f>
        <v>2158.6</v>
      </c>
      <c r="O26" s="36"/>
      <c r="P26" s="179">
        <f>ROUND(SUM(P22+P23+P24+P25),1)</f>
        <v>0</v>
      </c>
      <c r="Q26" s="36"/>
      <c r="R26" s="179">
        <f>ROUND(SUM(R22+R23+R24+R25),1)</f>
        <v>0</v>
      </c>
      <c r="S26" s="42"/>
      <c r="T26" s="179">
        <f t="shared" ref="T26" si="5">ROUND(SUM(T22+T23+T24+T25),1)</f>
        <v>0</v>
      </c>
      <c r="U26" s="36"/>
      <c r="V26" s="179">
        <f>ROUND(SUM(V22+V23+V24+V25),1)</f>
        <v>0</v>
      </c>
      <c r="W26" s="36"/>
      <c r="X26" s="179">
        <f>ROUND(SUM(X22+X23+X24+X25),1)</f>
        <v>0</v>
      </c>
      <c r="Y26" s="36"/>
      <c r="Z26" s="179">
        <f>ROUND(SUM(Z22+Z23+Z24+Z25),1)</f>
        <v>0</v>
      </c>
      <c r="AA26" s="39"/>
      <c r="AB26" s="30"/>
      <c r="AC26" s="1244">
        <f>ROUND(SUM(AC22+AC23+AC24+AC25),1)</f>
        <v>12990.5</v>
      </c>
      <c r="AD26" s="36"/>
      <c r="AE26" s="932" t="s">
        <v>14</v>
      </c>
      <c r="AF26" s="179">
        <f>ROUND(SUM(AF22+AF23+AF24+AF25),1)</f>
        <v>16589.3</v>
      </c>
      <c r="AG26" s="36"/>
      <c r="AH26" s="1443"/>
      <c r="AI26" s="179">
        <f>ROUND(SUM(AI22-AI23-AI24-AI25),1)</f>
        <v>-3598.8</v>
      </c>
      <c r="AJ26" s="467"/>
      <c r="AK26" s="747">
        <f>ROUND(SUM(+AI26/AF26),3)</f>
        <v>-0.217</v>
      </c>
    </row>
    <row r="27" spans="1:38" ht="15" customHeight="1">
      <c r="A27" s="100"/>
      <c r="B27" s="737" t="s">
        <v>1006</v>
      </c>
      <c r="C27" s="20"/>
      <c r="D27" s="42"/>
      <c r="E27" s="467"/>
      <c r="F27" s="42"/>
      <c r="G27" s="467"/>
      <c r="H27" s="42"/>
      <c r="I27" s="467"/>
      <c r="J27" s="42"/>
      <c r="K27" s="36"/>
      <c r="L27" s="42"/>
      <c r="M27" s="36"/>
      <c r="N27" s="42"/>
      <c r="O27" s="36"/>
      <c r="P27" s="42"/>
      <c r="Q27" s="36"/>
      <c r="R27" s="42"/>
      <c r="S27" s="36"/>
      <c r="T27" s="42"/>
      <c r="U27" s="36"/>
      <c r="V27" s="42"/>
      <c r="W27" s="36"/>
      <c r="X27" s="42"/>
      <c r="Y27" s="36"/>
      <c r="Z27" s="42"/>
      <c r="AA27" s="39"/>
      <c r="AB27" s="30"/>
      <c r="AC27" s="42"/>
      <c r="AD27" s="36"/>
      <c r="AE27" s="932" t="s">
        <v>14</v>
      </c>
      <c r="AF27" s="42"/>
      <c r="AG27" s="36"/>
      <c r="AH27" s="1443"/>
      <c r="AI27" s="42"/>
      <c r="AJ27" s="467"/>
      <c r="AK27" s="190"/>
    </row>
    <row r="28" spans="1:38" ht="15" customHeight="1">
      <c r="A28" s="100"/>
      <c r="B28" s="489" t="s">
        <v>962</v>
      </c>
      <c r="C28" s="20"/>
      <c r="D28" s="912">
        <v>679.2</v>
      </c>
      <c r="E28" s="912"/>
      <c r="F28" s="912">
        <v>687.8</v>
      </c>
      <c r="G28" s="912"/>
      <c r="H28" s="912">
        <v>920.09999999999991</v>
      </c>
      <c r="I28" s="467"/>
      <c r="J28" s="912">
        <v>739.90000000000032</v>
      </c>
      <c r="K28" s="1004"/>
      <c r="L28" s="912">
        <v>719.19999999999959</v>
      </c>
      <c r="M28" s="1004"/>
      <c r="N28" s="912">
        <f t="shared" ref="N28:N36" si="6">$AC28-$D28-$F28-$H28-$J28-$L28</f>
        <v>917.60000000000036</v>
      </c>
      <c r="O28" s="1004"/>
      <c r="P28" s="912"/>
      <c r="Q28" s="1004"/>
      <c r="R28" s="912"/>
      <c r="S28" s="1004"/>
      <c r="T28" s="912"/>
      <c r="U28" s="1004"/>
      <c r="V28" s="912"/>
      <c r="W28" s="1004"/>
      <c r="X28" s="912"/>
      <c r="Y28" s="1004"/>
      <c r="Z28" s="912"/>
      <c r="AA28" s="496"/>
      <c r="AB28" s="933"/>
      <c r="AC28" s="912">
        <v>4663.8</v>
      </c>
      <c r="AD28" s="467"/>
      <c r="AE28" s="933" t="s">
        <v>14</v>
      </c>
      <c r="AF28" s="912">
        <v>2202.3000000000002</v>
      </c>
      <c r="AG28" s="36"/>
      <c r="AH28" s="1443"/>
      <c r="AI28" s="467">
        <f t="shared" ref="AI28:AI34" si="7">ROUND(SUM(+AC28-AF28),1)</f>
        <v>2461.5</v>
      </c>
      <c r="AJ28" s="467"/>
      <c r="AK28" s="469">
        <f t="shared" ref="AK28:AK36" si="8">ROUND(IF(AF28=0,0,AI28/ABS(AF28)),3)</f>
        <v>1.1180000000000001</v>
      </c>
    </row>
    <row r="29" spans="1:38" ht="15" customHeight="1">
      <c r="A29" s="100"/>
      <c r="B29" s="489" t="s">
        <v>963</v>
      </c>
      <c r="C29" s="20"/>
      <c r="D29" s="912">
        <v>0</v>
      </c>
      <c r="E29" s="912"/>
      <c r="F29" s="912">
        <v>0</v>
      </c>
      <c r="G29" s="912"/>
      <c r="H29" s="912">
        <v>0</v>
      </c>
      <c r="I29" s="467"/>
      <c r="J29" s="912">
        <v>0</v>
      </c>
      <c r="K29" s="1004"/>
      <c r="L29" s="912">
        <v>0</v>
      </c>
      <c r="M29" s="1004"/>
      <c r="N29" s="912">
        <f t="shared" si="6"/>
        <v>0</v>
      </c>
      <c r="O29" s="1004"/>
      <c r="P29" s="912"/>
      <c r="Q29" s="1004"/>
      <c r="R29" s="912"/>
      <c r="S29" s="1004"/>
      <c r="T29" s="912"/>
      <c r="U29" s="1004"/>
      <c r="V29" s="912"/>
      <c r="W29" s="1004"/>
      <c r="X29" s="912"/>
      <c r="Y29" s="1004"/>
      <c r="Z29" s="912"/>
      <c r="AA29" s="496"/>
      <c r="AB29" s="933"/>
      <c r="AC29" s="912">
        <v>0</v>
      </c>
      <c r="AD29" s="467"/>
      <c r="AE29" s="933" t="s">
        <v>14</v>
      </c>
      <c r="AF29" s="912">
        <v>0</v>
      </c>
      <c r="AG29" s="36"/>
      <c r="AH29" s="1443"/>
      <c r="AI29" s="467">
        <f t="shared" si="7"/>
        <v>0</v>
      </c>
      <c r="AJ29" s="467"/>
      <c r="AK29" s="469">
        <f t="shared" si="8"/>
        <v>0</v>
      </c>
    </row>
    <row r="30" spans="1:38" ht="15" customHeight="1">
      <c r="A30" s="100"/>
      <c r="B30" s="489" t="s">
        <v>964</v>
      </c>
      <c r="C30" s="20"/>
      <c r="D30" s="912">
        <v>24.3</v>
      </c>
      <c r="E30" s="912"/>
      <c r="F30" s="912">
        <v>21.499999999999996</v>
      </c>
      <c r="G30" s="912"/>
      <c r="H30" s="912">
        <v>22.200000000000006</v>
      </c>
      <c r="I30" s="467"/>
      <c r="J30" s="912">
        <v>23.299999999999994</v>
      </c>
      <c r="K30" s="1004"/>
      <c r="L30" s="912">
        <v>23.100000000000012</v>
      </c>
      <c r="M30" s="1004"/>
      <c r="N30" s="912">
        <f t="shared" si="6"/>
        <v>25.399999999999974</v>
      </c>
      <c r="O30" s="1004"/>
      <c r="P30" s="912"/>
      <c r="Q30" s="1004"/>
      <c r="R30" s="912"/>
      <c r="S30" s="1004"/>
      <c r="T30" s="912"/>
      <c r="U30" s="1004"/>
      <c r="V30" s="912"/>
      <c r="W30" s="1004"/>
      <c r="X30" s="912"/>
      <c r="Y30" s="1004"/>
      <c r="Z30" s="912"/>
      <c r="AA30" s="496"/>
      <c r="AB30" s="933"/>
      <c r="AC30" s="912">
        <v>139.79999999999998</v>
      </c>
      <c r="AD30" s="467"/>
      <c r="AE30" s="933" t="s">
        <v>14</v>
      </c>
      <c r="AF30" s="912">
        <v>153.5</v>
      </c>
      <c r="AG30" s="36"/>
      <c r="AH30" s="1443"/>
      <c r="AI30" s="467">
        <f t="shared" si="7"/>
        <v>-13.7</v>
      </c>
      <c r="AJ30" s="467"/>
      <c r="AK30" s="469">
        <f t="shared" si="8"/>
        <v>-8.8999999999999996E-2</v>
      </c>
    </row>
    <row r="31" spans="1:38" ht="15" customHeight="1">
      <c r="A31" s="100"/>
      <c r="B31" s="489" t="s">
        <v>965</v>
      </c>
      <c r="C31" s="20"/>
      <c r="D31" s="912">
        <v>0</v>
      </c>
      <c r="E31" s="912"/>
      <c r="F31" s="912">
        <v>0</v>
      </c>
      <c r="G31" s="912"/>
      <c r="H31" s="912">
        <v>0</v>
      </c>
      <c r="I31" s="467"/>
      <c r="J31" s="912">
        <v>0</v>
      </c>
      <c r="K31" s="1004"/>
      <c r="L31" s="912">
        <v>0</v>
      </c>
      <c r="M31" s="1004"/>
      <c r="N31" s="912">
        <f t="shared" si="6"/>
        <v>0</v>
      </c>
      <c r="O31" s="1004"/>
      <c r="P31" s="912"/>
      <c r="Q31" s="1004"/>
      <c r="R31" s="912"/>
      <c r="S31" s="1004"/>
      <c r="T31" s="912"/>
      <c r="U31" s="1004"/>
      <c r="V31" s="912"/>
      <c r="W31" s="1004"/>
      <c r="X31" s="912"/>
      <c r="Y31" s="1004"/>
      <c r="Z31" s="912"/>
      <c r="AA31" s="496"/>
      <c r="AB31" s="933"/>
      <c r="AC31" s="912">
        <v>0</v>
      </c>
      <c r="AD31" s="467"/>
      <c r="AE31" s="933" t="s">
        <v>14</v>
      </c>
      <c r="AF31" s="912">
        <v>0</v>
      </c>
      <c r="AG31" s="36"/>
      <c r="AH31" s="1443"/>
      <c r="AI31" s="467">
        <f t="shared" si="7"/>
        <v>0</v>
      </c>
      <c r="AJ31" s="467"/>
      <c r="AK31" s="469">
        <f>ROUND(IF(AF31=0,0,AI31/ABS(AF31)),3)</f>
        <v>0</v>
      </c>
    </row>
    <row r="32" spans="1:38" ht="15" customHeight="1">
      <c r="A32" s="100"/>
      <c r="B32" s="753" t="s">
        <v>1432</v>
      </c>
      <c r="C32" s="20"/>
      <c r="D32" s="912">
        <v>-1.4</v>
      </c>
      <c r="E32" s="912"/>
      <c r="F32" s="912">
        <v>0</v>
      </c>
      <c r="G32" s="912"/>
      <c r="H32" s="912">
        <v>0.39999999999999991</v>
      </c>
      <c r="I32" s="467"/>
      <c r="J32" s="912">
        <v>0</v>
      </c>
      <c r="K32" s="1004"/>
      <c r="L32" s="912">
        <v>0</v>
      </c>
      <c r="M32" s="1004"/>
      <c r="N32" s="912">
        <f t="shared" si="6"/>
        <v>0.4</v>
      </c>
      <c r="O32" s="1004"/>
      <c r="P32" s="912"/>
      <c r="Q32" s="1004"/>
      <c r="R32" s="912"/>
      <c r="S32" s="1004"/>
      <c r="T32" s="912"/>
      <c r="U32" s="1004"/>
      <c r="V32" s="912"/>
      <c r="W32" s="1004"/>
      <c r="X32" s="912"/>
      <c r="Y32" s="1004"/>
      <c r="Z32" s="912"/>
      <c r="AA32" s="496"/>
      <c r="AB32" s="933"/>
      <c r="AC32" s="912">
        <v>-0.6</v>
      </c>
      <c r="AD32" s="467"/>
      <c r="AE32" s="933" t="s">
        <v>14</v>
      </c>
      <c r="AF32" s="912">
        <v>0</v>
      </c>
      <c r="AG32" s="36"/>
      <c r="AH32" s="1443"/>
      <c r="AI32" s="467">
        <f t="shared" ref="AI32" si="9">ROUND(SUM(+AC32-AF32),1)</f>
        <v>-0.6</v>
      </c>
      <c r="AJ32" s="467"/>
      <c r="AK32" s="469">
        <f>-ROUND(IF(AF32=0,1,AI32/ABS(AF32)),3)</f>
        <v>-1</v>
      </c>
    </row>
    <row r="33" spans="1:41" ht="15" customHeight="1">
      <c r="A33" s="100"/>
      <c r="B33" s="489" t="s">
        <v>966</v>
      </c>
      <c r="C33" s="20"/>
      <c r="D33" s="912">
        <v>21.8</v>
      </c>
      <c r="E33" s="912"/>
      <c r="F33" s="912">
        <v>20.3</v>
      </c>
      <c r="G33" s="912"/>
      <c r="H33" s="912">
        <v>25.999999999999996</v>
      </c>
      <c r="I33" s="467"/>
      <c r="J33" s="912">
        <v>27.300000000000015</v>
      </c>
      <c r="K33" s="1004"/>
      <c r="L33" s="912">
        <v>21.799999999999979</v>
      </c>
      <c r="M33" s="1004"/>
      <c r="N33" s="912">
        <f t="shared" si="6"/>
        <v>26.600000000000026</v>
      </c>
      <c r="O33" s="1004"/>
      <c r="P33" s="912"/>
      <c r="Q33" s="1004"/>
      <c r="R33" s="912"/>
      <c r="S33" s="1004"/>
      <c r="T33" s="912"/>
      <c r="U33" s="1004"/>
      <c r="V33" s="912"/>
      <c r="W33" s="1004"/>
      <c r="X33" s="912"/>
      <c r="Y33" s="1004"/>
      <c r="Z33" s="912"/>
      <c r="AA33" s="496"/>
      <c r="AB33" s="933"/>
      <c r="AC33" s="912">
        <v>143.80000000000001</v>
      </c>
      <c r="AD33" s="467"/>
      <c r="AE33" s="933" t="s">
        <v>14</v>
      </c>
      <c r="AF33" s="912">
        <v>147.4</v>
      </c>
      <c r="AG33" s="36"/>
      <c r="AH33" s="1443"/>
      <c r="AI33" s="467">
        <f t="shared" si="7"/>
        <v>-3.6</v>
      </c>
      <c r="AJ33" s="467"/>
      <c r="AK33" s="469">
        <f t="shared" si="8"/>
        <v>-2.4E-2</v>
      </c>
    </row>
    <row r="34" spans="1:41" ht="15" customHeight="1">
      <c r="A34" s="100"/>
      <c r="B34" s="489" t="s">
        <v>967</v>
      </c>
      <c r="C34" s="20"/>
      <c r="D34" s="912">
        <v>0</v>
      </c>
      <c r="E34" s="912"/>
      <c r="F34" s="912">
        <v>0</v>
      </c>
      <c r="G34" s="912"/>
      <c r="H34" s="912">
        <v>0</v>
      </c>
      <c r="I34" s="467"/>
      <c r="J34" s="912">
        <v>0</v>
      </c>
      <c r="K34" s="1004"/>
      <c r="L34" s="912">
        <v>0</v>
      </c>
      <c r="M34" s="1004"/>
      <c r="N34" s="912">
        <f t="shared" si="6"/>
        <v>0</v>
      </c>
      <c r="O34" s="1004"/>
      <c r="P34" s="912"/>
      <c r="Q34" s="1004"/>
      <c r="R34" s="912"/>
      <c r="S34" s="1004"/>
      <c r="T34" s="912"/>
      <c r="U34" s="1004"/>
      <c r="V34" s="912"/>
      <c r="W34" s="1004"/>
      <c r="X34" s="912"/>
      <c r="Y34" s="1004"/>
      <c r="Z34" s="912"/>
      <c r="AA34" s="496"/>
      <c r="AB34" s="933"/>
      <c r="AC34" s="912">
        <v>0</v>
      </c>
      <c r="AD34" s="467"/>
      <c r="AE34" s="933" t="s">
        <v>14</v>
      </c>
      <c r="AF34" s="912">
        <v>0</v>
      </c>
      <c r="AG34" s="36"/>
      <c r="AH34" s="1443"/>
      <c r="AI34" s="467">
        <f t="shared" si="7"/>
        <v>0</v>
      </c>
      <c r="AJ34" s="467"/>
      <c r="AK34" s="469">
        <f t="shared" si="8"/>
        <v>0</v>
      </c>
    </row>
    <row r="35" spans="1:41" ht="15" customHeight="1">
      <c r="A35" s="100"/>
      <c r="B35" s="489" t="s">
        <v>1260</v>
      </c>
      <c r="C35" s="20"/>
      <c r="D35" s="912">
        <v>0</v>
      </c>
      <c r="E35" s="912"/>
      <c r="F35" s="912">
        <v>0</v>
      </c>
      <c r="G35" s="912"/>
      <c r="H35" s="912">
        <v>0</v>
      </c>
      <c r="I35" s="467"/>
      <c r="J35" s="912">
        <v>0</v>
      </c>
      <c r="K35" s="1004"/>
      <c r="L35" s="912">
        <v>0</v>
      </c>
      <c r="M35" s="1004"/>
      <c r="N35" s="912">
        <f t="shared" si="6"/>
        <v>0</v>
      </c>
      <c r="O35" s="1004"/>
      <c r="P35" s="912"/>
      <c r="Q35" s="1004"/>
      <c r="R35" s="912"/>
      <c r="S35" s="1004"/>
      <c r="T35" s="912"/>
      <c r="U35" s="1004"/>
      <c r="V35" s="912"/>
      <c r="W35" s="1004"/>
      <c r="X35" s="912"/>
      <c r="Y35" s="1004"/>
      <c r="Z35" s="912"/>
      <c r="AA35" s="496"/>
      <c r="AB35" s="717"/>
      <c r="AC35" s="912">
        <v>0</v>
      </c>
      <c r="AD35" s="467"/>
      <c r="AE35" s="717" t="s">
        <v>14</v>
      </c>
      <c r="AF35" s="912">
        <v>0</v>
      </c>
      <c r="AG35" s="36"/>
      <c r="AH35" s="1443"/>
      <c r="AI35" s="467">
        <f>ROUND(SUM(+AC35-AF35),1)</f>
        <v>0</v>
      </c>
      <c r="AJ35" s="467"/>
      <c r="AK35" s="469">
        <f>ROUND(IF(AF35=0,0,AI35/ABS(AF35)),3)</f>
        <v>0</v>
      </c>
    </row>
    <row r="36" spans="1:41" ht="15" customHeight="1">
      <c r="A36" s="100"/>
      <c r="B36" s="489" t="s">
        <v>1261</v>
      </c>
      <c r="C36" s="20"/>
      <c r="D36" s="912">
        <v>6</v>
      </c>
      <c r="E36" s="912"/>
      <c r="F36" s="912">
        <v>0.20000000000000018</v>
      </c>
      <c r="G36" s="912"/>
      <c r="H36" s="912">
        <v>0.20000000000000018</v>
      </c>
      <c r="I36" s="467"/>
      <c r="J36" s="912">
        <v>4.2999999999999989</v>
      </c>
      <c r="K36" s="1004"/>
      <c r="L36" s="912">
        <v>0.10000000000000142</v>
      </c>
      <c r="M36" s="1004"/>
      <c r="N36" s="912">
        <f t="shared" si="6"/>
        <v>9.9999999999999645E-2</v>
      </c>
      <c r="O36" s="1004"/>
      <c r="P36" s="912"/>
      <c r="Q36" s="1004"/>
      <c r="R36" s="912"/>
      <c r="S36" s="1004"/>
      <c r="T36" s="912"/>
      <c r="U36" s="1004"/>
      <c r="V36" s="912"/>
      <c r="W36" s="1004"/>
      <c r="X36" s="912"/>
      <c r="Y36" s="1004"/>
      <c r="Z36" s="912"/>
      <c r="AA36" s="496"/>
      <c r="AB36" s="933"/>
      <c r="AC36" s="912">
        <v>10.9</v>
      </c>
      <c r="AD36" s="467"/>
      <c r="AE36" s="933" t="s">
        <v>14</v>
      </c>
      <c r="AF36" s="912">
        <v>13.4</v>
      </c>
      <c r="AG36" s="36"/>
      <c r="AH36" s="1443"/>
      <c r="AI36" s="467">
        <f t="shared" ref="AI36" si="10">ROUND(SUM(+AC36-AF36),1)</f>
        <v>-2.5</v>
      </c>
      <c r="AJ36" s="467"/>
      <c r="AK36" s="469">
        <f t="shared" si="8"/>
        <v>-0.187</v>
      </c>
    </row>
    <row r="37" spans="1:41" s="145" customFormat="1" ht="15" customHeight="1">
      <c r="A37" s="748"/>
      <c r="B37" s="218" t="s">
        <v>961</v>
      </c>
      <c r="C37" s="139"/>
      <c r="D37" s="1138">
        <f>ROUND(SUM(D28:D36),1)</f>
        <v>729.9</v>
      </c>
      <c r="E37" s="42"/>
      <c r="F37" s="1138">
        <f>ROUND(SUM(F28:F36),1)</f>
        <v>729.8</v>
      </c>
      <c r="G37" s="42"/>
      <c r="H37" s="1138">
        <f>ROUND(SUM(H28:H36),1)</f>
        <v>968.9</v>
      </c>
      <c r="I37" s="42"/>
      <c r="J37" s="1138">
        <f>ROUND(SUM(J28:J36),1)</f>
        <v>794.8</v>
      </c>
      <c r="K37" s="42"/>
      <c r="L37" s="179">
        <f>ROUND(SUM(L28:L36),1)</f>
        <v>764.2</v>
      </c>
      <c r="M37" s="42"/>
      <c r="N37" s="179">
        <f>ROUND(SUM(N28:N36),1)</f>
        <v>970.1</v>
      </c>
      <c r="O37" s="42"/>
      <c r="P37" s="179">
        <f>ROUND(SUM(P28:P36),1)</f>
        <v>0</v>
      </c>
      <c r="Q37" s="42"/>
      <c r="R37" s="179">
        <f>ROUND(SUM(R28:R36),1)</f>
        <v>0</v>
      </c>
      <c r="S37" s="42"/>
      <c r="T37" s="179">
        <f t="shared" ref="T37" si="11">ROUND(SUM(T28:T36),1)</f>
        <v>0</v>
      </c>
      <c r="U37" s="42"/>
      <c r="V37" s="179">
        <f>ROUND(SUM(V28:V36),1)</f>
        <v>0</v>
      </c>
      <c r="W37" s="42"/>
      <c r="X37" s="179">
        <f>ROUND(SUM(X28:X36),1)</f>
        <v>0</v>
      </c>
      <c r="Y37" s="42"/>
      <c r="Z37" s="179">
        <f>ROUND(SUM(Z28:Z36),1)</f>
        <v>0</v>
      </c>
      <c r="AA37" s="112"/>
      <c r="AB37" s="180"/>
      <c r="AC37" s="1244">
        <f>ROUND(SUM(AC28:AC36),1)</f>
        <v>4957.7</v>
      </c>
      <c r="AD37" s="42"/>
      <c r="AE37" s="44"/>
      <c r="AF37" s="179">
        <f>ROUND(SUM(AF28:AF36),1)</f>
        <v>2516.6</v>
      </c>
      <c r="AG37" s="42"/>
      <c r="AH37" s="1444"/>
      <c r="AI37" s="179">
        <f>ROUND(SUM(AI28:AI36),1)</f>
        <v>2441.1</v>
      </c>
      <c r="AJ37" s="42"/>
      <c r="AK37" s="747">
        <f>ROUND(SUM(+AI37/AF37),3)</f>
        <v>0.97</v>
      </c>
      <c r="AL37" s="138"/>
      <c r="AO37" s="138"/>
    </row>
    <row r="38" spans="1:41" s="145" customFormat="1" ht="15" customHeight="1">
      <c r="A38" s="748"/>
      <c r="B38" s="737" t="s">
        <v>1007</v>
      </c>
      <c r="C38" s="139"/>
      <c r="D38" s="42"/>
      <c r="E38" s="42"/>
      <c r="F38" s="42"/>
      <c r="G38" s="42"/>
      <c r="H38" s="42"/>
      <c r="I38" s="42"/>
      <c r="J38" s="467"/>
      <c r="K38" s="42"/>
      <c r="L38" s="42"/>
      <c r="M38" s="42"/>
      <c r="N38" s="42"/>
      <c r="O38" s="42"/>
      <c r="P38" s="42"/>
      <c r="Q38" s="42"/>
      <c r="R38" s="42"/>
      <c r="S38" s="42"/>
      <c r="T38" s="42"/>
      <c r="U38" s="42"/>
      <c r="V38" s="42"/>
      <c r="W38" s="42"/>
      <c r="X38" s="42"/>
      <c r="Y38" s="42"/>
      <c r="Z38" s="42"/>
      <c r="AA38" s="112"/>
      <c r="AB38" s="180"/>
      <c r="AC38" s="42"/>
      <c r="AD38" s="42"/>
      <c r="AE38" s="44" t="s">
        <v>14</v>
      </c>
      <c r="AF38" s="42"/>
      <c r="AG38" s="42"/>
      <c r="AH38" s="1444"/>
      <c r="AI38" s="42"/>
      <c r="AJ38" s="42"/>
      <c r="AK38" s="190"/>
      <c r="AL38" s="138"/>
      <c r="AO38" s="138"/>
    </row>
    <row r="39" spans="1:41" s="145" customFormat="1" ht="15" customHeight="1">
      <c r="A39" s="748"/>
      <c r="B39" s="489" t="s">
        <v>969</v>
      </c>
      <c r="C39" s="139"/>
      <c r="D39" s="912">
        <v>976.7</v>
      </c>
      <c r="E39" s="912"/>
      <c r="F39" s="912">
        <v>50.700000000000045</v>
      </c>
      <c r="G39" s="912"/>
      <c r="H39" s="912">
        <v>1298.3000000000002</v>
      </c>
      <c r="I39" s="42"/>
      <c r="J39" s="912">
        <v>190.89999999999964</v>
      </c>
      <c r="K39" s="1004"/>
      <c r="L39" s="912">
        <v>55.5</v>
      </c>
      <c r="M39" s="1004"/>
      <c r="N39" s="912">
        <f t="shared" ref="N39:N44" si="12">$AC39-$D39-$F39-$H39-$J39-$L39</f>
        <v>1370.5</v>
      </c>
      <c r="O39" s="1004"/>
      <c r="P39" s="912"/>
      <c r="Q39" s="1004"/>
      <c r="R39" s="912"/>
      <c r="S39" s="1004"/>
      <c r="T39" s="912"/>
      <c r="U39" s="1004"/>
      <c r="V39" s="912"/>
      <c r="W39" s="1004"/>
      <c r="X39" s="912"/>
      <c r="Y39" s="1004"/>
      <c r="Z39" s="912"/>
      <c r="AA39" s="496"/>
      <c r="AB39" s="933"/>
      <c r="AC39" s="912">
        <v>3942.6</v>
      </c>
      <c r="AD39" s="467"/>
      <c r="AE39" s="933" t="s">
        <v>14</v>
      </c>
      <c r="AF39" s="912">
        <v>3743.8</v>
      </c>
      <c r="AG39" s="42"/>
      <c r="AH39" s="1444"/>
      <c r="AI39" s="467">
        <f t="shared" ref="AI39:AI44" si="13">ROUND(SUM(+AC39-AF39),1)</f>
        <v>198.8</v>
      </c>
      <c r="AJ39" s="42"/>
      <c r="AK39" s="469">
        <f t="shared" ref="AK39:AK41" si="14">ROUND(IF(AF39=0,0,AI39/ABS(AF39)),3)</f>
        <v>5.2999999999999999E-2</v>
      </c>
      <c r="AL39" s="138"/>
      <c r="AM39" s="138"/>
      <c r="AO39" s="138"/>
    </row>
    <row r="40" spans="1:41" s="145" customFormat="1" ht="15" customHeight="1">
      <c r="A40" s="748"/>
      <c r="B40" s="489" t="s">
        <v>970</v>
      </c>
      <c r="C40" s="139"/>
      <c r="D40" s="912">
        <v>14.7</v>
      </c>
      <c r="E40" s="912"/>
      <c r="F40" s="912">
        <v>0.40000000000000036</v>
      </c>
      <c r="G40" s="912"/>
      <c r="H40" s="912">
        <v>60.499999999999993</v>
      </c>
      <c r="I40" s="42"/>
      <c r="J40" s="912">
        <v>0.10000000000000853</v>
      </c>
      <c r="K40" s="1004"/>
      <c r="L40" s="912">
        <v>1.2999999999999972</v>
      </c>
      <c r="M40" s="1004"/>
      <c r="N40" s="912">
        <f t="shared" si="12"/>
        <v>76.300000000000011</v>
      </c>
      <c r="O40" s="1004"/>
      <c r="P40" s="912"/>
      <c r="Q40" s="1004"/>
      <c r="R40" s="912"/>
      <c r="S40" s="1004"/>
      <c r="T40" s="912"/>
      <c r="U40" s="1004"/>
      <c r="V40" s="912"/>
      <c r="W40" s="1004"/>
      <c r="X40" s="912"/>
      <c r="Y40" s="1004"/>
      <c r="Z40" s="912"/>
      <c r="AA40" s="496"/>
      <c r="AB40" s="933"/>
      <c r="AC40" s="912">
        <v>153.30000000000001</v>
      </c>
      <c r="AD40" s="467"/>
      <c r="AE40" s="933" t="s">
        <v>14</v>
      </c>
      <c r="AF40" s="912">
        <v>146</v>
      </c>
      <c r="AG40" s="42"/>
      <c r="AH40" s="1444"/>
      <c r="AI40" s="467">
        <f t="shared" si="13"/>
        <v>7.3</v>
      </c>
      <c r="AJ40" s="42"/>
      <c r="AK40" s="971">
        <f t="shared" si="14"/>
        <v>0.05</v>
      </c>
      <c r="AL40" s="138"/>
      <c r="AM40" s="138"/>
      <c r="AO40" s="138"/>
    </row>
    <row r="41" spans="1:41" s="145" customFormat="1" ht="15" customHeight="1">
      <c r="A41" s="748"/>
      <c r="B41" s="489" t="s">
        <v>971</v>
      </c>
      <c r="C41" s="139"/>
      <c r="D41" s="912">
        <v>73.599999999999994</v>
      </c>
      <c r="E41" s="912"/>
      <c r="F41" s="912">
        <v>97.200000000000017</v>
      </c>
      <c r="G41" s="912"/>
      <c r="H41" s="912">
        <v>418.9</v>
      </c>
      <c r="I41" s="42"/>
      <c r="J41" s="912">
        <v>-9</v>
      </c>
      <c r="K41" s="1004"/>
      <c r="L41" s="912">
        <v>22.199999999999932</v>
      </c>
      <c r="M41" s="1004"/>
      <c r="N41" s="912">
        <f t="shared" si="12"/>
        <v>464.80000000000007</v>
      </c>
      <c r="O41" s="1004"/>
      <c r="P41" s="912"/>
      <c r="Q41" s="1004"/>
      <c r="R41" s="912"/>
      <c r="S41" s="1004"/>
      <c r="T41" s="912"/>
      <c r="U41" s="1004"/>
      <c r="V41" s="912"/>
      <c r="W41" s="1004"/>
      <c r="X41" s="912"/>
      <c r="Y41" s="1004"/>
      <c r="Z41" s="912"/>
      <c r="AA41" s="496"/>
      <c r="AB41" s="933"/>
      <c r="AC41" s="912">
        <v>1067.7</v>
      </c>
      <c r="AD41" s="467"/>
      <c r="AE41" s="933" t="s">
        <v>14</v>
      </c>
      <c r="AF41" s="912">
        <v>1088.5</v>
      </c>
      <c r="AG41" s="42"/>
      <c r="AH41" s="1444"/>
      <c r="AI41" s="467">
        <f t="shared" si="13"/>
        <v>-20.8</v>
      </c>
      <c r="AJ41" s="42"/>
      <c r="AK41" s="469">
        <f t="shared" si="14"/>
        <v>-1.9E-2</v>
      </c>
      <c r="AL41" s="138"/>
      <c r="AM41" s="138"/>
      <c r="AO41" s="138"/>
    </row>
    <row r="42" spans="1:41" s="145" customFormat="1" ht="15" customHeight="1">
      <c r="A42" s="748"/>
      <c r="B42" s="489" t="s">
        <v>972</v>
      </c>
      <c r="C42" s="139"/>
      <c r="D42" s="912">
        <v>1.9</v>
      </c>
      <c r="E42" s="912"/>
      <c r="F42" s="912">
        <v>0</v>
      </c>
      <c r="G42" s="912"/>
      <c r="H42" s="912">
        <v>-0.29999999999999982</v>
      </c>
      <c r="I42" s="42"/>
      <c r="J42" s="912">
        <v>0.39999999999999991</v>
      </c>
      <c r="K42" s="1004"/>
      <c r="L42" s="912">
        <v>-3.1</v>
      </c>
      <c r="M42" s="1004"/>
      <c r="N42" s="912">
        <f t="shared" si="12"/>
        <v>0.10000000000000009</v>
      </c>
      <c r="O42" s="1004"/>
      <c r="P42" s="912"/>
      <c r="Q42" s="1004"/>
      <c r="R42" s="912"/>
      <c r="S42" s="1004"/>
      <c r="T42" s="912"/>
      <c r="U42" s="1004"/>
      <c r="V42" s="912"/>
      <c r="W42" s="1004"/>
      <c r="X42" s="912"/>
      <c r="Y42" s="1004"/>
      <c r="Z42" s="912"/>
      <c r="AA42" s="496"/>
      <c r="AB42" s="933"/>
      <c r="AC42" s="912">
        <v>-1</v>
      </c>
      <c r="AD42" s="467"/>
      <c r="AE42" s="933" t="s">
        <v>14</v>
      </c>
      <c r="AF42" s="912">
        <v>-5.6</v>
      </c>
      <c r="AG42" s="42"/>
      <c r="AH42" s="1444"/>
      <c r="AI42" s="467">
        <f t="shared" si="13"/>
        <v>4.5999999999999996</v>
      </c>
      <c r="AJ42" s="42"/>
      <c r="AK42" s="971">
        <f>ROUND(IF(AF42=0,1,AI42/ABS(AF42)),3)</f>
        <v>0.82099999999999995</v>
      </c>
      <c r="AL42" s="138"/>
      <c r="AM42" s="138"/>
      <c r="AO42" s="138"/>
    </row>
    <row r="43" spans="1:41" s="145" customFormat="1" ht="15" customHeight="1">
      <c r="A43" s="748"/>
      <c r="B43" s="489" t="s">
        <v>1396</v>
      </c>
      <c r="C43" s="139"/>
      <c r="D43" s="912">
        <v>49.4</v>
      </c>
      <c r="E43" s="912"/>
      <c r="F43" s="912">
        <v>65.699999999999989</v>
      </c>
      <c r="G43" s="912"/>
      <c r="H43" s="912">
        <v>1269.0999999999999</v>
      </c>
      <c r="I43" s="42"/>
      <c r="J43" s="912">
        <v>18.5</v>
      </c>
      <c r="K43" s="1004"/>
      <c r="L43" s="912">
        <v>68.399999999999864</v>
      </c>
      <c r="M43" s="1004"/>
      <c r="N43" s="912">
        <f t="shared" si="12"/>
        <v>1486.6000000000001</v>
      </c>
      <c r="O43" s="1004"/>
      <c r="P43" s="912"/>
      <c r="Q43" s="1004"/>
      <c r="R43" s="912"/>
      <c r="S43" s="1004"/>
      <c r="T43" s="912"/>
      <c r="U43" s="1004"/>
      <c r="V43" s="912"/>
      <c r="W43" s="1004"/>
      <c r="X43" s="912"/>
      <c r="Y43" s="1004"/>
      <c r="Z43" s="912"/>
      <c r="AA43" s="496"/>
      <c r="AB43" s="717"/>
      <c r="AC43" s="912">
        <v>2957.7</v>
      </c>
      <c r="AD43" s="467"/>
      <c r="AE43" s="933" t="s">
        <v>14</v>
      </c>
      <c r="AF43" s="912">
        <v>3156.5</v>
      </c>
      <c r="AG43" s="42"/>
      <c r="AH43" s="1444"/>
      <c r="AI43" s="467">
        <f t="shared" si="13"/>
        <v>-198.8</v>
      </c>
      <c r="AJ43" s="42"/>
      <c r="AK43" s="971">
        <f>ROUND(IF(AF43=0,1,AI43/ABS(AF43)),3)</f>
        <v>-6.3E-2</v>
      </c>
      <c r="AL43" s="138"/>
      <c r="AM43" s="138"/>
      <c r="AO43" s="138"/>
    </row>
    <row r="44" spans="1:41" s="145" customFormat="1" ht="15" customHeight="1">
      <c r="A44" s="748"/>
      <c r="B44" s="489" t="s">
        <v>973</v>
      </c>
      <c r="C44" s="139"/>
      <c r="D44" s="912">
        <v>0</v>
      </c>
      <c r="E44" s="912"/>
      <c r="F44" s="912">
        <v>0</v>
      </c>
      <c r="G44" s="912"/>
      <c r="H44" s="912">
        <v>0</v>
      </c>
      <c r="I44" s="42"/>
      <c r="J44" s="912">
        <v>0</v>
      </c>
      <c r="K44" s="1004"/>
      <c r="L44" s="912">
        <v>0</v>
      </c>
      <c r="M44" s="1004"/>
      <c r="N44" s="912">
        <f t="shared" si="12"/>
        <v>0</v>
      </c>
      <c r="O44" s="1004"/>
      <c r="P44" s="912"/>
      <c r="Q44" s="1004"/>
      <c r="R44" s="912"/>
      <c r="S44" s="1004"/>
      <c r="T44" s="912"/>
      <c r="U44" s="1004"/>
      <c r="V44" s="912"/>
      <c r="W44" s="1004"/>
      <c r="X44" s="912"/>
      <c r="Y44" s="1004"/>
      <c r="Z44" s="912"/>
      <c r="AA44" s="496"/>
      <c r="AB44" s="933"/>
      <c r="AC44" s="912">
        <v>0</v>
      </c>
      <c r="AD44" s="467"/>
      <c r="AE44" s="933" t="s">
        <v>14</v>
      </c>
      <c r="AF44" s="912">
        <v>0</v>
      </c>
      <c r="AG44" s="42"/>
      <c r="AH44" s="1444"/>
      <c r="AI44" s="467">
        <f t="shared" si="13"/>
        <v>0</v>
      </c>
      <c r="AJ44" s="42"/>
      <c r="AK44" s="469">
        <f>ROUND(IF(AF44=0,0,AI44/ABS(AF44)),3)</f>
        <v>0</v>
      </c>
      <c r="AL44" s="138"/>
      <c r="AM44" s="138"/>
      <c r="AO44" s="138"/>
    </row>
    <row r="45" spans="1:41" s="145" customFormat="1" ht="15" customHeight="1">
      <c r="A45" s="748"/>
      <c r="B45" s="218" t="s">
        <v>968</v>
      </c>
      <c r="C45" s="139"/>
      <c r="D45" s="1138">
        <f>ROUND(SUM(D39:D44),1)</f>
        <v>1116.3</v>
      </c>
      <c r="E45" s="42"/>
      <c r="F45" s="1138">
        <f>ROUND(SUM(F39:F44),1)</f>
        <v>214</v>
      </c>
      <c r="G45" s="42"/>
      <c r="H45" s="1138">
        <f>ROUND(SUM(H39:H44),1)</f>
        <v>3046.5</v>
      </c>
      <c r="I45" s="42"/>
      <c r="J45" s="1138">
        <f>ROUND(SUM(J39:J44),1)</f>
        <v>200.9</v>
      </c>
      <c r="K45" s="42"/>
      <c r="L45" s="179">
        <f>ROUND(SUM(L39:L44),1)</f>
        <v>144.30000000000001</v>
      </c>
      <c r="M45" s="42"/>
      <c r="N45" s="179">
        <f>ROUND(SUM(N39:N44),1)</f>
        <v>3398.3</v>
      </c>
      <c r="O45" s="42"/>
      <c r="P45" s="179">
        <f>ROUND(SUM(P39:P44),1)</f>
        <v>0</v>
      </c>
      <c r="Q45" s="42"/>
      <c r="R45" s="179">
        <f>ROUND(SUM(R39:R44),1)</f>
        <v>0</v>
      </c>
      <c r="S45" s="42"/>
      <c r="T45" s="179">
        <f t="shared" ref="T45" si="15">ROUND(SUM(T39:T44),1)</f>
        <v>0</v>
      </c>
      <c r="U45" s="42"/>
      <c r="V45" s="179">
        <f>ROUND(SUM(V39:V44),1)</f>
        <v>0</v>
      </c>
      <c r="W45" s="42"/>
      <c r="X45" s="179">
        <f>ROUND(SUM(X39:X44),1)</f>
        <v>0</v>
      </c>
      <c r="Y45" s="42"/>
      <c r="Z45" s="179">
        <f>ROUND(SUM(Z39:Z44),1)</f>
        <v>0</v>
      </c>
      <c r="AA45" s="112"/>
      <c r="AB45" s="180"/>
      <c r="AC45" s="1244">
        <f>ROUND(SUM(AC39:AC44),1)</f>
        <v>8120.3</v>
      </c>
      <c r="AD45" s="42"/>
      <c r="AE45" s="44"/>
      <c r="AF45" s="179">
        <f>ROUND(SUM(AF39:AF44),1)</f>
        <v>8129.2</v>
      </c>
      <c r="AG45" s="42"/>
      <c r="AH45" s="1444"/>
      <c r="AI45" s="179">
        <f>ROUND(SUM(AI39:AI44),1)</f>
        <v>-8.9</v>
      </c>
      <c r="AJ45" s="42"/>
      <c r="AK45" s="747">
        <f>ROUND(SUM(+AI45/AF45),3)</f>
        <v>-1E-3</v>
      </c>
      <c r="AL45" s="138"/>
      <c r="AM45" s="138"/>
      <c r="AO45" s="138"/>
    </row>
    <row r="46" spans="1:41" s="145" customFormat="1" ht="15" customHeight="1">
      <c r="A46" s="748"/>
      <c r="B46" s="737" t="s">
        <v>1008</v>
      </c>
      <c r="C46" s="139"/>
      <c r="D46" s="42"/>
      <c r="E46" s="42"/>
      <c r="F46" s="42"/>
      <c r="G46" s="42"/>
      <c r="H46" s="42"/>
      <c r="I46" s="42"/>
      <c r="J46" s="42"/>
      <c r="K46" s="42"/>
      <c r="L46" s="42"/>
      <c r="M46" s="42"/>
      <c r="N46" s="42"/>
      <c r="O46" s="42"/>
      <c r="P46" s="42"/>
      <c r="Q46" s="42"/>
      <c r="R46" s="42"/>
      <c r="S46" s="42"/>
      <c r="T46" s="42"/>
      <c r="U46" s="42"/>
      <c r="V46" s="42"/>
      <c r="W46" s="42"/>
      <c r="X46" s="42"/>
      <c r="Y46" s="42"/>
      <c r="Z46" s="42"/>
      <c r="AA46" s="112"/>
      <c r="AB46" s="180"/>
      <c r="AC46" s="42"/>
      <c r="AD46" s="42"/>
      <c r="AE46" s="44"/>
      <c r="AF46" s="42"/>
      <c r="AG46" s="42"/>
      <c r="AH46" s="1444"/>
      <c r="AI46" s="42"/>
      <c r="AJ46" s="42"/>
      <c r="AK46" s="190"/>
      <c r="AL46" s="138"/>
      <c r="AM46" s="138"/>
      <c r="AO46" s="138"/>
    </row>
    <row r="47" spans="1:41" s="145" customFormat="1" ht="15" customHeight="1">
      <c r="A47" s="748"/>
      <c r="B47" s="489" t="s">
        <v>976</v>
      </c>
      <c r="C47" s="139"/>
      <c r="D47" s="912">
        <v>0</v>
      </c>
      <c r="E47" s="912"/>
      <c r="F47" s="912">
        <v>0</v>
      </c>
      <c r="G47" s="912"/>
      <c r="H47" s="912">
        <v>0</v>
      </c>
      <c r="I47" s="42"/>
      <c r="J47" s="912">
        <v>0</v>
      </c>
      <c r="K47" s="1004"/>
      <c r="L47" s="912">
        <v>0</v>
      </c>
      <c r="M47" s="1004"/>
      <c r="N47" s="912">
        <f t="shared" ref="N47:N52" si="16">$AC47-$D47-$F47-$H47-$J47-$L47</f>
        <v>0</v>
      </c>
      <c r="O47" s="1004"/>
      <c r="P47" s="912"/>
      <c r="Q47" s="1004"/>
      <c r="R47" s="912"/>
      <c r="S47" s="1004"/>
      <c r="T47" s="912"/>
      <c r="U47" s="1004"/>
      <c r="V47" s="912"/>
      <c r="W47" s="1004"/>
      <c r="X47" s="912"/>
      <c r="Y47" s="1004"/>
      <c r="Z47" s="912"/>
      <c r="AA47" s="496"/>
      <c r="AB47" s="933"/>
      <c r="AC47" s="912">
        <v>0</v>
      </c>
      <c r="AD47" s="467"/>
      <c r="AE47" s="933" t="s">
        <v>14</v>
      </c>
      <c r="AF47" s="912">
        <v>0</v>
      </c>
      <c r="AG47" s="42"/>
      <c r="AH47" s="1444"/>
      <c r="AI47" s="467">
        <f t="shared" ref="AI47:AI51" si="17">ROUND(SUM(+AC47-AF47),1)</f>
        <v>0</v>
      </c>
      <c r="AJ47" s="42"/>
      <c r="AK47" s="469">
        <f t="shared" ref="AK47:AK51" si="18">ROUND(IF(AF47=0,0,AI47/ABS(AF47)),3)</f>
        <v>0</v>
      </c>
      <c r="AL47" s="138"/>
      <c r="AM47" s="138"/>
      <c r="AO47" s="138"/>
    </row>
    <row r="48" spans="1:41" s="145" customFormat="1" ht="15" customHeight="1">
      <c r="A48" s="748"/>
      <c r="B48" s="489" t="s">
        <v>977</v>
      </c>
      <c r="C48" s="139"/>
      <c r="D48" s="912">
        <v>168.8</v>
      </c>
      <c r="E48" s="912"/>
      <c r="F48" s="912">
        <v>405.7</v>
      </c>
      <c r="G48" s="912"/>
      <c r="H48" s="912">
        <v>77.299999999999955</v>
      </c>
      <c r="I48" s="42"/>
      <c r="J48" s="912">
        <v>61.800000000000011</v>
      </c>
      <c r="K48" s="1004"/>
      <c r="L48" s="912">
        <v>175.90000000000009</v>
      </c>
      <c r="M48" s="1004"/>
      <c r="N48" s="912">
        <f t="shared" si="16"/>
        <v>167.59999999999991</v>
      </c>
      <c r="O48" s="1004"/>
      <c r="P48" s="912"/>
      <c r="Q48" s="1004"/>
      <c r="R48" s="912"/>
      <c r="S48" s="1004"/>
      <c r="T48" s="912"/>
      <c r="U48" s="1004"/>
      <c r="V48" s="912"/>
      <c r="W48" s="1004"/>
      <c r="X48" s="912"/>
      <c r="Y48" s="1004"/>
      <c r="Z48" s="912"/>
      <c r="AA48" s="496"/>
      <c r="AB48" s="933"/>
      <c r="AC48" s="912">
        <v>1057.0999999999999</v>
      </c>
      <c r="AD48" s="467"/>
      <c r="AE48" s="933" t="s">
        <v>14</v>
      </c>
      <c r="AF48" s="912">
        <v>1066.2</v>
      </c>
      <c r="AG48" s="42"/>
      <c r="AH48" s="1444"/>
      <c r="AI48" s="467">
        <f t="shared" si="17"/>
        <v>-9.1</v>
      </c>
      <c r="AJ48" s="42"/>
      <c r="AK48" s="469">
        <f t="shared" si="18"/>
        <v>-8.9999999999999993E-3</v>
      </c>
      <c r="AL48" s="138"/>
      <c r="AM48" s="138"/>
      <c r="AO48" s="138"/>
    </row>
    <row r="49" spans="1:41" s="145" customFormat="1" ht="15" customHeight="1">
      <c r="A49" s="748"/>
      <c r="B49" s="489" t="s">
        <v>978</v>
      </c>
      <c r="C49" s="139"/>
      <c r="D49" s="912">
        <v>1.4</v>
      </c>
      <c r="E49" s="912"/>
      <c r="F49" s="912">
        <v>1</v>
      </c>
      <c r="G49" s="912"/>
      <c r="H49" s="912">
        <v>1.3000000000000003</v>
      </c>
      <c r="I49" s="42"/>
      <c r="J49" s="912">
        <v>1.2000000000000002</v>
      </c>
      <c r="K49" s="1004"/>
      <c r="L49" s="912">
        <v>1.8000000000000003</v>
      </c>
      <c r="M49" s="1004"/>
      <c r="N49" s="912">
        <f t="shared" si="16"/>
        <v>1.6999999999999988</v>
      </c>
      <c r="O49" s="1004"/>
      <c r="P49" s="912"/>
      <c r="Q49" s="1004"/>
      <c r="R49" s="912"/>
      <c r="S49" s="1004"/>
      <c r="T49" s="912"/>
      <c r="U49" s="1004"/>
      <c r="V49" s="912"/>
      <c r="W49" s="1004"/>
      <c r="X49" s="912"/>
      <c r="Y49" s="1004"/>
      <c r="Z49" s="912"/>
      <c r="AA49" s="496"/>
      <c r="AB49" s="933"/>
      <c r="AC49" s="912">
        <v>8.4</v>
      </c>
      <c r="AD49" s="467"/>
      <c r="AE49" s="933" t="s">
        <v>14</v>
      </c>
      <c r="AF49" s="912">
        <v>9</v>
      </c>
      <c r="AG49" s="42"/>
      <c r="AH49" s="1444"/>
      <c r="AI49" s="467">
        <f t="shared" si="17"/>
        <v>-0.6</v>
      </c>
      <c r="AJ49" s="42"/>
      <c r="AK49" s="469">
        <f t="shared" si="18"/>
        <v>-6.7000000000000004E-2</v>
      </c>
      <c r="AL49" s="138"/>
      <c r="AM49" s="138"/>
      <c r="AO49" s="138"/>
    </row>
    <row r="50" spans="1:41" s="145" customFormat="1" ht="15" customHeight="1">
      <c r="A50" s="748"/>
      <c r="B50" s="489" t="s">
        <v>979</v>
      </c>
      <c r="C50" s="139"/>
      <c r="D50" s="912">
        <v>0</v>
      </c>
      <c r="E50" s="912"/>
      <c r="F50" s="912">
        <v>0</v>
      </c>
      <c r="G50" s="912"/>
      <c r="H50" s="912">
        <v>0</v>
      </c>
      <c r="I50" s="42"/>
      <c r="J50" s="912">
        <v>0</v>
      </c>
      <c r="K50" s="1004"/>
      <c r="L50" s="912">
        <v>0</v>
      </c>
      <c r="M50" s="1004"/>
      <c r="N50" s="912">
        <f t="shared" si="16"/>
        <v>0</v>
      </c>
      <c r="O50" s="1004"/>
      <c r="P50" s="912"/>
      <c r="Q50" s="1004"/>
      <c r="R50" s="912"/>
      <c r="S50" s="1004"/>
      <c r="T50" s="912"/>
      <c r="U50" s="1004"/>
      <c r="V50" s="912"/>
      <c r="W50" s="1004"/>
      <c r="X50" s="912"/>
      <c r="Y50" s="1004"/>
      <c r="Z50" s="912"/>
      <c r="AA50" s="496"/>
      <c r="AB50" s="933"/>
      <c r="AC50" s="912">
        <v>0</v>
      </c>
      <c r="AD50" s="467">
        <f>'Exhibit F'!AF1215</f>
        <v>0</v>
      </c>
      <c r="AE50" s="933" t="s">
        <v>14</v>
      </c>
      <c r="AF50" s="912">
        <v>0</v>
      </c>
      <c r="AG50" s="42"/>
      <c r="AH50" s="1444"/>
      <c r="AI50" s="467">
        <f t="shared" si="17"/>
        <v>0</v>
      </c>
      <c r="AJ50" s="42"/>
      <c r="AK50" s="469">
        <f t="shared" si="18"/>
        <v>0</v>
      </c>
      <c r="AL50" s="138"/>
      <c r="AM50" s="138"/>
      <c r="AO50" s="138"/>
    </row>
    <row r="51" spans="1:41" s="145" customFormat="1" ht="15" customHeight="1">
      <c r="A51" s="748"/>
      <c r="B51" s="489" t="s">
        <v>1399</v>
      </c>
      <c r="C51" s="139"/>
      <c r="D51" s="912">
        <v>0</v>
      </c>
      <c r="E51" s="912"/>
      <c r="F51" s="912">
        <v>0</v>
      </c>
      <c r="G51" s="912"/>
      <c r="H51" s="912">
        <v>0.1</v>
      </c>
      <c r="I51" s="42"/>
      <c r="J51" s="912">
        <v>0</v>
      </c>
      <c r="K51" s="1004"/>
      <c r="L51" s="912">
        <v>0.1</v>
      </c>
      <c r="M51" s="1004"/>
      <c r="N51" s="912">
        <f t="shared" si="16"/>
        <v>0</v>
      </c>
      <c r="O51" s="1004"/>
      <c r="P51" s="912"/>
      <c r="Q51" s="1004"/>
      <c r="R51" s="912"/>
      <c r="S51" s="1004"/>
      <c r="T51" s="912"/>
      <c r="U51" s="1004"/>
      <c r="V51" s="912"/>
      <c r="W51" s="1004"/>
      <c r="X51" s="912"/>
      <c r="Y51" s="1004"/>
      <c r="Z51" s="912"/>
      <c r="AA51" s="496"/>
      <c r="AB51" s="933"/>
      <c r="AC51" s="912">
        <v>0.2</v>
      </c>
      <c r="AD51" s="467"/>
      <c r="AE51" s="933" t="s">
        <v>14</v>
      </c>
      <c r="AF51" s="912">
        <v>0.7</v>
      </c>
      <c r="AG51" s="42"/>
      <c r="AH51" s="1444"/>
      <c r="AI51" s="467">
        <f t="shared" si="17"/>
        <v>-0.5</v>
      </c>
      <c r="AJ51" s="42"/>
      <c r="AK51" s="469">
        <f t="shared" si="18"/>
        <v>-0.71399999999999997</v>
      </c>
      <c r="AL51" s="138"/>
      <c r="AM51" s="138"/>
      <c r="AO51" s="138"/>
    </row>
    <row r="52" spans="1:41" s="145" customFormat="1" ht="15" customHeight="1">
      <c r="A52" s="748"/>
      <c r="B52" s="752" t="s">
        <v>1206</v>
      </c>
      <c r="C52" s="21"/>
      <c r="D52" s="912">
        <v>0.2</v>
      </c>
      <c r="E52" s="912"/>
      <c r="F52" s="912">
        <v>0.2</v>
      </c>
      <c r="G52" s="912"/>
      <c r="H52" s="912">
        <v>9.9999999999999978E-2</v>
      </c>
      <c r="I52" s="499"/>
      <c r="J52" s="912">
        <v>0.3000000000000001</v>
      </c>
      <c r="K52" s="1004"/>
      <c r="L52" s="912">
        <v>0.3000000000000001</v>
      </c>
      <c r="M52" s="1004"/>
      <c r="N52" s="912">
        <f t="shared" si="16"/>
        <v>0.1999999999999999</v>
      </c>
      <c r="O52" s="1004"/>
      <c r="P52" s="912"/>
      <c r="Q52" s="1004"/>
      <c r="R52" s="912"/>
      <c r="S52" s="1004"/>
      <c r="T52" s="912"/>
      <c r="U52" s="1004"/>
      <c r="V52" s="912"/>
      <c r="W52" s="1004"/>
      <c r="X52" s="912"/>
      <c r="Y52" s="1004"/>
      <c r="Z52" s="912"/>
      <c r="AA52" s="496"/>
      <c r="AB52" s="933"/>
      <c r="AC52" s="912">
        <v>1.3</v>
      </c>
      <c r="AD52" s="467"/>
      <c r="AE52" s="933" t="s">
        <v>14</v>
      </c>
      <c r="AF52" s="912">
        <v>1</v>
      </c>
      <c r="AG52" s="20"/>
      <c r="AH52" s="1438"/>
      <c r="AI52" s="467">
        <f>ROUND(SUM(+AC52-AF52),1)</f>
        <v>0.3</v>
      </c>
      <c r="AJ52" s="170"/>
      <c r="AK52" s="469">
        <f>ROUND(IF(AF52=0,1,AI52/ABS(AF52)),3)</f>
        <v>0.3</v>
      </c>
      <c r="AL52" s="138"/>
      <c r="AM52" s="138"/>
      <c r="AO52" s="138"/>
    </row>
    <row r="53" spans="1:41" s="145" customFormat="1" ht="15" customHeight="1">
      <c r="A53" s="748"/>
      <c r="B53" s="218" t="s">
        <v>974</v>
      </c>
      <c r="C53" s="139"/>
      <c r="D53" s="1138">
        <f>ROUND(SUM(D47:D52),1)</f>
        <v>170.4</v>
      </c>
      <c r="E53" s="42"/>
      <c r="F53" s="1138">
        <f>ROUND(SUM(F47:F52),1)</f>
        <v>406.9</v>
      </c>
      <c r="G53" s="42"/>
      <c r="H53" s="1138">
        <f>ROUND(SUM(H47:H52),1)</f>
        <v>78.8</v>
      </c>
      <c r="I53" s="42"/>
      <c r="J53" s="1138">
        <f>ROUND(SUM(J47:J52),1)</f>
        <v>63.3</v>
      </c>
      <c r="K53" s="42"/>
      <c r="L53" s="179">
        <f>ROUND(SUM(L47:L52),1)</f>
        <v>178.1</v>
      </c>
      <c r="M53" s="42"/>
      <c r="N53" s="179">
        <f>ROUND(SUM(N47:N52),1)</f>
        <v>169.5</v>
      </c>
      <c r="O53" s="42"/>
      <c r="P53" s="179">
        <f>ROUND(SUM(P47:P52),1)</f>
        <v>0</v>
      </c>
      <c r="Q53" s="42"/>
      <c r="R53" s="179">
        <f>ROUND(SUM(R47:R52),1)</f>
        <v>0</v>
      </c>
      <c r="S53" s="42"/>
      <c r="T53" s="179">
        <f t="shared" ref="T53" si="19">ROUND(SUM(T47:T52),1)</f>
        <v>0</v>
      </c>
      <c r="U53" s="42"/>
      <c r="V53" s="179">
        <f>ROUND(SUM(V47:V52),1)</f>
        <v>0</v>
      </c>
      <c r="W53" s="42"/>
      <c r="X53" s="179">
        <f>ROUND(SUM(X47:X52),1)</f>
        <v>0</v>
      </c>
      <c r="Y53" s="42"/>
      <c r="Z53" s="179">
        <f>ROUND(SUM(Z47:Z52),1)</f>
        <v>0</v>
      </c>
      <c r="AA53" s="112"/>
      <c r="AB53" s="180"/>
      <c r="AC53" s="1244">
        <f>ROUND(SUM(AC47:AC52),1)</f>
        <v>1067</v>
      </c>
      <c r="AD53" s="42"/>
      <c r="AE53" s="44"/>
      <c r="AF53" s="179">
        <f>ROUND(SUM(AF47:AF52),1)</f>
        <v>1076.9000000000001</v>
      </c>
      <c r="AG53" s="42"/>
      <c r="AH53" s="1444"/>
      <c r="AI53" s="179">
        <f>ROUND(SUM(AI47:AI52),1)</f>
        <v>-9.9</v>
      </c>
      <c r="AJ53" s="42"/>
      <c r="AK53" s="747">
        <f>ROUND(SUM(+AI53/AF53),3)</f>
        <v>-8.9999999999999993E-3</v>
      </c>
      <c r="AL53" s="138"/>
      <c r="AM53" s="138"/>
      <c r="AO53" s="138"/>
    </row>
    <row r="54" spans="1:41" s="145" customFormat="1" ht="15" customHeight="1">
      <c r="A54" s="748"/>
      <c r="B54" s="218"/>
      <c r="C54" s="139"/>
      <c r="D54" s="42"/>
      <c r="E54" s="42"/>
      <c r="F54" s="42"/>
      <c r="G54" s="42"/>
      <c r="H54" s="42"/>
      <c r="I54" s="42"/>
      <c r="J54" s="42"/>
      <c r="K54" s="42"/>
      <c r="L54" s="42"/>
      <c r="M54" s="42"/>
      <c r="N54" s="42"/>
      <c r="O54" s="42"/>
      <c r="P54" s="42"/>
      <c r="Q54" s="42"/>
      <c r="R54" s="42"/>
      <c r="S54" s="42"/>
      <c r="T54" s="42"/>
      <c r="U54" s="42"/>
      <c r="V54" s="42"/>
      <c r="W54" s="42"/>
      <c r="X54" s="42"/>
      <c r="Y54" s="42"/>
      <c r="Z54" s="42"/>
      <c r="AA54" s="112"/>
      <c r="AB54" s="180"/>
      <c r="AC54" s="42"/>
      <c r="AD54" s="42"/>
      <c r="AE54" s="44"/>
      <c r="AF54" s="42"/>
      <c r="AG54" s="42"/>
      <c r="AH54" s="1444"/>
      <c r="AI54" s="42"/>
      <c r="AJ54" s="42"/>
      <c r="AK54" s="190"/>
      <c r="AL54" s="138"/>
      <c r="AM54" s="138"/>
      <c r="AO54" s="138"/>
    </row>
    <row r="55" spans="1:41" ht="15" customHeight="1">
      <c r="A55" s="100"/>
      <c r="B55" s="218" t="s">
        <v>975</v>
      </c>
      <c r="C55" s="20"/>
      <c r="D55" s="1445">
        <f>ROUND(SUM(D26+D37+D45+D53),1)</f>
        <v>5743.8</v>
      </c>
      <c r="E55" s="467"/>
      <c r="F55" s="1445">
        <f>ROUND(SUM(F26+F37+F45+F53),1)</f>
        <v>2395</v>
      </c>
      <c r="G55" s="467"/>
      <c r="H55" s="1445">
        <f>ROUND(SUM(H26+H37+H45+H53),1)</f>
        <v>6591.5</v>
      </c>
      <c r="I55" s="467"/>
      <c r="J55" s="1445">
        <f>ROUND(SUM(J26+J37+J45+J53),1)</f>
        <v>2771.9</v>
      </c>
      <c r="K55" s="36"/>
      <c r="L55" s="1228">
        <f>ROUND(SUM(L26+L37+L45+L53),1)</f>
        <v>2936.8</v>
      </c>
      <c r="M55" s="36"/>
      <c r="N55" s="1228">
        <f>ROUND(SUM(N26+N37+N45+N53),1)</f>
        <v>6696.5</v>
      </c>
      <c r="O55" s="36"/>
      <c r="P55" s="1228">
        <f>ROUND(SUM(P26+P37+P45+P53),1)</f>
        <v>0</v>
      </c>
      <c r="Q55" s="36"/>
      <c r="R55" s="1228">
        <f>ROUND(SUM(R26+R37+R45+R53),1)</f>
        <v>0</v>
      </c>
      <c r="S55" s="1240"/>
      <c r="T55" s="1228">
        <f t="shared" ref="T55" si="20">ROUND(SUM(T26+T37+T45+T53),1)</f>
        <v>0</v>
      </c>
      <c r="U55" s="36"/>
      <c r="V55" s="1228">
        <f>ROUND(SUM(V26+V37+V45+V53),1)</f>
        <v>0</v>
      </c>
      <c r="W55" s="36"/>
      <c r="X55" s="1228">
        <f>ROUND(SUM(X26+X37+X45+X53),1)</f>
        <v>0</v>
      </c>
      <c r="Y55" s="36"/>
      <c r="Z55" s="1228">
        <f>ROUND(SUM(Z26+Z37+Z45+Z53),1)</f>
        <v>0</v>
      </c>
      <c r="AA55" s="39"/>
      <c r="AB55" s="30"/>
      <c r="AC55" s="1750">
        <f>ROUND(SUM(AC26+AC37+AC45+AC53),1)</f>
        <v>27135.5</v>
      </c>
      <c r="AD55" s="36"/>
      <c r="AE55" s="37"/>
      <c r="AF55" s="1228">
        <f>ROUND(SUM(AF26+AF37+AF45+AF53),1)</f>
        <v>28312</v>
      </c>
      <c r="AG55" s="36"/>
      <c r="AH55" s="1443"/>
      <c r="AI55" s="1228">
        <f>ROUND(SUM(AI26+AI37+AI45+AI53),1)</f>
        <v>-1176.5</v>
      </c>
      <c r="AJ55" s="467"/>
      <c r="AK55" s="211">
        <f>ROUND(SUM(+AI55/AF55),3)</f>
        <v>-4.2000000000000003E-2</v>
      </c>
    </row>
    <row r="56" spans="1:41" ht="8.25" customHeight="1">
      <c r="A56" s="100"/>
      <c r="B56" s="499"/>
      <c r="C56" s="20"/>
      <c r="D56" s="467"/>
      <c r="E56" s="467"/>
      <c r="F56" s="467"/>
      <c r="G56" s="467"/>
      <c r="H56" s="467"/>
      <c r="I56" s="467"/>
      <c r="J56" s="467"/>
      <c r="K56" s="36"/>
      <c r="L56" s="36"/>
      <c r="M56" s="36"/>
      <c r="N56" s="36"/>
      <c r="O56" s="36"/>
      <c r="P56" s="36"/>
      <c r="Q56" s="36"/>
      <c r="R56" s="36"/>
      <c r="S56" s="36"/>
      <c r="T56" s="36"/>
      <c r="U56" s="36"/>
      <c r="V56" s="36"/>
      <c r="W56" s="36"/>
      <c r="X56" s="36"/>
      <c r="Y56" s="36"/>
      <c r="Z56" s="36"/>
      <c r="AA56" s="39"/>
      <c r="AB56" s="30"/>
      <c r="AC56" s="467"/>
      <c r="AD56" s="36"/>
      <c r="AE56" s="37"/>
      <c r="AF56" s="36"/>
      <c r="AG56" s="36"/>
      <c r="AH56" s="1443"/>
      <c r="AI56" s="467"/>
      <c r="AJ56" s="467"/>
      <c r="AK56" s="488"/>
    </row>
    <row r="57" spans="1:41" ht="15" customHeight="1">
      <c r="A57" s="100"/>
      <c r="B57" s="118" t="s">
        <v>886</v>
      </c>
      <c r="C57" s="646"/>
      <c r="D57" s="467"/>
      <c r="E57" s="1446"/>
      <c r="F57" s="467"/>
      <c r="G57" s="1446"/>
      <c r="H57" s="467"/>
      <c r="I57" s="467"/>
      <c r="J57" s="467"/>
      <c r="K57" s="36"/>
      <c r="L57" s="36"/>
      <c r="M57" s="36"/>
      <c r="N57" s="36"/>
      <c r="O57" s="36"/>
      <c r="P57" s="36"/>
      <c r="Q57" s="36"/>
      <c r="R57" s="36"/>
      <c r="S57" s="36"/>
      <c r="T57" s="36"/>
      <c r="U57" s="36"/>
      <c r="V57" s="36"/>
      <c r="W57" s="36"/>
      <c r="X57" s="36"/>
      <c r="Y57" s="36"/>
      <c r="Z57" s="36"/>
      <c r="AA57" s="39"/>
      <c r="AB57" s="30"/>
      <c r="AC57" s="467"/>
      <c r="AD57" s="36"/>
      <c r="AE57" s="37"/>
      <c r="AF57" s="36"/>
      <c r="AG57" s="36"/>
      <c r="AH57" s="1443"/>
      <c r="AI57" s="467"/>
      <c r="AJ57" s="467"/>
      <c r="AK57" s="488"/>
    </row>
    <row r="58" spans="1:41" ht="15" customHeight="1">
      <c r="A58" s="100"/>
      <c r="B58" s="594" t="s">
        <v>1000</v>
      </c>
      <c r="C58" s="646"/>
      <c r="D58" s="467"/>
      <c r="E58" s="1446"/>
      <c r="F58" s="467"/>
      <c r="G58" s="1446"/>
      <c r="H58" s="467"/>
      <c r="I58" s="467"/>
      <c r="J58" s="467"/>
      <c r="K58" s="36"/>
      <c r="L58" s="36"/>
      <c r="M58" s="36"/>
      <c r="N58" s="36"/>
      <c r="O58" s="36"/>
      <c r="P58" s="36"/>
      <c r="Q58" s="36"/>
      <c r="R58" s="36"/>
      <c r="S58" s="36"/>
      <c r="T58" s="36"/>
      <c r="U58" s="36"/>
      <c r="V58" s="36"/>
      <c r="W58" s="36"/>
      <c r="X58" s="36"/>
      <c r="Y58" s="36"/>
      <c r="Z58" s="36"/>
      <c r="AA58" s="39"/>
      <c r="AB58" s="1241"/>
      <c r="AC58" s="467"/>
      <c r="AD58" s="36"/>
      <c r="AE58" s="37"/>
      <c r="AF58" s="467"/>
      <c r="AG58" s="36"/>
      <c r="AH58" s="1443"/>
      <c r="AI58" s="467"/>
      <c r="AJ58" s="467"/>
      <c r="AK58" s="488"/>
    </row>
    <row r="59" spans="1:41" ht="15" customHeight="1">
      <c r="A59" s="100"/>
      <c r="B59" s="594" t="s">
        <v>884</v>
      </c>
      <c r="C59" s="594"/>
      <c r="D59" s="912">
        <v>0.5</v>
      </c>
      <c r="E59" s="912"/>
      <c r="F59" s="912">
        <v>9.9999999999999978E-2</v>
      </c>
      <c r="G59" s="912"/>
      <c r="H59" s="912">
        <v>-9.9999999999999978E-2</v>
      </c>
      <c r="I59" s="467"/>
      <c r="J59" s="912">
        <v>9.9999999999999978E-2</v>
      </c>
      <c r="K59" s="1004"/>
      <c r="L59" s="912">
        <v>9.9</v>
      </c>
      <c r="M59" s="1004"/>
      <c r="N59" s="912">
        <f t="shared" ref="N59:N95" si="21">$AC59-$D59-$F59-$H59-$J59-$L59</f>
        <v>100</v>
      </c>
      <c r="O59" s="1004"/>
      <c r="P59" s="912"/>
      <c r="Q59" s="1004"/>
      <c r="R59" s="912"/>
      <c r="S59" s="1004"/>
      <c r="T59" s="912"/>
      <c r="U59" s="1004"/>
      <c r="V59" s="912"/>
      <c r="W59" s="1004"/>
      <c r="X59" s="912"/>
      <c r="Y59" s="1004"/>
      <c r="Z59" s="912"/>
      <c r="AA59" s="496"/>
      <c r="AB59" s="933"/>
      <c r="AC59" s="912">
        <v>110.5</v>
      </c>
      <c r="AD59" s="467"/>
      <c r="AE59" s="933" t="s">
        <v>14</v>
      </c>
      <c r="AF59" s="912">
        <v>110.9</v>
      </c>
      <c r="AG59" s="493"/>
      <c r="AH59" s="1447"/>
      <c r="AI59" s="467">
        <f>ROUND(SUM(+AC59-AF59),1)</f>
        <v>-0.4</v>
      </c>
      <c r="AJ59" s="467"/>
      <c r="AK59" s="469">
        <f>ROUND(IF(AF59=0,1,AI59/ABS(AF59)),3)</f>
        <v>-4.0000000000000001E-3</v>
      </c>
    </row>
    <row r="60" spans="1:41" ht="15" customHeight="1">
      <c r="A60" s="100"/>
      <c r="B60" s="594" t="s">
        <v>885</v>
      </c>
      <c r="C60" s="594"/>
      <c r="D60" s="912">
        <v>0.4</v>
      </c>
      <c r="E60" s="912"/>
      <c r="F60" s="912">
        <v>4</v>
      </c>
      <c r="G60" s="912"/>
      <c r="H60" s="912">
        <v>11.799999999999999</v>
      </c>
      <c r="I60" s="467"/>
      <c r="J60" s="912">
        <v>0.90000000000000391</v>
      </c>
      <c r="K60" s="1004"/>
      <c r="L60" s="912">
        <v>9.9999999999997868E-2</v>
      </c>
      <c r="M60" s="1004"/>
      <c r="N60" s="912">
        <f t="shared" si="21"/>
        <v>39.900000000000006</v>
      </c>
      <c r="O60" s="1004"/>
      <c r="P60" s="912"/>
      <c r="Q60" s="1004"/>
      <c r="R60" s="912"/>
      <c r="S60" s="1004"/>
      <c r="T60" s="912"/>
      <c r="U60" s="1004"/>
      <c r="V60" s="912"/>
      <c r="W60" s="1004"/>
      <c r="X60" s="912"/>
      <c r="Y60" s="1004"/>
      <c r="Z60" s="912"/>
      <c r="AA60" s="496"/>
      <c r="AB60" s="933"/>
      <c r="AC60" s="912">
        <v>57.1</v>
      </c>
      <c r="AD60" s="467"/>
      <c r="AE60" s="933" t="s">
        <v>14</v>
      </c>
      <c r="AF60" s="912">
        <v>47.4</v>
      </c>
      <c r="AG60" s="36"/>
      <c r="AH60" s="1443"/>
      <c r="AI60" s="467">
        <f>ROUND(SUM(+AC60-AF60),1)</f>
        <v>9.6999999999999993</v>
      </c>
      <c r="AJ60" s="467"/>
      <c r="AK60" s="971">
        <f>ROUND(IF(AF60=0,0,AI60/ABS(AF60)),3)</f>
        <v>0.20499999999999999</v>
      </c>
    </row>
    <row r="61" spans="1:41" ht="15" customHeight="1">
      <c r="A61" s="100"/>
      <c r="B61" s="594" t="s">
        <v>1001</v>
      </c>
      <c r="C61" s="594"/>
      <c r="D61" s="912" t="s">
        <v>14</v>
      </c>
      <c r="E61" s="912"/>
      <c r="F61" s="912"/>
      <c r="G61" s="912"/>
      <c r="H61" s="912"/>
      <c r="I61" s="467"/>
      <c r="J61" s="912"/>
      <c r="K61" s="36"/>
      <c r="L61" s="912"/>
      <c r="M61" s="36"/>
      <c r="N61" s="912"/>
      <c r="O61" s="36"/>
      <c r="P61" s="912"/>
      <c r="Q61" s="36"/>
      <c r="R61" s="912"/>
      <c r="S61" s="36"/>
      <c r="T61" s="912"/>
      <c r="U61" s="36"/>
      <c r="V61" s="912"/>
      <c r="W61" s="36"/>
      <c r="X61" s="912"/>
      <c r="Y61" s="36"/>
      <c r="Z61" s="912"/>
      <c r="AA61" s="39"/>
      <c r="AB61" s="1241"/>
      <c r="AC61" s="1432"/>
      <c r="AD61" s="36"/>
      <c r="AE61" s="750"/>
      <c r="AF61" s="1432"/>
      <c r="AG61" s="36"/>
      <c r="AH61" s="1443"/>
      <c r="AI61" s="467"/>
      <c r="AJ61" s="467"/>
      <c r="AK61" s="488"/>
    </row>
    <row r="62" spans="1:41" ht="15" customHeight="1">
      <c r="A62" s="100"/>
      <c r="B62" s="594" t="s">
        <v>889</v>
      </c>
      <c r="C62" s="594"/>
      <c r="D62" s="912">
        <v>0</v>
      </c>
      <c r="E62" s="912"/>
      <c r="F62" s="912">
        <v>0</v>
      </c>
      <c r="G62" s="912"/>
      <c r="H62" s="912">
        <v>0</v>
      </c>
      <c r="I62" s="467"/>
      <c r="J62" s="912">
        <v>0</v>
      </c>
      <c r="K62" s="1004"/>
      <c r="L62" s="912">
        <v>0</v>
      </c>
      <c r="M62" s="1004"/>
      <c r="N62" s="912">
        <f t="shared" si="21"/>
        <v>0</v>
      </c>
      <c r="O62" s="1004"/>
      <c r="P62" s="912"/>
      <c r="Q62" s="1004"/>
      <c r="R62" s="912"/>
      <c r="S62" s="1004"/>
      <c r="T62" s="912"/>
      <c r="U62" s="1004"/>
      <c r="V62" s="912"/>
      <c r="W62" s="1004"/>
      <c r="X62" s="912"/>
      <c r="Y62" s="1004"/>
      <c r="Z62" s="912"/>
      <c r="AA62" s="496"/>
      <c r="AB62" s="933"/>
      <c r="AC62" s="912">
        <v>0</v>
      </c>
      <c r="AD62" s="467"/>
      <c r="AE62" s="933" t="s">
        <v>14</v>
      </c>
      <c r="AF62" s="912">
        <v>0</v>
      </c>
      <c r="AG62" s="493"/>
      <c r="AH62" s="1447"/>
      <c r="AI62" s="467">
        <f>ROUND(SUM(+AC62-AF62),1)</f>
        <v>0</v>
      </c>
      <c r="AJ62" s="467"/>
      <c r="AK62" s="469">
        <f>ROUND(IF(AF62=0,0,AI62/ABS(AF62)),3)</f>
        <v>0</v>
      </c>
    </row>
    <row r="63" spans="1:41" ht="15" customHeight="1">
      <c r="A63" s="100"/>
      <c r="B63" s="594" t="s">
        <v>890</v>
      </c>
      <c r="C63" s="594"/>
      <c r="D63" s="912">
        <v>2</v>
      </c>
      <c r="E63" s="912"/>
      <c r="F63" s="912">
        <v>1.7000000000000002</v>
      </c>
      <c r="G63" s="912"/>
      <c r="H63" s="912">
        <v>1.7999999999999998</v>
      </c>
      <c r="I63" s="467"/>
      <c r="J63" s="912">
        <v>3.5</v>
      </c>
      <c r="K63" s="1004"/>
      <c r="L63" s="912">
        <v>3.8000000000000016</v>
      </c>
      <c r="M63" s="1004"/>
      <c r="N63" s="912">
        <f t="shared" si="21"/>
        <v>6.8999999999999977</v>
      </c>
      <c r="O63" s="1004"/>
      <c r="P63" s="912"/>
      <c r="Q63" s="1004"/>
      <c r="R63" s="912"/>
      <c r="S63" s="1004"/>
      <c r="T63" s="912"/>
      <c r="U63" s="1004"/>
      <c r="V63" s="912"/>
      <c r="W63" s="1004"/>
      <c r="X63" s="912"/>
      <c r="Y63" s="1004"/>
      <c r="Z63" s="912"/>
      <c r="AA63" s="496"/>
      <c r="AB63" s="933"/>
      <c r="AC63" s="912">
        <v>19.7</v>
      </c>
      <c r="AD63" s="467"/>
      <c r="AE63" s="933" t="s">
        <v>14</v>
      </c>
      <c r="AF63" s="912">
        <v>18.7</v>
      </c>
      <c r="AG63" s="493"/>
      <c r="AH63" s="1447"/>
      <c r="AI63" s="467">
        <f>ROUND(SUM(+AC63-AF63),1)</f>
        <v>1</v>
      </c>
      <c r="AJ63" s="467"/>
      <c r="AK63" s="469">
        <f>ROUND(IF(AF63=0,1,AI63/ABS(AF63)),3)</f>
        <v>5.2999999999999999E-2</v>
      </c>
    </row>
    <row r="64" spans="1:41" ht="15" customHeight="1">
      <c r="A64" s="100"/>
      <c r="B64" s="594" t="s">
        <v>891</v>
      </c>
      <c r="C64" s="594"/>
      <c r="D64" s="912">
        <v>0</v>
      </c>
      <c r="E64" s="912"/>
      <c r="F64" s="912">
        <v>0</v>
      </c>
      <c r="G64" s="912"/>
      <c r="H64" s="912">
        <v>0</v>
      </c>
      <c r="I64" s="467"/>
      <c r="J64" s="912">
        <v>0</v>
      </c>
      <c r="K64" s="1004"/>
      <c r="L64" s="912">
        <v>0</v>
      </c>
      <c r="M64" s="1004"/>
      <c r="N64" s="912">
        <f t="shared" si="21"/>
        <v>0</v>
      </c>
      <c r="O64" s="1004"/>
      <c r="P64" s="912"/>
      <c r="Q64" s="1004"/>
      <c r="R64" s="912"/>
      <c r="S64" s="1004"/>
      <c r="T64" s="912"/>
      <c r="U64" s="1004"/>
      <c r="V64" s="912"/>
      <c r="W64" s="1004"/>
      <c r="X64" s="912"/>
      <c r="Y64" s="1004"/>
      <c r="Z64" s="912"/>
      <c r="AA64" s="496"/>
      <c r="AB64" s="933"/>
      <c r="AC64" s="912">
        <v>0</v>
      </c>
      <c r="AD64" s="467"/>
      <c r="AE64" s="933" t="s">
        <v>14</v>
      </c>
      <c r="AF64" s="912">
        <v>0</v>
      </c>
      <c r="AG64" s="493"/>
      <c r="AH64" s="1447"/>
      <c r="AI64" s="467">
        <f>ROUND(SUM(+AC64-AF64),1)</f>
        <v>0</v>
      </c>
      <c r="AJ64" s="467"/>
      <c r="AK64" s="469">
        <f>ROUND(IF(AF64=0,0,AI64/ABS(AF64)),3)</f>
        <v>0</v>
      </c>
    </row>
    <row r="65" spans="1:39" ht="15">
      <c r="A65" s="100"/>
      <c r="B65" s="594" t="s">
        <v>892</v>
      </c>
      <c r="C65" s="594"/>
      <c r="D65" s="912">
        <v>0</v>
      </c>
      <c r="E65" s="912"/>
      <c r="F65" s="912">
        <v>0.1</v>
      </c>
      <c r="G65" s="912"/>
      <c r="H65" s="912">
        <v>0</v>
      </c>
      <c r="I65" s="467"/>
      <c r="J65" s="912">
        <v>0</v>
      </c>
      <c r="K65" s="1004"/>
      <c r="L65" s="912">
        <v>0.1</v>
      </c>
      <c r="M65" s="1004"/>
      <c r="N65" s="912">
        <f t="shared" si="21"/>
        <v>0</v>
      </c>
      <c r="O65" s="1004"/>
      <c r="P65" s="912"/>
      <c r="Q65" s="1004"/>
      <c r="R65" s="912"/>
      <c r="S65" s="1004"/>
      <c r="T65" s="912"/>
      <c r="U65" s="1004"/>
      <c r="V65" s="912"/>
      <c r="W65" s="1004"/>
      <c r="X65" s="912"/>
      <c r="Y65" s="1004"/>
      <c r="Z65" s="912"/>
      <c r="AA65" s="496"/>
      <c r="AB65" s="933"/>
      <c r="AC65" s="912">
        <v>0.2</v>
      </c>
      <c r="AD65" s="467"/>
      <c r="AE65" s="933" t="s">
        <v>14</v>
      </c>
      <c r="AF65" s="912">
        <v>0.3</v>
      </c>
      <c r="AG65" s="493"/>
      <c r="AH65" s="1447"/>
      <c r="AI65" s="467">
        <f>ROUND(SUM(+AC65-AF65),1)</f>
        <v>-0.1</v>
      </c>
      <c r="AJ65" s="467"/>
      <c r="AK65" s="971">
        <f>ROUND(IF(AF65=0,1,AI65/ABS(AF65)),3)</f>
        <v>-0.33300000000000002</v>
      </c>
    </row>
    <row r="66" spans="1:39" ht="15" customHeight="1">
      <c r="A66" s="100"/>
      <c r="B66" s="594" t="s">
        <v>1005</v>
      </c>
      <c r="C66" s="594"/>
      <c r="D66" s="912" t="s">
        <v>14</v>
      </c>
      <c r="E66" s="912"/>
      <c r="F66" s="912"/>
      <c r="G66" s="912"/>
      <c r="H66" s="912"/>
      <c r="I66" s="467"/>
      <c r="J66" s="912"/>
      <c r="K66" s="36"/>
      <c r="L66" s="912"/>
      <c r="M66" s="36"/>
      <c r="N66" s="912"/>
      <c r="O66" s="36"/>
      <c r="P66" s="912"/>
      <c r="Q66" s="36"/>
      <c r="R66" s="912"/>
      <c r="S66" s="36"/>
      <c r="T66" s="912"/>
      <c r="U66" s="36"/>
      <c r="V66" s="912"/>
      <c r="W66" s="36"/>
      <c r="X66" s="912"/>
      <c r="Y66" s="36"/>
      <c r="Z66" s="912"/>
      <c r="AA66" s="39"/>
      <c r="AB66" s="1241"/>
      <c r="AC66" s="1432"/>
      <c r="AD66" s="36"/>
      <c r="AE66" s="750"/>
      <c r="AF66" s="1432"/>
      <c r="AG66" s="36"/>
      <c r="AH66" s="1443"/>
      <c r="AI66" s="467"/>
      <c r="AJ66" s="467"/>
      <c r="AK66" s="488"/>
    </row>
    <row r="67" spans="1:39" ht="15" customHeight="1">
      <c r="A67" s="100"/>
      <c r="B67" s="594" t="s">
        <v>893</v>
      </c>
      <c r="C67" s="594"/>
      <c r="D67" s="912">
        <v>5.9</v>
      </c>
      <c r="E67" s="912"/>
      <c r="F67" s="912">
        <v>6.6999999999999993</v>
      </c>
      <c r="G67" s="912"/>
      <c r="H67" s="912">
        <v>5.2000000000000011</v>
      </c>
      <c r="I67" s="467"/>
      <c r="J67" s="912">
        <v>4.8999999999999968</v>
      </c>
      <c r="K67" s="1004"/>
      <c r="L67" s="912">
        <v>6.1000000000000014</v>
      </c>
      <c r="M67" s="1004"/>
      <c r="N67" s="912">
        <f t="shared" si="21"/>
        <v>4.7000000000000028</v>
      </c>
      <c r="O67" s="1004"/>
      <c r="P67" s="912"/>
      <c r="Q67" s="1004"/>
      <c r="R67" s="912"/>
      <c r="S67" s="1004"/>
      <c r="T67" s="912"/>
      <c r="U67" s="1004"/>
      <c r="V67" s="912"/>
      <c r="W67" s="1004"/>
      <c r="X67" s="912"/>
      <c r="Y67" s="1004"/>
      <c r="Z67" s="912"/>
      <c r="AA67" s="496"/>
      <c r="AB67" s="933"/>
      <c r="AC67" s="912">
        <v>33.5</v>
      </c>
      <c r="AD67" s="467"/>
      <c r="AE67" s="933" t="s">
        <v>14</v>
      </c>
      <c r="AF67" s="912">
        <v>34.200000000000003</v>
      </c>
      <c r="AG67" s="36"/>
      <c r="AH67" s="1443"/>
      <c r="AI67" s="467">
        <f t="shared" ref="AI67:AI74" si="22">ROUND(SUM(+AC67-AF67),1)</f>
        <v>-0.7</v>
      </c>
      <c r="AJ67" s="467"/>
      <c r="AK67" s="469">
        <f>ROUND(IF(AF67=0,0,AI67/ABS(AF67)),3)</f>
        <v>-0.02</v>
      </c>
    </row>
    <row r="68" spans="1:39" ht="15" customHeight="1">
      <c r="A68" s="100"/>
      <c r="B68" s="594" t="s">
        <v>1088</v>
      </c>
      <c r="C68" s="594"/>
      <c r="D68" s="912">
        <v>0</v>
      </c>
      <c r="E68" s="912"/>
      <c r="F68" s="912">
        <v>0</v>
      </c>
      <c r="G68" s="912"/>
      <c r="H68" s="912">
        <v>0</v>
      </c>
      <c r="I68" s="467"/>
      <c r="J68" s="912">
        <v>0</v>
      </c>
      <c r="K68" s="1004"/>
      <c r="L68" s="912">
        <v>0</v>
      </c>
      <c r="M68" s="1004"/>
      <c r="N68" s="912">
        <f t="shared" si="21"/>
        <v>0</v>
      </c>
      <c r="O68" s="1004"/>
      <c r="P68" s="912"/>
      <c r="Q68" s="1004"/>
      <c r="R68" s="912"/>
      <c r="S68" s="1004"/>
      <c r="T68" s="912"/>
      <c r="U68" s="1004"/>
      <c r="V68" s="912"/>
      <c r="W68" s="1004"/>
      <c r="X68" s="912"/>
      <c r="Y68" s="1004"/>
      <c r="Z68" s="912"/>
      <c r="AA68" s="496"/>
      <c r="AB68" s="717"/>
      <c r="AC68" s="912">
        <v>0</v>
      </c>
      <c r="AD68" s="467"/>
      <c r="AE68" s="717" t="s">
        <v>14</v>
      </c>
      <c r="AF68" s="912">
        <v>0</v>
      </c>
      <c r="AG68" s="36"/>
      <c r="AH68" s="1443"/>
      <c r="AI68" s="467">
        <f t="shared" si="22"/>
        <v>0</v>
      </c>
      <c r="AJ68" s="467"/>
      <c r="AK68" s="469">
        <f>ROUND(IF(AF68=0,0,AI68/ABS(AF68)),3)</f>
        <v>0</v>
      </c>
    </row>
    <row r="69" spans="1:39" ht="15" customHeight="1">
      <c r="A69" s="100"/>
      <c r="B69" s="594" t="s">
        <v>894</v>
      </c>
      <c r="C69" s="594"/>
      <c r="D69" s="912">
        <v>12.2</v>
      </c>
      <c r="E69" s="912"/>
      <c r="F69" s="912">
        <v>20.500000000000004</v>
      </c>
      <c r="G69" s="912"/>
      <c r="H69" s="912">
        <v>39.5</v>
      </c>
      <c r="I69" s="467"/>
      <c r="J69" s="912">
        <v>11</v>
      </c>
      <c r="K69" s="1004"/>
      <c r="L69" s="912">
        <v>11.799999999999997</v>
      </c>
      <c r="M69" s="1004"/>
      <c r="N69" s="912">
        <f t="shared" si="21"/>
        <v>27.799999999999997</v>
      </c>
      <c r="O69" s="1004"/>
      <c r="P69" s="912"/>
      <c r="Q69" s="1004"/>
      <c r="R69" s="912"/>
      <c r="S69" s="1004"/>
      <c r="T69" s="912"/>
      <c r="U69" s="1004"/>
      <c r="V69" s="912"/>
      <c r="W69" s="1004"/>
      <c r="X69" s="912"/>
      <c r="Y69" s="1004"/>
      <c r="Z69" s="912"/>
      <c r="AA69" s="496"/>
      <c r="AB69" s="933"/>
      <c r="AC69" s="912">
        <v>122.8</v>
      </c>
      <c r="AD69" s="467"/>
      <c r="AE69" s="933" t="s">
        <v>14</v>
      </c>
      <c r="AF69" s="912">
        <v>123.4</v>
      </c>
      <c r="AG69" s="493"/>
      <c r="AH69" s="1447"/>
      <c r="AI69" s="467">
        <f t="shared" si="22"/>
        <v>-0.6</v>
      </c>
      <c r="AJ69" s="467"/>
      <c r="AK69" s="469">
        <f>ROUND(IF(AF69=0,0,AI69/ABS(AF69)),3)</f>
        <v>-5.0000000000000001E-3</v>
      </c>
    </row>
    <row r="70" spans="1:39" ht="15" customHeight="1">
      <c r="A70" s="100"/>
      <c r="B70" s="594" t="s">
        <v>895</v>
      </c>
      <c r="C70" s="594"/>
      <c r="D70" s="912">
        <v>18.7</v>
      </c>
      <c r="E70" s="912"/>
      <c r="F70" s="912">
        <v>7.1999999999999993</v>
      </c>
      <c r="G70" s="912"/>
      <c r="H70" s="912">
        <v>7.2000000000000028</v>
      </c>
      <c r="I70" s="467"/>
      <c r="J70" s="912">
        <v>21.8</v>
      </c>
      <c r="K70" s="1004"/>
      <c r="L70" s="912">
        <v>34.5</v>
      </c>
      <c r="M70" s="1004"/>
      <c r="N70" s="912">
        <f t="shared" si="21"/>
        <v>23.299999999999997</v>
      </c>
      <c r="O70" s="1004"/>
      <c r="P70" s="912"/>
      <c r="Q70" s="1004"/>
      <c r="R70" s="912"/>
      <c r="S70" s="1004"/>
      <c r="T70" s="912"/>
      <c r="U70" s="1004"/>
      <c r="V70" s="912"/>
      <c r="W70" s="1004"/>
      <c r="X70" s="912"/>
      <c r="Y70" s="1004"/>
      <c r="Z70" s="912"/>
      <c r="AA70" s="496"/>
      <c r="AB70" s="933"/>
      <c r="AC70" s="912">
        <v>112.7</v>
      </c>
      <c r="AD70" s="467"/>
      <c r="AE70" s="933" t="s">
        <v>14</v>
      </c>
      <c r="AF70" s="912">
        <v>90.8</v>
      </c>
      <c r="AG70" s="493"/>
      <c r="AH70" s="1447"/>
      <c r="AI70" s="467">
        <f t="shared" si="22"/>
        <v>21.9</v>
      </c>
      <c r="AJ70" s="467"/>
      <c r="AK70" s="971">
        <f>ROUND(IF(AF70=0,0,AI70/ABS(AF70)),3)</f>
        <v>0.24099999999999999</v>
      </c>
    </row>
    <row r="71" spans="1:39" ht="15" customHeight="1">
      <c r="A71" s="100"/>
      <c r="B71" s="594" t="s">
        <v>896</v>
      </c>
      <c r="C71" s="594"/>
      <c r="D71" s="912">
        <v>0.1</v>
      </c>
      <c r="E71" s="912"/>
      <c r="F71" s="912">
        <v>0</v>
      </c>
      <c r="G71" s="912"/>
      <c r="H71" s="912">
        <v>0.1</v>
      </c>
      <c r="I71" s="467"/>
      <c r="J71" s="912">
        <v>9.9999999999999978E-2</v>
      </c>
      <c r="K71" s="1004"/>
      <c r="L71" s="912">
        <v>0.20000000000000007</v>
      </c>
      <c r="M71" s="1004"/>
      <c r="N71" s="912">
        <f t="shared" si="21"/>
        <v>9.9999999999999978E-2</v>
      </c>
      <c r="O71" s="1004"/>
      <c r="P71" s="912"/>
      <c r="Q71" s="1004"/>
      <c r="R71" s="912"/>
      <c r="S71" s="1004"/>
      <c r="T71" s="912"/>
      <c r="U71" s="1004"/>
      <c r="V71" s="912"/>
      <c r="W71" s="1004"/>
      <c r="X71" s="912"/>
      <c r="Y71" s="1004"/>
      <c r="Z71" s="912"/>
      <c r="AA71" s="496"/>
      <c r="AB71" s="933"/>
      <c r="AC71" s="912">
        <v>0.6</v>
      </c>
      <c r="AD71" s="467"/>
      <c r="AE71" s="933" t="s">
        <v>14</v>
      </c>
      <c r="AF71" s="912">
        <v>0.7</v>
      </c>
      <c r="AG71" s="493"/>
      <c r="AH71" s="1447"/>
      <c r="AI71" s="467">
        <f t="shared" si="22"/>
        <v>-0.1</v>
      </c>
      <c r="AJ71" s="467"/>
      <c r="AK71" s="971">
        <f>ROUND(IF(AF71=0,1,AI71/ABS(AF71)),3)</f>
        <v>-0.14299999999999999</v>
      </c>
    </row>
    <row r="72" spans="1:39" ht="15" customHeight="1">
      <c r="A72" s="100"/>
      <c r="B72" s="594" t="s">
        <v>897</v>
      </c>
      <c r="C72" s="594"/>
      <c r="D72" s="912">
        <v>12.8</v>
      </c>
      <c r="E72" s="912"/>
      <c r="F72" s="912">
        <v>43.8</v>
      </c>
      <c r="G72" s="912"/>
      <c r="H72" s="912">
        <v>11</v>
      </c>
      <c r="I72" s="467"/>
      <c r="J72" s="912">
        <v>15.700000000000003</v>
      </c>
      <c r="K72" s="1004"/>
      <c r="L72" s="912">
        <v>35.5</v>
      </c>
      <c r="M72" s="1004"/>
      <c r="N72" s="912">
        <f t="shared" si="21"/>
        <v>-6.2999999999999972</v>
      </c>
      <c r="O72" s="1004"/>
      <c r="P72" s="912"/>
      <c r="Q72" s="1004"/>
      <c r="R72" s="912"/>
      <c r="S72" s="1004"/>
      <c r="T72" s="912"/>
      <c r="U72" s="1004"/>
      <c r="V72" s="912"/>
      <c r="W72" s="1004"/>
      <c r="X72" s="912"/>
      <c r="Y72" s="1004"/>
      <c r="Z72" s="912"/>
      <c r="AA72" s="496"/>
      <c r="AB72" s="933"/>
      <c r="AC72" s="912">
        <v>112.5</v>
      </c>
      <c r="AD72" s="467"/>
      <c r="AE72" s="933" t="s">
        <v>14</v>
      </c>
      <c r="AF72" s="912">
        <v>141.30000000000001</v>
      </c>
      <c r="AG72" s="493"/>
      <c r="AH72" s="1447"/>
      <c r="AI72" s="467">
        <f t="shared" si="22"/>
        <v>-28.8</v>
      </c>
      <c r="AJ72" s="467"/>
      <c r="AK72" s="971">
        <f>ROUND(IF(AF72=0,1,AI72/ABS(AF72)),3)</f>
        <v>-0.20399999999999999</v>
      </c>
    </row>
    <row r="73" spans="1:39" ht="15" customHeight="1">
      <c r="A73" s="100"/>
      <c r="B73" s="594" t="s">
        <v>898</v>
      </c>
      <c r="C73" s="594"/>
      <c r="D73" s="912">
        <v>1.7</v>
      </c>
      <c r="E73" s="912"/>
      <c r="F73" s="912">
        <v>0.60000000000000031</v>
      </c>
      <c r="G73" s="912"/>
      <c r="H73" s="912">
        <v>1.1999999999999997</v>
      </c>
      <c r="I73" s="467"/>
      <c r="J73" s="912">
        <v>2.2999999999999994</v>
      </c>
      <c r="K73" s="1004"/>
      <c r="L73" s="912">
        <v>4.1000000000000014</v>
      </c>
      <c r="M73" s="1004"/>
      <c r="N73" s="912">
        <f t="shared" si="21"/>
        <v>0.90000000000000213</v>
      </c>
      <c r="O73" s="1004"/>
      <c r="P73" s="912"/>
      <c r="Q73" s="1004"/>
      <c r="R73" s="912"/>
      <c r="S73" s="1004"/>
      <c r="T73" s="912"/>
      <c r="U73" s="1004"/>
      <c r="V73" s="912"/>
      <c r="W73" s="1004"/>
      <c r="X73" s="912"/>
      <c r="Y73" s="1004"/>
      <c r="Z73" s="912"/>
      <c r="AA73" s="2116"/>
      <c r="AB73" s="467"/>
      <c r="AC73" s="912">
        <v>10.8</v>
      </c>
      <c r="AD73" s="467"/>
      <c r="AE73" s="933" t="s">
        <v>14</v>
      </c>
      <c r="AF73" s="912">
        <v>12.5</v>
      </c>
      <c r="AG73" s="493"/>
      <c r="AH73" s="1447"/>
      <c r="AI73" s="467">
        <f t="shared" si="22"/>
        <v>-1.7</v>
      </c>
      <c r="AJ73" s="467"/>
      <c r="AK73" s="971">
        <f>ROUND(IF(AF73=0,1,AI73/ABS(AF73)),3)</f>
        <v>-0.13600000000000001</v>
      </c>
    </row>
    <row r="74" spans="1:39" ht="15" customHeight="1">
      <c r="A74" s="100"/>
      <c r="B74" s="594" t="s">
        <v>887</v>
      </c>
      <c r="C74" s="594"/>
      <c r="D74" s="912">
        <v>27.6</v>
      </c>
      <c r="E74" s="912"/>
      <c r="F74" s="912">
        <v>17.5</v>
      </c>
      <c r="G74" s="912"/>
      <c r="H74" s="912">
        <v>23.699999999999996</v>
      </c>
      <c r="I74" s="467"/>
      <c r="J74" s="912">
        <v>20.700000000000003</v>
      </c>
      <c r="K74" s="1004"/>
      <c r="L74" s="912">
        <v>35.199999999999996</v>
      </c>
      <c r="M74" s="1004"/>
      <c r="N74" s="912">
        <f t="shared" si="21"/>
        <v>26.000000000000007</v>
      </c>
      <c r="O74" s="1004"/>
      <c r="P74" s="912"/>
      <c r="Q74" s="1004"/>
      <c r="R74" s="912"/>
      <c r="S74" s="1004"/>
      <c r="T74" s="912"/>
      <c r="U74" s="1004"/>
      <c r="V74" s="912"/>
      <c r="W74" s="1004"/>
      <c r="X74" s="912"/>
      <c r="Y74" s="1004"/>
      <c r="Z74" s="912"/>
      <c r="AA74" s="2116"/>
      <c r="AB74" s="467"/>
      <c r="AC74" s="912">
        <v>150.69999999999999</v>
      </c>
      <c r="AD74" s="2118"/>
      <c r="AE74" s="467" t="s">
        <v>14</v>
      </c>
      <c r="AF74" s="912">
        <v>178.2</v>
      </c>
      <c r="AG74" s="493"/>
      <c r="AH74" s="1447"/>
      <c r="AI74" s="467">
        <f t="shared" si="22"/>
        <v>-27.5</v>
      </c>
      <c r="AJ74" s="467"/>
      <c r="AK74" s="971">
        <f>ROUND(IF(AF74=0,0,AI74/ABS(AF74)),3)</f>
        <v>-0.154</v>
      </c>
    </row>
    <row r="75" spans="1:39" s="170" customFormat="1" ht="15" customHeight="1">
      <c r="A75" s="100"/>
      <c r="B75" s="594" t="s">
        <v>1002</v>
      </c>
      <c r="C75" s="21"/>
      <c r="D75" s="912" t="s">
        <v>14</v>
      </c>
      <c r="E75" s="912"/>
      <c r="F75" s="912"/>
      <c r="G75" s="912"/>
      <c r="H75" s="912"/>
      <c r="I75" s="467"/>
      <c r="J75" s="912"/>
      <c r="K75" s="36"/>
      <c r="L75" s="912"/>
      <c r="M75" s="36"/>
      <c r="N75" s="912"/>
      <c r="O75" s="36"/>
      <c r="P75" s="912"/>
      <c r="Q75" s="36"/>
      <c r="R75" s="912"/>
      <c r="S75" s="36"/>
      <c r="T75" s="912"/>
      <c r="U75" s="36"/>
      <c r="V75" s="912"/>
      <c r="W75" s="36"/>
      <c r="X75" s="912"/>
      <c r="Y75" s="36"/>
      <c r="Z75" s="912"/>
      <c r="AA75" s="2117"/>
      <c r="AB75" s="36"/>
      <c r="AC75" s="36"/>
      <c r="AD75" s="2119"/>
      <c r="AE75" s="36"/>
      <c r="AF75" s="36"/>
      <c r="AG75" s="493"/>
      <c r="AH75" s="1447"/>
      <c r="AI75" s="36"/>
      <c r="AJ75" s="467"/>
      <c r="AK75" s="467"/>
      <c r="AL75" s="488"/>
      <c r="AM75" s="567"/>
    </row>
    <row r="76" spans="1:39" s="170" customFormat="1" ht="15" customHeight="1">
      <c r="A76" s="100"/>
      <c r="B76" s="594" t="s">
        <v>1416</v>
      </c>
      <c r="C76" s="21"/>
      <c r="D76" s="912">
        <v>5</v>
      </c>
      <c r="E76" s="912"/>
      <c r="F76" s="912">
        <v>0</v>
      </c>
      <c r="G76" s="912"/>
      <c r="H76" s="912">
        <v>0</v>
      </c>
      <c r="I76" s="467"/>
      <c r="J76" s="912">
        <v>0</v>
      </c>
      <c r="K76" s="1004"/>
      <c r="L76" s="912">
        <v>0</v>
      </c>
      <c r="M76" s="1004"/>
      <c r="N76" s="912">
        <f t="shared" si="21"/>
        <v>0</v>
      </c>
      <c r="O76" s="1004"/>
      <c r="P76" s="912"/>
      <c r="Q76" s="1004"/>
      <c r="R76" s="912"/>
      <c r="S76" s="1004"/>
      <c r="T76" s="912"/>
      <c r="U76" s="1004"/>
      <c r="V76" s="912"/>
      <c r="W76" s="1004"/>
      <c r="X76" s="912"/>
      <c r="Y76" s="1004"/>
      <c r="Z76" s="912"/>
      <c r="AA76" s="2116"/>
      <c r="AB76" s="467"/>
      <c r="AC76" s="493">
        <v>5</v>
      </c>
      <c r="AD76" s="2120" t="s">
        <v>14</v>
      </c>
      <c r="AE76" s="493"/>
      <c r="AF76" s="493">
        <v>5</v>
      </c>
      <c r="AG76" s="493" t="e">
        <v>#VALUE!</v>
      </c>
      <c r="AH76" s="1447"/>
      <c r="AI76" s="36">
        <f>ROUND(SUM(+AC76-AF76),1)</f>
        <v>0</v>
      </c>
      <c r="AJ76" s="467"/>
      <c r="AK76" s="488">
        <f>ROUND(IF(AF76=0,1,AI76/ABS(AF76)),3)</f>
        <v>0</v>
      </c>
      <c r="AL76" s="971"/>
      <c r="AM76" s="567"/>
    </row>
    <row r="77" spans="1:39" ht="15" customHeight="1">
      <c r="A77" s="100"/>
      <c r="B77" s="594" t="s">
        <v>888</v>
      </c>
      <c r="C77" s="594"/>
      <c r="D77" s="912">
        <v>204</v>
      </c>
      <c r="E77" s="912"/>
      <c r="F77" s="912">
        <v>176.3</v>
      </c>
      <c r="G77" s="912"/>
      <c r="H77" s="912">
        <v>191.99999999999994</v>
      </c>
      <c r="I77" s="467"/>
      <c r="J77" s="912">
        <v>183.10000000000002</v>
      </c>
      <c r="K77" s="1004"/>
      <c r="L77" s="912">
        <v>198.40000000000003</v>
      </c>
      <c r="M77" s="1004"/>
      <c r="N77" s="912">
        <f t="shared" si="21"/>
        <v>201.90000000000003</v>
      </c>
      <c r="O77" s="1004"/>
      <c r="P77" s="912"/>
      <c r="Q77" s="1004"/>
      <c r="R77" s="912"/>
      <c r="S77" s="1004"/>
      <c r="T77" s="912"/>
      <c r="U77" s="1004"/>
      <c r="V77" s="912"/>
      <c r="W77" s="1004"/>
      <c r="X77" s="912"/>
      <c r="Y77" s="1004"/>
      <c r="Z77" s="912"/>
      <c r="AA77" s="2116"/>
      <c r="AB77" s="467"/>
      <c r="AC77" s="912">
        <v>1155.7</v>
      </c>
      <c r="AD77" s="2118"/>
      <c r="AE77" s="467" t="s">
        <v>14</v>
      </c>
      <c r="AF77" s="912">
        <v>204.9</v>
      </c>
      <c r="AG77" s="493"/>
      <c r="AH77" s="1447"/>
      <c r="AI77" s="467">
        <f>ROUND(SUM(+AC77-AF77),1)</f>
        <v>950.8</v>
      </c>
      <c r="AJ77" s="467"/>
      <c r="AK77" s="971">
        <f>ROUND(IF(AF77=0,1,AI77/ABS(AF77)),3)</f>
        <v>4.6399999999999997</v>
      </c>
    </row>
    <row r="78" spans="1:39" ht="15" customHeight="1">
      <c r="A78" s="100"/>
      <c r="B78" s="594" t="s">
        <v>905</v>
      </c>
      <c r="C78" s="594"/>
      <c r="D78" s="912">
        <v>0</v>
      </c>
      <c r="E78" s="912"/>
      <c r="F78" s="912">
        <v>0</v>
      </c>
      <c r="G78" s="912"/>
      <c r="H78" s="912">
        <v>0</v>
      </c>
      <c r="I78" s="467"/>
      <c r="J78" s="912">
        <v>0</v>
      </c>
      <c r="K78" s="1004"/>
      <c r="L78" s="912">
        <v>0.1</v>
      </c>
      <c r="M78" s="1004"/>
      <c r="N78" s="912">
        <f t="shared" si="21"/>
        <v>0</v>
      </c>
      <c r="O78" s="1004"/>
      <c r="P78" s="912"/>
      <c r="Q78" s="1004"/>
      <c r="R78" s="912"/>
      <c r="S78" s="1004"/>
      <c r="T78" s="912"/>
      <c r="U78" s="1004"/>
      <c r="V78" s="912"/>
      <c r="W78" s="1004"/>
      <c r="X78" s="912"/>
      <c r="Y78" s="1004"/>
      <c r="Z78" s="912"/>
      <c r="AA78" s="496"/>
      <c r="AB78" s="933"/>
      <c r="AC78" s="912">
        <v>0.1</v>
      </c>
      <c r="AD78" s="467"/>
      <c r="AE78" s="933" t="s">
        <v>14</v>
      </c>
      <c r="AF78" s="912">
        <v>0</v>
      </c>
      <c r="AG78" s="493"/>
      <c r="AH78" s="1447"/>
      <c r="AI78" s="467">
        <f>ROUND(SUM(+AC78-AF78),1)</f>
        <v>0.1</v>
      </c>
      <c r="AJ78" s="467"/>
      <c r="AK78" s="469">
        <f>ROUND(IF(AF78=0,1,AI78/ABS(AF78)),3)</f>
        <v>1</v>
      </c>
    </row>
    <row r="79" spans="1:39" ht="15" customHeight="1">
      <c r="A79" s="100"/>
      <c r="B79" s="594" t="s">
        <v>1003</v>
      </c>
      <c r="C79" s="594"/>
      <c r="D79" s="912" t="s">
        <v>14</v>
      </c>
      <c r="E79" s="912"/>
      <c r="F79" s="912"/>
      <c r="G79" s="912"/>
      <c r="H79" s="912"/>
      <c r="I79" s="467"/>
      <c r="J79" s="912"/>
      <c r="K79" s="36"/>
      <c r="L79" s="912"/>
      <c r="M79" s="36"/>
      <c r="N79" s="912"/>
      <c r="O79" s="36"/>
      <c r="P79" s="912"/>
      <c r="Q79" s="36"/>
      <c r="R79" s="912"/>
      <c r="S79" s="36"/>
      <c r="T79" s="912"/>
      <c r="U79" s="36"/>
      <c r="V79" s="912"/>
      <c r="W79" s="36"/>
      <c r="X79" s="912"/>
      <c r="Y79" s="36"/>
      <c r="Z79" s="912"/>
      <c r="AA79" s="39"/>
      <c r="AB79" s="1241"/>
      <c r="AC79" s="1432"/>
      <c r="AD79" s="36"/>
      <c r="AE79" s="750"/>
      <c r="AF79" s="1432"/>
      <c r="AG79" s="36"/>
      <c r="AH79" s="1443"/>
      <c r="AI79" s="467"/>
      <c r="AJ79" s="467"/>
      <c r="AK79" s="488"/>
    </row>
    <row r="80" spans="1:39" ht="15" customHeight="1">
      <c r="A80" s="100"/>
      <c r="B80" s="594" t="s">
        <v>901</v>
      </c>
      <c r="C80" s="594"/>
      <c r="D80" s="912">
        <v>0</v>
      </c>
      <c r="E80" s="912"/>
      <c r="F80" s="912">
        <v>0</v>
      </c>
      <c r="G80" s="912"/>
      <c r="H80" s="912">
        <v>0</v>
      </c>
      <c r="I80" s="467"/>
      <c r="J80" s="912">
        <v>0</v>
      </c>
      <c r="K80" s="36"/>
      <c r="L80" s="912">
        <v>0</v>
      </c>
      <c r="M80" s="36"/>
      <c r="N80" s="912">
        <f t="shared" si="21"/>
        <v>0</v>
      </c>
      <c r="O80" s="36"/>
      <c r="P80" s="912"/>
      <c r="Q80" s="36"/>
      <c r="R80" s="912"/>
      <c r="S80" s="36"/>
      <c r="T80" s="912"/>
      <c r="U80" s="36"/>
      <c r="V80" s="912"/>
      <c r="W80" s="36"/>
      <c r="X80" s="912"/>
      <c r="Y80" s="36"/>
      <c r="Z80" s="912"/>
      <c r="AA80" s="39"/>
      <c r="AB80" s="1980"/>
      <c r="AC80" s="912">
        <v>0</v>
      </c>
      <c r="AD80" s="36"/>
      <c r="AE80" s="1238"/>
      <c r="AF80" s="912">
        <v>0</v>
      </c>
      <c r="AG80" s="36"/>
      <c r="AH80" s="1443"/>
      <c r="AI80" s="467">
        <f>ROUND(SUM(+AC80-AF80),1)</f>
        <v>0</v>
      </c>
      <c r="AJ80" s="467"/>
      <c r="AK80" s="469">
        <f>ROUND(IF(AF80=0,0,AI80/ABS(AF80)),3)</f>
        <v>0</v>
      </c>
    </row>
    <row r="81" spans="1:41" ht="15" customHeight="1">
      <c r="A81" s="100"/>
      <c r="B81" s="594" t="s">
        <v>902</v>
      </c>
      <c r="C81" s="594"/>
      <c r="D81" s="912">
        <v>0</v>
      </c>
      <c r="E81" s="912"/>
      <c r="F81" s="912">
        <v>0</v>
      </c>
      <c r="G81" s="912"/>
      <c r="H81" s="912">
        <v>0</v>
      </c>
      <c r="I81" s="467"/>
      <c r="J81" s="912">
        <v>0</v>
      </c>
      <c r="K81" s="1004"/>
      <c r="L81" s="912">
        <v>0</v>
      </c>
      <c r="M81" s="1004"/>
      <c r="N81" s="912">
        <f t="shared" si="21"/>
        <v>0</v>
      </c>
      <c r="O81" s="1004"/>
      <c r="P81" s="912"/>
      <c r="Q81" s="1004"/>
      <c r="R81" s="912"/>
      <c r="S81" s="1004"/>
      <c r="T81" s="912"/>
      <c r="U81" s="1004"/>
      <c r="V81" s="912"/>
      <c r="W81" s="1004"/>
      <c r="X81" s="912"/>
      <c r="Y81" s="1004"/>
      <c r="Z81" s="912"/>
      <c r="AA81" s="496"/>
      <c r="AB81" s="933"/>
      <c r="AC81" s="912">
        <v>0</v>
      </c>
      <c r="AD81" s="467"/>
      <c r="AE81" s="933" t="s">
        <v>14</v>
      </c>
      <c r="AF81" s="912">
        <v>6.5</v>
      </c>
      <c r="AG81" s="493"/>
      <c r="AH81" s="1447"/>
      <c r="AI81" s="467">
        <f>ROUND(SUM(+AC81-AF81),1)</f>
        <v>-6.5</v>
      </c>
      <c r="AJ81" s="467"/>
      <c r="AK81" s="469">
        <f t="shared" ref="AK81:AK83" si="23">ROUND(IF(AF81=0,0,AI81/ABS(AF81)),3)</f>
        <v>-1</v>
      </c>
    </row>
    <row r="82" spans="1:41" ht="15" customHeight="1">
      <c r="A82" s="100"/>
      <c r="B82" s="594" t="s">
        <v>903</v>
      </c>
      <c r="C82" s="594"/>
      <c r="D82" s="912">
        <v>0</v>
      </c>
      <c r="E82" s="912"/>
      <c r="F82" s="912">
        <v>0</v>
      </c>
      <c r="G82" s="912"/>
      <c r="H82" s="912">
        <v>0</v>
      </c>
      <c r="I82" s="467"/>
      <c r="J82" s="912">
        <v>2.1</v>
      </c>
      <c r="K82" s="1004"/>
      <c r="L82" s="912">
        <v>9.7000000000000011</v>
      </c>
      <c r="M82" s="1004"/>
      <c r="N82" s="912">
        <f t="shared" si="21"/>
        <v>10.599999999999996</v>
      </c>
      <c r="O82" s="1004"/>
      <c r="P82" s="912"/>
      <c r="Q82" s="1004"/>
      <c r="R82" s="912"/>
      <c r="S82" s="1004"/>
      <c r="T82" s="912"/>
      <c r="U82" s="1004"/>
      <c r="V82" s="912"/>
      <c r="W82" s="1004"/>
      <c r="X82" s="912"/>
      <c r="Y82" s="1004"/>
      <c r="Z82" s="912"/>
      <c r="AA82" s="496"/>
      <c r="AB82" s="933"/>
      <c r="AC82" s="912">
        <v>22.4</v>
      </c>
      <c r="AD82" s="467"/>
      <c r="AE82" s="933" t="s">
        <v>14</v>
      </c>
      <c r="AF82" s="912">
        <v>32.6</v>
      </c>
      <c r="AG82" s="493"/>
      <c r="AH82" s="1447"/>
      <c r="AI82" s="467">
        <f>ROUND(SUM(+AC82-AF82),1)</f>
        <v>-10.199999999999999</v>
      </c>
      <c r="AJ82" s="467"/>
      <c r="AK82" s="469">
        <f t="shared" si="23"/>
        <v>-0.313</v>
      </c>
    </row>
    <row r="83" spans="1:41" ht="15" customHeight="1">
      <c r="A83" s="100"/>
      <c r="B83" s="594" t="s">
        <v>904</v>
      </c>
      <c r="C83" s="594"/>
      <c r="D83" s="912">
        <v>0</v>
      </c>
      <c r="E83" s="912"/>
      <c r="F83" s="912">
        <v>0</v>
      </c>
      <c r="G83" s="912"/>
      <c r="H83" s="912">
        <v>0</v>
      </c>
      <c r="I83" s="467"/>
      <c r="J83" s="912">
        <v>0</v>
      </c>
      <c r="K83" s="1004"/>
      <c r="L83" s="912">
        <v>0</v>
      </c>
      <c r="M83" s="1004"/>
      <c r="N83" s="912">
        <f t="shared" si="21"/>
        <v>0</v>
      </c>
      <c r="O83" s="1004"/>
      <c r="P83" s="912"/>
      <c r="Q83" s="1004"/>
      <c r="R83" s="912"/>
      <c r="S83" s="1004"/>
      <c r="T83" s="912"/>
      <c r="U83" s="1004"/>
      <c r="V83" s="912"/>
      <c r="W83" s="1004"/>
      <c r="X83" s="912"/>
      <c r="Y83" s="1004"/>
      <c r="Z83" s="912"/>
      <c r="AA83" s="496"/>
      <c r="AB83" s="933"/>
      <c r="AC83" s="912">
        <v>0</v>
      </c>
      <c r="AD83" s="467"/>
      <c r="AE83" s="933" t="s">
        <v>14</v>
      </c>
      <c r="AF83" s="912">
        <v>3.9</v>
      </c>
      <c r="AG83" s="493"/>
      <c r="AH83" s="1447"/>
      <c r="AI83" s="467">
        <f>ROUND(SUM(+AC83-AF83),1)</f>
        <v>-3.9</v>
      </c>
      <c r="AJ83" s="467"/>
      <c r="AK83" s="469">
        <f t="shared" si="23"/>
        <v>-1</v>
      </c>
    </row>
    <row r="84" spans="1:41" ht="15" customHeight="1">
      <c r="A84" s="100"/>
      <c r="B84" s="594" t="s">
        <v>906</v>
      </c>
      <c r="C84" s="594"/>
      <c r="D84" s="912">
        <v>0.1</v>
      </c>
      <c r="E84" s="912"/>
      <c r="F84" s="912">
        <v>0.19999999999999998</v>
      </c>
      <c r="G84" s="912"/>
      <c r="H84" s="912">
        <v>0.10000000000000006</v>
      </c>
      <c r="I84" s="467"/>
      <c r="J84" s="912">
        <v>0.19999999999999998</v>
      </c>
      <c r="K84" s="1004"/>
      <c r="L84" s="912">
        <v>9.999999999999995E-2</v>
      </c>
      <c r="M84" s="1004"/>
      <c r="N84" s="912">
        <f t="shared" si="21"/>
        <v>0.10000000000000009</v>
      </c>
      <c r="O84" s="1004"/>
      <c r="P84" s="912"/>
      <c r="Q84" s="1004"/>
      <c r="R84" s="912"/>
      <c r="S84" s="1004"/>
      <c r="T84" s="912"/>
      <c r="U84" s="1004"/>
      <c r="V84" s="912"/>
      <c r="W84" s="1004"/>
      <c r="X84" s="912"/>
      <c r="Y84" s="1004"/>
      <c r="Z84" s="912"/>
      <c r="AA84" s="496"/>
      <c r="AB84" s="933"/>
      <c r="AC84" s="912">
        <v>0.8</v>
      </c>
      <c r="AD84" s="467"/>
      <c r="AE84" s="933" t="s">
        <v>14</v>
      </c>
      <c r="AF84" s="912">
        <v>0.5</v>
      </c>
      <c r="AG84" s="493"/>
      <c r="AH84" s="1447"/>
      <c r="AI84" s="467">
        <f>ROUND(SUM(+AC84-AF84),1)</f>
        <v>0.3</v>
      </c>
      <c r="AJ84" s="467"/>
      <c r="AK84" s="469">
        <f t="shared" ref="AK84" si="24">ROUND(IF(AF84=0,0,AI84/ABS(AF84)),3)</f>
        <v>0.6</v>
      </c>
    </row>
    <row r="85" spans="1:41" ht="15" customHeight="1">
      <c r="A85" s="100"/>
      <c r="B85" s="594" t="s">
        <v>1004</v>
      </c>
      <c r="C85" s="594"/>
      <c r="D85" s="912" t="s">
        <v>1438</v>
      </c>
      <c r="E85" s="912"/>
      <c r="F85" s="912"/>
      <c r="G85" s="912"/>
      <c r="H85" s="912"/>
      <c r="I85" s="467"/>
      <c r="J85" s="912"/>
      <c r="K85" s="36"/>
      <c r="L85" s="912"/>
      <c r="M85" s="36"/>
      <c r="N85" s="912"/>
      <c r="O85" s="36"/>
      <c r="P85" s="912"/>
      <c r="Q85" s="36"/>
      <c r="R85" s="912"/>
      <c r="S85" s="36"/>
      <c r="T85" s="912"/>
      <c r="U85" s="36"/>
      <c r="V85" s="912"/>
      <c r="W85" s="36"/>
      <c r="X85" s="912"/>
      <c r="Y85" s="36"/>
      <c r="Z85" s="912"/>
      <c r="AA85" s="39"/>
      <c r="AB85" s="1241"/>
      <c r="AC85" s="1432"/>
      <c r="AD85" s="36"/>
      <c r="AE85" s="933" t="s">
        <v>14</v>
      </c>
      <c r="AF85" s="1432"/>
      <c r="AG85" s="36"/>
      <c r="AH85" s="1443"/>
      <c r="AI85" s="467"/>
      <c r="AJ85" s="467"/>
      <c r="AK85" s="488"/>
    </row>
    <row r="86" spans="1:41" ht="15" customHeight="1">
      <c r="A86" s="100"/>
      <c r="B86" s="594" t="s">
        <v>907</v>
      </c>
      <c r="C86" s="594"/>
      <c r="D86" s="912">
        <v>0.6</v>
      </c>
      <c r="E86" s="912"/>
      <c r="F86" s="912">
        <v>0.6</v>
      </c>
      <c r="G86" s="912"/>
      <c r="H86" s="912">
        <v>16.699999999999996</v>
      </c>
      <c r="I86" s="467"/>
      <c r="J86" s="912">
        <v>0.50000000000000355</v>
      </c>
      <c r="K86" s="1004"/>
      <c r="L86" s="912">
        <v>0.39999999999999858</v>
      </c>
      <c r="M86" s="1004"/>
      <c r="N86" s="912">
        <f t="shared" si="21"/>
        <v>15.7</v>
      </c>
      <c r="O86" s="1004"/>
      <c r="P86" s="912"/>
      <c r="Q86" s="1004"/>
      <c r="R86" s="912"/>
      <c r="S86" s="1004"/>
      <c r="T86" s="912"/>
      <c r="U86" s="1004"/>
      <c r="V86" s="912"/>
      <c r="W86" s="1004"/>
      <c r="X86" s="912"/>
      <c r="Y86" s="1004"/>
      <c r="Z86" s="912"/>
      <c r="AA86" s="496"/>
      <c r="AB86" s="933"/>
      <c r="AC86" s="912">
        <v>34.5</v>
      </c>
      <c r="AD86" s="467"/>
      <c r="AE86" s="933" t="s">
        <v>14</v>
      </c>
      <c r="AF86" s="912">
        <v>29.3</v>
      </c>
      <c r="AG86" s="493"/>
      <c r="AH86" s="1447"/>
      <c r="AI86" s="467">
        <f t="shared" ref="AI86:AI94" si="25">ROUND(SUM(+AC86-AF86),1)</f>
        <v>5.2</v>
      </c>
      <c r="AJ86" s="467"/>
      <c r="AK86" s="469">
        <f t="shared" ref="AK86" si="26">ROUND(IF(AF86=0,1,AI86/ABS(AF86)),3)</f>
        <v>0.17699999999999999</v>
      </c>
    </row>
    <row r="87" spans="1:41" ht="15" customHeight="1">
      <c r="A87" s="100"/>
      <c r="B87" s="594" t="s">
        <v>908</v>
      </c>
      <c r="C87" s="594"/>
      <c r="D87" s="912">
        <v>1</v>
      </c>
      <c r="E87" s="912"/>
      <c r="F87" s="912">
        <v>0.10000000000000009</v>
      </c>
      <c r="G87" s="912"/>
      <c r="H87" s="912">
        <v>9.9999999999999867E-2</v>
      </c>
      <c r="I87" s="467"/>
      <c r="J87" s="912">
        <v>-0.19999999999999996</v>
      </c>
      <c r="K87" s="1004"/>
      <c r="L87" s="912">
        <v>0.19999999999999996</v>
      </c>
      <c r="M87" s="1004"/>
      <c r="N87" s="912">
        <f t="shared" si="21"/>
        <v>0</v>
      </c>
      <c r="O87" s="1004"/>
      <c r="P87" s="912"/>
      <c r="Q87" s="1004"/>
      <c r="R87" s="912"/>
      <c r="S87" s="1004"/>
      <c r="T87" s="912"/>
      <c r="U87" s="1004"/>
      <c r="V87" s="912"/>
      <c r="W87" s="1004"/>
      <c r="X87" s="912"/>
      <c r="Y87" s="1004"/>
      <c r="Z87" s="912"/>
      <c r="AA87" s="496"/>
      <c r="AB87" s="717"/>
      <c r="AC87" s="912">
        <v>1.2</v>
      </c>
      <c r="AD87" s="467"/>
      <c r="AE87" s="933" t="s">
        <v>14</v>
      </c>
      <c r="AF87" s="912">
        <v>0.9</v>
      </c>
      <c r="AG87" s="493"/>
      <c r="AH87" s="1447"/>
      <c r="AI87" s="467">
        <f t="shared" si="25"/>
        <v>0.3</v>
      </c>
      <c r="AJ87" s="467"/>
      <c r="AK87" s="971">
        <f>ROUND(IF(AF87=0,1,AI87/ABS(AF87)),3)</f>
        <v>0.33300000000000002</v>
      </c>
    </row>
    <row r="88" spans="1:41" ht="15" customHeight="1">
      <c r="A88" s="100"/>
      <c r="B88" s="594" t="s">
        <v>909</v>
      </c>
      <c r="C88" s="594"/>
      <c r="D88" s="912">
        <v>0</v>
      </c>
      <c r="E88" s="912"/>
      <c r="F88" s="912">
        <v>0</v>
      </c>
      <c r="G88" s="912"/>
      <c r="H88" s="912">
        <v>0</v>
      </c>
      <c r="I88" s="467"/>
      <c r="J88" s="912">
        <v>0</v>
      </c>
      <c r="K88" s="1004"/>
      <c r="L88" s="912">
        <v>0</v>
      </c>
      <c r="M88" s="1004"/>
      <c r="N88" s="912">
        <f t="shared" si="21"/>
        <v>0</v>
      </c>
      <c r="O88" s="1004"/>
      <c r="P88" s="912"/>
      <c r="Q88" s="1004"/>
      <c r="R88" s="912"/>
      <c r="S88" s="1004"/>
      <c r="T88" s="912"/>
      <c r="U88" s="1004"/>
      <c r="V88" s="912"/>
      <c r="W88" s="1004"/>
      <c r="X88" s="912"/>
      <c r="Y88" s="1004"/>
      <c r="Z88" s="912"/>
      <c r="AA88" s="496"/>
      <c r="AB88" s="933"/>
      <c r="AC88" s="912">
        <v>0</v>
      </c>
      <c r="AD88" s="467"/>
      <c r="AE88" s="933" t="s">
        <v>14</v>
      </c>
      <c r="AF88" s="912">
        <v>0</v>
      </c>
      <c r="AG88" s="493"/>
      <c r="AH88" s="1447"/>
      <c r="AI88" s="467">
        <f t="shared" si="25"/>
        <v>0</v>
      </c>
      <c r="AJ88" s="467"/>
      <c r="AK88" s="971">
        <f>ROUND(IF(AF88=0,0,AI88/ABS(AF88)),3)</f>
        <v>0</v>
      </c>
    </row>
    <row r="89" spans="1:41" ht="15" customHeight="1">
      <c r="A89" s="100"/>
      <c r="B89" s="594" t="s">
        <v>910</v>
      </c>
      <c r="C89" s="594"/>
      <c r="D89" s="912">
        <v>0</v>
      </c>
      <c r="E89" s="912"/>
      <c r="F89" s="912">
        <v>14.2</v>
      </c>
      <c r="G89" s="912"/>
      <c r="H89" s="912">
        <v>7.4000000000000021</v>
      </c>
      <c r="I89" s="467"/>
      <c r="J89" s="912">
        <v>5.5999999999999979</v>
      </c>
      <c r="K89" s="1004"/>
      <c r="L89" s="912">
        <v>6.0999999999999979</v>
      </c>
      <c r="M89" s="1004"/>
      <c r="N89" s="912">
        <f t="shared" si="21"/>
        <v>6.5</v>
      </c>
      <c r="O89" s="1004"/>
      <c r="P89" s="912"/>
      <c r="Q89" s="1004"/>
      <c r="R89" s="912"/>
      <c r="S89" s="1004"/>
      <c r="T89" s="912"/>
      <c r="U89" s="1004"/>
      <c r="V89" s="912"/>
      <c r="W89" s="1004"/>
      <c r="X89" s="912"/>
      <c r="Y89" s="1004"/>
      <c r="Z89" s="912"/>
      <c r="AA89" s="496"/>
      <c r="AB89" s="933"/>
      <c r="AC89" s="912">
        <v>39.799999999999997</v>
      </c>
      <c r="AD89" s="467"/>
      <c r="AE89" s="933" t="s">
        <v>14</v>
      </c>
      <c r="AF89" s="912">
        <v>41.2</v>
      </c>
      <c r="AG89" s="493"/>
      <c r="AH89" s="1447"/>
      <c r="AI89" s="467">
        <f t="shared" si="25"/>
        <v>-1.4</v>
      </c>
      <c r="AJ89" s="467"/>
      <c r="AK89" s="469">
        <f>ROUND(IF(AF89=0,1,AI89/ABS(AF89)),3)</f>
        <v>-3.4000000000000002E-2</v>
      </c>
    </row>
    <row r="90" spans="1:41" ht="15" customHeight="1">
      <c r="A90" s="100"/>
      <c r="B90" s="594" t="s">
        <v>911</v>
      </c>
      <c r="C90" s="594"/>
      <c r="D90" s="912">
        <v>7.8</v>
      </c>
      <c r="E90" s="912"/>
      <c r="F90" s="912">
        <v>-76.399999999999991</v>
      </c>
      <c r="G90" s="912"/>
      <c r="H90" s="912">
        <v>-11.300000000000011</v>
      </c>
      <c r="I90" s="467"/>
      <c r="J90" s="912">
        <v>53.500000000000007</v>
      </c>
      <c r="K90" s="1004"/>
      <c r="L90" s="912">
        <v>5.9999999999999929</v>
      </c>
      <c r="M90" s="1004"/>
      <c r="N90" s="912">
        <f t="shared" si="21"/>
        <v>4.1000000000000014</v>
      </c>
      <c r="O90" s="1004"/>
      <c r="P90" s="912"/>
      <c r="Q90" s="1004"/>
      <c r="R90" s="912"/>
      <c r="S90" s="1004"/>
      <c r="T90" s="912"/>
      <c r="U90" s="1004"/>
      <c r="V90" s="912"/>
      <c r="W90" s="1004"/>
      <c r="X90" s="912"/>
      <c r="Y90" s="1004"/>
      <c r="Z90" s="912"/>
      <c r="AA90" s="496"/>
      <c r="AB90" s="717"/>
      <c r="AC90" s="912">
        <v>-16.3</v>
      </c>
      <c r="AD90" s="467"/>
      <c r="AE90" s="717" t="s">
        <v>14</v>
      </c>
      <c r="AF90" s="912">
        <v>58.8</v>
      </c>
      <c r="AG90" s="493"/>
      <c r="AH90" s="1447"/>
      <c r="AI90" s="467">
        <f t="shared" si="25"/>
        <v>-75.099999999999994</v>
      </c>
      <c r="AJ90" s="467"/>
      <c r="AK90" s="971">
        <f>ROUND(IF(AF90=0,1,AI90/ABS(AF90)),3)</f>
        <v>-1.2769999999999999</v>
      </c>
    </row>
    <row r="91" spans="1:41" ht="15" customHeight="1">
      <c r="A91" s="100"/>
      <c r="B91" s="594" t="s">
        <v>912</v>
      </c>
      <c r="C91" s="594"/>
      <c r="D91" s="912">
        <v>0.3</v>
      </c>
      <c r="E91" s="912"/>
      <c r="F91" s="912">
        <v>1.8</v>
      </c>
      <c r="G91" s="912"/>
      <c r="H91" s="912">
        <v>0</v>
      </c>
      <c r="I91" s="467"/>
      <c r="J91" s="912">
        <v>0</v>
      </c>
      <c r="K91" s="1004"/>
      <c r="L91" s="912">
        <v>0</v>
      </c>
      <c r="M91" s="1004"/>
      <c r="N91" s="912">
        <f t="shared" si="21"/>
        <v>0</v>
      </c>
      <c r="O91" s="1004"/>
      <c r="P91" s="912"/>
      <c r="Q91" s="1004"/>
      <c r="R91" s="912"/>
      <c r="S91" s="1004"/>
      <c r="T91" s="912"/>
      <c r="U91" s="1004"/>
      <c r="V91" s="912"/>
      <c r="W91" s="1004"/>
      <c r="X91" s="912"/>
      <c r="Y91" s="1004"/>
      <c r="Z91" s="912"/>
      <c r="AA91" s="496"/>
      <c r="AB91" s="933"/>
      <c r="AC91" s="912">
        <v>2.1</v>
      </c>
      <c r="AD91" s="467"/>
      <c r="AE91" s="933" t="s">
        <v>14</v>
      </c>
      <c r="AF91" s="912">
        <v>0.3</v>
      </c>
      <c r="AG91" s="493"/>
      <c r="AH91" s="1447"/>
      <c r="AI91" s="467">
        <f t="shared" si="25"/>
        <v>1.8</v>
      </c>
      <c r="AJ91" s="467"/>
      <c r="AK91" s="469">
        <f>ROUND(IF(AF91=0,0,AI91/ABS(AF91)),3)</f>
        <v>6</v>
      </c>
    </row>
    <row r="92" spans="1:41" ht="15" customHeight="1">
      <c r="A92" s="100"/>
      <c r="B92" s="594" t="s">
        <v>913</v>
      </c>
      <c r="C92" s="594"/>
      <c r="D92" s="912">
        <v>0</v>
      </c>
      <c r="E92" s="912"/>
      <c r="F92" s="912">
        <v>0.1</v>
      </c>
      <c r="G92" s="912"/>
      <c r="H92" s="912">
        <v>0</v>
      </c>
      <c r="I92" s="467"/>
      <c r="J92" s="912">
        <v>0.1</v>
      </c>
      <c r="K92" s="1004"/>
      <c r="L92" s="912">
        <v>0</v>
      </c>
      <c r="M92" s="1004"/>
      <c r="N92" s="912">
        <f t="shared" si="21"/>
        <v>9.9999999999999978E-2</v>
      </c>
      <c r="O92" s="1004"/>
      <c r="P92" s="912"/>
      <c r="Q92" s="1004"/>
      <c r="R92" s="912"/>
      <c r="S92" s="1004"/>
      <c r="T92" s="912"/>
      <c r="U92" s="1004"/>
      <c r="V92" s="912"/>
      <c r="W92" s="1004"/>
      <c r="X92" s="912"/>
      <c r="Y92" s="1004"/>
      <c r="Z92" s="912"/>
      <c r="AA92" s="496"/>
      <c r="AB92" s="933"/>
      <c r="AC92" s="912">
        <v>0.3</v>
      </c>
      <c r="AD92" s="467"/>
      <c r="AE92" s="933" t="s">
        <v>14</v>
      </c>
      <c r="AF92" s="912">
        <v>0.1</v>
      </c>
      <c r="AG92" s="493"/>
      <c r="AH92" s="1447"/>
      <c r="AI92" s="467">
        <f t="shared" si="25"/>
        <v>0.2</v>
      </c>
      <c r="AJ92" s="467"/>
      <c r="AK92" s="971">
        <f>ROUND(IF(AF92=0,1,AI92/ABS(AF92)),3)</f>
        <v>2</v>
      </c>
    </row>
    <row r="93" spans="1:41" ht="15" customHeight="1">
      <c r="A93" s="100"/>
      <c r="B93" s="594" t="s">
        <v>914</v>
      </c>
      <c r="C93" s="594"/>
      <c r="D93" s="912">
        <v>0</v>
      </c>
      <c r="E93" s="912"/>
      <c r="F93" s="912">
        <v>0</v>
      </c>
      <c r="G93" s="912"/>
      <c r="H93" s="912">
        <v>0</v>
      </c>
      <c r="I93" s="467"/>
      <c r="J93" s="912">
        <v>0</v>
      </c>
      <c r="K93" s="1004"/>
      <c r="L93" s="912">
        <v>0</v>
      </c>
      <c r="M93" s="1004"/>
      <c r="N93" s="912">
        <f t="shared" si="21"/>
        <v>0</v>
      </c>
      <c r="O93" s="1004"/>
      <c r="P93" s="912"/>
      <c r="Q93" s="1004"/>
      <c r="R93" s="912"/>
      <c r="S93" s="1004"/>
      <c r="T93" s="912"/>
      <c r="U93" s="1004"/>
      <c r="V93" s="912"/>
      <c r="W93" s="1004"/>
      <c r="X93" s="912"/>
      <c r="Y93" s="1004"/>
      <c r="Z93" s="912"/>
      <c r="AA93" s="496"/>
      <c r="AB93" s="933"/>
      <c r="AC93" s="912">
        <v>0</v>
      </c>
      <c r="AD93" s="467"/>
      <c r="AE93" s="933" t="s">
        <v>14</v>
      </c>
      <c r="AF93" s="912">
        <v>0</v>
      </c>
      <c r="AG93" s="493"/>
      <c r="AH93" s="1447"/>
      <c r="AI93" s="467">
        <f t="shared" si="25"/>
        <v>0</v>
      </c>
      <c r="AJ93" s="467"/>
      <c r="AK93" s="469">
        <f>ROUND(IF(AF93=0,0,AI93/ABS(AF93)),3)</f>
        <v>0</v>
      </c>
    </row>
    <row r="94" spans="1:41" ht="15" customHeight="1">
      <c r="A94" s="100"/>
      <c r="B94" s="594" t="s">
        <v>915</v>
      </c>
      <c r="C94" s="594"/>
      <c r="D94" s="912">
        <v>30.6</v>
      </c>
      <c r="E94" s="912"/>
      <c r="F94" s="912">
        <v>63.9</v>
      </c>
      <c r="G94" s="912"/>
      <c r="H94" s="912">
        <v>67.599999999999994</v>
      </c>
      <c r="I94" s="467"/>
      <c r="J94" s="912">
        <v>1.3000000000000114</v>
      </c>
      <c r="K94" s="1004"/>
      <c r="L94" s="912">
        <v>-64.400000000000006</v>
      </c>
      <c r="M94" s="1004"/>
      <c r="N94" s="912">
        <f t="shared" si="21"/>
        <v>-9.5</v>
      </c>
      <c r="O94" s="1004"/>
      <c r="P94" s="912"/>
      <c r="Q94" s="1004"/>
      <c r="R94" s="912"/>
      <c r="S94" s="1004"/>
      <c r="T94" s="912"/>
      <c r="U94" s="1004"/>
      <c r="V94" s="912"/>
      <c r="W94" s="1004"/>
      <c r="X94" s="912"/>
      <c r="Y94" s="1004"/>
      <c r="Z94" s="912"/>
      <c r="AA94" s="496"/>
      <c r="AB94" s="933"/>
      <c r="AC94" s="912">
        <v>89.5</v>
      </c>
      <c r="AD94" s="467"/>
      <c r="AE94" s="933" t="s">
        <v>14</v>
      </c>
      <c r="AF94" s="912">
        <v>82.3</v>
      </c>
      <c r="AG94" s="467"/>
      <c r="AH94" s="1447"/>
      <c r="AI94" s="467">
        <f t="shared" si="25"/>
        <v>7.2</v>
      </c>
      <c r="AJ94" s="467"/>
      <c r="AK94" s="971">
        <f>ROUND(IF(AF94=0,0,AI94/ABS(AF94)),3)</f>
        <v>8.6999999999999994E-2</v>
      </c>
    </row>
    <row r="95" spans="1:41" ht="15" customHeight="1">
      <c r="A95" s="100"/>
      <c r="B95" s="594" t="s">
        <v>916</v>
      </c>
      <c r="C95" s="594"/>
      <c r="D95" s="912">
        <v>0</v>
      </c>
      <c r="E95" s="912"/>
      <c r="F95" s="912">
        <v>0</v>
      </c>
      <c r="G95" s="912"/>
      <c r="H95" s="912">
        <v>0</v>
      </c>
      <c r="I95" s="467"/>
      <c r="J95" s="912">
        <v>0</v>
      </c>
      <c r="K95" s="1004"/>
      <c r="L95" s="912">
        <v>0</v>
      </c>
      <c r="M95" s="1004"/>
      <c r="N95" s="912">
        <f t="shared" si="21"/>
        <v>0</v>
      </c>
      <c r="O95" s="1004"/>
      <c r="P95" s="912"/>
      <c r="Q95" s="1004"/>
      <c r="R95" s="912"/>
      <c r="S95" s="1004"/>
      <c r="T95" s="912"/>
      <c r="U95" s="1004"/>
      <c r="V95" s="912"/>
      <c r="W95" s="1004"/>
      <c r="X95" s="912"/>
      <c r="Y95" s="1004"/>
      <c r="Z95" s="912"/>
      <c r="AA95" s="496"/>
      <c r="AB95" s="933"/>
      <c r="AC95" s="912">
        <v>0</v>
      </c>
      <c r="AD95" s="467"/>
      <c r="AE95" s="933" t="s">
        <v>14</v>
      </c>
      <c r="AF95" s="912">
        <v>0</v>
      </c>
      <c r="AG95" s="467"/>
      <c r="AH95" s="1447"/>
      <c r="AI95" s="467">
        <f t="shared" ref="AI95" si="27">ROUND(SUM(+AC95-AF95),1)</f>
        <v>0</v>
      </c>
      <c r="AJ95" s="467"/>
      <c r="AK95" s="1448">
        <f>ROUND(IF(AF95=0,0,AI95/ABS(AF95)),3)</f>
        <v>0</v>
      </c>
    </row>
    <row r="96" spans="1:41" s="145" customFormat="1" ht="15" customHeight="1">
      <c r="A96" s="748"/>
      <c r="B96" s="218" t="s">
        <v>949</v>
      </c>
      <c r="C96" s="139"/>
      <c r="D96" s="1138">
        <f>ROUND(SUM(D59:D95),1)</f>
        <v>331.3</v>
      </c>
      <c r="E96" s="749"/>
      <c r="F96" s="1138">
        <f>ROUND(SUM(F59:F95),1)</f>
        <v>283</v>
      </c>
      <c r="G96" s="749"/>
      <c r="H96" s="1138">
        <f>ROUND(SUM(H59:H95),1)</f>
        <v>374</v>
      </c>
      <c r="I96" s="42"/>
      <c r="J96" s="1138">
        <f>ROUND(SUM(J59:J95),1)</f>
        <v>327.2</v>
      </c>
      <c r="K96" s="42"/>
      <c r="L96" s="1138">
        <f>ROUND(SUM(L59:L95),1)</f>
        <v>297.89999999999998</v>
      </c>
      <c r="M96" s="42"/>
      <c r="N96" s="179">
        <f>ROUND(SUM(N59:N95),1)</f>
        <v>452.8</v>
      </c>
      <c r="O96" s="42"/>
      <c r="P96" s="179">
        <f>ROUND(SUM(P59:P95),1)</f>
        <v>0</v>
      </c>
      <c r="Q96" s="42"/>
      <c r="R96" s="179">
        <f>ROUND(SUM(R59:R95),1)</f>
        <v>0</v>
      </c>
      <c r="S96" s="42"/>
      <c r="T96" s="179">
        <f t="shared" ref="T96" si="28">ROUND(SUM(T59:T95),1)</f>
        <v>0</v>
      </c>
      <c r="U96" s="42"/>
      <c r="V96" s="179">
        <f>ROUND(SUM(V59:V95),1)</f>
        <v>0</v>
      </c>
      <c r="W96" s="42"/>
      <c r="X96" s="179">
        <f>ROUND(SUM(X59:X95),1)</f>
        <v>0</v>
      </c>
      <c r="Y96" s="42"/>
      <c r="Z96" s="179">
        <f>ROUND(SUM(Z59:Z95),1)</f>
        <v>0</v>
      </c>
      <c r="AA96" s="112"/>
      <c r="AB96" s="1242"/>
      <c r="AC96" s="1244">
        <f>ROUND(SUM(AC59:AC95),1)</f>
        <v>2066.1999999999998</v>
      </c>
      <c r="AD96" s="42"/>
      <c r="AE96" s="1234" t="s">
        <v>14</v>
      </c>
      <c r="AF96" s="2167">
        <f>ROUND(SUM(AF59:AF95),1)</f>
        <v>1224.7</v>
      </c>
      <c r="AG96" s="42"/>
      <c r="AH96" s="1444"/>
      <c r="AI96" s="179">
        <f>ROUND(SUM(AI59:AI95),1)</f>
        <v>841.5</v>
      </c>
      <c r="AJ96" s="42"/>
      <c r="AK96" s="747">
        <f>ROUND(SUM(+AI96/AF96),3)</f>
        <v>0.68700000000000006</v>
      </c>
      <c r="AL96" s="138"/>
      <c r="AM96" s="138"/>
      <c r="AO96" s="138"/>
    </row>
    <row r="97" spans="1:41" s="145" customFormat="1" ht="8.25" customHeight="1">
      <c r="A97" s="748"/>
      <c r="B97" s="19"/>
      <c r="C97" s="139"/>
      <c r="D97" s="42"/>
      <c r="E97" s="749"/>
      <c r="F97" s="42"/>
      <c r="G97" s="749"/>
      <c r="H97" s="42"/>
      <c r="I97" s="42"/>
      <c r="J97" s="42"/>
      <c r="K97" s="42"/>
      <c r="L97" s="42"/>
      <c r="M97" s="42"/>
      <c r="N97" s="42"/>
      <c r="O97" s="42"/>
      <c r="P97" s="42"/>
      <c r="Q97" s="42"/>
      <c r="R97" s="42"/>
      <c r="S97" s="42"/>
      <c r="T97" s="42"/>
      <c r="U97" s="42"/>
      <c r="V97" s="42"/>
      <c r="W97" s="42"/>
      <c r="X97" s="42"/>
      <c r="Y97" s="42"/>
      <c r="Z97" s="42"/>
      <c r="AA97" s="112"/>
      <c r="AB97" s="1242"/>
      <c r="AC97" s="42"/>
      <c r="AD97" s="42"/>
      <c r="AE97" s="1234"/>
      <c r="AF97" s="42"/>
      <c r="AG97" s="42"/>
      <c r="AH97" s="1444"/>
      <c r="AI97" s="42"/>
      <c r="AJ97" s="42"/>
      <c r="AK97" s="190"/>
      <c r="AL97" s="138"/>
      <c r="AM97" s="138"/>
      <c r="AO97" s="138"/>
    </row>
    <row r="98" spans="1:41" ht="15" customHeight="1">
      <c r="A98" s="100"/>
      <c r="B98" s="499" t="s">
        <v>1084</v>
      </c>
      <c r="C98" s="20"/>
      <c r="D98" s="912">
        <v>0</v>
      </c>
      <c r="E98" s="467"/>
      <c r="F98" s="912">
        <v>0</v>
      </c>
      <c r="G98" s="467"/>
      <c r="H98" s="912">
        <v>0</v>
      </c>
      <c r="I98" s="467"/>
      <c r="J98" s="912">
        <v>0</v>
      </c>
      <c r="K98" s="1004"/>
      <c r="L98" s="912">
        <v>0.1</v>
      </c>
      <c r="M98" s="1004"/>
      <c r="N98" s="912">
        <f t="shared" ref="N98" si="29">$AC98-$D98-$F98-$H98-$J98-$L98</f>
        <v>0</v>
      </c>
      <c r="O98" s="1004"/>
      <c r="P98" s="912"/>
      <c r="Q98" s="1004"/>
      <c r="R98" s="912"/>
      <c r="S98" s="1004"/>
      <c r="T98" s="912"/>
      <c r="U98" s="1004"/>
      <c r="V98" s="912"/>
      <c r="W98" s="1004"/>
      <c r="X98" s="912"/>
      <c r="Y98" s="1004"/>
      <c r="Z98" s="912"/>
      <c r="AA98" s="496"/>
      <c r="AB98" s="933"/>
      <c r="AC98" s="912">
        <v>0.1</v>
      </c>
      <c r="AD98" s="467"/>
      <c r="AE98" s="933" t="s">
        <v>14</v>
      </c>
      <c r="AF98" s="912">
        <v>0.4</v>
      </c>
      <c r="AG98" s="36"/>
      <c r="AH98" s="1443"/>
      <c r="AI98" s="1449">
        <f>ROUND(SUM(+AC98-AF98),1)</f>
        <v>-0.3</v>
      </c>
      <c r="AJ98" s="467"/>
      <c r="AK98" s="2071">
        <f>ROUND(IF(AF98=0,0,AI98/ABS(AF98)),3)</f>
        <v>-0.75</v>
      </c>
    </row>
    <row r="99" spans="1:41" ht="4.3499999999999996" customHeight="1">
      <c r="A99" s="100"/>
      <c r="B99" s="21"/>
      <c r="C99" s="20"/>
      <c r="D99" s="497"/>
      <c r="E99" s="467"/>
      <c r="F99" s="497"/>
      <c r="G99" s="467"/>
      <c r="H99" s="497"/>
      <c r="I99" s="467"/>
      <c r="J99" s="497"/>
      <c r="K99" s="36"/>
      <c r="L99" s="61"/>
      <c r="M99" s="36"/>
      <c r="N99" s="61"/>
      <c r="O99" s="36"/>
      <c r="P99" s="1306"/>
      <c r="Q99" s="36"/>
      <c r="R99" s="61"/>
      <c r="S99" s="36"/>
      <c r="T99" s="61"/>
      <c r="U99" s="36"/>
      <c r="V99" s="61"/>
      <c r="W99" s="36"/>
      <c r="X99" s="61">
        <f t="shared" ref="X99" si="30">$AC99-$D99-$F99-$H99-$J99-$L99-$N99-$P99-$R99-$T99-$V99</f>
        <v>0</v>
      </c>
      <c r="Y99" s="36"/>
      <c r="Z99" s="61"/>
      <c r="AA99" s="20"/>
      <c r="AB99" s="1241"/>
      <c r="AC99" s="1158"/>
      <c r="AD99" s="36"/>
      <c r="AE99" s="933" t="s">
        <v>14</v>
      </c>
      <c r="AF99" s="61"/>
      <c r="AG99" s="36"/>
      <c r="AH99" s="1443"/>
      <c r="AI99" s="467"/>
      <c r="AJ99" s="467"/>
      <c r="AK99" s="488"/>
    </row>
    <row r="100" spans="1:41" ht="15" customHeight="1">
      <c r="A100" s="100"/>
      <c r="B100" s="19" t="s">
        <v>147</v>
      </c>
      <c r="C100" s="20"/>
      <c r="D100" s="601">
        <f>ROUND(SUM(D98+D96+D55),1)</f>
        <v>6075.1</v>
      </c>
      <c r="E100" s="42"/>
      <c r="F100" s="601">
        <f>ROUND(SUM(F98+F96+F55),1)</f>
        <v>2678</v>
      </c>
      <c r="G100" s="42"/>
      <c r="H100" s="601">
        <f>ROUND(SUM(H98+H96+H55),1)</f>
        <v>6965.5</v>
      </c>
      <c r="I100" s="42"/>
      <c r="J100" s="601">
        <f>ROUND(SUM(J98+J96+J55),1)</f>
        <v>3099.1</v>
      </c>
      <c r="K100" s="42"/>
      <c r="L100" s="601">
        <f>ROUND(SUM(L98+L96+L55),1)</f>
        <v>3234.8</v>
      </c>
      <c r="M100" s="42"/>
      <c r="N100" s="42">
        <f>ROUND(SUM(N98+N96+N55),1)</f>
        <v>7149.3</v>
      </c>
      <c r="O100" s="42"/>
      <c r="P100" s="50">
        <f>ROUND(SUM(P98+P96+P55),1)</f>
        <v>0</v>
      </c>
      <c r="Q100" s="42"/>
      <c r="R100" s="50">
        <f>ROUND(SUM(R98+R96+R55),1)</f>
        <v>0</v>
      </c>
      <c r="S100" s="42"/>
      <c r="T100" s="50">
        <f t="shared" ref="T100" si="31">ROUND(SUM(T98+T96+T55),1)</f>
        <v>0</v>
      </c>
      <c r="U100" s="42"/>
      <c r="V100" s="50">
        <f>ROUND(SUM(V98+V96+V55),1)</f>
        <v>0</v>
      </c>
      <c r="W100" s="42"/>
      <c r="X100" s="50">
        <f>ROUND(SUM(X98+X96+X55),1)</f>
        <v>0</v>
      </c>
      <c r="Y100" s="42"/>
      <c r="Z100" s="50">
        <f>ROUND(SUM(Z98+Z96+Z55),1)</f>
        <v>0</v>
      </c>
      <c r="AA100" s="112"/>
      <c r="AB100" s="1242"/>
      <c r="AC100" s="50">
        <f>ROUND(SUM(AC98+AC96+AC55),1)</f>
        <v>29201.8</v>
      </c>
      <c r="AD100" s="42"/>
      <c r="AE100" s="1234"/>
      <c r="AF100" s="50">
        <f>ROUND(SUM(AF98+AF96+AF55),1)</f>
        <v>29537.1</v>
      </c>
      <c r="AG100" s="42"/>
      <c r="AH100" s="1444"/>
      <c r="AI100" s="50">
        <f>ROUND(SUM(AI98+AI96+AI55),1)</f>
        <v>-335.3</v>
      </c>
      <c r="AJ100" s="42"/>
      <c r="AK100" s="211">
        <f>ROUND(SUM(+AI100/AF100),3)</f>
        <v>-1.0999999999999999E-2</v>
      </c>
    </row>
    <row r="101" spans="1:41" ht="15" customHeight="1">
      <c r="A101" s="100"/>
      <c r="B101" s="21"/>
      <c r="C101" s="20"/>
      <c r="D101" s="467"/>
      <c r="E101" s="467"/>
      <c r="F101" s="467"/>
      <c r="G101" s="467"/>
      <c r="H101" s="467"/>
      <c r="I101" s="467"/>
      <c r="J101" s="467"/>
      <c r="K101" s="36"/>
      <c r="L101" s="61"/>
      <c r="M101" s="36"/>
      <c r="N101" s="61"/>
      <c r="O101" s="36"/>
      <c r="P101" s="36"/>
      <c r="Q101" s="36"/>
      <c r="R101" s="36"/>
      <c r="S101" s="36"/>
      <c r="T101" s="36"/>
      <c r="U101" s="36"/>
      <c r="V101" s="36"/>
      <c r="W101" s="36"/>
      <c r="X101" s="36"/>
      <c r="Y101" s="36"/>
      <c r="Z101" s="36"/>
      <c r="AA101" s="39"/>
      <c r="AB101" s="1241"/>
      <c r="AC101" s="467"/>
      <c r="AD101" s="36"/>
      <c r="AE101" s="750"/>
      <c r="AF101" s="36"/>
      <c r="AG101" s="36"/>
      <c r="AH101" s="1443"/>
      <c r="AI101" s="467"/>
      <c r="AJ101" s="467"/>
      <c r="AK101" s="488"/>
    </row>
    <row r="102" spans="1:41" ht="15" customHeight="1">
      <c r="A102" s="100"/>
      <c r="B102" s="19" t="s">
        <v>22</v>
      </c>
      <c r="C102" s="20"/>
      <c r="D102" s="467"/>
      <c r="E102" s="467"/>
      <c r="F102" s="467"/>
      <c r="G102" s="467"/>
      <c r="H102" s="467"/>
      <c r="I102" s="467"/>
      <c r="J102" s="467"/>
      <c r="K102" s="36"/>
      <c r="L102" s="36"/>
      <c r="M102" s="36"/>
      <c r="N102" s="36"/>
      <c r="O102" s="36"/>
      <c r="P102" s="36"/>
      <c r="Q102" s="36"/>
      <c r="R102" s="36"/>
      <c r="S102" s="36"/>
      <c r="T102" s="36"/>
      <c r="U102" s="36"/>
      <c r="V102" s="36"/>
      <c r="W102" s="36"/>
      <c r="X102" s="36"/>
      <c r="Y102" s="36"/>
      <c r="Z102" s="36"/>
      <c r="AA102" s="39"/>
      <c r="AB102" s="1241"/>
      <c r="AC102" s="467"/>
      <c r="AD102" s="36"/>
      <c r="AE102" s="750"/>
      <c r="AF102" s="36"/>
      <c r="AG102" s="36"/>
      <c r="AH102" s="1443"/>
      <c r="AI102" s="467"/>
      <c r="AJ102" s="467"/>
      <c r="AK102" s="488"/>
    </row>
    <row r="103" spans="1:41" ht="15" customHeight="1">
      <c r="A103" s="100"/>
      <c r="B103" s="21" t="s">
        <v>148</v>
      </c>
      <c r="C103" s="20"/>
      <c r="D103" s="467"/>
      <c r="E103" s="467"/>
      <c r="F103" s="467"/>
      <c r="G103" s="467"/>
      <c r="H103" s="467"/>
      <c r="I103" s="467"/>
      <c r="J103" s="467"/>
      <c r="K103" s="36"/>
      <c r="L103" s="36"/>
      <c r="M103" s="36"/>
      <c r="N103" s="36"/>
      <c r="O103" s="36"/>
      <c r="P103" s="36"/>
      <c r="Q103" s="36"/>
      <c r="R103" s="36"/>
      <c r="S103" s="36"/>
      <c r="T103" s="36"/>
      <c r="U103" s="36"/>
      <c r="V103" s="36"/>
      <c r="W103" s="36"/>
      <c r="X103" s="36"/>
      <c r="Y103" s="36"/>
      <c r="Z103" s="912"/>
      <c r="AA103" s="39"/>
      <c r="AB103" s="1241"/>
      <c r="AC103" s="495"/>
      <c r="AD103" s="36"/>
      <c r="AE103" s="750"/>
      <c r="AF103" s="193"/>
      <c r="AG103" s="1450"/>
      <c r="AH103" s="1443"/>
      <c r="AI103" s="467"/>
      <c r="AJ103" s="467"/>
      <c r="AK103" s="488"/>
    </row>
    <row r="104" spans="1:41" ht="15" customHeight="1">
      <c r="A104" s="100"/>
      <c r="B104" s="120" t="s">
        <v>24</v>
      </c>
      <c r="C104" s="20"/>
      <c r="D104" s="912">
        <v>1443</v>
      </c>
      <c r="E104" s="912"/>
      <c r="F104" s="912">
        <v>4550.6000000000004</v>
      </c>
      <c r="G104" s="912"/>
      <c r="H104" s="912">
        <v>2784.2999999999993</v>
      </c>
      <c r="I104" s="467"/>
      <c r="J104" s="912">
        <v>674.5</v>
      </c>
      <c r="K104" s="1004"/>
      <c r="L104" s="912">
        <v>1652.3999999999996</v>
      </c>
      <c r="M104" s="1004"/>
      <c r="N104" s="912">
        <f t="shared" ref="N104:N113" si="32">$AC104-$D104-$F104-$H104-$J104-$L104</f>
        <v>1966.5</v>
      </c>
      <c r="O104" s="1004"/>
      <c r="P104" s="912"/>
      <c r="Q104" s="1004"/>
      <c r="R104" s="912"/>
      <c r="S104" s="1004"/>
      <c r="T104" s="912"/>
      <c r="U104" s="1004"/>
      <c r="V104" s="912"/>
      <c r="W104" s="1004"/>
      <c r="X104" s="912"/>
      <c r="Y104" s="1004"/>
      <c r="Z104" s="912"/>
      <c r="AA104" s="496"/>
      <c r="AB104" s="933"/>
      <c r="AC104" s="912">
        <v>13071.3</v>
      </c>
      <c r="AD104" s="467"/>
      <c r="AE104" s="933" t="s">
        <v>14</v>
      </c>
      <c r="AF104" s="912">
        <v>11653.4</v>
      </c>
      <c r="AG104" s="1450"/>
      <c r="AH104" s="1443"/>
      <c r="AI104" s="467">
        <f>ROUND(SUM(+AC104-AF104),1)</f>
        <v>1417.9</v>
      </c>
      <c r="AJ104" s="467"/>
      <c r="AK104" s="469">
        <f>ROUND(IF(AF104=0,0,AI104/ABS(AF104)),3)</f>
        <v>0.122</v>
      </c>
    </row>
    <row r="105" spans="1:41" ht="15" customHeight="1">
      <c r="A105" s="100"/>
      <c r="B105" s="120" t="s">
        <v>25</v>
      </c>
      <c r="C105" s="20"/>
      <c r="D105" s="912">
        <v>0.1</v>
      </c>
      <c r="E105" s="912"/>
      <c r="F105" s="912">
        <v>0.1</v>
      </c>
      <c r="G105" s="912"/>
      <c r="H105" s="912">
        <v>9.9999999999999978E-2</v>
      </c>
      <c r="I105" s="467"/>
      <c r="J105" s="912">
        <v>0.30000000000000004</v>
      </c>
      <c r="K105" s="1004"/>
      <c r="L105" s="912">
        <v>0.20000000000000007</v>
      </c>
      <c r="M105" s="1004"/>
      <c r="N105" s="912">
        <f t="shared" si="32"/>
        <v>0.8999999999999998</v>
      </c>
      <c r="O105" s="1004"/>
      <c r="P105" s="912"/>
      <c r="Q105" s="1004"/>
      <c r="R105" s="912"/>
      <c r="S105" s="1004"/>
      <c r="T105" s="912"/>
      <c r="U105" s="1004"/>
      <c r="V105" s="912"/>
      <c r="W105" s="1004"/>
      <c r="X105" s="912"/>
      <c r="Y105" s="1004"/>
      <c r="Z105" s="912"/>
      <c r="AA105" s="496"/>
      <c r="AB105" s="933"/>
      <c r="AC105" s="912">
        <v>1.7</v>
      </c>
      <c r="AD105" s="467"/>
      <c r="AE105" s="933" t="s">
        <v>14</v>
      </c>
      <c r="AF105" s="912">
        <v>0.5</v>
      </c>
      <c r="AG105" s="36"/>
      <c r="AH105" s="1443"/>
      <c r="AI105" s="467">
        <f t="shared" ref="AI105:AI113" si="33">ROUND(SUM(+AC105-AF105),1)</f>
        <v>1.2</v>
      </c>
      <c r="AJ105" s="467"/>
      <c r="AK105" s="971">
        <f>ROUND(IF(AF105=0,1,AI105/ABS(AF105)),3)</f>
        <v>2.4</v>
      </c>
    </row>
    <row r="106" spans="1:41" ht="15" customHeight="1">
      <c r="A106" s="100"/>
      <c r="B106" s="120" t="s">
        <v>26</v>
      </c>
      <c r="C106" s="20"/>
      <c r="D106" s="912">
        <v>29.8</v>
      </c>
      <c r="E106" s="912"/>
      <c r="F106" s="912">
        <v>49.600000000000009</v>
      </c>
      <c r="G106" s="912"/>
      <c r="H106" s="912">
        <v>454.8</v>
      </c>
      <c r="I106" s="467"/>
      <c r="J106" s="912">
        <v>21.000000000000057</v>
      </c>
      <c r="K106" s="1004"/>
      <c r="L106" s="912">
        <v>28.199999999999932</v>
      </c>
      <c r="M106" s="1004"/>
      <c r="N106" s="912">
        <f t="shared" si="32"/>
        <v>127.60000000000002</v>
      </c>
      <c r="O106" s="1004"/>
      <c r="P106" s="912"/>
      <c r="Q106" s="1004"/>
      <c r="R106" s="912"/>
      <c r="S106" s="1004"/>
      <c r="T106" s="912"/>
      <c r="U106" s="1004"/>
      <c r="V106" s="912"/>
      <c r="W106" s="1004"/>
      <c r="X106" s="912"/>
      <c r="Y106" s="1004"/>
      <c r="Z106" s="912"/>
      <c r="AA106" s="496"/>
      <c r="AB106" s="933"/>
      <c r="AC106" s="912">
        <v>711</v>
      </c>
      <c r="AD106" s="467"/>
      <c r="AE106" s="933" t="s">
        <v>14</v>
      </c>
      <c r="AF106" s="912">
        <v>680.2</v>
      </c>
      <c r="AG106" s="36"/>
      <c r="AH106" s="1443"/>
      <c r="AI106" s="467">
        <f t="shared" si="33"/>
        <v>30.8</v>
      </c>
      <c r="AJ106" s="467"/>
      <c r="AK106" s="469">
        <f>ROUND(IF(AF106=0,0,AI106/ABS(AF106)),3)</f>
        <v>4.4999999999999998E-2</v>
      </c>
    </row>
    <row r="107" spans="1:41" ht="15" customHeight="1">
      <c r="A107" s="100"/>
      <c r="B107" s="120" t="s">
        <v>27</v>
      </c>
      <c r="C107" s="20"/>
      <c r="D107" s="912" t="s">
        <v>14</v>
      </c>
      <c r="E107" s="912"/>
      <c r="F107" s="912"/>
      <c r="G107" s="912"/>
      <c r="H107" s="912"/>
      <c r="I107" s="467"/>
      <c r="J107" s="912"/>
      <c r="K107" s="1004"/>
      <c r="L107" s="912"/>
      <c r="M107" s="1004"/>
      <c r="N107" s="912"/>
      <c r="O107" s="1004"/>
      <c r="P107" s="912"/>
      <c r="Q107" s="1004"/>
      <c r="R107" s="912"/>
      <c r="S107" s="1004"/>
      <c r="T107" s="912"/>
      <c r="U107" s="1004"/>
      <c r="V107" s="912"/>
      <c r="W107" s="1004"/>
      <c r="X107" s="912"/>
      <c r="Y107" s="1004"/>
      <c r="Z107" s="912"/>
      <c r="AA107" s="496"/>
      <c r="AB107" s="933"/>
      <c r="AC107" s="912"/>
      <c r="AD107" s="467"/>
      <c r="AE107" s="933" t="s">
        <v>14</v>
      </c>
      <c r="AF107" s="912"/>
      <c r="AG107" s="36"/>
      <c r="AH107" s="1443"/>
      <c r="AI107" s="467" t="s">
        <v>14</v>
      </c>
      <c r="AJ107" s="467"/>
      <c r="AK107" s="488" t="s">
        <v>14</v>
      </c>
    </row>
    <row r="108" spans="1:41" ht="15" customHeight="1">
      <c r="A108" s="100"/>
      <c r="B108" s="1128" t="s">
        <v>28</v>
      </c>
      <c r="C108" s="20"/>
      <c r="D108" s="912">
        <v>3474.6</v>
      </c>
      <c r="E108" s="912"/>
      <c r="F108" s="912">
        <v>2826.7999999999997</v>
      </c>
      <c r="G108" s="912"/>
      <c r="H108" s="912">
        <v>2420.3999999999992</v>
      </c>
      <c r="I108" s="467"/>
      <c r="J108" s="912">
        <v>2498.1000000000008</v>
      </c>
      <c r="K108" s="1004"/>
      <c r="L108" s="912">
        <v>2961.8999999999992</v>
      </c>
      <c r="M108" s="1004"/>
      <c r="N108" s="912">
        <f t="shared" si="32"/>
        <v>2469.2999999999997</v>
      </c>
      <c r="O108" s="1004"/>
      <c r="P108" s="912"/>
      <c r="Q108" s="1004"/>
      <c r="R108" s="912"/>
      <c r="S108" s="1004"/>
      <c r="T108" s="912"/>
      <c r="U108" s="1004"/>
      <c r="V108" s="912"/>
      <c r="W108" s="1004"/>
      <c r="X108" s="912"/>
      <c r="Y108" s="1004"/>
      <c r="Z108" s="912"/>
      <c r="AA108" s="496"/>
      <c r="AB108" s="933"/>
      <c r="AC108" s="912">
        <v>16651.099999999999</v>
      </c>
      <c r="AD108" s="467"/>
      <c r="AE108" s="933" t="s">
        <v>14</v>
      </c>
      <c r="AF108" s="912">
        <v>10800.7</v>
      </c>
      <c r="AG108" s="36"/>
      <c r="AH108" s="1443"/>
      <c r="AI108" s="467">
        <f t="shared" si="33"/>
        <v>5850.4</v>
      </c>
      <c r="AJ108" s="467"/>
      <c r="AK108" s="971">
        <f t="shared" ref="AK108:AK111" si="34">ROUND(IF(AF108=0,0,AI108/ABS(AF108)),3)</f>
        <v>0.54200000000000004</v>
      </c>
    </row>
    <row r="109" spans="1:41" ht="15" customHeight="1">
      <c r="A109" s="100"/>
      <c r="B109" s="120" t="s">
        <v>29</v>
      </c>
      <c r="C109" s="20"/>
      <c r="D109" s="912">
        <v>71.3</v>
      </c>
      <c r="E109" s="912"/>
      <c r="F109" s="912">
        <v>160.5</v>
      </c>
      <c r="G109" s="912"/>
      <c r="H109" s="912">
        <v>352.90000000000009</v>
      </c>
      <c r="I109" s="467"/>
      <c r="J109" s="912">
        <v>251.10000000000002</v>
      </c>
      <c r="K109" s="1004"/>
      <c r="L109" s="912">
        <v>150.39999999999998</v>
      </c>
      <c r="M109" s="1004"/>
      <c r="N109" s="912">
        <f t="shared" si="32"/>
        <v>332.79999999999995</v>
      </c>
      <c r="O109" s="1004"/>
      <c r="P109" s="912"/>
      <c r="Q109" s="1004"/>
      <c r="R109" s="912"/>
      <c r="S109" s="1004"/>
      <c r="T109" s="912"/>
      <c r="U109" s="1004"/>
      <c r="V109" s="912"/>
      <c r="W109" s="1004"/>
      <c r="X109" s="912"/>
      <c r="Y109" s="1004"/>
      <c r="Z109" s="912"/>
      <c r="AA109" s="496"/>
      <c r="AB109" s="933"/>
      <c r="AC109" s="912">
        <v>1319</v>
      </c>
      <c r="AD109" s="467"/>
      <c r="AE109" s="933" t="s">
        <v>14</v>
      </c>
      <c r="AF109" s="912">
        <v>1177.9000000000001</v>
      </c>
      <c r="AG109" s="36"/>
      <c r="AH109" s="1443"/>
      <c r="AI109" s="467">
        <f t="shared" si="33"/>
        <v>141.1</v>
      </c>
      <c r="AJ109" s="467"/>
      <c r="AK109" s="469">
        <f t="shared" si="34"/>
        <v>0.12</v>
      </c>
    </row>
    <row r="110" spans="1:41" ht="15" customHeight="1">
      <c r="A110" s="100"/>
      <c r="B110" s="120" t="s">
        <v>30</v>
      </c>
      <c r="C110" s="20"/>
      <c r="D110" s="912">
        <v>4.3000000000000007</v>
      </c>
      <c r="E110" s="912"/>
      <c r="F110" s="912">
        <v>9.8999999999999986</v>
      </c>
      <c r="G110" s="912"/>
      <c r="H110" s="912">
        <v>7.9000000000000021</v>
      </c>
      <c r="I110" s="467"/>
      <c r="J110" s="912">
        <v>11.399999999999999</v>
      </c>
      <c r="K110" s="1004"/>
      <c r="L110" s="912">
        <v>17.599999999999998</v>
      </c>
      <c r="M110" s="1004"/>
      <c r="N110" s="912">
        <f t="shared" si="32"/>
        <v>70.900000000000006</v>
      </c>
      <c r="O110" s="1004"/>
      <c r="P110" s="912"/>
      <c r="Q110" s="1004"/>
      <c r="R110" s="912"/>
      <c r="S110" s="1004"/>
      <c r="T110" s="912"/>
      <c r="U110" s="1004"/>
      <c r="V110" s="912"/>
      <c r="W110" s="1004"/>
      <c r="X110" s="912"/>
      <c r="Y110" s="1004"/>
      <c r="Z110" s="912"/>
      <c r="AA110" s="496"/>
      <c r="AB110" s="933"/>
      <c r="AC110" s="912">
        <v>122</v>
      </c>
      <c r="AD110" s="467"/>
      <c r="AE110" s="933" t="s">
        <v>14</v>
      </c>
      <c r="AF110" s="912">
        <v>93.2</v>
      </c>
      <c r="AG110" s="36"/>
      <c r="AH110" s="1443" t="s">
        <v>14</v>
      </c>
      <c r="AI110" s="467">
        <f t="shared" si="33"/>
        <v>28.8</v>
      </c>
      <c r="AJ110" s="467"/>
      <c r="AK110" s="469">
        <f t="shared" si="34"/>
        <v>0.309</v>
      </c>
    </row>
    <row r="111" spans="1:41" ht="15" customHeight="1">
      <c r="A111" s="100"/>
      <c r="B111" s="120" t="s">
        <v>31</v>
      </c>
      <c r="C111" s="20"/>
      <c r="D111" s="912">
        <v>189.2</v>
      </c>
      <c r="E111" s="912"/>
      <c r="F111" s="912">
        <v>201.2</v>
      </c>
      <c r="G111" s="912"/>
      <c r="H111" s="912">
        <v>343.8</v>
      </c>
      <c r="I111" s="467"/>
      <c r="J111" s="912">
        <v>510.7</v>
      </c>
      <c r="K111" s="1004"/>
      <c r="L111" s="912">
        <v>211.39999999999992</v>
      </c>
      <c r="M111" s="1004"/>
      <c r="N111" s="912">
        <f t="shared" si="32"/>
        <v>382.49999999999994</v>
      </c>
      <c r="O111" s="1004"/>
      <c r="P111" s="912"/>
      <c r="Q111" s="1004"/>
      <c r="R111" s="912"/>
      <c r="S111" s="1004"/>
      <c r="T111" s="912"/>
      <c r="U111" s="1004"/>
      <c r="V111" s="912"/>
      <c r="W111" s="1004"/>
      <c r="X111" s="912"/>
      <c r="Y111" s="1004"/>
      <c r="Z111" s="912"/>
      <c r="AA111" s="496"/>
      <c r="AB111" s="933"/>
      <c r="AC111" s="912">
        <v>1838.8</v>
      </c>
      <c r="AD111" s="467"/>
      <c r="AE111" s="933" t="s">
        <v>14</v>
      </c>
      <c r="AF111" s="912">
        <v>1758.9</v>
      </c>
      <c r="AG111" s="36"/>
      <c r="AH111" s="1443"/>
      <c r="AI111" s="467">
        <f t="shared" si="33"/>
        <v>79.900000000000006</v>
      </c>
      <c r="AJ111" s="467"/>
      <c r="AK111" s="469">
        <f t="shared" si="34"/>
        <v>4.4999999999999998E-2</v>
      </c>
    </row>
    <row r="112" spans="1:41" ht="15" customHeight="1">
      <c r="A112" s="100"/>
      <c r="B112" s="120" t="s">
        <v>32</v>
      </c>
      <c r="C112" s="20"/>
      <c r="D112" s="912">
        <v>12.9</v>
      </c>
      <c r="E112" s="912"/>
      <c r="F112" s="912">
        <v>12.1</v>
      </c>
      <c r="G112" s="912"/>
      <c r="H112" s="912">
        <v>8.5000000000000018</v>
      </c>
      <c r="I112" s="467"/>
      <c r="J112" s="912">
        <v>28</v>
      </c>
      <c r="K112" s="1004"/>
      <c r="L112" s="912">
        <v>14.299999999999997</v>
      </c>
      <c r="M112" s="1004"/>
      <c r="N112" s="912">
        <f t="shared" si="32"/>
        <v>12.600000000000001</v>
      </c>
      <c r="O112" s="1004"/>
      <c r="P112" s="912"/>
      <c r="Q112" s="1004"/>
      <c r="R112" s="912"/>
      <c r="S112" s="1004"/>
      <c r="T112" s="912"/>
      <c r="U112" s="1004"/>
      <c r="V112" s="912"/>
      <c r="W112" s="1004"/>
      <c r="X112" s="912"/>
      <c r="Y112" s="1004"/>
      <c r="Z112" s="912"/>
      <c r="AA112" s="496"/>
      <c r="AB112" s="933"/>
      <c r="AC112" s="912">
        <v>88.4</v>
      </c>
      <c r="AD112" s="467"/>
      <c r="AE112" s="933" t="s">
        <v>14</v>
      </c>
      <c r="AF112" s="912">
        <v>433.09999999999997</v>
      </c>
      <c r="AG112" s="36"/>
      <c r="AH112" s="1443"/>
      <c r="AI112" s="467">
        <f t="shared" si="33"/>
        <v>-344.7</v>
      </c>
      <c r="AJ112" s="467"/>
      <c r="AK112" s="971">
        <f>ROUND(IF(AF112=0,0,AI112/ABS(AF112)),3)</f>
        <v>-0.79600000000000004</v>
      </c>
    </row>
    <row r="113" spans="1:37" ht="15" customHeight="1">
      <c r="A113" s="100"/>
      <c r="B113" s="120" t="s">
        <v>33</v>
      </c>
      <c r="C113" s="20"/>
      <c r="D113" s="912">
        <v>0</v>
      </c>
      <c r="E113" s="912"/>
      <c r="F113" s="912">
        <v>39.6</v>
      </c>
      <c r="G113" s="912"/>
      <c r="H113" s="912">
        <v>19.199999999999996</v>
      </c>
      <c r="I113" s="467"/>
      <c r="J113" s="912">
        <v>1.3000000000000043</v>
      </c>
      <c r="K113" s="1004"/>
      <c r="L113" s="912">
        <v>52.099999999999994</v>
      </c>
      <c r="M113" s="1004"/>
      <c r="N113" s="912">
        <f t="shared" si="32"/>
        <v>0.30000000000001137</v>
      </c>
      <c r="O113" s="1004"/>
      <c r="P113" s="912"/>
      <c r="Q113" s="1004"/>
      <c r="R113" s="912"/>
      <c r="S113" s="1004"/>
      <c r="T113" s="912"/>
      <c r="U113" s="1004"/>
      <c r="V113" s="912"/>
      <c r="W113" s="1004"/>
      <c r="X113" s="912"/>
      <c r="Y113" s="1004"/>
      <c r="Z113" s="912"/>
      <c r="AA113" s="496"/>
      <c r="AB113" s="933"/>
      <c r="AC113" s="912">
        <v>112.5</v>
      </c>
      <c r="AD113" s="467"/>
      <c r="AE113" s="933" t="s">
        <v>14</v>
      </c>
      <c r="AF113" s="912">
        <v>84.6</v>
      </c>
      <c r="AG113" s="40"/>
      <c r="AH113" s="1451"/>
      <c r="AI113" s="467">
        <f t="shared" si="33"/>
        <v>27.9</v>
      </c>
      <c r="AJ113" s="647"/>
      <c r="AK113" s="971">
        <f>ROUND(IF(AF113=0,0,AI113/ABS(AF113)),3)</f>
        <v>0.33</v>
      </c>
    </row>
    <row r="114" spans="1:37" ht="15" customHeight="1">
      <c r="A114" s="100"/>
      <c r="B114" s="499" t="s">
        <v>851</v>
      </c>
      <c r="C114" s="20"/>
      <c r="D114" s="179">
        <f>ROUND(SUM(D104:D113),1)</f>
        <v>5225.2</v>
      </c>
      <c r="E114" s="42"/>
      <c r="F114" s="179">
        <f>ROUND(SUM(F104:F113),1)</f>
        <v>7850.4</v>
      </c>
      <c r="G114" s="42"/>
      <c r="H114" s="179">
        <f>ROUND(SUM(H104:H113),1)</f>
        <v>6391.9</v>
      </c>
      <c r="I114" s="42"/>
      <c r="J114" s="179">
        <f>ROUND(SUM(J104:J113),1)</f>
        <v>3996.4</v>
      </c>
      <c r="K114" s="42"/>
      <c r="L114" s="179">
        <f>ROUND(SUM(L104:L113),1)</f>
        <v>5088.5</v>
      </c>
      <c r="M114" s="42"/>
      <c r="N114" s="179">
        <f>ROUND(SUM(N104:N113),1)</f>
        <v>5363.4</v>
      </c>
      <c r="O114" s="42"/>
      <c r="P114" s="179">
        <f>ROUND(SUM(P104:P113),1)</f>
        <v>0</v>
      </c>
      <c r="Q114" s="42"/>
      <c r="R114" s="179">
        <f>ROUND(SUM(R104:R113),1)</f>
        <v>0</v>
      </c>
      <c r="S114" s="42"/>
      <c r="T114" s="179">
        <f t="shared" ref="T114" si="35">ROUND(SUM(T104:T113),1)</f>
        <v>0</v>
      </c>
      <c r="U114" s="42"/>
      <c r="V114" s="179">
        <f>ROUND(SUM(V104:V113),1)</f>
        <v>0</v>
      </c>
      <c r="W114" s="42"/>
      <c r="X114" s="179">
        <f>ROUND(SUM(X104:X113),1)</f>
        <v>0</v>
      </c>
      <c r="Y114" s="42"/>
      <c r="Z114" s="179">
        <f>ROUND(SUM(Z104:Z113),1)</f>
        <v>0</v>
      </c>
      <c r="AA114" s="112"/>
      <c r="AB114" s="1242"/>
      <c r="AC114" s="179">
        <f>SUM(AC104:AC113)</f>
        <v>33915.800000000003</v>
      </c>
      <c r="AD114" s="42"/>
      <c r="AE114" s="1234" t="s">
        <v>14</v>
      </c>
      <c r="AF114" s="179">
        <f>ROUND(SUM(AF104:AF113),1)</f>
        <v>26682.5</v>
      </c>
      <c r="AG114" s="42"/>
      <c r="AH114" s="1444"/>
      <c r="AI114" s="179">
        <f>ROUND(SUM(+AC114-AF114),1)</f>
        <v>7233.3</v>
      </c>
      <c r="AJ114" s="42"/>
      <c r="AK114" s="1452">
        <f>ROUND(SUM(AI114/AF114),3)</f>
        <v>0.27100000000000002</v>
      </c>
    </row>
    <row r="115" spans="1:37" ht="15" customHeight="1">
      <c r="A115" s="100"/>
      <c r="B115" s="21" t="s">
        <v>149</v>
      </c>
      <c r="C115" s="20"/>
      <c r="D115" s="467"/>
      <c r="E115" s="467"/>
      <c r="F115" s="467"/>
      <c r="G115" s="467"/>
      <c r="H115" s="467"/>
      <c r="I115" s="467"/>
      <c r="J115" s="467"/>
      <c r="K115" s="36"/>
      <c r="L115" s="36"/>
      <c r="M115" s="36"/>
      <c r="N115" s="36"/>
      <c r="O115" s="36"/>
      <c r="P115" s="36"/>
      <c r="Q115" s="36"/>
      <c r="R115" s="36"/>
      <c r="S115" s="36"/>
      <c r="T115" s="36"/>
      <c r="U115" s="36"/>
      <c r="V115" s="36"/>
      <c r="W115" s="36"/>
      <c r="X115" s="36"/>
      <c r="Y115" s="36"/>
      <c r="Z115" s="36"/>
      <c r="AA115" s="39"/>
      <c r="AB115" s="1241"/>
      <c r="AC115" s="467"/>
      <c r="AD115" s="36"/>
      <c r="AE115" s="750"/>
      <c r="AF115" s="36"/>
      <c r="AG115" s="36"/>
      <c r="AH115" s="1443"/>
      <c r="AI115" s="467"/>
      <c r="AJ115" s="467"/>
      <c r="AK115" s="488"/>
    </row>
    <row r="116" spans="1:37" ht="15" customHeight="1">
      <c r="A116" s="100"/>
      <c r="B116" s="21" t="s">
        <v>150</v>
      </c>
      <c r="C116" s="20"/>
      <c r="D116" s="912">
        <v>785.1</v>
      </c>
      <c r="E116" s="912"/>
      <c r="F116" s="912">
        <v>791.69999999999993</v>
      </c>
      <c r="G116" s="912"/>
      <c r="H116" s="912">
        <v>915.9</v>
      </c>
      <c r="I116" s="467"/>
      <c r="J116" s="912">
        <v>745.70000000000039</v>
      </c>
      <c r="K116" s="1004"/>
      <c r="L116" s="912">
        <v>984.4</v>
      </c>
      <c r="M116" s="1004"/>
      <c r="N116" s="912">
        <f t="shared" ref="N116:N118" si="36">$AC116-$D116-$F116-$H116-$J116-$L116</f>
        <v>769.59999999999911</v>
      </c>
      <c r="O116" s="1004"/>
      <c r="P116" s="912"/>
      <c r="Q116" s="1004"/>
      <c r="R116" s="912"/>
      <c r="S116" s="1004"/>
      <c r="T116" s="912"/>
      <c r="U116" s="1004"/>
      <c r="V116" s="912"/>
      <c r="W116" s="1004"/>
      <c r="X116" s="912"/>
      <c r="Y116" s="1004"/>
      <c r="Z116" s="912"/>
      <c r="AA116" s="496"/>
      <c r="AB116" s="933"/>
      <c r="AC116" s="912">
        <v>4992.3999999999996</v>
      </c>
      <c r="AD116" s="467"/>
      <c r="AE116" s="933" t="s">
        <v>14</v>
      </c>
      <c r="AF116" s="912">
        <v>4636.8999999999996</v>
      </c>
      <c r="AG116" s="36"/>
      <c r="AH116" s="1443"/>
      <c r="AI116" s="467">
        <f>ROUND(SUM(+AC116-AF116),1)</f>
        <v>355.5</v>
      </c>
      <c r="AJ116" s="467"/>
      <c r="AK116" s="469">
        <f>ROUND(IF(AF116=0,0,AI116/ABS(AF116)),3)</f>
        <v>7.6999999999999999E-2</v>
      </c>
    </row>
    <row r="117" spans="1:37" ht="15" customHeight="1">
      <c r="A117" s="100"/>
      <c r="B117" s="34" t="s">
        <v>151</v>
      </c>
      <c r="C117" s="20"/>
      <c r="D117" s="912">
        <v>120.7</v>
      </c>
      <c r="E117" s="912"/>
      <c r="F117" s="912">
        <v>226.10000000000002</v>
      </c>
      <c r="G117" s="912"/>
      <c r="H117" s="912">
        <v>-412.8</v>
      </c>
      <c r="I117" s="467"/>
      <c r="J117" s="912">
        <v>173.2</v>
      </c>
      <c r="K117" s="1004"/>
      <c r="L117" s="912">
        <v>282.7</v>
      </c>
      <c r="M117" s="1004"/>
      <c r="N117" s="912">
        <f t="shared" si="36"/>
        <v>182.60000000000002</v>
      </c>
      <c r="O117" s="1004"/>
      <c r="P117" s="912"/>
      <c r="Q117" s="1004"/>
      <c r="R117" s="912"/>
      <c r="S117" s="1004"/>
      <c r="T117" s="912"/>
      <c r="U117" s="1004"/>
      <c r="V117" s="912"/>
      <c r="W117" s="1004"/>
      <c r="X117" s="912"/>
      <c r="Y117" s="1004"/>
      <c r="Z117" s="912"/>
      <c r="AA117" s="496"/>
      <c r="AB117" s="933"/>
      <c r="AC117" s="912">
        <v>572.5</v>
      </c>
      <c r="AD117" s="467"/>
      <c r="AE117" s="933" t="s">
        <v>14</v>
      </c>
      <c r="AF117" s="912">
        <v>1238.4000000000001</v>
      </c>
      <c r="AG117" s="36"/>
      <c r="AH117" s="1443"/>
      <c r="AI117" s="467">
        <f>ROUND(SUM(+AC117-AF117),1)</f>
        <v>-665.9</v>
      </c>
      <c r="AJ117" s="467"/>
      <c r="AK117" s="469">
        <f>ROUND(IF(AF117=0,0,AI117/ABS(AF117)),3)</f>
        <v>-0.53800000000000003</v>
      </c>
    </row>
    <row r="118" spans="1:37" ht="15" customHeight="1">
      <c r="A118" s="100"/>
      <c r="B118" s="34" t="s">
        <v>152</v>
      </c>
      <c r="C118" s="20"/>
      <c r="D118" s="912">
        <v>657.1</v>
      </c>
      <c r="E118" s="912"/>
      <c r="F118" s="912">
        <v>1832.2000000000003</v>
      </c>
      <c r="G118" s="912"/>
      <c r="H118" s="912">
        <v>480.39999999999964</v>
      </c>
      <c r="I118" s="467"/>
      <c r="J118" s="912">
        <v>444.80000000000018</v>
      </c>
      <c r="K118" s="1004"/>
      <c r="L118" s="912">
        <v>483.19999999999982</v>
      </c>
      <c r="M118" s="1004"/>
      <c r="N118" s="912">
        <f t="shared" si="36"/>
        <v>489.09999999999945</v>
      </c>
      <c r="O118" s="1004"/>
      <c r="P118" s="912"/>
      <c r="Q118" s="1004"/>
      <c r="R118" s="912"/>
      <c r="S118" s="1004"/>
      <c r="T118" s="912"/>
      <c r="U118" s="1004"/>
      <c r="V118" s="912"/>
      <c r="W118" s="1004"/>
      <c r="X118" s="912"/>
      <c r="Y118" s="1004"/>
      <c r="Z118" s="912"/>
      <c r="AA118" s="496"/>
      <c r="AB118" s="933"/>
      <c r="AC118" s="912">
        <v>4386.7999999999993</v>
      </c>
      <c r="AD118" s="467"/>
      <c r="AE118" s="933" t="s">
        <v>14</v>
      </c>
      <c r="AF118" s="912">
        <v>4536.1000000000004</v>
      </c>
      <c r="AG118" s="36"/>
      <c r="AH118" s="1443"/>
      <c r="AI118" s="1449">
        <f>ROUND(SUM(+AC118-AF118),1)</f>
        <v>-149.30000000000001</v>
      </c>
      <c r="AJ118" s="467"/>
      <c r="AK118" s="954">
        <f>ROUND(IF(AF118=0,0,AI118/ABS(AF118)),3)</f>
        <v>-3.3000000000000002E-2</v>
      </c>
    </row>
    <row r="119" spans="1:37" ht="7.5" customHeight="1">
      <c r="A119" s="100"/>
      <c r="B119" s="21"/>
      <c r="C119" s="20"/>
      <c r="D119" s="497"/>
      <c r="E119" s="467"/>
      <c r="F119" s="497"/>
      <c r="G119" s="467"/>
      <c r="H119" s="497"/>
      <c r="I119" s="467"/>
      <c r="J119" s="497"/>
      <c r="K119" s="36"/>
      <c r="L119" s="61"/>
      <c r="M119" s="36"/>
      <c r="N119" s="61"/>
      <c r="O119" s="36"/>
      <c r="P119" s="61"/>
      <c r="Q119" s="36"/>
      <c r="R119" s="1306"/>
      <c r="S119" s="36"/>
      <c r="T119" s="61"/>
      <c r="U119" s="36"/>
      <c r="V119" s="61"/>
      <c r="W119" s="36"/>
      <c r="X119" s="61"/>
      <c r="Y119" s="36"/>
      <c r="Z119" s="61"/>
      <c r="AA119" s="39"/>
      <c r="AB119" s="1241"/>
      <c r="AC119" s="1158"/>
      <c r="AD119" s="36"/>
      <c r="AE119" s="750"/>
      <c r="AF119" s="61"/>
      <c r="AG119" s="36"/>
      <c r="AH119" s="1443"/>
      <c r="AI119" s="467"/>
      <c r="AJ119" s="467"/>
      <c r="AK119" s="488"/>
    </row>
    <row r="120" spans="1:37" ht="15" customHeight="1">
      <c r="A120" s="100"/>
      <c r="B120" s="19" t="s">
        <v>153</v>
      </c>
      <c r="C120" s="20"/>
      <c r="D120" s="42">
        <f>ROUND(SUM(D116:D118)+D114,1)</f>
        <v>6788.1</v>
      </c>
      <c r="E120" s="42"/>
      <c r="F120" s="42">
        <f>ROUND(SUM(F114:F118),1)</f>
        <v>10700.4</v>
      </c>
      <c r="G120" s="42"/>
      <c r="H120" s="42">
        <f>ROUND(SUM(H114:H118),1)</f>
        <v>7375.4</v>
      </c>
      <c r="I120" s="42"/>
      <c r="J120" s="42">
        <f>ROUND(SUM(J114:J118),1)</f>
        <v>5360.1</v>
      </c>
      <c r="K120" s="42"/>
      <c r="L120" s="42">
        <f>ROUND(SUM(L114:L118),1)</f>
        <v>6838.8</v>
      </c>
      <c r="M120" s="42"/>
      <c r="N120" s="42">
        <f>ROUND(SUM(N114:N118),1)</f>
        <v>6804.7</v>
      </c>
      <c r="O120" s="42"/>
      <c r="P120" s="42">
        <f>ROUND(SUM(P114:P118),1)</f>
        <v>0</v>
      </c>
      <c r="Q120" s="42"/>
      <c r="R120" s="42">
        <f>ROUND(SUM(R114:R118),1)</f>
        <v>0</v>
      </c>
      <c r="S120" s="42"/>
      <c r="T120" s="42">
        <f t="shared" ref="T120" si="37">ROUND(SUM(T114:T118),1)</f>
        <v>0</v>
      </c>
      <c r="U120" s="42"/>
      <c r="V120" s="42">
        <f>ROUND(SUM(V114:V118),1)</f>
        <v>0</v>
      </c>
      <c r="W120" s="42"/>
      <c r="X120" s="42">
        <f>ROUND(SUM(X114:X118),1)</f>
        <v>0</v>
      </c>
      <c r="Y120" s="42"/>
      <c r="Z120" s="42">
        <f>ROUND(SUM(Z114:Z118),1)</f>
        <v>0</v>
      </c>
      <c r="AA120" s="112"/>
      <c r="AB120" s="1242"/>
      <c r="AC120" s="42">
        <f>ROUND(SUM(AC114:AC118),1)</f>
        <v>43867.5</v>
      </c>
      <c r="AD120" s="42"/>
      <c r="AE120" s="1234"/>
      <c r="AF120" s="42">
        <f>ROUND(SUM(AF114:AF118),1)</f>
        <v>37093.9</v>
      </c>
      <c r="AG120" s="42"/>
      <c r="AH120" s="1444"/>
      <c r="AI120" s="601">
        <f>ROUND(SUM(AI114:AI118),1)</f>
        <v>6773.6</v>
      </c>
      <c r="AJ120" s="42"/>
      <c r="AK120" s="1453">
        <f>ROUND(SUM(AI120/AF120),3)</f>
        <v>0.183</v>
      </c>
    </row>
    <row r="121" spans="1:37" ht="15" customHeight="1">
      <c r="A121" s="100"/>
      <c r="B121" s="21"/>
      <c r="C121" s="20"/>
      <c r="D121" s="497"/>
      <c r="E121" s="467"/>
      <c r="F121" s="497"/>
      <c r="G121" s="467"/>
      <c r="H121" s="497"/>
      <c r="I121" s="467"/>
      <c r="J121" s="497"/>
      <c r="K121" s="36"/>
      <c r="L121" s="61"/>
      <c r="M121" s="36"/>
      <c r="N121" s="61"/>
      <c r="O121" s="36"/>
      <c r="P121" s="61"/>
      <c r="Q121" s="36"/>
      <c r="R121" s="61"/>
      <c r="S121" s="36"/>
      <c r="T121" s="61"/>
      <c r="U121" s="36"/>
      <c r="V121" s="61"/>
      <c r="W121" s="36"/>
      <c r="X121" s="61"/>
      <c r="Y121" s="36"/>
      <c r="Z121" s="61"/>
      <c r="AA121" s="39"/>
      <c r="AB121" s="1241"/>
      <c r="AC121" s="1158"/>
      <c r="AD121" s="36"/>
      <c r="AE121" s="750"/>
      <c r="AF121" s="61"/>
      <c r="AG121" s="36"/>
      <c r="AH121" s="1443"/>
      <c r="AI121" s="467"/>
      <c r="AJ121" s="467"/>
      <c r="AK121" s="488"/>
    </row>
    <row r="122" spans="1:37" ht="15" customHeight="1">
      <c r="A122" s="100"/>
      <c r="B122" s="19" t="s">
        <v>154</v>
      </c>
      <c r="C122" s="20"/>
      <c r="D122" s="467"/>
      <c r="E122" s="467"/>
      <c r="F122" s="467"/>
      <c r="G122" s="467"/>
      <c r="H122" s="467"/>
      <c r="I122" s="467"/>
      <c r="J122" s="467"/>
      <c r="K122" s="36"/>
      <c r="L122" s="36"/>
      <c r="M122" s="36"/>
      <c r="N122" s="36"/>
      <c r="O122" s="36"/>
      <c r="P122" s="36"/>
      <c r="Q122" s="36"/>
      <c r="R122" s="36"/>
      <c r="S122" s="36"/>
      <c r="T122" s="36"/>
      <c r="U122" s="36"/>
      <c r="V122" s="36"/>
      <c r="W122" s="36"/>
      <c r="X122" s="36"/>
      <c r="Y122" s="36"/>
      <c r="Z122" s="36"/>
      <c r="AA122" s="39"/>
      <c r="AB122" s="1241"/>
      <c r="AC122" s="467"/>
      <c r="AD122" s="36"/>
      <c r="AE122" s="750"/>
      <c r="AF122" s="36"/>
      <c r="AG122" s="36"/>
      <c r="AH122" s="1443"/>
      <c r="AI122" s="467"/>
      <c r="AJ122" s="467"/>
      <c r="AK122" s="488"/>
    </row>
    <row r="123" spans="1:37" ht="15" customHeight="1">
      <c r="A123" s="100"/>
      <c r="B123" s="19" t="s">
        <v>44</v>
      </c>
      <c r="C123" s="20"/>
      <c r="D123" s="42">
        <f>ROUND(SUM(D100-D120),1)</f>
        <v>-713</v>
      </c>
      <c r="E123" s="42"/>
      <c r="F123" s="42">
        <f>ROUND(SUM(F100-F120),1)</f>
        <v>-8022.4</v>
      </c>
      <c r="G123" s="42"/>
      <c r="H123" s="42">
        <f>ROUND(SUM(H100-H120),1)</f>
        <v>-409.9</v>
      </c>
      <c r="I123" s="42"/>
      <c r="J123" s="42">
        <f>ROUND(SUM(J100-J120),1)</f>
        <v>-2261</v>
      </c>
      <c r="K123" s="42"/>
      <c r="L123" s="42">
        <f>ROUND(SUM(L100-L120),1)</f>
        <v>-3604</v>
      </c>
      <c r="M123" s="42"/>
      <c r="N123" s="42">
        <f>ROUND(SUM(N100-N120),1)</f>
        <v>344.6</v>
      </c>
      <c r="O123" s="42"/>
      <c r="P123" s="42">
        <f>ROUND(SUM(P100-P120),1)</f>
        <v>0</v>
      </c>
      <c r="Q123" s="42"/>
      <c r="R123" s="42">
        <f>ROUND(SUM(R100-R120),1)</f>
        <v>0</v>
      </c>
      <c r="S123" s="42"/>
      <c r="T123" s="42">
        <f t="shared" ref="T123" si="38">ROUND(SUM(T100-T120),1)</f>
        <v>0</v>
      </c>
      <c r="U123" s="42"/>
      <c r="V123" s="42">
        <f>ROUND(SUM(V100-V120),1)</f>
        <v>0</v>
      </c>
      <c r="W123" s="42"/>
      <c r="X123" s="42">
        <f>ROUND(SUM(X100-X120),1)</f>
        <v>0</v>
      </c>
      <c r="Y123" s="42"/>
      <c r="Z123" s="42">
        <f>ROUND(SUM(Z100-Z120),1)</f>
        <v>0</v>
      </c>
      <c r="AA123" s="112"/>
      <c r="AB123" s="1242"/>
      <c r="AC123" s="42">
        <f>ROUND(SUM(AC100-AC120),1)</f>
        <v>-14665.7</v>
      </c>
      <c r="AD123" s="42"/>
      <c r="AE123" s="1234"/>
      <c r="AF123" s="42">
        <f>ROUND(SUM(AF100-AF120),1)</f>
        <v>-7556.8</v>
      </c>
      <c r="AG123" s="42"/>
      <c r="AH123" s="1444"/>
      <c r="AI123" s="50">
        <f>ROUND(SUM(+AC123-AF123),1)</f>
        <v>-7108.9</v>
      </c>
      <c r="AJ123" s="42"/>
      <c r="AK123" s="245">
        <f>-ROUND(AI123/AF123,3)</f>
        <v>-0.94099999999999995</v>
      </c>
    </row>
    <row r="124" spans="1:37" ht="15" customHeight="1">
      <c r="A124" s="100"/>
      <c r="B124" s="21"/>
      <c r="C124" s="20"/>
      <c r="D124" s="497"/>
      <c r="E124" s="467"/>
      <c r="F124" s="497"/>
      <c r="G124" s="467"/>
      <c r="H124" s="497"/>
      <c r="I124" s="467"/>
      <c r="J124" s="497"/>
      <c r="K124" s="36"/>
      <c r="L124" s="61"/>
      <c r="M124" s="36"/>
      <c r="N124" s="61"/>
      <c r="O124" s="36"/>
      <c r="P124" s="61"/>
      <c r="Q124" s="36"/>
      <c r="R124" s="61"/>
      <c r="S124" s="36"/>
      <c r="T124" s="61"/>
      <c r="U124" s="36"/>
      <c r="V124" s="61"/>
      <c r="W124" s="36"/>
      <c r="X124" s="61"/>
      <c r="Y124" s="36"/>
      <c r="Z124" s="61"/>
      <c r="AA124" s="39"/>
      <c r="AB124" s="1241"/>
      <c r="AC124" s="1158"/>
      <c r="AD124" s="36"/>
      <c r="AE124" s="750"/>
      <c r="AF124" s="61"/>
      <c r="AG124" s="61"/>
      <c r="AH124" s="1443"/>
      <c r="AI124" s="467"/>
      <c r="AJ124" s="467"/>
      <c r="AK124" s="488"/>
    </row>
    <row r="125" spans="1:37" ht="15" customHeight="1">
      <c r="A125" s="100"/>
      <c r="B125" s="19" t="s">
        <v>45</v>
      </c>
      <c r="C125" s="20"/>
      <c r="D125" s="467"/>
      <c r="E125" s="467"/>
      <c r="F125" s="467"/>
      <c r="G125" s="467"/>
      <c r="H125" s="467"/>
      <c r="I125" s="467"/>
      <c r="J125" s="467"/>
      <c r="K125" s="36"/>
      <c r="L125" s="36"/>
      <c r="M125" s="36"/>
      <c r="N125" s="36"/>
      <c r="O125" s="36"/>
      <c r="P125" s="36"/>
      <c r="Q125" s="36"/>
      <c r="R125" s="36"/>
      <c r="S125" s="36"/>
      <c r="T125" s="36"/>
      <c r="U125" s="36"/>
      <c r="V125" s="36"/>
      <c r="W125" s="36"/>
      <c r="X125" s="36"/>
      <c r="Y125" s="36"/>
      <c r="Z125" s="36"/>
      <c r="AA125" s="39"/>
      <c r="AB125" s="1241"/>
      <c r="AC125" s="467"/>
      <c r="AD125" s="36"/>
      <c r="AE125" s="750"/>
      <c r="AF125" s="36"/>
      <c r="AG125" s="36"/>
      <c r="AH125" s="1443"/>
      <c r="AI125" s="467"/>
      <c r="AJ125" s="467"/>
      <c r="AK125" s="488"/>
    </row>
    <row r="126" spans="1:37" ht="15" customHeight="1">
      <c r="A126" s="100"/>
      <c r="B126" s="19"/>
      <c r="C126" s="20"/>
      <c r="D126" s="467"/>
      <c r="E126" s="467"/>
      <c r="F126" s="467"/>
      <c r="G126" s="467"/>
      <c r="H126" s="467"/>
      <c r="I126" s="467"/>
      <c r="J126" s="467"/>
      <c r="K126" s="36"/>
      <c r="L126" s="36"/>
      <c r="M126" s="36"/>
      <c r="N126" s="36"/>
      <c r="O126" s="36"/>
      <c r="P126" s="36"/>
      <c r="Q126" s="36"/>
      <c r="R126" s="36"/>
      <c r="S126" s="36"/>
      <c r="T126" s="36"/>
      <c r="U126" s="36"/>
      <c r="V126" s="36"/>
      <c r="W126" s="36"/>
      <c r="X126" s="36"/>
      <c r="Y126" s="36"/>
      <c r="Z126" s="36"/>
      <c r="AA126" s="39"/>
      <c r="AB126" s="1241"/>
      <c r="AC126" s="467"/>
      <c r="AD126" s="36"/>
      <c r="AE126" s="750"/>
      <c r="AF126" s="36"/>
      <c r="AG126" s="36"/>
      <c r="AH126" s="1443"/>
      <c r="AI126" s="467"/>
      <c r="AJ126" s="467"/>
      <c r="AK126" s="488"/>
    </row>
    <row r="127" spans="1:37" ht="15" customHeight="1">
      <c r="A127" s="100"/>
      <c r="B127" s="737" t="s">
        <v>861</v>
      </c>
      <c r="C127" s="20"/>
      <c r="D127" s="912">
        <v>3779.9</v>
      </c>
      <c r="E127" s="912"/>
      <c r="F127" s="912">
        <v>1109.9000000000001</v>
      </c>
      <c r="G127" s="912"/>
      <c r="H127" s="912">
        <v>3766.4999999999995</v>
      </c>
      <c r="I127" s="467"/>
      <c r="J127" s="912">
        <v>1578.6000000000008</v>
      </c>
      <c r="K127" s="1004"/>
      <c r="L127" s="912">
        <v>1410.2000000000007</v>
      </c>
      <c r="M127" s="1004"/>
      <c r="N127" s="912">
        <f t="shared" ref="N127:N134" si="39">$AC127-$D127-$F127-$H127-$J127-$L127</f>
        <v>3998.7999999999993</v>
      </c>
      <c r="O127" s="1004"/>
      <c r="P127" s="912"/>
      <c r="Q127" s="1004"/>
      <c r="R127" s="912"/>
      <c r="S127" s="1004"/>
      <c r="T127" s="912"/>
      <c r="U127" s="1004"/>
      <c r="V127" s="912"/>
      <c r="W127" s="1004"/>
      <c r="X127" s="912"/>
      <c r="Y127" s="1004"/>
      <c r="Z127" s="912"/>
      <c r="AA127" s="496"/>
      <c r="AB127" s="933"/>
      <c r="AC127" s="912">
        <v>15643.9</v>
      </c>
      <c r="AD127" s="467"/>
      <c r="AE127" s="933" t="s">
        <v>14</v>
      </c>
      <c r="AF127" s="912">
        <v>18671.2</v>
      </c>
      <c r="AG127" s="36"/>
      <c r="AH127" s="1443"/>
      <c r="AI127" s="467">
        <f>ROUND(SUM(+AC127-AF127),1)</f>
        <v>-3027.3</v>
      </c>
      <c r="AJ127" s="467"/>
      <c r="AK127" s="469">
        <f>ROUND(IF(AF127=0,0,AI127/ABS(AF127)),3)</f>
        <v>-0.16200000000000001</v>
      </c>
    </row>
    <row r="128" spans="1:37" ht="15" customHeight="1">
      <c r="A128" s="100"/>
      <c r="B128" s="737" t="s">
        <v>1457</v>
      </c>
      <c r="C128" s="20"/>
      <c r="D128" s="912">
        <v>613.5</v>
      </c>
      <c r="E128" s="912"/>
      <c r="F128" s="912">
        <v>622.90000000000009</v>
      </c>
      <c r="G128" s="912"/>
      <c r="H128" s="912">
        <v>886.90000000000009</v>
      </c>
      <c r="I128" s="467"/>
      <c r="J128" s="912">
        <v>685.69999999999982</v>
      </c>
      <c r="K128" s="1004"/>
      <c r="L128" s="912">
        <v>665.19999999999982</v>
      </c>
      <c r="M128" s="1004"/>
      <c r="N128" s="912">
        <f t="shared" si="39"/>
        <v>1008.6000000000004</v>
      </c>
      <c r="O128" s="1004"/>
      <c r="P128" s="912"/>
      <c r="Q128" s="1004"/>
      <c r="R128" s="912"/>
      <c r="S128" s="1004"/>
      <c r="T128" s="912"/>
      <c r="U128" s="1004"/>
      <c r="V128" s="912"/>
      <c r="W128" s="1004"/>
      <c r="X128" s="912"/>
      <c r="Y128" s="1004"/>
      <c r="Z128" s="912"/>
      <c r="AA128" s="496"/>
      <c r="AB128" s="933"/>
      <c r="AC128" s="912">
        <v>4482.8</v>
      </c>
      <c r="AD128" s="467"/>
      <c r="AE128" s="933" t="s">
        <v>14</v>
      </c>
      <c r="AF128" s="912">
        <v>5966.9</v>
      </c>
      <c r="AG128" s="36"/>
      <c r="AH128" s="1443"/>
      <c r="AI128" s="467">
        <f>ROUND(SUM(+AC128-AF128),1)</f>
        <v>-1484.1</v>
      </c>
      <c r="AJ128" s="467"/>
      <c r="AK128" s="469">
        <f>ROUND(IF(AF128=0,0,AI128/ABS(AF128)),3)</f>
        <v>-0.249</v>
      </c>
    </row>
    <row r="129" spans="1:38" ht="15" customHeight="1">
      <c r="A129" s="100"/>
      <c r="B129" s="737" t="s">
        <v>862</v>
      </c>
      <c r="C129" s="20"/>
      <c r="D129" s="912">
        <v>77.400000000000006</v>
      </c>
      <c r="E129" s="912"/>
      <c r="F129" s="912">
        <v>86</v>
      </c>
      <c r="G129" s="912"/>
      <c r="H129" s="912">
        <v>81.699999999999989</v>
      </c>
      <c r="I129" s="467"/>
      <c r="J129" s="912">
        <v>73.700000000000017</v>
      </c>
      <c r="K129" s="1004"/>
      <c r="L129" s="912">
        <v>86.399999999999949</v>
      </c>
      <c r="M129" s="1004"/>
      <c r="N129" s="912">
        <f t="shared" si="39"/>
        <v>87.600000000000023</v>
      </c>
      <c r="O129" s="1004"/>
      <c r="P129" s="912"/>
      <c r="Q129" s="1004"/>
      <c r="R129" s="912"/>
      <c r="S129" s="1004"/>
      <c r="T129" s="912"/>
      <c r="U129" s="1004"/>
      <c r="V129" s="912"/>
      <c r="W129" s="1004"/>
      <c r="X129" s="912"/>
      <c r="Y129" s="1004"/>
      <c r="Z129" s="912"/>
      <c r="AA129" s="496"/>
      <c r="AB129" s="933"/>
      <c r="AC129" s="912">
        <v>492.8</v>
      </c>
      <c r="AD129" s="467"/>
      <c r="AE129" s="933" t="s">
        <v>14</v>
      </c>
      <c r="AF129" s="912">
        <v>753.5</v>
      </c>
      <c r="AG129" s="36"/>
      <c r="AH129" s="1443"/>
      <c r="AI129" s="467">
        <f>ROUND(SUM(+AC129-AF129),1)</f>
        <v>-260.7</v>
      </c>
      <c r="AJ129" s="467"/>
      <c r="AK129" s="469">
        <f>ROUND(IF(AF129=0,0,AI129/ABS(AF129)),3)</f>
        <v>-0.34599999999999997</v>
      </c>
    </row>
    <row r="130" spans="1:38" ht="15" customHeight="1">
      <c r="A130" s="100"/>
      <c r="B130" s="34" t="s">
        <v>156</v>
      </c>
      <c r="C130" s="20"/>
      <c r="D130" s="912">
        <v>167.89999999999972</v>
      </c>
      <c r="E130" s="912"/>
      <c r="F130" s="912">
        <v>190.30000000000021</v>
      </c>
      <c r="G130" s="912"/>
      <c r="H130" s="912">
        <v>121.5000000000002</v>
      </c>
      <c r="I130" s="467"/>
      <c r="J130" s="912">
        <v>192.20000000000064</v>
      </c>
      <c r="K130" s="1004"/>
      <c r="L130" s="912">
        <v>165.7999999999997</v>
      </c>
      <c r="M130" s="1004"/>
      <c r="N130" s="912">
        <f t="shared" si="39"/>
        <v>120.3999999999983</v>
      </c>
      <c r="O130" s="1004"/>
      <c r="P130" s="912"/>
      <c r="Q130" s="1004"/>
      <c r="R130" s="912"/>
      <c r="S130" s="1004"/>
      <c r="T130" s="912"/>
      <c r="U130" s="1004"/>
      <c r="V130" s="912"/>
      <c r="W130" s="1004"/>
      <c r="X130" s="912"/>
      <c r="Y130" s="1004"/>
      <c r="Z130" s="912"/>
      <c r="AA130" s="496"/>
      <c r="AB130" s="933"/>
      <c r="AC130" s="912">
        <v>958.09999999999877</v>
      </c>
      <c r="AD130" s="467"/>
      <c r="AE130" s="933" t="s">
        <v>14</v>
      </c>
      <c r="AF130" s="912">
        <v>1176.1000000000004</v>
      </c>
      <c r="AG130" s="36"/>
      <c r="AH130" s="1443"/>
      <c r="AI130" s="467">
        <f>ROUND(SUM(+AC130-AF130),1)</f>
        <v>-218</v>
      </c>
      <c r="AJ130" s="467"/>
      <c r="AK130" s="971">
        <f>ROUND(IF(AF130=0,0,AI130/ABS(AF130)),3)</f>
        <v>-0.185</v>
      </c>
    </row>
    <row r="131" spans="1:38" ht="15" customHeight="1">
      <c r="A131" s="100" t="s">
        <v>14</v>
      </c>
      <c r="B131" s="21" t="s">
        <v>157</v>
      </c>
      <c r="C131" s="20"/>
      <c r="D131" s="912">
        <v>-26.5</v>
      </c>
      <c r="E131" s="912"/>
      <c r="F131" s="912">
        <v>122.3</v>
      </c>
      <c r="G131" s="912"/>
      <c r="H131" s="912">
        <v>-275.10000000000002</v>
      </c>
      <c r="I131" s="467"/>
      <c r="J131" s="912">
        <v>237.90000000000003</v>
      </c>
      <c r="K131" s="1004"/>
      <c r="L131" s="912">
        <v>-349.20000000000005</v>
      </c>
      <c r="M131" s="1004"/>
      <c r="N131" s="912">
        <f t="shared" si="39"/>
        <v>57.900000000000034</v>
      </c>
      <c r="O131" s="1004"/>
      <c r="P131" s="912"/>
      <c r="Q131" s="1004"/>
      <c r="R131" s="912"/>
      <c r="S131" s="1004"/>
      <c r="T131" s="912"/>
      <c r="U131" s="1004"/>
      <c r="V131" s="912"/>
      <c r="W131" s="1004"/>
      <c r="X131" s="912"/>
      <c r="Y131" s="1004"/>
      <c r="Z131" s="912"/>
      <c r="AA131" s="496"/>
      <c r="AB131" s="933"/>
      <c r="AC131" s="912">
        <v>-232.7</v>
      </c>
      <c r="AD131" s="467"/>
      <c r="AE131" s="933" t="s">
        <v>14</v>
      </c>
      <c r="AF131" s="912">
        <v>501.2</v>
      </c>
      <c r="AG131" s="36"/>
      <c r="AH131" s="1443"/>
      <c r="AI131" s="467">
        <f>ROUND(SUM(+AC131-AF131)*-1,1)</f>
        <v>733.9</v>
      </c>
      <c r="AJ131" s="467"/>
      <c r="AK131" s="971">
        <f t="shared" ref="AK131" si="40">ROUND(IF(AF131=0,0,AI131/ABS(AF131)),3)</f>
        <v>1.464</v>
      </c>
    </row>
    <row r="132" spans="1:38" ht="15" customHeight="1">
      <c r="A132" s="100"/>
      <c r="B132" s="499" t="s">
        <v>1081</v>
      </c>
      <c r="C132" s="20"/>
      <c r="D132" s="912">
        <v>-80</v>
      </c>
      <c r="E132" s="912"/>
      <c r="F132" s="912">
        <v>-50</v>
      </c>
      <c r="G132" s="912"/>
      <c r="H132" s="912">
        <v>-21.300000000000011</v>
      </c>
      <c r="I132" s="467"/>
      <c r="J132" s="912">
        <v>0</v>
      </c>
      <c r="K132" s="1004"/>
      <c r="L132" s="912">
        <v>-50</v>
      </c>
      <c r="M132" s="1004"/>
      <c r="N132" s="912">
        <f t="shared" si="39"/>
        <v>-96.5</v>
      </c>
      <c r="O132" s="1004"/>
      <c r="P132" s="912"/>
      <c r="Q132" s="1004"/>
      <c r="R132" s="912"/>
      <c r="S132" s="1004"/>
      <c r="T132" s="912"/>
      <c r="U132" s="1004"/>
      <c r="V132" s="912"/>
      <c r="W132" s="1004"/>
      <c r="X132" s="912"/>
      <c r="Y132" s="1004"/>
      <c r="Z132" s="912"/>
      <c r="AA132" s="496"/>
      <c r="AB132" s="933"/>
      <c r="AC132" s="912">
        <v>-297.8</v>
      </c>
      <c r="AD132" s="467"/>
      <c r="AE132" s="933" t="s">
        <v>14</v>
      </c>
      <c r="AF132" s="912">
        <v>-426.79999999999995</v>
      </c>
      <c r="AG132" s="36"/>
      <c r="AH132" s="1443"/>
      <c r="AI132" s="467">
        <f>ROUND(SUM(+AC132-AF132)*-1,1)</f>
        <v>-129</v>
      </c>
      <c r="AJ132" s="467"/>
      <c r="AK132" s="469">
        <f>ROUND(IF(AF132=0,1,AI132/ABS(AF132)),3)</f>
        <v>-0.30199999999999999</v>
      </c>
    </row>
    <row r="133" spans="1:38" ht="15" customHeight="1">
      <c r="A133" s="100"/>
      <c r="B133" s="21" t="s">
        <v>158</v>
      </c>
      <c r="C133" s="20"/>
      <c r="D133" s="912">
        <v>-37.799999999999997</v>
      </c>
      <c r="E133" s="912"/>
      <c r="F133" s="912">
        <v>9.9999999999994316E-2</v>
      </c>
      <c r="G133" s="912"/>
      <c r="H133" s="912">
        <v>-0.69999999999999574</v>
      </c>
      <c r="I133" s="467"/>
      <c r="J133" s="912">
        <v>-55.699999999999996</v>
      </c>
      <c r="K133" s="1004"/>
      <c r="L133" s="912">
        <v>1.5999999999999943</v>
      </c>
      <c r="M133" s="1004"/>
      <c r="N133" s="912">
        <f t="shared" si="39"/>
        <v>1.0999999999999943</v>
      </c>
      <c r="O133" s="1004"/>
      <c r="P133" s="912"/>
      <c r="Q133" s="1004"/>
      <c r="R133" s="912"/>
      <c r="S133" s="1004"/>
      <c r="T133" s="912"/>
      <c r="U133" s="1004"/>
      <c r="V133" s="912"/>
      <c r="W133" s="1004"/>
      <c r="X133" s="912"/>
      <c r="Y133" s="1004"/>
      <c r="Z133" s="912"/>
      <c r="AA133" s="496"/>
      <c r="AB133" s="933"/>
      <c r="AC133" s="912">
        <v>-91.4</v>
      </c>
      <c r="AD133" s="467"/>
      <c r="AE133" s="933" t="s">
        <v>14</v>
      </c>
      <c r="AF133" s="912">
        <v>-153.19999999999999</v>
      </c>
      <c r="AG133" s="36"/>
      <c r="AH133" s="1443"/>
      <c r="AI133" s="467">
        <f>ROUND(SUM(+AC133-AF133)*-1,1)</f>
        <v>-61.8</v>
      </c>
      <c r="AJ133" s="467"/>
      <c r="AK133" s="469">
        <f>ROUND(IF(AF133=0,0,AI133/ABS(AF133)),3)</f>
        <v>-0.40300000000000002</v>
      </c>
    </row>
    <row r="134" spans="1:38" ht="15" customHeight="1">
      <c r="A134" s="100"/>
      <c r="B134" s="21" t="s">
        <v>159</v>
      </c>
      <c r="C134" s="20"/>
      <c r="D134" s="912">
        <v>-292.59999999999997</v>
      </c>
      <c r="E134" s="912"/>
      <c r="F134" s="912">
        <v>-550.90000000000009</v>
      </c>
      <c r="G134" s="912"/>
      <c r="H134" s="912">
        <v>-413.29999999999995</v>
      </c>
      <c r="I134" s="467"/>
      <c r="J134" s="912">
        <v>-316.30000000000018</v>
      </c>
      <c r="K134" s="1004"/>
      <c r="L134" s="912">
        <v>-124.69999999999959</v>
      </c>
      <c r="M134" s="1004"/>
      <c r="N134" s="912">
        <f t="shared" si="39"/>
        <v>-70.900000000000091</v>
      </c>
      <c r="O134" s="1004"/>
      <c r="P134" s="912"/>
      <c r="Q134" s="1004"/>
      <c r="R134" s="912"/>
      <c r="S134" s="1004"/>
      <c r="T134" s="912"/>
      <c r="U134" s="1004"/>
      <c r="V134" s="912"/>
      <c r="W134" s="1004"/>
      <c r="X134" s="912"/>
      <c r="Y134" s="1004"/>
      <c r="Z134" s="912"/>
      <c r="AA134" s="496"/>
      <c r="AB134" s="933"/>
      <c r="AC134" s="912">
        <v>-1768.6999999999998</v>
      </c>
      <c r="AD134" s="467"/>
      <c r="AE134" s="933" t="s">
        <v>14</v>
      </c>
      <c r="AF134" s="912">
        <v>-1991.4999999999998</v>
      </c>
      <c r="AG134" s="36"/>
      <c r="AH134" s="1443"/>
      <c r="AI134" s="1449">
        <f>ROUND(SUM(+AC134-AF134)*-1,1)</f>
        <v>-222.8</v>
      </c>
      <c r="AJ134" s="467"/>
      <c r="AK134" s="954">
        <f>ROUND(IF(AF134=0,0,AI134/ABS(AF134)),3)</f>
        <v>-0.112</v>
      </c>
    </row>
    <row r="135" spans="1:38" ht="5.0999999999999996" customHeight="1">
      <c r="A135" s="100"/>
      <c r="B135" s="21"/>
      <c r="C135" s="20"/>
      <c r="D135" s="61"/>
      <c r="E135" s="36"/>
      <c r="F135" s="61"/>
      <c r="G135" s="36"/>
      <c r="H135" s="61" t="s">
        <v>14</v>
      </c>
      <c r="I135" s="36"/>
      <c r="J135" s="61"/>
      <c r="K135" s="36"/>
      <c r="L135" s="61"/>
      <c r="M135" s="36"/>
      <c r="N135" s="61"/>
      <c r="O135" s="36"/>
      <c r="P135" s="61"/>
      <c r="Q135" s="36"/>
      <c r="R135" s="61"/>
      <c r="S135" s="36"/>
      <c r="T135" s="61"/>
      <c r="U135" s="36"/>
      <c r="V135" s="61"/>
      <c r="W135" s="36"/>
      <c r="X135" s="61"/>
      <c r="Y135" s="36"/>
      <c r="Z135" s="61"/>
      <c r="AA135" s="39"/>
      <c r="AB135" s="1241"/>
      <c r="AC135" s="1158"/>
      <c r="AD135" s="36"/>
      <c r="AE135" s="750"/>
      <c r="AF135" s="61"/>
      <c r="AG135" s="36"/>
      <c r="AH135" s="1443"/>
      <c r="AI135" s="467"/>
      <c r="AJ135" s="467"/>
      <c r="AK135" s="488"/>
    </row>
    <row r="136" spans="1:38" ht="15" customHeight="1">
      <c r="A136" s="100"/>
      <c r="B136" s="19" t="s">
        <v>160</v>
      </c>
      <c r="C136" s="20"/>
      <c r="D136" s="36"/>
      <c r="E136" s="36"/>
      <c r="F136" s="36"/>
      <c r="G136" s="36"/>
      <c r="H136" s="36"/>
      <c r="I136" s="36"/>
      <c r="J136" s="36"/>
      <c r="K136" s="36"/>
      <c r="L136" s="36"/>
      <c r="M136" s="36"/>
      <c r="N136" s="36"/>
      <c r="O136" s="36"/>
      <c r="P136" s="36"/>
      <c r="Q136" s="36"/>
      <c r="R136" s="36"/>
      <c r="S136" s="36"/>
      <c r="T136" s="36"/>
      <c r="U136" s="36"/>
      <c r="V136" s="36"/>
      <c r="W136" s="36"/>
      <c r="X136" s="36"/>
      <c r="Y136" s="39"/>
      <c r="Z136" s="39"/>
      <c r="AA136" s="39"/>
      <c r="AB136" s="1241"/>
      <c r="AC136" s="467"/>
      <c r="AD136" s="36"/>
      <c r="AE136" s="750"/>
      <c r="AF136" s="36"/>
      <c r="AG136" s="36"/>
      <c r="AH136" s="1443"/>
      <c r="AI136" s="467"/>
      <c r="AJ136" s="467"/>
      <c r="AK136" s="488"/>
    </row>
    <row r="137" spans="1:38" ht="15" customHeight="1">
      <c r="A137" s="100"/>
      <c r="B137" s="19" t="s">
        <v>161</v>
      </c>
      <c r="C137" s="20"/>
      <c r="D137" s="42">
        <f>ROUND(SUM(D127:D135),1)</f>
        <v>4201.8</v>
      </c>
      <c r="E137" s="42"/>
      <c r="F137" s="42">
        <f>ROUND(SUM(F127:F135),1)</f>
        <v>1530.6</v>
      </c>
      <c r="G137" s="42"/>
      <c r="H137" s="42">
        <f>ROUND(SUM(H127:H135),1)</f>
        <v>4146.2</v>
      </c>
      <c r="I137" s="42"/>
      <c r="J137" s="42">
        <f>ROUND(SUM(J127:J134),1)</f>
        <v>2396.1</v>
      </c>
      <c r="K137" s="42"/>
      <c r="L137" s="42">
        <f>ROUND(SUM(L127:L134),1)</f>
        <v>1805.3</v>
      </c>
      <c r="M137" s="42"/>
      <c r="N137" s="42">
        <f>ROUND(SUM(N127:N134),1)</f>
        <v>5107</v>
      </c>
      <c r="O137" s="42"/>
      <c r="P137" s="42">
        <f>ROUND(SUM(P127:P134),1)</f>
        <v>0</v>
      </c>
      <c r="Q137" s="42"/>
      <c r="R137" s="42">
        <f>ROUND(SUM(R127:R134),1)</f>
        <v>0</v>
      </c>
      <c r="S137" s="42"/>
      <c r="T137" s="42">
        <f>ROUND(SUM(T127:T134),1)</f>
        <v>0</v>
      </c>
      <c r="U137" s="42"/>
      <c r="V137" s="42">
        <f>ROUND(SUM(V127:V134),1)</f>
        <v>0</v>
      </c>
      <c r="W137" s="42"/>
      <c r="X137" s="42">
        <f>ROUND(SUM(X127:X134),1)</f>
        <v>0</v>
      </c>
      <c r="Y137" s="112"/>
      <c r="Z137" s="42">
        <f>ROUND(SUM(Z127:Z134),1)</f>
        <v>0</v>
      </c>
      <c r="AA137" s="112"/>
      <c r="AB137" s="1242"/>
      <c r="AC137" s="42">
        <f>ROUND(SUM(AC127:AC134),1)</f>
        <v>19187</v>
      </c>
      <c r="AD137" s="42"/>
      <c r="AE137" s="1234"/>
      <c r="AF137" s="42">
        <f>ROUND(SUM(AF127:AF134),1)</f>
        <v>24497.4</v>
      </c>
      <c r="AG137" s="42"/>
      <c r="AH137" s="1444"/>
      <c r="AI137" s="50">
        <f>ROUND(SUM(+AC137-AF137),1)</f>
        <v>-5310.4</v>
      </c>
      <c r="AJ137" s="42"/>
      <c r="AK137" s="245">
        <f>ROUND(SUM(+AI137/AF137),3)</f>
        <v>-0.217</v>
      </c>
    </row>
    <row r="138" spans="1:38" ht="15" customHeight="1">
      <c r="A138" s="100"/>
      <c r="B138" s="21"/>
      <c r="C138" s="20"/>
      <c r="D138" s="61"/>
      <c r="E138" s="36"/>
      <c r="F138" s="61"/>
      <c r="G138" s="36"/>
      <c r="H138" s="61"/>
      <c r="I138" s="36"/>
      <c r="J138" s="61"/>
      <c r="K138" s="36"/>
      <c r="L138" s="61"/>
      <c r="M138" s="36"/>
      <c r="N138" s="61"/>
      <c r="O138" s="36"/>
      <c r="P138" s="61"/>
      <c r="Q138" s="36"/>
      <c r="R138" s="61"/>
      <c r="S138" s="36"/>
      <c r="T138" s="61"/>
      <c r="U138" s="36"/>
      <c r="V138" s="61"/>
      <c r="W138" s="36"/>
      <c r="X138" s="61"/>
      <c r="Y138" s="39"/>
      <c r="Z138" s="114"/>
      <c r="AA138" s="39"/>
      <c r="AB138" s="1241"/>
      <c r="AC138" s="1158"/>
      <c r="AD138" s="36"/>
      <c r="AE138" s="750"/>
      <c r="AF138" s="61"/>
      <c r="AG138" s="36"/>
      <c r="AH138" s="1443"/>
      <c r="AI138" s="756"/>
      <c r="AJ138" s="756"/>
      <c r="AK138" s="567"/>
    </row>
    <row r="139" spans="1:38" ht="15" customHeight="1">
      <c r="A139" s="100"/>
      <c r="B139" s="19" t="s">
        <v>162</v>
      </c>
      <c r="C139" s="20"/>
      <c r="D139" s="36"/>
      <c r="E139" s="36"/>
      <c r="F139" s="36"/>
      <c r="G139" s="36"/>
      <c r="H139" s="36"/>
      <c r="I139" s="36"/>
      <c r="J139" s="36"/>
      <c r="K139" s="36"/>
      <c r="L139" s="36"/>
      <c r="M139" s="36"/>
      <c r="N139" s="36"/>
      <c r="O139" s="36"/>
      <c r="P139" s="36"/>
      <c r="Q139" s="36"/>
      <c r="R139" s="36"/>
      <c r="S139" s="36"/>
      <c r="T139" s="36"/>
      <c r="U139" s="36"/>
      <c r="V139" s="36"/>
      <c r="W139" s="36"/>
      <c r="X139" s="36"/>
      <c r="Y139" s="39"/>
      <c r="Z139" s="39"/>
      <c r="AA139" s="39"/>
      <c r="AB139" s="1241"/>
      <c r="AC139" s="467"/>
      <c r="AD139" s="36"/>
      <c r="AE139" s="750"/>
      <c r="AF139" s="36"/>
      <c r="AG139" s="36"/>
      <c r="AH139" s="1443"/>
      <c r="AI139" s="756"/>
      <c r="AJ139" s="756"/>
      <c r="AK139" s="567"/>
      <c r="AL139" s="138" t="s">
        <v>14</v>
      </c>
    </row>
    <row r="140" spans="1:38" ht="15" customHeight="1">
      <c r="A140" s="100"/>
      <c r="B140" s="19" t="s">
        <v>163</v>
      </c>
      <c r="C140" s="20"/>
      <c r="D140" s="36"/>
      <c r="E140" s="36"/>
      <c r="F140" s="36"/>
      <c r="G140" s="36"/>
      <c r="H140" s="36"/>
      <c r="I140" s="36"/>
      <c r="J140" s="36"/>
      <c r="K140" s="36"/>
      <c r="L140" s="36"/>
      <c r="M140" s="36"/>
      <c r="N140" s="36"/>
      <c r="O140" s="36"/>
      <c r="P140" s="36"/>
      <c r="Q140" s="36"/>
      <c r="R140" s="36"/>
      <c r="S140" s="36"/>
      <c r="T140" s="36"/>
      <c r="U140" s="36"/>
      <c r="V140" s="36"/>
      <c r="W140" s="36"/>
      <c r="X140" s="36"/>
      <c r="Y140" s="39"/>
      <c r="Z140" s="39"/>
      <c r="AA140" s="39"/>
      <c r="AB140" s="1241"/>
      <c r="AC140" s="467"/>
      <c r="AD140" s="36"/>
      <c r="AE140" s="750"/>
      <c r="AF140" s="36"/>
      <c r="AG140" s="36"/>
      <c r="AH140" s="1443"/>
      <c r="AI140" s="756"/>
      <c r="AJ140" s="756"/>
      <c r="AK140" s="567"/>
    </row>
    <row r="141" spans="1:38" ht="15" customHeight="1">
      <c r="A141" s="100"/>
      <c r="B141" s="19" t="s">
        <v>164</v>
      </c>
      <c r="C141" s="20"/>
      <c r="D141" s="42">
        <f>ROUND(SUM(D123+D137),1)</f>
        <v>3488.8</v>
      </c>
      <c r="E141" s="42"/>
      <c r="F141" s="42">
        <f>ROUND(SUM(F123+F137),1)</f>
        <v>-6491.8</v>
      </c>
      <c r="G141" s="42"/>
      <c r="H141" s="42">
        <f>ROUND(SUM(H123+H137),1)</f>
        <v>3736.3</v>
      </c>
      <c r="I141" s="42"/>
      <c r="J141" s="42">
        <f>ROUND(SUM(J123+J137),1)</f>
        <v>135.1</v>
      </c>
      <c r="K141" s="42"/>
      <c r="L141" s="42">
        <f>ROUND(SUM(L123+L137),1)</f>
        <v>-1798.7</v>
      </c>
      <c r="M141" s="42"/>
      <c r="N141" s="42">
        <f>ROUND(SUM(N123+N137),1)</f>
        <v>5451.6</v>
      </c>
      <c r="O141" s="42"/>
      <c r="P141" s="42">
        <f>ROUND(SUM(P123+P137),1)</f>
        <v>0</v>
      </c>
      <c r="Q141" s="42"/>
      <c r="R141" s="42">
        <f>ROUND(SUM(R123+R137),1)</f>
        <v>0</v>
      </c>
      <c r="S141" s="36"/>
      <c r="T141" s="42">
        <f>ROUND(SUM(T123+T137),1)</f>
        <v>0</v>
      </c>
      <c r="U141" s="36"/>
      <c r="V141" s="42">
        <f>ROUND(SUM(V123+V137),1)</f>
        <v>0</v>
      </c>
      <c r="W141" s="36"/>
      <c r="X141" s="42">
        <f>ROUND(SUM(X123+X137),1)</f>
        <v>0</v>
      </c>
      <c r="Y141" s="39"/>
      <c r="Z141" s="50">
        <f>ROUND(SUM(Z123+Z137),1)</f>
        <v>0</v>
      </c>
      <c r="AA141" s="39"/>
      <c r="AB141" s="1241"/>
      <c r="AC141" s="42">
        <f>ROUND(SUM(AC123+AC137),1)</f>
        <v>4521.3</v>
      </c>
      <c r="AD141" s="42"/>
      <c r="AE141" s="1234"/>
      <c r="AF141" s="42">
        <f>ROUND(SUM(AF123+AF137),1)</f>
        <v>16940.599999999999</v>
      </c>
      <c r="AG141" s="42"/>
      <c r="AH141" s="1444"/>
      <c r="AI141" s="50">
        <f>ROUND(SUM(+AC141-AF141),1)</f>
        <v>-12419.3</v>
      </c>
      <c r="AJ141" s="1454"/>
      <c r="AK141" s="245">
        <f>ROUND(SUM(AI141/ABS(AF141)),3)</f>
        <v>-0.73299999999999998</v>
      </c>
    </row>
    <row r="142" spans="1:38" ht="9" customHeight="1">
      <c r="A142" s="100"/>
      <c r="B142" s="21"/>
      <c r="C142" s="20"/>
      <c r="D142" s="114"/>
      <c r="E142" s="21"/>
      <c r="F142" s="1437"/>
      <c r="G142" s="21"/>
      <c r="H142" s="29"/>
      <c r="I142" s="21"/>
      <c r="J142" s="61"/>
      <c r="K142" s="21"/>
      <c r="L142" s="29"/>
      <c r="M142" s="21"/>
      <c r="N142" s="29"/>
      <c r="O142" s="21"/>
      <c r="P142" s="29"/>
      <c r="Q142" s="21"/>
      <c r="R142" s="29"/>
      <c r="S142" s="21"/>
      <c r="T142" s="29"/>
      <c r="U142" s="21"/>
      <c r="V142" s="29"/>
      <c r="W142" s="21"/>
      <c r="X142" s="29"/>
      <c r="Y142" s="21"/>
      <c r="Z142" s="20"/>
      <c r="AA142" s="20"/>
      <c r="AB142" s="1241"/>
      <c r="AC142" s="1158"/>
      <c r="AD142" s="36"/>
      <c r="AE142" s="750"/>
      <c r="AF142" s="61"/>
      <c r="AG142" s="36"/>
      <c r="AH142" s="1443"/>
      <c r="AI142" s="497"/>
      <c r="AJ142" s="756"/>
      <c r="AK142" s="1455"/>
    </row>
    <row r="143" spans="1:38" ht="15" customHeight="1" thickBot="1">
      <c r="A143" s="100"/>
      <c r="B143" s="118" t="s">
        <v>139</v>
      </c>
      <c r="C143" s="20"/>
      <c r="D143" s="182">
        <f>ROUND(SUM(D12+D141),1)</f>
        <v>46939.4</v>
      </c>
      <c r="E143" s="123"/>
      <c r="F143" s="182">
        <f>ROUND(SUM(F12+F141),1)</f>
        <v>40447.599999999999</v>
      </c>
      <c r="G143" s="123"/>
      <c r="H143" s="182">
        <f>ROUND(SUM(H12+H141),1)</f>
        <v>44183.9</v>
      </c>
      <c r="I143" s="123"/>
      <c r="J143" s="182">
        <f>ROUND(SUM(J12+J141),1)</f>
        <v>44319</v>
      </c>
      <c r="K143" s="123"/>
      <c r="L143" s="182">
        <f>ROUND(SUM(L12+L141),1)</f>
        <v>42520.3</v>
      </c>
      <c r="M143" s="123"/>
      <c r="N143" s="182">
        <f>ROUND(SUM(N12+N141),1)</f>
        <v>47971.9</v>
      </c>
      <c r="O143" s="123"/>
      <c r="P143" s="182">
        <f>ROUND(SUM(P12+P141),1)</f>
        <v>0</v>
      </c>
      <c r="Q143" s="123"/>
      <c r="R143" s="182">
        <f>ROUND(SUM(R12+R141),1)</f>
        <v>0</v>
      </c>
      <c r="S143" s="123"/>
      <c r="T143" s="182">
        <f>ROUND(SUM(T12+T141),1)</f>
        <v>0</v>
      </c>
      <c r="U143" s="123"/>
      <c r="V143" s="182">
        <f>ROUND(SUM(V12+V141),1)</f>
        <v>0</v>
      </c>
      <c r="W143" s="123"/>
      <c r="X143" s="182">
        <f>ROUND(SUM(X12+X141),1)</f>
        <v>0</v>
      </c>
      <c r="Y143" s="123"/>
      <c r="Z143" s="182">
        <f>ROUND(SUM(Z12+Z141),1)</f>
        <v>0</v>
      </c>
      <c r="AA143" s="123"/>
      <c r="AB143" s="1456"/>
      <c r="AC143" s="1147">
        <f>ROUND(SUM(AC12+AC141),1)</f>
        <v>47971.9</v>
      </c>
      <c r="AD143" s="42"/>
      <c r="AE143" s="1234"/>
      <c r="AF143" s="182">
        <f>ROUND(SUM(AF12+AF141),1)</f>
        <v>49993.3</v>
      </c>
      <c r="AG143" s="123"/>
      <c r="AH143" s="1440"/>
      <c r="AI143" s="182">
        <f>ROUND(SUM(+AC143-AF143),1)</f>
        <v>-2021.4</v>
      </c>
      <c r="AJ143" s="1454"/>
      <c r="AK143" s="201">
        <f>ROUND(SUM(+AI143/AF143),3)</f>
        <v>-0.04</v>
      </c>
    </row>
    <row r="144" spans="1:38" ht="15" customHeight="1" thickTop="1">
      <c r="A144" s="100"/>
      <c r="B144" s="21"/>
      <c r="C144" s="20"/>
      <c r="D144" s="20"/>
      <c r="E144" s="21"/>
      <c r="F144" s="120"/>
      <c r="G144" s="21"/>
      <c r="H144" s="20"/>
      <c r="I144" s="21"/>
      <c r="J144" s="36"/>
      <c r="K144" s="21"/>
      <c r="L144" s="20"/>
      <c r="M144" s="21"/>
      <c r="N144" s="20"/>
      <c r="O144" s="21"/>
      <c r="P144" s="20"/>
      <c r="Q144" s="21"/>
      <c r="R144" s="20"/>
      <c r="S144" s="21"/>
      <c r="T144" s="20"/>
      <c r="U144" s="21"/>
      <c r="V144" s="20"/>
      <c r="W144" s="21"/>
      <c r="X144" s="20"/>
      <c r="Y144" s="21"/>
      <c r="Z144" s="20"/>
      <c r="AA144" s="20"/>
      <c r="AB144" s="21"/>
      <c r="AC144" s="36"/>
      <c r="AD144" s="36"/>
      <c r="AE144" s="36"/>
      <c r="AF144" s="36"/>
      <c r="AG144" s="36"/>
      <c r="AH144" s="1432"/>
      <c r="AI144" s="756"/>
      <c r="AJ144" s="756"/>
      <c r="AK144" s="567"/>
    </row>
    <row r="145" spans="1:37" ht="15" customHeight="1">
      <c r="A145" s="100"/>
      <c r="B145" s="21" t="s">
        <v>14</v>
      </c>
      <c r="C145" s="20"/>
      <c r="D145" s="20"/>
      <c r="E145" s="21"/>
      <c r="F145" s="120"/>
      <c r="G145" s="21"/>
      <c r="H145" s="20"/>
      <c r="I145" s="21"/>
      <c r="J145" s="36"/>
      <c r="K145" s="21"/>
      <c r="L145" s="20"/>
      <c r="M145" s="21"/>
      <c r="N145" s="20"/>
      <c r="O145" s="21"/>
      <c r="P145" s="20"/>
      <c r="Q145" s="21"/>
      <c r="R145" s="20"/>
      <c r="S145" s="21"/>
      <c r="T145" s="20"/>
      <c r="U145" s="21"/>
      <c r="V145" s="20"/>
      <c r="W145" s="21"/>
      <c r="X145" s="20"/>
      <c r="Y145" s="21"/>
      <c r="Z145" s="20"/>
      <c r="AA145" s="20"/>
      <c r="AB145" s="21"/>
      <c r="AC145" s="912" t="s">
        <v>14</v>
      </c>
      <c r="AD145" s="36"/>
      <c r="AE145" s="467" t="s">
        <v>1389</v>
      </c>
      <c r="AF145" s="467" t="s">
        <v>14</v>
      </c>
      <c r="AG145" s="36"/>
      <c r="AH145" s="1432"/>
      <c r="AI145" s="756"/>
      <c r="AJ145" s="756"/>
      <c r="AK145" s="567"/>
    </row>
    <row r="146" spans="1:37" ht="15" customHeight="1">
      <c r="A146" s="100"/>
      <c r="B146" s="21"/>
      <c r="C146" s="20"/>
      <c r="D146" s="20"/>
      <c r="E146" s="21"/>
      <c r="F146" s="120"/>
      <c r="G146" s="21"/>
      <c r="H146" s="20"/>
      <c r="I146" s="21"/>
      <c r="J146" s="36"/>
      <c r="K146" s="21"/>
      <c r="L146" s="20"/>
      <c r="M146" s="21"/>
      <c r="N146" s="20"/>
      <c r="O146" s="21"/>
      <c r="P146" s="20"/>
      <c r="Q146" s="21"/>
      <c r="R146" s="20"/>
      <c r="S146" s="21"/>
      <c r="T146" s="20"/>
      <c r="U146" s="21"/>
      <c r="V146" s="20"/>
      <c r="W146" s="21"/>
      <c r="X146" s="20"/>
      <c r="Y146" s="21"/>
      <c r="Z146" s="20"/>
      <c r="AA146" s="20"/>
      <c r="AB146" s="21"/>
      <c r="AC146" s="912" t="s">
        <v>14</v>
      </c>
      <c r="AD146" s="36"/>
      <c r="AE146" s="36"/>
      <c r="AF146" s="467" t="s">
        <v>14</v>
      </c>
      <c r="AG146" s="36"/>
      <c r="AH146" s="1432"/>
      <c r="AI146" s="756"/>
      <c r="AJ146" s="756"/>
      <c r="AK146" s="567"/>
    </row>
    <row r="147" spans="1:37" ht="15" customHeight="1">
      <c r="A147" s="170"/>
      <c r="B147" s="109"/>
      <c r="C147" s="1457"/>
      <c r="D147" s="1457"/>
      <c r="E147" s="1458"/>
      <c r="F147" s="1458"/>
      <c r="G147" s="1458"/>
      <c r="H147" s="20"/>
      <c r="I147" s="20"/>
      <c r="J147" s="36"/>
      <c r="K147" s="20"/>
      <c r="L147" s="20"/>
      <c r="M147" s="20"/>
      <c r="N147" s="20"/>
      <c r="O147" s="20"/>
      <c r="P147" s="20"/>
      <c r="Q147" s="20"/>
      <c r="R147" s="20"/>
      <c r="S147" s="20"/>
      <c r="T147" s="20"/>
      <c r="U147" s="20"/>
      <c r="V147" s="20"/>
      <c r="W147" s="20"/>
      <c r="X147" s="20"/>
      <c r="Y147" s="20"/>
      <c r="Z147" s="20"/>
      <c r="AA147" s="20"/>
      <c r="AB147" s="20"/>
      <c r="AC147" s="912" t="s">
        <v>1109</v>
      </c>
      <c r="AD147" s="36"/>
      <c r="AE147" s="36"/>
      <c r="AF147" s="467" t="s">
        <v>14</v>
      </c>
      <c r="AG147" s="36"/>
      <c r="AH147" s="36"/>
      <c r="AI147" s="467"/>
      <c r="AJ147" s="467"/>
      <c r="AK147" s="488"/>
    </row>
    <row r="148" spans="1:37" ht="14.1" customHeight="1">
      <c r="A148" s="170"/>
      <c r="B148" s="109"/>
      <c r="C148" s="1457"/>
      <c r="D148" s="1457"/>
      <c r="E148" s="1458"/>
      <c r="F148" s="1458"/>
      <c r="G148" s="1458"/>
      <c r="H148" s="20"/>
      <c r="I148" s="20"/>
      <c r="J148" s="36"/>
      <c r="K148" s="20"/>
      <c r="L148" s="20"/>
      <c r="M148" s="20"/>
      <c r="N148" s="20"/>
      <c r="O148" s="20"/>
      <c r="P148" s="20"/>
      <c r="Q148" s="20"/>
      <c r="R148" s="20"/>
      <c r="S148" s="20"/>
      <c r="T148" s="20"/>
      <c r="U148" s="20"/>
      <c r="V148" s="20"/>
      <c r="W148" s="20"/>
      <c r="X148" s="20"/>
      <c r="Y148" s="20"/>
      <c r="Z148" s="20"/>
      <c r="AA148" s="20"/>
      <c r="AB148" s="20"/>
      <c r="AC148" s="912" t="s">
        <v>14</v>
      </c>
      <c r="AD148" s="36"/>
      <c r="AE148" s="36"/>
      <c r="AF148" s="467" t="s">
        <v>14</v>
      </c>
      <c r="AG148" s="36"/>
      <c r="AH148" s="36"/>
      <c r="AI148" s="467"/>
      <c r="AJ148" s="467"/>
      <c r="AK148" s="488"/>
    </row>
    <row r="149" spans="1:37" ht="15" customHeight="1">
      <c r="A149" s="170"/>
      <c r="B149" s="109"/>
      <c r="C149" s="1457"/>
      <c r="D149" s="1457"/>
      <c r="E149" s="1458"/>
      <c r="F149" s="1458"/>
      <c r="G149" s="1458"/>
      <c r="H149" s="20"/>
      <c r="I149" s="20"/>
      <c r="J149" s="36"/>
      <c r="K149" s="20"/>
      <c r="L149" s="20"/>
      <c r="M149" s="20"/>
      <c r="N149" s="20"/>
      <c r="O149" s="20"/>
      <c r="P149" s="20"/>
      <c r="Q149" s="20"/>
      <c r="R149" s="20"/>
      <c r="S149" s="20"/>
      <c r="T149" s="20"/>
      <c r="U149" s="20"/>
      <c r="V149" s="20"/>
      <c r="W149" s="20"/>
      <c r="X149" s="20"/>
      <c r="Y149" s="20"/>
      <c r="Z149" s="20"/>
      <c r="AA149" s="20"/>
      <c r="AB149" s="20"/>
      <c r="AC149" s="912" t="s">
        <v>14</v>
      </c>
      <c r="AD149" s="36"/>
      <c r="AE149" s="36"/>
      <c r="AF149" s="467" t="s">
        <v>113</v>
      </c>
      <c r="AG149" s="36"/>
      <c r="AH149" s="36"/>
      <c r="AI149" s="467"/>
      <c r="AJ149" s="467"/>
      <c r="AK149" s="488"/>
    </row>
    <row r="150" spans="1:37" ht="15.75" customHeight="1">
      <c r="A150" s="170"/>
      <c r="B150" s="109"/>
      <c r="C150" s="1457"/>
      <c r="D150" s="1457"/>
      <c r="E150" s="1458"/>
      <c r="F150" s="1458"/>
      <c r="G150" s="1458"/>
      <c r="H150" s="20"/>
      <c r="I150" s="20"/>
      <c r="J150" s="36"/>
      <c r="K150" s="20"/>
      <c r="L150" s="20"/>
      <c r="M150" s="20"/>
      <c r="N150" s="20"/>
      <c r="O150" s="20"/>
      <c r="P150" s="20"/>
      <c r="Q150" s="20"/>
      <c r="R150" s="20"/>
      <c r="S150" s="20"/>
      <c r="T150" s="20"/>
      <c r="U150" s="20"/>
      <c r="V150" s="20"/>
      <c r="W150" s="20"/>
      <c r="X150" s="20"/>
      <c r="Y150" s="20"/>
      <c r="Z150" s="20"/>
      <c r="AA150" s="20"/>
      <c r="AB150" s="20"/>
      <c r="AC150" s="912" t="s">
        <v>14</v>
      </c>
      <c r="AD150" s="36"/>
      <c r="AE150" s="36"/>
      <c r="AF150" s="467" t="s">
        <v>14</v>
      </c>
      <c r="AG150" s="36"/>
      <c r="AH150" s="36"/>
      <c r="AI150" s="467"/>
      <c r="AJ150" s="467"/>
      <c r="AK150" s="488"/>
    </row>
    <row r="151" spans="1:37" ht="14.25" customHeight="1">
      <c r="A151" s="170"/>
      <c r="B151" s="109"/>
      <c r="C151" s="1457"/>
      <c r="D151" s="1457"/>
      <c r="E151" s="1458"/>
      <c r="F151" s="1458"/>
      <c r="G151" s="1458"/>
      <c r="H151" s="20"/>
      <c r="I151" s="20"/>
      <c r="J151" s="36"/>
      <c r="K151" s="20"/>
      <c r="L151" s="20"/>
      <c r="M151" s="20"/>
      <c r="N151" s="20"/>
      <c r="O151" s="20"/>
      <c r="P151" s="20"/>
      <c r="Q151" s="20"/>
      <c r="R151" s="20"/>
      <c r="S151" s="20"/>
      <c r="T151" s="20"/>
      <c r="U151" s="20"/>
      <c r="V151" s="20"/>
      <c r="W151" s="20"/>
      <c r="X151" s="20"/>
      <c r="Y151" s="20"/>
      <c r="Z151" s="20"/>
      <c r="AA151" s="20"/>
      <c r="AB151" s="20"/>
      <c r="AC151" s="36"/>
      <c r="AD151" s="36"/>
      <c r="AE151" s="36"/>
      <c r="AF151" s="36"/>
      <c r="AG151" s="36"/>
      <c r="AH151" s="36"/>
      <c r="AI151" s="467"/>
      <c r="AJ151" s="467"/>
      <c r="AK151" s="488"/>
    </row>
    <row r="152" spans="1:37" ht="14.25" customHeight="1">
      <c r="A152" s="170"/>
      <c r="B152" s="109"/>
      <c r="C152" s="1457"/>
      <c r="D152" s="1457"/>
      <c r="E152" s="1458"/>
      <c r="F152" s="1458"/>
      <c r="G152" s="1458"/>
      <c r="H152" s="20"/>
      <c r="I152" s="20"/>
      <c r="J152" s="36"/>
      <c r="K152" s="20"/>
      <c r="L152" s="20"/>
      <c r="M152" s="20"/>
      <c r="N152" s="20"/>
      <c r="O152" s="20"/>
      <c r="P152" s="20"/>
      <c r="Q152" s="20"/>
      <c r="R152" s="20"/>
      <c r="S152" s="20"/>
      <c r="T152" s="20"/>
      <c r="U152" s="20"/>
      <c r="V152" s="20"/>
      <c r="W152" s="20"/>
      <c r="X152" s="20"/>
      <c r="Y152" s="20"/>
      <c r="Z152" s="20"/>
      <c r="AA152" s="20"/>
      <c r="AB152" s="20"/>
      <c r="AC152" s="36"/>
      <c r="AD152" s="36"/>
      <c r="AE152" s="36"/>
      <c r="AF152" s="36"/>
      <c r="AG152" s="36"/>
      <c r="AH152" s="36"/>
      <c r="AI152" s="467"/>
      <c r="AJ152" s="467"/>
      <c r="AK152" s="488"/>
    </row>
    <row r="153" spans="1:37" ht="14.25" customHeight="1">
      <c r="A153" s="170"/>
      <c r="B153" s="109"/>
      <c r="C153" s="1457"/>
      <c r="D153" s="1457"/>
      <c r="E153" s="1458"/>
      <c r="F153" s="1458"/>
      <c r="G153" s="1458"/>
      <c r="H153" s="20"/>
      <c r="I153" s="20"/>
      <c r="J153" s="36"/>
      <c r="K153" s="20"/>
      <c r="L153" s="20"/>
      <c r="M153" s="20"/>
      <c r="N153" s="20"/>
      <c r="O153" s="20"/>
      <c r="P153" s="20"/>
      <c r="Q153" s="20"/>
      <c r="R153" s="20"/>
      <c r="S153" s="20"/>
      <c r="T153" s="20"/>
      <c r="U153" s="20"/>
      <c r="V153" s="20"/>
      <c r="W153" s="20"/>
      <c r="X153" s="20"/>
      <c r="Y153" s="20"/>
      <c r="Z153" s="20"/>
      <c r="AA153" s="20"/>
      <c r="AB153" s="20"/>
      <c r="AC153" s="36"/>
      <c r="AD153" s="36"/>
      <c r="AE153" s="36"/>
      <c r="AF153" s="36"/>
      <c r="AG153" s="36"/>
      <c r="AH153" s="36"/>
      <c r="AI153" s="467"/>
      <c r="AJ153" s="467"/>
      <c r="AK153" s="488"/>
    </row>
    <row r="154" spans="1:37" ht="14.25" customHeight="1">
      <c r="A154" s="170"/>
      <c r="B154" s="109"/>
      <c r="C154" s="1457"/>
      <c r="D154" s="1457"/>
      <c r="E154" s="1458"/>
      <c r="F154" s="1458"/>
      <c r="G154" s="1458"/>
      <c r="H154" s="20"/>
      <c r="I154" s="20"/>
      <c r="J154" s="36"/>
      <c r="K154" s="20"/>
      <c r="L154" s="20"/>
      <c r="M154" s="20"/>
      <c r="N154" s="20"/>
      <c r="O154" s="20"/>
      <c r="P154" s="20"/>
      <c r="Q154" s="20"/>
      <c r="R154" s="20"/>
      <c r="S154" s="20"/>
      <c r="T154" s="20"/>
      <c r="U154" s="20"/>
      <c r="V154" s="20"/>
      <c r="W154" s="20"/>
      <c r="X154" s="20"/>
      <c r="Y154" s="20"/>
      <c r="Z154" s="20"/>
      <c r="AA154" s="20"/>
      <c r="AB154" s="20"/>
      <c r="AC154" s="36"/>
      <c r="AD154" s="36"/>
      <c r="AE154" s="36"/>
      <c r="AF154" s="36"/>
      <c r="AG154" s="36"/>
      <c r="AH154" s="36"/>
      <c r="AI154" s="467"/>
      <c r="AJ154" s="467"/>
      <c r="AK154" s="488"/>
    </row>
    <row r="155" spans="1:37" ht="14.25" customHeight="1">
      <c r="A155" s="170"/>
      <c r="B155" s="109"/>
      <c r="C155" s="1457"/>
      <c r="D155" s="1457"/>
      <c r="E155" s="1458"/>
      <c r="F155" s="1458"/>
      <c r="G155" s="1458"/>
      <c r="H155" s="20"/>
      <c r="I155" s="20"/>
      <c r="J155" s="36"/>
      <c r="K155" s="20"/>
      <c r="L155" s="20"/>
      <c r="M155" s="20"/>
      <c r="N155" s="20"/>
      <c r="O155" s="20"/>
      <c r="P155" s="20"/>
      <c r="Q155" s="20"/>
      <c r="R155" s="20"/>
      <c r="S155" s="20"/>
      <c r="T155" s="20"/>
      <c r="U155" s="20"/>
      <c r="V155" s="20"/>
      <c r="W155" s="20"/>
      <c r="X155" s="20"/>
      <c r="Y155" s="20"/>
      <c r="Z155" s="20"/>
      <c r="AA155" s="20"/>
      <c r="AB155" s="20"/>
      <c r="AC155" s="36"/>
      <c r="AD155" s="36"/>
      <c r="AE155" s="36"/>
      <c r="AF155" s="36"/>
      <c r="AG155" s="36"/>
      <c r="AH155" s="36"/>
      <c r="AI155" s="467"/>
      <c r="AJ155" s="467"/>
      <c r="AK155" s="488"/>
    </row>
    <row r="156" spans="1:37" ht="14.25" customHeight="1">
      <c r="A156" s="170"/>
      <c r="B156" s="109"/>
      <c r="C156" s="1457"/>
      <c r="D156" s="1457"/>
      <c r="E156" s="1458"/>
      <c r="F156" s="1458"/>
      <c r="G156" s="1458"/>
      <c r="H156" s="20"/>
      <c r="I156" s="20"/>
      <c r="J156" s="36"/>
      <c r="K156" s="20"/>
      <c r="L156" s="20"/>
      <c r="M156" s="20"/>
      <c r="N156" s="20"/>
      <c r="O156" s="20"/>
      <c r="P156" s="20"/>
      <c r="Q156" s="20"/>
      <c r="R156" s="20"/>
      <c r="S156" s="20"/>
      <c r="T156" s="20"/>
      <c r="U156" s="20"/>
      <c r="V156" s="20"/>
      <c r="W156" s="20"/>
      <c r="X156" s="20"/>
      <c r="Y156" s="20"/>
      <c r="Z156" s="20"/>
      <c r="AA156" s="20"/>
      <c r="AB156" s="20"/>
      <c r="AC156" s="36"/>
      <c r="AD156" s="36"/>
      <c r="AE156" s="36"/>
      <c r="AF156" s="36"/>
      <c r="AG156" s="36"/>
      <c r="AH156" s="36"/>
      <c r="AI156" s="467"/>
      <c r="AJ156" s="467"/>
      <c r="AK156" s="488"/>
    </row>
    <row r="157" spans="1:37" ht="14.25" customHeight="1">
      <c r="A157" s="170"/>
      <c r="B157" s="109"/>
      <c r="C157" s="1457"/>
      <c r="D157" s="1457"/>
      <c r="E157" s="1458"/>
      <c r="F157" s="1458"/>
      <c r="G157" s="1458"/>
      <c r="H157" s="20"/>
      <c r="I157" s="20"/>
      <c r="J157" s="36"/>
      <c r="K157" s="20"/>
      <c r="L157" s="20"/>
      <c r="M157" s="20"/>
      <c r="N157" s="20"/>
      <c r="O157" s="20"/>
      <c r="P157" s="20"/>
      <c r="Q157" s="20"/>
      <c r="R157" s="20"/>
      <c r="S157" s="20"/>
      <c r="T157" s="20"/>
      <c r="U157" s="20"/>
      <c r="V157" s="20"/>
      <c r="W157" s="20"/>
      <c r="X157" s="20"/>
      <c r="Y157" s="20"/>
      <c r="Z157" s="20"/>
      <c r="AA157" s="20"/>
      <c r="AB157" s="20"/>
      <c r="AC157" s="36"/>
      <c r="AD157" s="36"/>
      <c r="AE157" s="36"/>
      <c r="AF157" s="36"/>
      <c r="AG157" s="36"/>
      <c r="AH157" s="36"/>
      <c r="AI157" s="467"/>
      <c r="AJ157" s="467"/>
      <c r="AK157" s="488"/>
    </row>
    <row r="158" spans="1:37" ht="14.25" customHeight="1">
      <c r="A158" s="170"/>
      <c r="B158" s="109"/>
      <c r="C158" s="1457"/>
      <c r="D158" s="1457"/>
      <c r="E158" s="1458"/>
      <c r="F158" s="1458"/>
      <c r="G158" s="1458"/>
      <c r="H158" s="20"/>
      <c r="I158" s="20"/>
      <c r="J158" s="36"/>
      <c r="K158" s="20"/>
      <c r="L158" s="20"/>
      <c r="M158" s="20"/>
      <c r="N158" s="20"/>
      <c r="O158" s="20"/>
      <c r="P158" s="20"/>
      <c r="Q158" s="20"/>
      <c r="R158" s="20"/>
      <c r="S158" s="20"/>
      <c r="T158" s="20"/>
      <c r="U158" s="20"/>
      <c r="V158" s="20"/>
      <c r="W158" s="20"/>
      <c r="X158" s="20"/>
      <c r="Y158" s="20"/>
      <c r="Z158" s="20"/>
      <c r="AA158" s="20"/>
      <c r="AB158" s="20"/>
      <c r="AC158" s="20"/>
      <c r="AD158" s="20"/>
      <c r="AE158" s="20"/>
      <c r="AF158" s="20"/>
      <c r="AG158" s="20"/>
      <c r="AH158" s="20"/>
      <c r="AI158" s="644"/>
      <c r="AJ158" s="644"/>
      <c r="AK158" s="488"/>
    </row>
    <row r="159" spans="1:37" ht="14.25" customHeight="1">
      <c r="A159" s="170"/>
      <c r="B159" s="109"/>
      <c r="C159" s="1457"/>
      <c r="D159" s="1457"/>
      <c r="E159" s="1458"/>
      <c r="F159" s="1458"/>
      <c r="G159" s="1458"/>
      <c r="H159" s="20"/>
      <c r="I159" s="20"/>
      <c r="J159" s="36"/>
      <c r="K159" s="20"/>
      <c r="L159" s="20"/>
      <c r="M159" s="20"/>
      <c r="N159" s="20"/>
      <c r="O159" s="20"/>
      <c r="P159" s="20"/>
      <c r="Q159" s="20"/>
      <c r="R159" s="20"/>
      <c r="S159" s="20"/>
      <c r="T159" s="20"/>
      <c r="U159" s="20"/>
      <c r="V159" s="20"/>
      <c r="W159" s="20"/>
      <c r="X159" s="20"/>
      <c r="Y159" s="20"/>
      <c r="Z159" s="20"/>
      <c r="AA159" s="20"/>
      <c r="AB159" s="20"/>
      <c r="AC159" s="20"/>
      <c r="AD159" s="20"/>
      <c r="AE159" s="20"/>
      <c r="AF159" s="20"/>
      <c r="AG159" s="20"/>
      <c r="AH159" s="20"/>
      <c r="AI159" s="644"/>
      <c r="AJ159" s="644"/>
      <c r="AK159" s="488"/>
    </row>
    <row r="160" spans="1:37" ht="14.25" customHeight="1">
      <c r="A160" s="170"/>
      <c r="B160" s="109"/>
      <c r="C160" s="1457"/>
      <c r="D160" s="1457"/>
      <c r="E160" s="1458"/>
      <c r="F160" s="1458"/>
      <c r="G160" s="1458"/>
      <c r="H160" s="20"/>
      <c r="I160" s="20"/>
      <c r="J160" s="36"/>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644"/>
      <c r="AJ160" s="644"/>
      <c r="AK160" s="488"/>
    </row>
    <row r="161" spans="1:38" ht="14.25" customHeight="1">
      <c r="A161" s="170"/>
      <c r="B161" s="109"/>
      <c r="C161" s="1457"/>
      <c r="D161" s="1457"/>
      <c r="E161" s="1458"/>
      <c r="F161" s="1458"/>
      <c r="G161" s="1458"/>
      <c r="H161" s="20"/>
      <c r="I161" s="20"/>
      <c r="J161" s="36"/>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644"/>
      <c r="AJ161" s="644"/>
      <c r="AK161" s="488"/>
    </row>
    <row r="162" spans="1:38" ht="14.25" customHeight="1">
      <c r="A162" s="170"/>
      <c r="B162" s="109"/>
      <c r="C162" s="1457"/>
      <c r="D162" s="1457"/>
      <c r="E162" s="1458"/>
      <c r="F162" s="1458"/>
      <c r="G162" s="1458"/>
      <c r="H162" s="20"/>
      <c r="I162" s="20"/>
      <c r="J162" s="36"/>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644"/>
      <c r="AJ162" s="644"/>
      <c r="AK162" s="488"/>
    </row>
    <row r="163" spans="1:38" ht="14.25" customHeight="1">
      <c r="A163" s="170"/>
      <c r="B163" s="109"/>
      <c r="C163" s="1457"/>
      <c r="D163" s="1457"/>
      <c r="E163" s="1458"/>
      <c r="F163" s="1458"/>
      <c r="G163" s="1458"/>
      <c r="H163" s="20"/>
      <c r="I163" s="20"/>
      <c r="J163" s="36"/>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644"/>
      <c r="AJ163" s="644"/>
      <c r="AK163" s="488"/>
    </row>
    <row r="164" spans="1:38" ht="14.25" customHeight="1">
      <c r="A164" s="170"/>
      <c r="B164" s="109"/>
      <c r="C164" s="1457"/>
      <c r="D164" s="1457"/>
      <c r="E164" s="1458"/>
      <c r="F164" s="1458"/>
      <c r="G164" s="1458"/>
      <c r="H164" s="20"/>
      <c r="I164" s="20"/>
      <c r="J164" s="36"/>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644"/>
      <c r="AJ164" s="644"/>
      <c r="AK164" s="488"/>
    </row>
    <row r="165" spans="1:38" ht="14.25" customHeight="1">
      <c r="A165" s="170"/>
      <c r="B165" s="109"/>
      <c r="C165" s="1457"/>
      <c r="D165" s="1457"/>
      <c r="E165" s="1458"/>
      <c r="F165" s="1458"/>
      <c r="G165" s="1458"/>
      <c r="H165" s="20"/>
      <c r="I165" s="20"/>
      <c r="J165" s="36"/>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644"/>
      <c r="AJ165" s="644"/>
      <c r="AK165" s="488"/>
    </row>
    <row r="166" spans="1:38" ht="14.25" customHeight="1">
      <c r="A166" s="170"/>
      <c r="B166" s="109"/>
      <c r="C166" s="1457"/>
      <c r="D166" s="1457"/>
      <c r="E166" s="1458"/>
      <c r="F166" s="1458"/>
      <c r="G166" s="1458"/>
      <c r="H166" s="20"/>
      <c r="I166" s="20"/>
      <c r="J166" s="36"/>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644"/>
      <c r="AJ166" s="644"/>
      <c r="AK166" s="488"/>
    </row>
    <row r="167" spans="1:38" ht="20.100000000000001" customHeight="1">
      <c r="A167" s="170"/>
      <c r="B167" s="34"/>
      <c r="C167" s="20"/>
      <c r="D167" s="20"/>
      <c r="E167" s="20"/>
      <c r="F167" s="20"/>
      <c r="G167" s="20"/>
      <c r="H167" s="20"/>
      <c r="I167" s="20"/>
      <c r="J167" s="36"/>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644"/>
      <c r="AJ167" s="644"/>
      <c r="AK167" s="488"/>
    </row>
    <row r="168" spans="1:38" ht="20.100000000000001" customHeight="1">
      <c r="A168" s="170"/>
      <c r="B168" s="34"/>
      <c r="C168" s="20"/>
      <c r="D168" s="20"/>
      <c r="E168" s="20"/>
      <c r="F168" s="20"/>
      <c r="G168" s="20"/>
      <c r="H168" s="20"/>
      <c r="I168" s="20"/>
      <c r="J168" s="36"/>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644"/>
      <c r="AJ168" s="644"/>
      <c r="AK168" s="488"/>
      <c r="AL168" s="20"/>
    </row>
    <row r="169" spans="1:38" ht="20.100000000000001" customHeight="1">
      <c r="A169" s="170"/>
      <c r="B169" s="34"/>
      <c r="C169" s="20"/>
      <c r="D169" s="20"/>
      <c r="E169" s="20"/>
      <c r="F169" s="20"/>
      <c r="G169" s="20"/>
      <c r="H169" s="20"/>
      <c r="I169" s="20"/>
      <c r="J169" s="36"/>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644"/>
      <c r="AJ169" s="644"/>
      <c r="AK169" s="488"/>
      <c r="AL169" s="20"/>
    </row>
    <row r="170" spans="1:38" ht="20.100000000000001" customHeight="1">
      <c r="B170" s="34"/>
      <c r="C170" s="20"/>
      <c r="D170" s="20"/>
      <c r="E170" s="20"/>
      <c r="F170" s="20"/>
      <c r="G170" s="20"/>
      <c r="H170" s="20"/>
      <c r="I170" s="20"/>
      <c r="J170" s="36"/>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644"/>
      <c r="AJ170" s="644"/>
      <c r="AK170" s="488"/>
      <c r="AL170" s="20"/>
    </row>
    <row r="171" spans="1:38" ht="20.100000000000001" customHeight="1">
      <c r="B171" s="20"/>
      <c r="C171" s="20"/>
      <c r="D171" s="20"/>
      <c r="E171" s="20"/>
      <c r="F171" s="20"/>
      <c r="G171" s="20"/>
      <c r="H171" s="20"/>
      <c r="I171" s="20"/>
      <c r="J171" s="36"/>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644"/>
      <c r="AJ171" s="644"/>
      <c r="AK171" s="488"/>
      <c r="AL171" s="20"/>
    </row>
    <row r="172" spans="1:38" ht="20.100000000000001" customHeight="1">
      <c r="B172" s="1459"/>
      <c r="C172" s="20"/>
      <c r="D172" s="20"/>
      <c r="E172" s="20"/>
      <c r="F172" s="20"/>
      <c r="G172" s="20"/>
      <c r="H172" s="20"/>
      <c r="I172" s="20"/>
      <c r="J172" s="36"/>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I172" s="170"/>
      <c r="AJ172" s="170"/>
      <c r="AK172" s="567"/>
      <c r="AL172" s="20"/>
    </row>
    <row r="173" spans="1:38" ht="20.100000000000001" customHeight="1">
      <c r="B173" s="20"/>
      <c r="C173" s="20"/>
      <c r="D173" s="20"/>
      <c r="E173" s="20"/>
      <c r="F173" s="20"/>
      <c r="G173" s="20"/>
      <c r="H173" s="20"/>
      <c r="I173" s="20"/>
      <c r="J173" s="36"/>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I173" s="170"/>
      <c r="AJ173" s="170"/>
      <c r="AK173" s="567"/>
      <c r="AL173" s="20"/>
    </row>
    <row r="174" spans="1:38" ht="20.100000000000001" customHeight="1">
      <c r="B174" s="20"/>
      <c r="C174" s="20"/>
      <c r="D174" s="20"/>
      <c r="E174" s="20"/>
      <c r="F174" s="20"/>
      <c r="G174" s="20"/>
      <c r="H174" s="20"/>
      <c r="I174" s="20"/>
      <c r="J174" s="36"/>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I174" s="170"/>
      <c r="AJ174" s="170"/>
      <c r="AK174" s="567"/>
      <c r="AL174" s="20"/>
    </row>
    <row r="175" spans="1:38" ht="20.100000000000001" customHeight="1">
      <c r="B175" s="170"/>
      <c r="C175" s="170"/>
      <c r="D175" s="170"/>
      <c r="E175" s="170"/>
      <c r="F175" s="170"/>
      <c r="G175" s="170"/>
      <c r="H175" s="170"/>
      <c r="I175" s="170"/>
      <c r="J175" s="756"/>
      <c r="K175" s="170"/>
      <c r="L175" s="170"/>
      <c r="M175" s="170"/>
      <c r="N175" s="170"/>
      <c r="O175" s="170"/>
      <c r="P175" s="170"/>
      <c r="Q175" s="170"/>
      <c r="R175" s="170"/>
      <c r="S175" s="170"/>
      <c r="T175" s="170"/>
      <c r="U175" s="170"/>
      <c r="V175" s="170"/>
      <c r="W175" s="170"/>
      <c r="X175" s="170"/>
      <c r="Y175" s="170"/>
      <c r="Z175" s="170"/>
      <c r="AA175" s="170"/>
      <c r="AB175" s="170"/>
      <c r="AC175" s="170"/>
      <c r="AD175" s="170"/>
      <c r="AE175" s="170"/>
      <c r="AF175" s="170"/>
      <c r="AG175" s="170"/>
      <c r="AI175" s="170"/>
      <c r="AJ175" s="170"/>
      <c r="AK175" s="567"/>
      <c r="AL175" s="20"/>
    </row>
    <row r="176" spans="1:38" ht="20.100000000000001" customHeight="1">
      <c r="B176" s="170"/>
      <c r="C176" s="170"/>
      <c r="D176" s="170"/>
      <c r="E176" s="170"/>
      <c r="F176" s="170"/>
      <c r="G176" s="170"/>
      <c r="H176" s="170"/>
      <c r="I176" s="170"/>
      <c r="J176" s="756"/>
      <c r="K176" s="170"/>
      <c r="L176" s="170"/>
      <c r="M176" s="170"/>
      <c r="N176" s="170"/>
      <c r="O176" s="170"/>
      <c r="P176" s="170"/>
      <c r="Q176" s="170"/>
      <c r="R176" s="170"/>
      <c r="S176" s="170"/>
      <c r="T176" s="170"/>
      <c r="U176" s="170"/>
      <c r="V176" s="170"/>
      <c r="W176" s="170"/>
      <c r="X176" s="170"/>
      <c r="Y176" s="170"/>
      <c r="Z176" s="170"/>
      <c r="AA176" s="170"/>
      <c r="AB176" s="170"/>
      <c r="AC176" s="170"/>
      <c r="AD176" s="170"/>
      <c r="AE176" s="170"/>
      <c r="AF176" s="170"/>
      <c r="AG176" s="170"/>
    </row>
    <row r="177" spans="2:33" ht="20.100000000000001" customHeight="1">
      <c r="B177" s="170"/>
      <c r="C177" s="170"/>
      <c r="D177" s="170"/>
      <c r="E177" s="170"/>
      <c r="F177" s="170"/>
      <c r="G177" s="170"/>
      <c r="H177" s="170"/>
      <c r="I177" s="170"/>
      <c r="J177" s="756"/>
      <c r="K177" s="170"/>
      <c r="L177" s="170"/>
      <c r="M177" s="170"/>
      <c r="N177" s="170"/>
      <c r="O177" s="170"/>
      <c r="P177" s="170"/>
      <c r="Q177" s="170"/>
      <c r="R177" s="170"/>
      <c r="S177" s="170"/>
      <c r="T177" s="170"/>
      <c r="U177" s="170"/>
      <c r="V177" s="170"/>
      <c r="W177" s="170"/>
      <c r="X177" s="170"/>
      <c r="Y177" s="170"/>
      <c r="Z177" s="170"/>
      <c r="AA177" s="170"/>
      <c r="AB177" s="170"/>
      <c r="AC177" s="170"/>
      <c r="AD177" s="170"/>
      <c r="AE177" s="170"/>
      <c r="AF177" s="170"/>
      <c r="AG177" s="170"/>
    </row>
    <row r="178" spans="2:33" ht="20.100000000000001" customHeight="1">
      <c r="B178" s="170"/>
      <c r="C178" s="170"/>
      <c r="D178" s="170"/>
      <c r="E178" s="170"/>
      <c r="F178" s="170"/>
      <c r="G178" s="170"/>
      <c r="H178" s="170"/>
      <c r="I178" s="170"/>
      <c r="J178" s="756"/>
      <c r="K178" s="170"/>
      <c r="L178" s="170"/>
      <c r="M178" s="170"/>
      <c r="N178" s="170"/>
      <c r="O178" s="170"/>
      <c r="P178" s="170"/>
      <c r="Q178" s="170"/>
      <c r="R178" s="170"/>
      <c r="S178" s="170"/>
      <c r="T178" s="170"/>
      <c r="U178" s="170"/>
      <c r="V178" s="170"/>
      <c r="W178" s="170"/>
      <c r="X178" s="170"/>
      <c r="Y178" s="170"/>
      <c r="Z178" s="170"/>
      <c r="AA178" s="170"/>
      <c r="AB178" s="170"/>
      <c r="AC178" s="170"/>
      <c r="AD178" s="170"/>
      <c r="AE178" s="170"/>
      <c r="AF178" s="170"/>
      <c r="AG178" s="170"/>
    </row>
    <row r="179" spans="2:33" ht="20.100000000000001" customHeight="1">
      <c r="B179" s="170"/>
      <c r="C179" s="170"/>
      <c r="D179" s="170"/>
      <c r="E179" s="170"/>
      <c r="F179" s="170"/>
      <c r="G179" s="170"/>
      <c r="H179" s="170"/>
      <c r="I179" s="170"/>
      <c r="J179" s="756"/>
      <c r="K179" s="170"/>
      <c r="L179" s="170"/>
      <c r="M179" s="170"/>
      <c r="N179" s="170"/>
      <c r="O179" s="170"/>
      <c r="P179" s="170"/>
      <c r="Q179" s="170"/>
      <c r="R179" s="170"/>
      <c r="S179" s="170"/>
      <c r="T179" s="170"/>
      <c r="U179" s="170"/>
      <c r="V179" s="170"/>
      <c r="W179" s="170"/>
      <c r="X179" s="170"/>
      <c r="Y179" s="170"/>
      <c r="Z179" s="170"/>
      <c r="AA179" s="170"/>
      <c r="AB179" s="170"/>
      <c r="AC179" s="170"/>
      <c r="AD179" s="170"/>
      <c r="AE179" s="170"/>
      <c r="AF179" s="170"/>
      <c r="AG179" s="170"/>
    </row>
    <row r="180" spans="2:33">
      <c r="B180" s="170"/>
      <c r="C180" s="170"/>
      <c r="D180" s="170"/>
      <c r="E180" s="170"/>
      <c r="F180" s="170"/>
      <c r="G180" s="170"/>
      <c r="H180" s="170"/>
      <c r="I180" s="170"/>
      <c r="J180" s="756"/>
      <c r="K180" s="170"/>
      <c r="L180" s="170"/>
      <c r="M180" s="170"/>
      <c r="N180" s="170"/>
      <c r="O180" s="170"/>
      <c r="P180" s="170"/>
      <c r="Q180" s="170"/>
      <c r="R180" s="170"/>
      <c r="S180" s="170"/>
      <c r="T180" s="170"/>
      <c r="U180" s="170"/>
      <c r="V180" s="170"/>
      <c r="W180" s="170"/>
      <c r="X180" s="170"/>
      <c r="Y180" s="170"/>
      <c r="Z180" s="170"/>
      <c r="AA180" s="170"/>
      <c r="AB180" s="170"/>
      <c r="AC180" s="170"/>
      <c r="AD180" s="170"/>
      <c r="AE180" s="170"/>
      <c r="AF180" s="170"/>
      <c r="AG180" s="170"/>
    </row>
    <row r="181" spans="2:33">
      <c r="B181" s="170"/>
      <c r="C181" s="170"/>
      <c r="D181" s="170"/>
      <c r="E181" s="170"/>
      <c r="F181" s="170"/>
      <c r="G181" s="170"/>
      <c r="H181" s="170"/>
      <c r="I181" s="170"/>
      <c r="J181" s="756"/>
      <c r="K181" s="170"/>
      <c r="L181" s="170"/>
      <c r="M181" s="170"/>
      <c r="N181" s="170"/>
      <c r="O181" s="170"/>
      <c r="P181" s="170"/>
      <c r="Q181" s="170"/>
      <c r="R181" s="170"/>
      <c r="S181" s="170"/>
      <c r="T181" s="170"/>
      <c r="U181" s="170"/>
      <c r="V181" s="170"/>
      <c r="W181" s="170"/>
      <c r="X181" s="170"/>
      <c r="Y181" s="170"/>
      <c r="Z181" s="170"/>
      <c r="AA181" s="170"/>
      <c r="AB181" s="170"/>
      <c r="AC181" s="170"/>
      <c r="AD181" s="170"/>
      <c r="AE181" s="170"/>
      <c r="AF181" s="170"/>
      <c r="AG181" s="170"/>
    </row>
    <row r="182" spans="2:33">
      <c r="B182" s="170"/>
      <c r="C182" s="170"/>
      <c r="D182" s="170"/>
      <c r="E182" s="170"/>
      <c r="F182" s="170"/>
      <c r="G182" s="170"/>
      <c r="H182" s="170"/>
      <c r="I182" s="170"/>
      <c r="J182" s="756"/>
      <c r="K182" s="170"/>
      <c r="L182" s="170"/>
      <c r="M182" s="170"/>
      <c r="N182" s="170"/>
      <c r="O182" s="170"/>
      <c r="P182" s="170"/>
      <c r="Q182" s="170"/>
      <c r="R182" s="170"/>
      <c r="S182" s="170"/>
      <c r="T182" s="170"/>
      <c r="U182" s="170"/>
      <c r="V182" s="170"/>
      <c r="W182" s="170"/>
      <c r="X182" s="170"/>
      <c r="Y182" s="170"/>
      <c r="Z182" s="170"/>
      <c r="AA182" s="170"/>
      <c r="AB182" s="170"/>
      <c r="AC182" s="170"/>
      <c r="AD182" s="170"/>
      <c r="AE182" s="170"/>
      <c r="AF182" s="170"/>
      <c r="AG182" s="170"/>
    </row>
    <row r="183" spans="2:33">
      <c r="B183" s="170"/>
      <c r="C183" s="170"/>
      <c r="D183" s="170"/>
      <c r="E183" s="170"/>
      <c r="F183" s="170"/>
      <c r="G183" s="170"/>
      <c r="H183" s="170"/>
      <c r="I183" s="170"/>
      <c r="J183" s="756"/>
      <c r="K183" s="170"/>
      <c r="L183" s="170"/>
      <c r="M183" s="170"/>
      <c r="N183" s="170"/>
      <c r="O183" s="170"/>
      <c r="P183" s="170"/>
      <c r="Q183" s="170"/>
      <c r="R183" s="170"/>
      <c r="S183" s="170"/>
      <c r="T183" s="170"/>
      <c r="U183" s="170"/>
      <c r="V183" s="170"/>
      <c r="W183" s="170"/>
      <c r="X183" s="170"/>
      <c r="Y183" s="170"/>
      <c r="Z183" s="170"/>
      <c r="AA183" s="170"/>
      <c r="AB183" s="170"/>
      <c r="AC183" s="170"/>
      <c r="AD183" s="170"/>
      <c r="AE183" s="170"/>
      <c r="AF183" s="170"/>
      <c r="AG183" s="170"/>
    </row>
    <row r="184" spans="2:33">
      <c r="B184" s="170"/>
      <c r="C184" s="170"/>
      <c r="D184" s="170"/>
      <c r="E184" s="170"/>
      <c r="F184" s="170"/>
      <c r="G184" s="170"/>
      <c r="H184" s="170"/>
      <c r="I184" s="170"/>
      <c r="J184" s="756"/>
      <c r="K184" s="170"/>
      <c r="L184" s="170"/>
      <c r="M184" s="170"/>
      <c r="N184" s="170"/>
      <c r="O184" s="170"/>
      <c r="P184" s="170"/>
      <c r="Q184" s="170"/>
      <c r="R184" s="170"/>
      <c r="S184" s="170"/>
      <c r="T184" s="170"/>
      <c r="U184" s="170"/>
      <c r="V184" s="170"/>
      <c r="W184" s="170"/>
      <c r="X184" s="170"/>
      <c r="Y184" s="170"/>
      <c r="Z184" s="170"/>
      <c r="AA184" s="170"/>
      <c r="AB184" s="170"/>
      <c r="AC184" s="170"/>
      <c r="AD184" s="170"/>
      <c r="AE184" s="170"/>
      <c r="AF184" s="170"/>
      <c r="AG184" s="170"/>
    </row>
    <row r="185" spans="2:33">
      <c r="B185" s="170"/>
      <c r="C185" s="170"/>
      <c r="D185" s="170"/>
      <c r="E185" s="170"/>
      <c r="F185" s="170"/>
      <c r="G185" s="170"/>
      <c r="H185" s="170"/>
      <c r="I185" s="170"/>
      <c r="J185" s="756"/>
      <c r="K185" s="170"/>
      <c r="L185" s="170"/>
      <c r="M185" s="170"/>
      <c r="N185" s="170"/>
      <c r="O185" s="170"/>
      <c r="P185" s="170"/>
      <c r="Q185" s="170"/>
      <c r="R185" s="170"/>
      <c r="S185" s="170"/>
      <c r="T185" s="170"/>
      <c r="U185" s="170"/>
      <c r="V185" s="170"/>
      <c r="W185" s="170"/>
      <c r="X185" s="170"/>
      <c r="Y185" s="170"/>
      <c r="Z185" s="170"/>
      <c r="AA185" s="170"/>
      <c r="AB185" s="170"/>
      <c r="AC185" s="170"/>
      <c r="AD185" s="170"/>
      <c r="AE185" s="170"/>
      <c r="AF185" s="170"/>
      <c r="AG185" s="170"/>
    </row>
    <row r="186" spans="2:33">
      <c r="B186" s="170"/>
      <c r="C186" s="170"/>
      <c r="D186" s="170"/>
      <c r="E186" s="170"/>
      <c r="F186" s="170"/>
      <c r="G186" s="170"/>
      <c r="H186" s="170"/>
      <c r="I186" s="170"/>
      <c r="J186" s="756"/>
      <c r="K186" s="170"/>
      <c r="L186" s="170"/>
      <c r="M186" s="170"/>
      <c r="N186" s="170"/>
      <c r="O186" s="170"/>
      <c r="P186" s="170"/>
      <c r="Q186" s="170"/>
      <c r="R186" s="170"/>
      <c r="S186" s="170"/>
      <c r="T186" s="170"/>
      <c r="U186" s="170"/>
      <c r="V186" s="170"/>
      <c r="W186" s="170"/>
      <c r="X186" s="170"/>
      <c r="Y186" s="170"/>
      <c r="Z186" s="170"/>
      <c r="AA186" s="170"/>
      <c r="AB186" s="170"/>
      <c r="AC186" s="170"/>
      <c r="AD186" s="170"/>
      <c r="AE186" s="170"/>
      <c r="AF186" s="170"/>
      <c r="AG186" s="170"/>
    </row>
    <row r="187" spans="2:33">
      <c r="B187" s="170"/>
      <c r="C187" s="170"/>
      <c r="D187" s="170"/>
      <c r="E187" s="170"/>
      <c r="F187" s="170"/>
      <c r="G187" s="170"/>
      <c r="H187" s="170"/>
      <c r="I187" s="170"/>
      <c r="J187" s="756"/>
      <c r="K187" s="170"/>
      <c r="L187" s="170"/>
      <c r="M187" s="170"/>
      <c r="N187" s="170"/>
      <c r="O187" s="170"/>
      <c r="P187" s="170"/>
      <c r="Q187" s="170"/>
      <c r="R187" s="170"/>
      <c r="S187" s="170"/>
      <c r="T187" s="170"/>
      <c r="U187" s="170"/>
      <c r="V187" s="170"/>
      <c r="W187" s="170"/>
      <c r="X187" s="170"/>
      <c r="Y187" s="170"/>
      <c r="Z187" s="170"/>
      <c r="AA187" s="170"/>
      <c r="AB187" s="170"/>
      <c r="AC187" s="170"/>
      <c r="AD187" s="170"/>
      <c r="AE187" s="170"/>
      <c r="AF187" s="170"/>
      <c r="AG187" s="170"/>
    </row>
    <row r="188" spans="2:33">
      <c r="B188" s="170"/>
      <c r="C188" s="170"/>
      <c r="D188" s="170"/>
      <c r="E188" s="170"/>
      <c r="F188" s="170"/>
      <c r="G188" s="170"/>
      <c r="H188" s="170"/>
      <c r="I188" s="170"/>
      <c r="J188" s="756"/>
      <c r="K188" s="170"/>
      <c r="L188" s="170"/>
      <c r="M188" s="170"/>
      <c r="N188" s="170"/>
      <c r="O188" s="170"/>
      <c r="P188" s="170"/>
      <c r="Q188" s="170"/>
      <c r="R188" s="170"/>
      <c r="S188" s="170"/>
      <c r="T188" s="170"/>
      <c r="U188" s="170"/>
      <c r="V188" s="170"/>
      <c r="W188" s="170"/>
      <c r="X188" s="170"/>
      <c r="Y188" s="170"/>
      <c r="Z188" s="170"/>
      <c r="AA188" s="170"/>
      <c r="AB188" s="170"/>
      <c r="AC188" s="170"/>
      <c r="AD188" s="170"/>
      <c r="AE188" s="170"/>
      <c r="AF188" s="170"/>
      <c r="AG188" s="170"/>
    </row>
    <row r="189" spans="2:33">
      <c r="B189" s="170"/>
      <c r="C189" s="170"/>
      <c r="D189" s="170"/>
      <c r="E189" s="170"/>
      <c r="F189" s="170"/>
      <c r="G189" s="170"/>
      <c r="H189" s="170"/>
      <c r="I189" s="170"/>
      <c r="J189" s="756"/>
      <c r="K189" s="170"/>
      <c r="L189" s="170"/>
      <c r="M189" s="170"/>
      <c r="N189" s="170"/>
      <c r="O189" s="170"/>
      <c r="P189" s="170"/>
      <c r="Q189" s="170"/>
      <c r="R189" s="170"/>
      <c r="S189" s="170"/>
      <c r="T189" s="170"/>
      <c r="U189" s="170"/>
      <c r="V189" s="170"/>
      <c r="W189" s="170"/>
      <c r="X189" s="170"/>
      <c r="Y189" s="170"/>
      <c r="Z189" s="170"/>
      <c r="AA189" s="170"/>
      <c r="AB189" s="170"/>
      <c r="AC189" s="170"/>
      <c r="AD189" s="170"/>
      <c r="AE189" s="170"/>
      <c r="AF189" s="170"/>
      <c r="AG189" s="170"/>
    </row>
    <row r="190" spans="2:33">
      <c r="B190" s="170"/>
      <c r="C190" s="170"/>
      <c r="D190" s="170"/>
      <c r="E190" s="170"/>
      <c r="F190" s="170"/>
      <c r="G190" s="170"/>
      <c r="H190" s="170"/>
      <c r="I190" s="170"/>
      <c r="J190" s="756"/>
      <c r="K190" s="170"/>
      <c r="L190" s="170"/>
      <c r="M190" s="170"/>
      <c r="N190" s="170"/>
      <c r="O190" s="170"/>
      <c r="P190" s="170"/>
      <c r="Q190" s="170"/>
      <c r="R190" s="170"/>
      <c r="S190" s="170"/>
      <c r="T190" s="170"/>
      <c r="U190" s="170"/>
      <c r="V190" s="170"/>
      <c r="W190" s="170"/>
      <c r="X190" s="170"/>
      <c r="Y190" s="170"/>
      <c r="Z190" s="170"/>
      <c r="AA190" s="170"/>
      <c r="AB190" s="170"/>
      <c r="AC190" s="170"/>
      <c r="AD190" s="170"/>
      <c r="AE190" s="170"/>
      <c r="AF190" s="170"/>
      <c r="AG190" s="170"/>
    </row>
    <row r="191" spans="2:33">
      <c r="B191" s="170"/>
      <c r="C191" s="170"/>
      <c r="D191" s="170"/>
      <c r="E191" s="170"/>
      <c r="F191" s="170"/>
      <c r="G191" s="170"/>
      <c r="H191" s="170"/>
      <c r="I191" s="170"/>
      <c r="J191" s="756"/>
      <c r="K191" s="170"/>
      <c r="L191" s="170"/>
      <c r="M191" s="170"/>
      <c r="N191" s="170"/>
      <c r="O191" s="170"/>
      <c r="P191" s="170"/>
      <c r="Q191" s="170"/>
      <c r="R191" s="170"/>
      <c r="S191" s="170"/>
      <c r="T191" s="170"/>
      <c r="U191" s="170"/>
      <c r="V191" s="170"/>
      <c r="W191" s="170"/>
      <c r="X191" s="170"/>
      <c r="Y191" s="170"/>
      <c r="Z191" s="170"/>
      <c r="AA191" s="170"/>
      <c r="AB191" s="170"/>
      <c r="AC191" s="170"/>
      <c r="AD191" s="170"/>
      <c r="AE191" s="170"/>
      <c r="AF191" s="170"/>
      <c r="AG191" s="170"/>
    </row>
    <row r="192" spans="2:33">
      <c r="B192" s="170"/>
      <c r="C192" s="170"/>
      <c r="D192" s="170"/>
      <c r="E192" s="170"/>
      <c r="F192" s="170"/>
      <c r="G192" s="170"/>
      <c r="H192" s="170"/>
      <c r="I192" s="170"/>
      <c r="J192" s="756"/>
      <c r="K192" s="170"/>
      <c r="L192" s="170"/>
      <c r="M192" s="170"/>
      <c r="N192" s="170"/>
      <c r="O192" s="170"/>
      <c r="P192" s="170"/>
      <c r="Q192" s="170"/>
      <c r="R192" s="170"/>
      <c r="S192" s="170"/>
      <c r="T192" s="170"/>
      <c r="U192" s="170"/>
      <c r="V192" s="170"/>
      <c r="W192" s="170"/>
      <c r="X192" s="170"/>
      <c r="Y192" s="170"/>
      <c r="Z192" s="170"/>
      <c r="AA192" s="170"/>
      <c r="AB192" s="170"/>
      <c r="AC192" s="170"/>
      <c r="AD192" s="170"/>
      <c r="AE192" s="170"/>
      <c r="AF192" s="170"/>
      <c r="AG192" s="170"/>
    </row>
    <row r="193" spans="2:33">
      <c r="B193" s="170"/>
      <c r="C193" s="170"/>
      <c r="D193" s="170"/>
      <c r="E193" s="170"/>
      <c r="F193" s="170"/>
      <c r="G193" s="170"/>
      <c r="H193" s="170"/>
      <c r="I193" s="170"/>
      <c r="J193" s="756"/>
      <c r="K193" s="170"/>
      <c r="L193" s="170"/>
      <c r="M193" s="170"/>
      <c r="N193" s="170"/>
      <c r="O193" s="170"/>
      <c r="P193" s="170"/>
      <c r="Q193" s="170"/>
      <c r="R193" s="170"/>
      <c r="S193" s="170"/>
      <c r="T193" s="170"/>
      <c r="U193" s="170"/>
      <c r="V193" s="170"/>
      <c r="W193" s="170"/>
      <c r="X193" s="170"/>
      <c r="Y193" s="170"/>
      <c r="Z193" s="170"/>
      <c r="AA193" s="170"/>
      <c r="AB193" s="170"/>
      <c r="AC193" s="170"/>
      <c r="AD193" s="170"/>
      <c r="AE193" s="170"/>
      <c r="AF193" s="170"/>
      <c r="AG193" s="170"/>
    </row>
    <row r="194" spans="2:33">
      <c r="B194" s="170"/>
      <c r="C194" s="170"/>
      <c r="D194" s="170"/>
      <c r="E194" s="170"/>
      <c r="F194" s="170"/>
      <c r="G194" s="170"/>
      <c r="H194" s="170"/>
      <c r="I194" s="170"/>
      <c r="J194" s="756"/>
      <c r="K194" s="170"/>
      <c r="L194" s="170"/>
      <c r="M194" s="170"/>
      <c r="N194" s="170"/>
      <c r="O194" s="170"/>
      <c r="P194" s="170"/>
      <c r="Q194" s="170"/>
      <c r="R194" s="170"/>
      <c r="S194" s="170"/>
      <c r="T194" s="170"/>
      <c r="U194" s="170"/>
      <c r="V194" s="170"/>
      <c r="W194" s="170"/>
      <c r="X194" s="170"/>
      <c r="Y194" s="170"/>
      <c r="Z194" s="170"/>
      <c r="AA194" s="170"/>
      <c r="AB194" s="170"/>
      <c r="AC194" s="170"/>
      <c r="AD194" s="170"/>
      <c r="AE194" s="170"/>
      <c r="AF194" s="170"/>
      <c r="AG194" s="170"/>
    </row>
    <row r="195" spans="2:33">
      <c r="B195" s="170"/>
      <c r="C195" s="170"/>
      <c r="D195" s="170"/>
      <c r="E195" s="170"/>
      <c r="F195" s="170"/>
      <c r="G195" s="170"/>
      <c r="H195" s="170"/>
      <c r="I195" s="170"/>
      <c r="J195" s="756"/>
      <c r="K195" s="170"/>
      <c r="L195" s="170"/>
      <c r="M195" s="170"/>
      <c r="N195" s="170"/>
      <c r="O195" s="170"/>
      <c r="P195" s="170"/>
      <c r="Q195" s="170"/>
      <c r="R195" s="170"/>
      <c r="S195" s="170"/>
      <c r="T195" s="170"/>
      <c r="U195" s="170"/>
      <c r="V195" s="170"/>
      <c r="W195" s="170"/>
      <c r="X195" s="170"/>
      <c r="Y195" s="170"/>
      <c r="Z195" s="170"/>
      <c r="AA195" s="170"/>
      <c r="AB195" s="170"/>
      <c r="AC195" s="170"/>
      <c r="AD195" s="170"/>
      <c r="AE195" s="170"/>
      <c r="AF195" s="170"/>
      <c r="AG195" s="170"/>
    </row>
    <row r="196" spans="2:33">
      <c r="B196" s="170"/>
      <c r="C196" s="170"/>
      <c r="D196" s="170"/>
      <c r="E196" s="170"/>
      <c r="F196" s="170"/>
      <c r="G196" s="170"/>
      <c r="H196" s="170"/>
      <c r="I196" s="170"/>
      <c r="J196" s="756"/>
      <c r="K196" s="170"/>
      <c r="L196" s="170"/>
      <c r="M196" s="170"/>
      <c r="N196" s="170"/>
      <c r="O196" s="170"/>
      <c r="P196" s="170"/>
      <c r="Q196" s="170"/>
      <c r="R196" s="170"/>
      <c r="S196" s="170"/>
      <c r="T196" s="170"/>
      <c r="U196" s="170"/>
      <c r="V196" s="170"/>
      <c r="W196" s="170"/>
      <c r="X196" s="170"/>
      <c r="Y196" s="170"/>
      <c r="Z196" s="170"/>
      <c r="AA196" s="170"/>
      <c r="AB196" s="170"/>
      <c r="AC196" s="170"/>
      <c r="AD196" s="170"/>
      <c r="AE196" s="170"/>
      <c r="AF196" s="170"/>
      <c r="AG196" s="170"/>
    </row>
    <row r="197" spans="2:33">
      <c r="B197" s="170"/>
      <c r="C197" s="170"/>
      <c r="D197" s="170"/>
      <c r="E197" s="170"/>
      <c r="F197" s="170"/>
      <c r="G197" s="170"/>
      <c r="H197" s="170"/>
      <c r="I197" s="170"/>
      <c r="J197" s="756"/>
      <c r="K197" s="170"/>
      <c r="L197" s="170"/>
      <c r="M197" s="170"/>
      <c r="N197" s="170"/>
      <c r="O197" s="170"/>
      <c r="P197" s="170"/>
      <c r="Q197" s="170"/>
      <c r="R197" s="170"/>
      <c r="S197" s="170"/>
      <c r="T197" s="170"/>
      <c r="U197" s="170"/>
      <c r="V197" s="170"/>
      <c r="W197" s="170"/>
      <c r="X197" s="170"/>
      <c r="Y197" s="170"/>
      <c r="Z197" s="170"/>
      <c r="AA197" s="170"/>
      <c r="AB197" s="170"/>
      <c r="AC197" s="170"/>
      <c r="AD197" s="170"/>
      <c r="AE197" s="170"/>
      <c r="AF197" s="170"/>
      <c r="AG197" s="170"/>
    </row>
    <row r="198" spans="2:33">
      <c r="B198" s="170"/>
      <c r="C198" s="170"/>
      <c r="D198" s="170"/>
      <c r="E198" s="170"/>
      <c r="F198" s="170"/>
      <c r="G198" s="170"/>
      <c r="H198" s="170"/>
      <c r="I198" s="170"/>
      <c r="J198" s="756"/>
      <c r="K198" s="170"/>
      <c r="L198" s="170"/>
      <c r="M198" s="170"/>
      <c r="N198" s="170"/>
      <c r="O198" s="170"/>
      <c r="P198" s="170"/>
      <c r="Q198" s="170"/>
      <c r="R198" s="170"/>
      <c r="S198" s="170"/>
      <c r="T198" s="170"/>
      <c r="U198" s="170"/>
      <c r="V198" s="170"/>
      <c r="W198" s="170"/>
      <c r="X198" s="170"/>
      <c r="Y198" s="170"/>
      <c r="Z198" s="170"/>
      <c r="AA198" s="170"/>
      <c r="AB198" s="170"/>
      <c r="AC198" s="170"/>
      <c r="AD198" s="170"/>
      <c r="AE198" s="170"/>
      <c r="AF198" s="170"/>
      <c r="AG198" s="170"/>
    </row>
    <row r="199" spans="2:33">
      <c r="B199" s="170"/>
      <c r="C199" s="170"/>
      <c r="D199" s="170"/>
      <c r="E199" s="170"/>
      <c r="F199" s="170"/>
      <c r="G199" s="170"/>
      <c r="H199" s="170"/>
      <c r="I199" s="170"/>
      <c r="J199" s="756"/>
      <c r="K199" s="170"/>
      <c r="L199" s="170"/>
      <c r="M199" s="170"/>
      <c r="N199" s="170"/>
      <c r="O199" s="170"/>
      <c r="P199" s="170"/>
      <c r="Q199" s="170"/>
      <c r="R199" s="170"/>
      <c r="S199" s="170"/>
      <c r="T199" s="170"/>
      <c r="U199" s="170"/>
      <c r="V199" s="170"/>
      <c r="W199" s="170"/>
      <c r="X199" s="170"/>
      <c r="Y199" s="170"/>
      <c r="Z199" s="170"/>
      <c r="AA199" s="170"/>
      <c r="AB199" s="170"/>
      <c r="AC199" s="170"/>
      <c r="AD199" s="170"/>
      <c r="AE199" s="170"/>
      <c r="AF199" s="170"/>
      <c r="AG199" s="170"/>
    </row>
    <row r="200" spans="2:33">
      <c r="B200" s="170"/>
      <c r="C200" s="170"/>
      <c r="D200" s="170"/>
      <c r="E200" s="170"/>
      <c r="F200" s="170"/>
      <c r="G200" s="170"/>
      <c r="H200" s="170"/>
      <c r="I200" s="170"/>
      <c r="J200" s="756"/>
      <c r="K200" s="170"/>
      <c r="L200" s="170"/>
      <c r="M200" s="170"/>
      <c r="N200" s="170"/>
      <c r="O200" s="170"/>
      <c r="P200" s="170"/>
      <c r="Q200" s="170"/>
      <c r="R200" s="170"/>
      <c r="S200" s="170"/>
      <c r="T200" s="170"/>
      <c r="U200" s="170"/>
      <c r="V200" s="170"/>
      <c r="W200" s="170"/>
      <c r="X200" s="170"/>
      <c r="Y200" s="170"/>
      <c r="Z200" s="170"/>
      <c r="AA200" s="170"/>
      <c r="AB200" s="170"/>
      <c r="AC200" s="170"/>
      <c r="AD200" s="170"/>
      <c r="AE200" s="170"/>
      <c r="AF200" s="170"/>
      <c r="AG200" s="170"/>
    </row>
    <row r="201" spans="2:33">
      <c r="B201" s="170"/>
      <c r="C201" s="170"/>
      <c r="D201" s="170"/>
      <c r="E201" s="170"/>
      <c r="F201" s="170"/>
      <c r="G201" s="170"/>
      <c r="H201" s="170"/>
      <c r="I201" s="170"/>
      <c r="J201" s="756"/>
      <c r="K201" s="170"/>
      <c r="L201" s="170"/>
      <c r="M201" s="170"/>
      <c r="N201" s="170"/>
      <c r="O201" s="170"/>
      <c r="P201" s="170"/>
      <c r="Q201" s="170"/>
      <c r="R201" s="170"/>
      <c r="S201" s="170"/>
      <c r="T201" s="170"/>
      <c r="U201" s="170"/>
      <c r="V201" s="170"/>
      <c r="W201" s="170"/>
      <c r="X201" s="170"/>
      <c r="Y201" s="170"/>
      <c r="Z201" s="170"/>
      <c r="AA201" s="170"/>
      <c r="AB201" s="170"/>
      <c r="AC201" s="170"/>
      <c r="AD201" s="170"/>
      <c r="AE201" s="170"/>
      <c r="AF201" s="170"/>
      <c r="AG201" s="170"/>
    </row>
    <row r="202" spans="2:33">
      <c r="B202" s="170"/>
      <c r="C202" s="170"/>
      <c r="D202" s="170"/>
      <c r="E202" s="170"/>
      <c r="F202" s="170"/>
      <c r="G202" s="170"/>
      <c r="H202" s="170"/>
      <c r="I202" s="170"/>
      <c r="J202" s="756"/>
      <c r="K202" s="170"/>
      <c r="L202" s="170"/>
      <c r="M202" s="170"/>
      <c r="N202" s="170"/>
      <c r="O202" s="170"/>
      <c r="P202" s="170"/>
      <c r="Q202" s="170"/>
      <c r="R202" s="170"/>
      <c r="S202" s="170"/>
      <c r="T202" s="170"/>
      <c r="U202" s="170"/>
      <c r="V202" s="170"/>
      <c r="W202" s="170"/>
      <c r="X202" s="170"/>
      <c r="Y202" s="170"/>
      <c r="Z202" s="170"/>
      <c r="AA202" s="170"/>
      <c r="AB202" s="170"/>
      <c r="AC202" s="170"/>
      <c r="AD202" s="170"/>
      <c r="AE202" s="170"/>
      <c r="AF202" s="170"/>
      <c r="AG202" s="170"/>
    </row>
    <row r="203" spans="2:33">
      <c r="B203" s="170"/>
      <c r="C203" s="170"/>
      <c r="D203" s="170"/>
      <c r="E203" s="170"/>
      <c r="F203" s="170"/>
      <c r="G203" s="170"/>
      <c r="H203" s="170"/>
      <c r="I203" s="170"/>
      <c r="J203" s="756"/>
      <c r="K203" s="170"/>
      <c r="L203" s="170"/>
      <c r="M203" s="170"/>
      <c r="N203" s="170"/>
      <c r="O203" s="170"/>
      <c r="P203" s="170"/>
      <c r="Q203" s="170"/>
      <c r="R203" s="170"/>
      <c r="S203" s="170"/>
      <c r="T203" s="170"/>
      <c r="U203" s="170"/>
      <c r="V203" s="170"/>
      <c r="W203" s="170"/>
      <c r="X203" s="170"/>
      <c r="Y203" s="170"/>
      <c r="Z203" s="170"/>
      <c r="AA203" s="170"/>
      <c r="AB203" s="170"/>
      <c r="AC203" s="170"/>
      <c r="AD203" s="170"/>
      <c r="AE203" s="170"/>
      <c r="AF203" s="170"/>
      <c r="AG203" s="170"/>
    </row>
    <row r="204" spans="2:33">
      <c r="B204" s="170"/>
      <c r="C204" s="170"/>
      <c r="D204" s="170"/>
      <c r="E204" s="170"/>
      <c r="F204" s="170"/>
      <c r="G204" s="170"/>
      <c r="H204" s="170"/>
      <c r="I204" s="170"/>
      <c r="J204" s="756"/>
      <c r="K204" s="170"/>
      <c r="L204" s="170"/>
      <c r="M204" s="170"/>
      <c r="N204" s="170"/>
      <c r="O204" s="170"/>
      <c r="P204" s="170"/>
      <c r="Q204" s="170"/>
      <c r="R204" s="170"/>
      <c r="S204" s="170"/>
      <c r="T204" s="170"/>
      <c r="U204" s="170"/>
      <c r="V204" s="170"/>
      <c r="W204" s="170"/>
      <c r="X204" s="170"/>
      <c r="Y204" s="170"/>
      <c r="Z204" s="170"/>
      <c r="AA204" s="170"/>
      <c r="AB204" s="170"/>
      <c r="AC204" s="170"/>
      <c r="AD204" s="170"/>
      <c r="AE204" s="170"/>
      <c r="AF204" s="170"/>
      <c r="AG204" s="170"/>
    </row>
    <row r="205" spans="2:33">
      <c r="B205" s="170"/>
      <c r="C205" s="170"/>
      <c r="D205" s="170"/>
      <c r="E205" s="170"/>
      <c r="F205" s="170"/>
      <c r="G205" s="170"/>
      <c r="H205" s="170"/>
      <c r="I205" s="170"/>
      <c r="J205" s="756"/>
      <c r="K205" s="170"/>
      <c r="L205" s="170"/>
      <c r="M205" s="170"/>
      <c r="N205" s="170"/>
      <c r="O205" s="170"/>
      <c r="P205" s="170"/>
      <c r="Q205" s="170"/>
      <c r="R205" s="170"/>
      <c r="S205" s="170"/>
      <c r="T205" s="170"/>
      <c r="U205" s="170"/>
      <c r="V205" s="170"/>
      <c r="W205" s="170"/>
      <c r="X205" s="170"/>
      <c r="Y205" s="170"/>
      <c r="Z205" s="170"/>
      <c r="AA205" s="170"/>
      <c r="AB205" s="170"/>
      <c r="AC205" s="170"/>
      <c r="AD205" s="170"/>
      <c r="AE205" s="170"/>
      <c r="AF205" s="170"/>
      <c r="AG205" s="170"/>
    </row>
    <row r="206" spans="2:33">
      <c r="B206" s="170"/>
      <c r="C206" s="170"/>
      <c r="D206" s="170"/>
      <c r="E206" s="170"/>
      <c r="F206" s="170"/>
      <c r="G206" s="170"/>
      <c r="H206" s="170"/>
      <c r="I206" s="170"/>
      <c r="J206" s="756"/>
      <c r="K206" s="170"/>
      <c r="L206" s="170"/>
      <c r="M206" s="170"/>
      <c r="N206" s="170"/>
      <c r="O206" s="170"/>
      <c r="P206" s="170"/>
      <c r="Q206" s="170"/>
      <c r="R206" s="170"/>
      <c r="S206" s="170"/>
      <c r="T206" s="170"/>
      <c r="U206" s="170"/>
      <c r="V206" s="170"/>
      <c r="W206" s="170"/>
      <c r="X206" s="170"/>
      <c r="Y206" s="170"/>
      <c r="Z206" s="170"/>
      <c r="AA206" s="170"/>
      <c r="AB206" s="170"/>
      <c r="AC206" s="170"/>
      <c r="AD206" s="170"/>
      <c r="AE206" s="170"/>
      <c r="AF206" s="170"/>
      <c r="AG206" s="170"/>
    </row>
    <row r="207" spans="2:33">
      <c r="B207" s="170"/>
      <c r="C207" s="170"/>
      <c r="D207" s="170"/>
      <c r="E207" s="170"/>
      <c r="F207" s="170"/>
      <c r="G207" s="170"/>
      <c r="H207" s="170"/>
      <c r="I207" s="170"/>
      <c r="J207" s="756"/>
      <c r="K207" s="170"/>
      <c r="L207" s="170"/>
      <c r="M207" s="170"/>
      <c r="N207" s="170"/>
      <c r="O207" s="170"/>
      <c r="P207" s="170"/>
      <c r="Q207" s="170"/>
      <c r="R207" s="170"/>
      <c r="S207" s="170"/>
      <c r="T207" s="170"/>
      <c r="U207" s="170"/>
      <c r="V207" s="170"/>
      <c r="W207" s="170"/>
      <c r="X207" s="170"/>
      <c r="Y207" s="170"/>
      <c r="Z207" s="170"/>
      <c r="AA207" s="170"/>
      <c r="AB207" s="170"/>
      <c r="AC207" s="170"/>
      <c r="AD207" s="170"/>
      <c r="AE207" s="170"/>
      <c r="AF207" s="170"/>
      <c r="AG207" s="170"/>
    </row>
    <row r="208" spans="2:33">
      <c r="B208" s="170"/>
      <c r="C208" s="170"/>
      <c r="D208" s="170"/>
      <c r="E208" s="170"/>
      <c r="F208" s="170"/>
      <c r="G208" s="170"/>
      <c r="H208" s="170"/>
      <c r="I208" s="170"/>
      <c r="J208" s="756"/>
      <c r="K208" s="170"/>
      <c r="L208" s="170"/>
      <c r="M208" s="170"/>
      <c r="N208" s="170"/>
      <c r="O208" s="170"/>
      <c r="P208" s="170"/>
      <c r="Q208" s="170"/>
      <c r="R208" s="170"/>
      <c r="S208" s="170"/>
      <c r="T208" s="170"/>
      <c r="U208" s="170"/>
      <c r="V208" s="170"/>
      <c r="W208" s="170"/>
      <c r="X208" s="170"/>
      <c r="Y208" s="170"/>
      <c r="Z208" s="170"/>
      <c r="AA208" s="170"/>
      <c r="AB208" s="170"/>
      <c r="AC208" s="170"/>
      <c r="AD208" s="170"/>
      <c r="AE208" s="170"/>
      <c r="AF208" s="170"/>
      <c r="AG208" s="170"/>
    </row>
    <row r="209" spans="2:33">
      <c r="B209" s="170"/>
      <c r="C209" s="170"/>
      <c r="D209" s="170"/>
      <c r="E209" s="170"/>
      <c r="F209" s="170"/>
      <c r="G209" s="170"/>
      <c r="H209" s="170"/>
      <c r="I209" s="170"/>
      <c r="J209" s="756"/>
      <c r="K209" s="170"/>
      <c r="L209" s="170"/>
      <c r="M209" s="170"/>
      <c r="N209" s="170"/>
      <c r="O209" s="170"/>
      <c r="P209" s="170"/>
      <c r="Q209" s="170"/>
      <c r="R209" s="170"/>
      <c r="S209" s="170"/>
      <c r="T209" s="170"/>
      <c r="U209" s="170"/>
      <c r="V209" s="170"/>
      <c r="W209" s="170"/>
      <c r="X209" s="170"/>
      <c r="Y209" s="170"/>
      <c r="Z209" s="170"/>
      <c r="AA209" s="170"/>
      <c r="AB209" s="170"/>
      <c r="AC209" s="170"/>
      <c r="AD209" s="170"/>
      <c r="AE209" s="170"/>
      <c r="AF209" s="170"/>
      <c r="AG209" s="170"/>
    </row>
    <row r="210" spans="2:33">
      <c r="B210" s="170"/>
      <c r="C210" s="170"/>
      <c r="D210" s="170"/>
      <c r="E210" s="170"/>
      <c r="F210" s="170"/>
      <c r="G210" s="170"/>
      <c r="H210" s="170"/>
      <c r="I210" s="170"/>
      <c r="J210" s="756"/>
      <c r="K210" s="170"/>
      <c r="L210" s="170"/>
      <c r="M210" s="170"/>
      <c r="N210" s="170"/>
      <c r="O210" s="170"/>
      <c r="P210" s="170"/>
      <c r="Q210" s="170"/>
      <c r="R210" s="170"/>
      <c r="S210" s="170"/>
      <c r="T210" s="170"/>
      <c r="U210" s="170"/>
      <c r="V210" s="170"/>
      <c r="W210" s="170"/>
      <c r="X210" s="170"/>
      <c r="Y210" s="170"/>
      <c r="Z210" s="170"/>
      <c r="AA210" s="170"/>
      <c r="AB210" s="170"/>
      <c r="AC210" s="170"/>
      <c r="AD210" s="170"/>
      <c r="AE210" s="170"/>
      <c r="AF210" s="170"/>
      <c r="AG210" s="170"/>
    </row>
    <row r="211" spans="2:33">
      <c r="B211" s="170"/>
      <c r="C211" s="170"/>
      <c r="D211" s="170"/>
      <c r="E211" s="170"/>
      <c r="F211" s="170"/>
      <c r="G211" s="170"/>
      <c r="H211" s="170"/>
      <c r="I211" s="170"/>
      <c r="J211" s="756"/>
      <c r="K211" s="170"/>
      <c r="L211" s="170"/>
      <c r="M211" s="170"/>
      <c r="N211" s="170"/>
      <c r="O211" s="170"/>
      <c r="P211" s="170"/>
      <c r="Q211" s="170"/>
      <c r="R211" s="170"/>
      <c r="S211" s="170"/>
      <c r="T211" s="170"/>
      <c r="U211" s="170"/>
      <c r="V211" s="170"/>
      <c r="W211" s="170"/>
      <c r="X211" s="170"/>
      <c r="Y211" s="170"/>
      <c r="Z211" s="170"/>
      <c r="AA211" s="170"/>
      <c r="AB211" s="170"/>
      <c r="AC211" s="170"/>
      <c r="AD211" s="170"/>
      <c r="AE211" s="170"/>
      <c r="AF211" s="170"/>
      <c r="AG211" s="170"/>
    </row>
    <row r="212" spans="2:33">
      <c r="B212" s="170"/>
      <c r="C212" s="170"/>
      <c r="D212" s="170"/>
      <c r="E212" s="170"/>
      <c r="F212" s="170"/>
      <c r="G212" s="170"/>
      <c r="H212" s="170"/>
      <c r="I212" s="170"/>
      <c r="J212" s="756"/>
      <c r="K212" s="170"/>
      <c r="L212" s="170"/>
      <c r="M212" s="170"/>
      <c r="N212" s="170"/>
      <c r="O212" s="170"/>
      <c r="P212" s="170"/>
      <c r="Q212" s="170"/>
      <c r="R212" s="170"/>
      <c r="S212" s="170"/>
      <c r="T212" s="170"/>
      <c r="U212" s="170"/>
      <c r="V212" s="170"/>
      <c r="W212" s="170"/>
      <c r="X212" s="170"/>
      <c r="Y212" s="170"/>
      <c r="Z212" s="170"/>
      <c r="AA212" s="170"/>
      <c r="AB212" s="170"/>
      <c r="AC212" s="170"/>
      <c r="AD212" s="170"/>
      <c r="AE212" s="170"/>
      <c r="AF212" s="170"/>
      <c r="AG212" s="170"/>
    </row>
    <row r="213" spans="2:33">
      <c r="B213" s="170"/>
      <c r="C213" s="170"/>
      <c r="D213" s="170"/>
      <c r="E213" s="170"/>
      <c r="F213" s="170"/>
      <c r="G213" s="170"/>
      <c r="H213" s="170"/>
      <c r="I213" s="170"/>
      <c r="J213" s="756"/>
      <c r="K213" s="170"/>
      <c r="L213" s="170"/>
      <c r="M213" s="170"/>
      <c r="N213" s="170"/>
      <c r="O213" s="170"/>
      <c r="P213" s="170"/>
      <c r="Q213" s="170"/>
      <c r="R213" s="170"/>
      <c r="S213" s="170"/>
      <c r="T213" s="170"/>
      <c r="U213" s="170"/>
      <c r="V213" s="170"/>
      <c r="W213" s="170"/>
      <c r="X213" s="170"/>
      <c r="Y213" s="170"/>
      <c r="Z213" s="170"/>
      <c r="AA213" s="170"/>
      <c r="AB213" s="170"/>
      <c r="AC213" s="170"/>
      <c r="AD213" s="170"/>
      <c r="AE213" s="170"/>
      <c r="AF213" s="170"/>
      <c r="AG213" s="170"/>
    </row>
    <row r="214" spans="2:33">
      <c r="B214" s="170"/>
      <c r="C214" s="170"/>
      <c r="D214" s="170"/>
      <c r="E214" s="170"/>
      <c r="F214" s="170"/>
      <c r="G214" s="170"/>
      <c r="H214" s="170"/>
      <c r="I214" s="170"/>
      <c r="J214" s="756"/>
      <c r="K214" s="170"/>
      <c r="L214" s="170"/>
      <c r="M214" s="170"/>
      <c r="N214" s="170"/>
      <c r="O214" s="170"/>
      <c r="P214" s="170"/>
      <c r="Q214" s="170"/>
      <c r="R214" s="170"/>
      <c r="S214" s="170"/>
      <c r="T214" s="170"/>
      <c r="U214" s="170"/>
      <c r="V214" s="170"/>
      <c r="W214" s="170"/>
      <c r="X214" s="170"/>
      <c r="Y214" s="170"/>
      <c r="Z214" s="170"/>
      <c r="AA214" s="170"/>
      <c r="AB214" s="170"/>
      <c r="AC214" s="170"/>
      <c r="AD214" s="170"/>
      <c r="AE214" s="170"/>
      <c r="AF214" s="170"/>
      <c r="AG214" s="170"/>
    </row>
    <row r="215" spans="2:33">
      <c r="B215" s="170"/>
      <c r="C215" s="170"/>
      <c r="D215" s="170"/>
      <c r="E215" s="170"/>
      <c r="F215" s="170"/>
      <c r="G215" s="170"/>
      <c r="H215" s="170"/>
      <c r="I215" s="170"/>
      <c r="J215" s="756"/>
      <c r="K215" s="170"/>
      <c r="L215" s="170"/>
      <c r="M215" s="170"/>
      <c r="N215" s="170"/>
      <c r="O215" s="170"/>
      <c r="P215" s="170"/>
      <c r="Q215" s="170"/>
      <c r="R215" s="170"/>
      <c r="S215" s="170"/>
      <c r="T215" s="170"/>
      <c r="U215" s="170"/>
      <c r="V215" s="170"/>
      <c r="W215" s="170"/>
      <c r="X215" s="170"/>
      <c r="Y215" s="170"/>
      <c r="Z215" s="170"/>
      <c r="AA215" s="170"/>
      <c r="AB215" s="170"/>
      <c r="AC215" s="170"/>
      <c r="AD215" s="170"/>
      <c r="AE215" s="170"/>
      <c r="AF215" s="170"/>
      <c r="AG215" s="170"/>
    </row>
    <row r="216" spans="2:33">
      <c r="B216" s="170"/>
      <c r="C216" s="170"/>
      <c r="D216" s="170"/>
      <c r="E216" s="170"/>
      <c r="F216" s="170"/>
      <c r="G216" s="170"/>
      <c r="H216" s="170"/>
      <c r="I216" s="170"/>
      <c r="J216" s="756"/>
      <c r="K216" s="170"/>
      <c r="L216" s="170"/>
      <c r="M216" s="170"/>
      <c r="N216" s="170"/>
      <c r="O216" s="170"/>
      <c r="P216" s="170"/>
      <c r="Q216" s="170"/>
      <c r="R216" s="170"/>
      <c r="S216" s="170"/>
      <c r="T216" s="170"/>
      <c r="U216" s="170"/>
      <c r="V216" s="170"/>
      <c r="W216" s="170"/>
      <c r="X216" s="170"/>
      <c r="Y216" s="170"/>
      <c r="Z216" s="170"/>
      <c r="AA216" s="170"/>
      <c r="AB216" s="170"/>
      <c r="AC216" s="170"/>
      <c r="AD216" s="170"/>
      <c r="AE216" s="170"/>
      <c r="AF216" s="170"/>
      <c r="AG216" s="170"/>
    </row>
    <row r="217" spans="2:33">
      <c r="B217" s="170"/>
      <c r="C217" s="170"/>
      <c r="D217" s="170"/>
      <c r="E217" s="170"/>
      <c r="F217" s="170"/>
      <c r="G217" s="170"/>
      <c r="H217" s="170"/>
      <c r="I217" s="170"/>
      <c r="J217" s="756"/>
      <c r="K217" s="170"/>
      <c r="L217" s="170"/>
      <c r="M217" s="170"/>
      <c r="N217" s="170"/>
      <c r="O217" s="170"/>
      <c r="P217" s="170"/>
      <c r="Q217" s="170"/>
      <c r="R217" s="170"/>
      <c r="S217" s="170"/>
      <c r="T217" s="170"/>
      <c r="U217" s="170"/>
      <c r="V217" s="170"/>
      <c r="W217" s="170"/>
      <c r="X217" s="170"/>
      <c r="Y217" s="170"/>
      <c r="Z217" s="170"/>
      <c r="AA217" s="170"/>
      <c r="AB217" s="170"/>
      <c r="AC217" s="170"/>
      <c r="AD217" s="170"/>
      <c r="AE217" s="170"/>
      <c r="AF217" s="170"/>
      <c r="AG217" s="170"/>
    </row>
  </sheetData>
  <mergeCells count="1">
    <mergeCell ref="AB8:AK8"/>
  </mergeCells>
  <pageMargins left="0.25" right="0.25" top="0.5" bottom="0.25" header="0.3" footer="0.3"/>
  <pageSetup scale="38" firstPageNumber="20" fitToHeight="2" orientation="landscape" useFirstPageNumber="1" r:id="rId1"/>
  <headerFooter scaleWithDoc="0" alignWithMargins="0">
    <oddFooter>&amp;C&amp;8&amp;P</oddFooter>
  </headerFooter>
  <rowBreaks count="1" manualBreakCount="1">
    <brk id="89" min="1" max="36" man="1"/>
  </rowBreaks>
  <customProperties>
    <customPr name="SheetOptions" r:id="rId2"/>
  </customProperties>
  <ignoredErrors>
    <ignoredError sqref="AK17:AK21 AK85" unlockedFormula="1"/>
    <ignoredError sqref="AI20 D22 AK22:AK23 AK71 AK59 AK63 AK35:AK36 AK42:AK44 AK68 AK31:AK32 AK51:AK53 AK65 AK73 AK78 AK75:AK76 AK90:AK91 AK88:AL88 AK135:AL207 AL133:AL134 AK123:AL123 AL121:AL122 AK132:AL132 AL124:AL131 AK95:AL95 AL93:AL94 AK112:AL113 AL106:AL111 AK98:AL98 AL96:AL97 AK120:AL120 AL114:AL119 AK105:AL105 AL99:AL104 AK92:AL92 AL90:AL91 AL89" formula="1"/>
    <ignoredError sqref="AK79 AK64 AK45:AK50 AK24:AK30 AK66:AK67 AK37:AK41 AK33:AK34 AK60:AK62 AK54:AK58 AK69:AK70 AK74 AK77 AK72 AK99:AK104 AK114:AK119 AK96:AK97 AK106:AK111 AK93:AK94 AK124:AK131 AK121:AK122 AK133:AK134 AK89" formula="1" unlocked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dimension ref="A1:AW176"/>
  <sheetViews>
    <sheetView showGridLines="0" zoomScale="80" zoomScaleNormal="80" workbookViewId="0"/>
  </sheetViews>
  <sheetFormatPr defaultColWidth="8.88671875" defaultRowHeight="15"/>
  <cols>
    <col min="1" max="1" width="1.88671875" style="20" customWidth="1"/>
    <col min="2" max="2" width="45.44140625" style="20" customWidth="1"/>
    <col min="3" max="3" width="1.88671875" style="20" customWidth="1"/>
    <col min="4" max="4" width="12.44140625" style="20" bestFit="1" customWidth="1"/>
    <col min="5" max="5" width="1.88671875" customWidth="1"/>
    <col min="6" max="6" width="12.109375" style="20" bestFit="1" customWidth="1"/>
    <col min="7" max="7" width="1.88671875" customWidth="1"/>
    <col min="8" max="8" width="15" style="20" customWidth="1"/>
    <col min="9" max="9" width="1.88671875" customWidth="1"/>
    <col min="10" max="10" width="16.109375" style="20" customWidth="1"/>
    <col min="11" max="11" width="1.88671875" customWidth="1"/>
    <col min="12" max="12" width="13.44140625" style="20" customWidth="1"/>
    <col min="13" max="13" width="1.88671875" customWidth="1"/>
    <col min="14" max="14" width="14.109375" style="20" customWidth="1"/>
    <col min="15" max="15" width="1.88671875" customWidth="1"/>
    <col min="16" max="16" width="14.109375" style="20" customWidth="1"/>
    <col min="17" max="17" width="1.88671875" customWidth="1"/>
    <col min="18" max="18" width="14.109375" style="20" customWidth="1"/>
    <col min="19" max="19" width="1.88671875" customWidth="1"/>
    <col min="20" max="20" width="14.109375" style="20" customWidth="1"/>
    <col min="21" max="21" width="1.88671875" customWidth="1"/>
    <col min="22" max="22" width="14.109375" style="20" customWidth="1"/>
    <col min="23" max="23" width="1.88671875" customWidth="1"/>
    <col min="24" max="24" width="14.109375" style="20" customWidth="1"/>
    <col min="25" max="25" width="1.88671875" customWidth="1"/>
    <col min="26" max="26" width="14.109375" style="20" customWidth="1"/>
    <col min="27" max="27" width="1.88671875" style="20" customWidth="1"/>
    <col min="28" max="28" width="14.109375" style="20" bestFit="1" customWidth="1"/>
    <col min="29" max="29" width="1.88671875" style="20" customWidth="1"/>
    <col min="30" max="30" width="12.5546875" style="20" bestFit="1" customWidth="1"/>
    <col min="31" max="31" width="1.44140625" style="20" customWidth="1"/>
    <col min="32" max="32" width="1.109375" style="20" customWidth="1"/>
    <col min="33" max="33" width="12.5546875" style="20" bestFit="1" customWidth="1"/>
    <col min="34" max="35" width="0.88671875" style="20" customWidth="1"/>
    <col min="36" max="36" width="12.88671875" style="20" customWidth="1"/>
    <col min="37" max="37" width="0.88671875" style="20" customWidth="1"/>
    <col min="38" max="38" width="11.88671875" style="644" bestFit="1" customWidth="1"/>
    <col min="39" max="16384" width="8.88671875" style="20"/>
  </cols>
  <sheetData>
    <row r="1" spans="1:43">
      <c r="B1" s="489" t="s">
        <v>841</v>
      </c>
    </row>
    <row r="2" spans="1:43" ht="15.75">
      <c r="N2" s="19"/>
    </row>
    <row r="3" spans="1:43" ht="18">
      <c r="B3" s="172" t="s">
        <v>0</v>
      </c>
      <c r="N3" s="19"/>
      <c r="AE3" s="21"/>
      <c r="AF3" s="21"/>
      <c r="AG3" s="21"/>
      <c r="AH3" s="21"/>
      <c r="AI3" s="21"/>
      <c r="AJ3" s="21"/>
      <c r="AK3" s="21"/>
      <c r="AL3" s="277" t="s">
        <v>165</v>
      </c>
    </row>
    <row r="4" spans="1:43" ht="18">
      <c r="B4" s="172" t="s">
        <v>1029</v>
      </c>
      <c r="L4" s="19"/>
    </row>
    <row r="5" spans="1:43" ht="18">
      <c r="B5" s="967" t="s">
        <v>145</v>
      </c>
      <c r="L5" s="21"/>
      <c r="X5" s="186"/>
    </row>
    <row r="6" spans="1:43" ht="20.25">
      <c r="B6" s="967" t="str">
        <f>'Cashflow Governmental'!A6</f>
        <v xml:space="preserve">FISCAL YEAR 2023-2024   </v>
      </c>
      <c r="L6" s="21"/>
      <c r="T6" s="644" t="s">
        <v>14</v>
      </c>
      <c r="AL6" s="1739"/>
    </row>
    <row r="7" spans="1:43" ht="18">
      <c r="B7" s="172" t="s">
        <v>1201</v>
      </c>
      <c r="AI7" s="21"/>
      <c r="AJ7" s="21"/>
      <c r="AK7" s="21"/>
      <c r="AL7" s="499"/>
    </row>
    <row r="8" spans="1:43">
      <c r="L8" s="21"/>
      <c r="N8" s="21"/>
      <c r="AC8" s="21"/>
      <c r="AD8" s="21"/>
      <c r="AE8" s="21"/>
      <c r="AF8" s="21"/>
      <c r="AG8" s="21"/>
      <c r="AH8" s="21"/>
      <c r="AI8" s="21"/>
      <c r="AJ8" s="21"/>
      <c r="AK8" s="21"/>
      <c r="AL8" s="499"/>
    </row>
    <row r="9" spans="1:43" s="170" customFormat="1" ht="19.5" customHeight="1">
      <c r="D9" s="170" t="s">
        <v>14</v>
      </c>
      <c r="E9" s="469" t="s">
        <v>14</v>
      </c>
      <c r="G9"/>
      <c r="I9"/>
      <c r="K9"/>
      <c r="L9" s="184"/>
      <c r="M9"/>
      <c r="N9" s="184"/>
      <c r="O9"/>
      <c r="Q9"/>
      <c r="S9"/>
      <c r="U9"/>
      <c r="W9"/>
      <c r="Y9"/>
      <c r="AB9" s="133" t="s">
        <v>1112</v>
      </c>
      <c r="AC9" s="2333" t="s">
        <v>1515</v>
      </c>
      <c r="AD9" s="2333"/>
      <c r="AE9" s="2333"/>
      <c r="AF9" s="2333"/>
      <c r="AG9" s="2333"/>
      <c r="AH9" s="2333"/>
      <c r="AI9" s="2333"/>
      <c r="AJ9" s="2333"/>
      <c r="AK9" s="2333"/>
      <c r="AL9" s="2333"/>
    </row>
    <row r="10" spans="1:43" ht="15.75">
      <c r="D10" s="537" t="str">
        <f>'Cashflow Governmental'!C13</f>
        <v>2023</v>
      </c>
      <c r="F10" s="19"/>
      <c r="H10" s="19"/>
      <c r="J10" s="19"/>
      <c r="L10" s="19"/>
      <c r="N10" s="19"/>
      <c r="P10" s="19"/>
      <c r="R10" s="19"/>
      <c r="T10" s="19"/>
      <c r="V10" s="537">
        <f>'Cashflow Governmental'!U13</f>
        <v>2024</v>
      </c>
      <c r="X10" s="19"/>
      <c r="Z10" s="19"/>
      <c r="AA10" s="19"/>
      <c r="AB10" s="133" t="s">
        <v>1113</v>
      </c>
      <c r="AC10" s="19"/>
      <c r="AD10" s="139"/>
      <c r="AE10" s="139"/>
      <c r="AF10" s="139"/>
      <c r="AG10" s="139"/>
      <c r="AH10" s="139"/>
      <c r="AI10" s="139"/>
      <c r="AJ10" s="544" t="s">
        <v>7</v>
      </c>
      <c r="AK10" s="139"/>
      <c r="AL10" s="545" t="s">
        <v>8</v>
      </c>
      <c r="AM10" s="139"/>
      <c r="AN10" s="139"/>
      <c r="AO10" s="139"/>
      <c r="AP10" s="139"/>
      <c r="AQ10" s="139"/>
    </row>
    <row r="11" spans="1:43" ht="15.75">
      <c r="D11" s="133" t="s">
        <v>122</v>
      </c>
      <c r="F11" s="133" t="s">
        <v>123</v>
      </c>
      <c r="H11" s="133" t="s">
        <v>124</v>
      </c>
      <c r="J11" s="133" t="s">
        <v>125</v>
      </c>
      <c r="L11" s="743" t="s">
        <v>126</v>
      </c>
      <c r="N11" s="133" t="s">
        <v>141</v>
      </c>
      <c r="P11" s="133" t="s">
        <v>142</v>
      </c>
      <c r="R11" s="133" t="s">
        <v>129</v>
      </c>
      <c r="T11" s="133" t="s">
        <v>130</v>
      </c>
      <c r="V11" s="133" t="s">
        <v>131</v>
      </c>
      <c r="X11" s="133" t="s">
        <v>132</v>
      </c>
      <c r="Z11" s="133" t="s">
        <v>182</v>
      </c>
      <c r="AA11" s="133"/>
      <c r="AB11" s="743" t="s">
        <v>1114</v>
      </c>
      <c r="AC11" s="19"/>
      <c r="AD11" s="537">
        <f>'Cashflow Governmental'!AB14</f>
        <v>2023</v>
      </c>
      <c r="AE11" s="19" t="s">
        <v>14</v>
      </c>
      <c r="AF11" s="139"/>
      <c r="AG11" s="537">
        <f>'Cashflow Governmental'!AE14</f>
        <v>2022</v>
      </c>
      <c r="AH11" s="537"/>
      <c r="AI11" s="139"/>
      <c r="AJ11" s="546" t="s">
        <v>11</v>
      </c>
      <c r="AK11" s="139"/>
      <c r="AL11" s="546" t="s">
        <v>12</v>
      </c>
      <c r="AM11" s="139"/>
      <c r="AN11" s="139"/>
      <c r="AO11" s="139"/>
      <c r="AP11" s="139"/>
      <c r="AQ11" s="139"/>
    </row>
    <row r="12" spans="1:43" ht="5.25" customHeight="1">
      <c r="D12" s="29"/>
      <c r="F12" s="29"/>
      <c r="H12" s="29"/>
      <c r="J12" s="29"/>
      <c r="L12" s="29"/>
      <c r="N12" s="29"/>
      <c r="P12" s="29"/>
      <c r="R12" s="29"/>
      <c r="T12" s="29"/>
      <c r="V12" s="29"/>
      <c r="X12" s="29"/>
      <c r="Z12" s="29"/>
      <c r="AD12" s="29"/>
      <c r="AG12" s="29"/>
      <c r="AI12" s="188"/>
    </row>
    <row r="13" spans="1:43" ht="15" customHeight="1">
      <c r="A13" s="21"/>
      <c r="B13" s="118" t="s">
        <v>1077</v>
      </c>
      <c r="C13" s="21"/>
      <c r="D13" s="65">
        <f>'Exhibit G State'!D13+'Exhibit G Federal'!D13</f>
        <v>23940.199999999997</v>
      </c>
      <c r="F13" s="65">
        <f>D124</f>
        <v>26315.1</v>
      </c>
      <c r="G13" s="65"/>
      <c r="H13" s="65">
        <f t="shared" ref="H13:N13" si="0">F124</f>
        <v>23735.7</v>
      </c>
      <c r="J13" s="65">
        <f t="shared" si="0"/>
        <v>28152.9</v>
      </c>
      <c r="L13" s="65">
        <f t="shared" si="0"/>
        <v>28848.3</v>
      </c>
      <c r="N13" s="65">
        <f t="shared" si="0"/>
        <v>28152.799999999999</v>
      </c>
      <c r="P13" s="65"/>
      <c r="R13" s="65"/>
      <c r="S13" s="65"/>
      <c r="T13" s="65"/>
      <c r="U13" s="65"/>
      <c r="V13" s="65"/>
      <c r="W13" s="65"/>
      <c r="X13" s="65"/>
      <c r="Y13" s="65"/>
      <c r="Z13" s="65"/>
      <c r="AA13" s="65"/>
      <c r="AB13" s="65">
        <v>0</v>
      </c>
      <c r="AC13" s="66"/>
      <c r="AD13" s="65">
        <f>D13</f>
        <v>23940.199999999997</v>
      </c>
      <c r="AE13" s="65"/>
      <c r="AF13" s="66"/>
      <c r="AG13" s="217">
        <f>'Exhibit G State'!AG13+'Exhibit G Federal'!AG13</f>
        <v>21938.2</v>
      </c>
      <c r="AH13" s="189"/>
      <c r="AI13" s="65"/>
      <c r="AJ13" s="122">
        <f>AD13-AG13</f>
        <v>2001.9999999999964</v>
      </c>
      <c r="AK13" s="1460"/>
      <c r="AL13" s="190">
        <f>(AD13-AG13)/AG13</f>
        <v>9.1256347375810065E-2</v>
      </c>
      <c r="AM13" s="186"/>
      <c r="AN13" s="186"/>
      <c r="AO13" s="186"/>
      <c r="AP13" s="186"/>
      <c r="AQ13" s="186"/>
    </row>
    <row r="14" spans="1:43" ht="15" customHeight="1">
      <c r="A14" s="21"/>
      <c r="B14" s="21"/>
      <c r="C14" s="21"/>
      <c r="G14" s="20"/>
      <c r="AC14" s="141"/>
      <c r="AF14" s="141"/>
      <c r="AH14" s="191"/>
      <c r="AL14" s="488"/>
    </row>
    <row r="15" spans="1:43" ht="15" customHeight="1">
      <c r="A15" s="21"/>
      <c r="B15" s="19" t="s">
        <v>13</v>
      </c>
      <c r="C15" s="21"/>
      <c r="D15" s="36"/>
      <c r="F15" s="36"/>
      <c r="G15" s="36"/>
      <c r="H15" s="36"/>
      <c r="J15" s="36"/>
      <c r="L15" s="36"/>
      <c r="N15" s="36"/>
      <c r="P15" s="36"/>
      <c r="R15" s="36"/>
      <c r="T15" s="36"/>
      <c r="V15" s="36"/>
      <c r="X15" s="36"/>
      <c r="Z15" s="36"/>
      <c r="AA15" s="36"/>
      <c r="AB15" s="36"/>
      <c r="AC15" s="37"/>
      <c r="AD15" s="36"/>
      <c r="AE15" s="36"/>
      <c r="AF15" s="37"/>
      <c r="AG15" s="36"/>
      <c r="AH15" s="192"/>
      <c r="AI15" s="36"/>
      <c r="AJ15" s="36"/>
      <c r="AL15" s="488"/>
    </row>
    <row r="16" spans="1:43" ht="15" customHeight="1">
      <c r="A16" s="21"/>
      <c r="B16" s="118" t="s">
        <v>947</v>
      </c>
      <c r="C16" s="21"/>
      <c r="D16" s="36"/>
      <c r="F16" s="36"/>
      <c r="G16" s="36"/>
      <c r="H16" s="36"/>
      <c r="J16" s="36"/>
      <c r="L16" s="36"/>
      <c r="N16" s="36"/>
      <c r="P16" s="36"/>
      <c r="R16" s="36"/>
      <c r="T16" s="36"/>
      <c r="V16" s="36"/>
      <c r="X16" s="36"/>
      <c r="Z16" s="36"/>
      <c r="AA16" s="36"/>
      <c r="AB16" s="36"/>
      <c r="AC16" s="37"/>
      <c r="AD16" s="36"/>
      <c r="AE16" s="36"/>
      <c r="AF16" s="37"/>
      <c r="AG16" s="36"/>
      <c r="AH16" s="192"/>
      <c r="AI16" s="36"/>
      <c r="AJ16" s="36"/>
      <c r="AL16" s="488"/>
    </row>
    <row r="17" spans="1:38" s="139" customFormat="1" ht="15" customHeight="1">
      <c r="A17" s="19"/>
      <c r="B17" s="737" t="s">
        <v>950</v>
      </c>
      <c r="C17" s="19"/>
      <c r="D17" s="467">
        <f>'Exhibit G State'!D17</f>
        <v>0</v>
      </c>
      <c r="E17" s="467"/>
      <c r="F17" s="467">
        <f>'Exhibit G State'!F17</f>
        <v>0</v>
      </c>
      <c r="G17" s="467"/>
      <c r="H17" s="467">
        <f>'Exhibit G State'!H17</f>
        <v>0</v>
      </c>
      <c r="I17"/>
      <c r="J17" s="467">
        <f>'Exhibit G State'!J17</f>
        <v>0</v>
      </c>
      <c r="K17"/>
      <c r="L17" s="467">
        <f>'Exhibit G State'!L17</f>
        <v>0</v>
      </c>
      <c r="M17"/>
      <c r="N17" s="467">
        <f>'Exhibit G State'!N17</f>
        <v>0</v>
      </c>
      <c r="O17"/>
      <c r="P17" s="467"/>
      <c r="Q17"/>
      <c r="R17" s="467"/>
      <c r="S17" s="467"/>
      <c r="T17" s="467"/>
      <c r="U17" s="467"/>
      <c r="V17" s="467"/>
      <c r="W17" s="467"/>
      <c r="X17" s="467"/>
      <c r="Y17" s="467"/>
      <c r="Z17" s="467"/>
      <c r="AA17" s="467"/>
      <c r="AB17" s="467">
        <v>0</v>
      </c>
      <c r="AC17" s="66"/>
      <c r="AD17" s="467">
        <f>ROUND(SUM(D17:Z17),1)</f>
        <v>0</v>
      </c>
      <c r="AE17" s="467"/>
      <c r="AF17" s="932"/>
      <c r="AG17" s="493">
        <f>'Exhibit G State'!AG17</f>
        <v>0</v>
      </c>
      <c r="AH17" s="923"/>
      <c r="AI17" s="467"/>
      <c r="AJ17" s="467">
        <f>ROUND(SUM(+AD17-AG17),1)</f>
        <v>0</v>
      </c>
      <c r="AK17" s="35"/>
      <c r="AL17" s="469">
        <f>ROUND(IF(AG17=0,0,AJ17/ABS(AG17)),3)</f>
        <v>0</v>
      </c>
    </row>
    <row r="18" spans="1:38" s="139" customFormat="1" ht="6" customHeight="1">
      <c r="A18" s="19"/>
      <c r="B18" s="737"/>
      <c r="C18" s="19"/>
      <c r="D18" s="1461"/>
      <c r="E18" s="1461"/>
      <c r="F18" s="1461"/>
      <c r="G18" s="1461"/>
      <c r="H18" s="1461"/>
      <c r="I18"/>
      <c r="J18" s="1461"/>
      <c r="K18"/>
      <c r="L18" s="1461"/>
      <c r="M18"/>
      <c r="N18" s="1461"/>
      <c r="O18"/>
      <c r="P18" s="1461"/>
      <c r="Q18"/>
      <c r="R18" s="1461"/>
      <c r="S18" s="1461"/>
      <c r="T18" s="1461"/>
      <c r="U18" s="1461"/>
      <c r="V18" s="1461"/>
      <c r="W18"/>
      <c r="X18" s="1461"/>
      <c r="Y18" s="1461"/>
      <c r="Z18" s="1461"/>
      <c r="AA18" s="1461"/>
      <c r="AB18" s="65"/>
      <c r="AC18" s="66"/>
      <c r="AD18" s="479"/>
      <c r="AE18" s="479"/>
      <c r="AF18" s="824"/>
      <c r="AG18" s="481"/>
      <c r="AH18" s="1866"/>
      <c r="AI18" s="479"/>
      <c r="AJ18" s="479"/>
      <c r="AK18" s="35"/>
      <c r="AL18" s="469"/>
    </row>
    <row r="19" spans="1:38" ht="15" customHeight="1">
      <c r="A19" s="21"/>
      <c r="B19" s="737" t="s">
        <v>1006</v>
      </c>
      <c r="C19" s="21"/>
      <c r="D19" s="36"/>
      <c r="E19" s="36"/>
      <c r="F19" s="36"/>
      <c r="G19" s="36"/>
      <c r="H19" s="36"/>
      <c r="J19" s="36"/>
      <c r="L19" s="36"/>
      <c r="N19" s="36"/>
      <c r="P19" s="36"/>
      <c r="R19" s="36"/>
      <c r="S19" s="36"/>
      <c r="T19" s="36"/>
      <c r="U19" s="36"/>
      <c r="V19" s="36"/>
      <c r="X19" s="36"/>
      <c r="Y19" s="36"/>
      <c r="Z19" s="36"/>
      <c r="AA19" s="36"/>
      <c r="AB19" s="36"/>
      <c r="AC19" s="37"/>
      <c r="AD19" s="42"/>
      <c r="AE19" s="42"/>
      <c r="AF19" s="44"/>
      <c r="AG19" s="42"/>
      <c r="AH19" s="198"/>
      <c r="AI19" s="42"/>
      <c r="AJ19" s="42"/>
      <c r="AK19" s="139"/>
      <c r="AL19" s="190"/>
    </row>
    <row r="20" spans="1:38" ht="15" customHeight="1">
      <c r="A20" s="21"/>
      <c r="B20" s="753" t="s">
        <v>962</v>
      </c>
      <c r="C20" s="21"/>
      <c r="D20" s="467">
        <f>'Exhibit G State'!D20</f>
        <v>155.30000000000001</v>
      </c>
      <c r="E20" s="467"/>
      <c r="F20" s="467">
        <f>'Exhibit G State'!F20</f>
        <v>94.999999999999972</v>
      </c>
      <c r="G20" s="467"/>
      <c r="H20" s="467">
        <f>'Exhibit G State'!H20</f>
        <v>124.20000000000002</v>
      </c>
      <c r="J20" s="467">
        <f>'Exhibit G State'!J20</f>
        <v>99.5</v>
      </c>
      <c r="L20" s="467">
        <f>'Exhibit G State'!L20</f>
        <v>97.000000000000028</v>
      </c>
      <c r="N20" s="467">
        <f>'Exhibit G State'!N20</f>
        <v>123.29999999999993</v>
      </c>
      <c r="P20" s="467"/>
      <c r="R20" s="467"/>
      <c r="S20" s="467"/>
      <c r="T20" s="467"/>
      <c r="U20" s="467"/>
      <c r="V20" s="467"/>
      <c r="W20" s="467"/>
      <c r="X20" s="467"/>
      <c r="Y20" s="467"/>
      <c r="Z20" s="467"/>
      <c r="AA20" s="467"/>
      <c r="AB20" s="36">
        <v>0</v>
      </c>
      <c r="AC20" s="37"/>
      <c r="AD20" s="36">
        <f>ROUND(SUM(D20:Z20),1)</f>
        <v>694.3</v>
      </c>
      <c r="AE20" s="36"/>
      <c r="AF20" s="37"/>
      <c r="AG20" s="493">
        <f>'Exhibit G State'!AG20</f>
        <v>657.9</v>
      </c>
      <c r="AH20" s="192"/>
      <c r="AI20" s="36"/>
      <c r="AJ20" s="467">
        <f t="shared" ref="AJ20:AJ27" si="1">ROUND(SUM(+AD20-AG20),1)</f>
        <v>36.4</v>
      </c>
      <c r="AK20" s="35"/>
      <c r="AL20" s="469">
        <f t="shared" ref="AL20:AL26" si="2">ROUND(IF(AG20=0,0,AJ20/ABS(AG20)),3)</f>
        <v>5.5E-2</v>
      </c>
    </row>
    <row r="21" spans="1:38" ht="15" customHeight="1">
      <c r="A21" s="21"/>
      <c r="B21" s="753" t="s">
        <v>963</v>
      </c>
      <c r="C21" s="21"/>
      <c r="D21" s="467">
        <f>'Exhibit G State'!D21</f>
        <v>1.9</v>
      </c>
      <c r="E21" s="467"/>
      <c r="F21" s="467">
        <f>'Exhibit G State'!F21</f>
        <v>0</v>
      </c>
      <c r="G21" s="467"/>
      <c r="H21" s="467">
        <f>'Exhibit G State'!H21</f>
        <v>6.9</v>
      </c>
      <c r="J21" s="467">
        <f>'Exhibit G State'!J21</f>
        <v>0</v>
      </c>
      <c r="L21" s="467">
        <f>'Exhibit G State'!L21</f>
        <v>0</v>
      </c>
      <c r="N21" s="467">
        <f>'Exhibit G State'!N21</f>
        <v>10.1</v>
      </c>
      <c r="P21" s="467"/>
      <c r="R21" s="467"/>
      <c r="S21" s="467"/>
      <c r="T21" s="467"/>
      <c r="U21" s="467"/>
      <c r="V21" s="467"/>
      <c r="W21" s="467"/>
      <c r="X21" s="467"/>
      <c r="Y21" s="467"/>
      <c r="Z21" s="467"/>
      <c r="AA21" s="467"/>
      <c r="AB21" s="36">
        <v>0</v>
      </c>
      <c r="AC21" s="37"/>
      <c r="AD21" s="36">
        <f>ROUND(SUM(D21:Z21),1)</f>
        <v>18.899999999999999</v>
      </c>
      <c r="AE21" s="36"/>
      <c r="AF21" s="37"/>
      <c r="AG21" s="493">
        <f>'Exhibit G State'!AG21</f>
        <v>17</v>
      </c>
      <c r="AH21" s="192"/>
      <c r="AI21" s="36"/>
      <c r="AJ21" s="467">
        <f t="shared" si="1"/>
        <v>1.9</v>
      </c>
      <c r="AK21" s="35"/>
      <c r="AL21" s="469">
        <f t="shared" si="2"/>
        <v>0.112</v>
      </c>
    </row>
    <row r="22" spans="1:38" ht="15" customHeight="1">
      <c r="A22" s="21"/>
      <c r="B22" s="753" t="s">
        <v>964</v>
      </c>
      <c r="C22" s="21"/>
      <c r="D22" s="467">
        <f>'Exhibit G State'!D22</f>
        <v>51.8</v>
      </c>
      <c r="E22" s="467"/>
      <c r="F22" s="467">
        <f>'Exhibit G State'!F22</f>
        <v>51.7</v>
      </c>
      <c r="G22" s="467"/>
      <c r="H22" s="467">
        <f>'Exhibit G State'!H22</f>
        <v>48.800000000000011</v>
      </c>
      <c r="J22" s="467">
        <f>'Exhibit G State'!J22</f>
        <v>50.499999999999986</v>
      </c>
      <c r="L22" s="467">
        <f>'Exhibit G State'!L22</f>
        <v>50.800000000000026</v>
      </c>
      <c r="N22" s="467">
        <f>'Exhibit G State'!N22</f>
        <v>46.899999999999977</v>
      </c>
      <c r="P22" s="467"/>
      <c r="R22" s="467"/>
      <c r="S22" s="467"/>
      <c r="T22" s="467"/>
      <c r="U22" s="467"/>
      <c r="V22" s="467"/>
      <c r="W22" s="467"/>
      <c r="X22" s="467"/>
      <c r="Y22" s="467"/>
      <c r="Z22" s="467"/>
      <c r="AA22" s="467"/>
      <c r="AB22" s="36">
        <v>0</v>
      </c>
      <c r="AC22" s="37"/>
      <c r="AD22" s="36">
        <f t="shared" ref="AD22:AD27" si="3">ROUND(SUM(D22:Z22),1)</f>
        <v>300.5</v>
      </c>
      <c r="AE22" s="36"/>
      <c r="AF22" s="37"/>
      <c r="AG22" s="493">
        <f>'Exhibit G State'!AG22</f>
        <v>327.7</v>
      </c>
      <c r="AH22" s="192"/>
      <c r="AI22" s="36"/>
      <c r="AJ22" s="467">
        <f t="shared" si="1"/>
        <v>-27.2</v>
      </c>
      <c r="AK22" s="35"/>
      <c r="AL22" s="469">
        <f t="shared" si="2"/>
        <v>-8.3000000000000004E-2</v>
      </c>
    </row>
    <row r="23" spans="1:38" ht="15" customHeight="1">
      <c r="A23" s="21"/>
      <c r="B23" s="489" t="s">
        <v>1392</v>
      </c>
      <c r="C23" s="21"/>
      <c r="D23" s="467">
        <f>'Exhibit G State'!D23</f>
        <v>0.9</v>
      </c>
      <c r="E23" s="467"/>
      <c r="F23" s="467">
        <f>'Exhibit G State'!F23</f>
        <v>0.79999999999999993</v>
      </c>
      <c r="G23" s="467"/>
      <c r="H23" s="467">
        <f>'Exhibit G State'!H23</f>
        <v>3.5999999999999996</v>
      </c>
      <c r="J23" s="467">
        <f>'Exhibit G State'!J23</f>
        <v>0.90000000000000036</v>
      </c>
      <c r="L23" s="467">
        <f>'Exhibit G State'!L23</f>
        <v>0.29999999999999982</v>
      </c>
      <c r="N23" s="467">
        <f>'Exhibit G State'!N23</f>
        <v>6.9999999999999991</v>
      </c>
      <c r="P23" s="467"/>
      <c r="R23" s="467"/>
      <c r="S23" s="467"/>
      <c r="T23" s="467"/>
      <c r="U23" s="467"/>
      <c r="V23" s="467"/>
      <c r="W23" s="467"/>
      <c r="X23" s="467"/>
      <c r="Y23" s="467"/>
      <c r="Z23" s="467"/>
      <c r="AA23" s="467"/>
      <c r="AB23" s="36">
        <v>0</v>
      </c>
      <c r="AC23" s="37"/>
      <c r="AD23" s="36">
        <f t="shared" si="3"/>
        <v>13.5</v>
      </c>
      <c r="AE23" s="36"/>
      <c r="AF23" s="37"/>
      <c r="AG23" s="493">
        <f>'Exhibit G State'!AG23</f>
        <v>6.1</v>
      </c>
      <c r="AH23" s="192"/>
      <c r="AI23" s="36"/>
      <c r="AJ23" s="467">
        <f>ROUND(SUM(+AD23-AG23),1)</f>
        <v>7.4</v>
      </c>
      <c r="AK23" s="35"/>
      <c r="AL23" s="469">
        <f t="shared" si="2"/>
        <v>1.2130000000000001</v>
      </c>
    </row>
    <row r="24" spans="1:38" ht="15" customHeight="1">
      <c r="A24" s="21"/>
      <c r="B24" s="753" t="s">
        <v>965</v>
      </c>
      <c r="C24" s="21"/>
      <c r="D24" s="467">
        <f>'Exhibit G State'!D24</f>
        <v>8.1999999999999993</v>
      </c>
      <c r="E24" s="467"/>
      <c r="F24" s="467">
        <f>'Exhibit G State'!F24</f>
        <v>9.1000000000000014</v>
      </c>
      <c r="G24" s="467"/>
      <c r="H24" s="467">
        <f>'Exhibit G State'!H24</f>
        <v>8.3000000000000007</v>
      </c>
      <c r="J24" s="467">
        <f>'Exhibit G State'!J24</f>
        <v>9.2999999999999972</v>
      </c>
      <c r="L24" s="467">
        <f>'Exhibit G State'!L24</f>
        <v>9.0000000000000036</v>
      </c>
      <c r="N24" s="467">
        <f>'Exhibit G State'!N24</f>
        <v>9.5999999999999943</v>
      </c>
      <c r="P24" s="467"/>
      <c r="R24" s="467"/>
      <c r="S24" s="467"/>
      <c r="T24" s="467"/>
      <c r="U24" s="467"/>
      <c r="V24" s="467"/>
      <c r="W24" s="467"/>
      <c r="X24" s="467"/>
      <c r="Y24" s="467"/>
      <c r="Z24" s="467"/>
      <c r="AA24" s="467"/>
      <c r="AB24" s="36">
        <v>0</v>
      </c>
      <c r="AC24" s="37"/>
      <c r="AD24" s="36">
        <f>ROUND(SUM(D24:Z24),1)</f>
        <v>53.5</v>
      </c>
      <c r="AE24" s="36"/>
      <c r="AF24" s="37"/>
      <c r="AG24" s="493">
        <f>'Exhibit G State'!AG24</f>
        <v>17.399999999999999</v>
      </c>
      <c r="AH24" s="192"/>
      <c r="AI24" s="36"/>
      <c r="AJ24" s="467">
        <f t="shared" si="1"/>
        <v>36.1</v>
      </c>
      <c r="AK24" s="35"/>
      <c r="AL24" s="469">
        <f t="shared" si="2"/>
        <v>2.0750000000000002</v>
      </c>
    </row>
    <row r="25" spans="1:38" ht="15" customHeight="1">
      <c r="A25" s="21"/>
      <c r="B25" s="753" t="s">
        <v>1432</v>
      </c>
      <c r="C25" s="21"/>
      <c r="D25" s="467">
        <f>'Exhibit G State'!D25</f>
        <v>0.1</v>
      </c>
      <c r="E25" s="467"/>
      <c r="F25" s="467">
        <f>'Exhibit G State'!F25</f>
        <v>0</v>
      </c>
      <c r="G25" s="467"/>
      <c r="H25" s="467">
        <f>'Exhibit G State'!H25</f>
        <v>0.1</v>
      </c>
      <c r="J25" s="467">
        <f>'Exhibit G State'!J25</f>
        <v>0</v>
      </c>
      <c r="L25" s="467">
        <f>'Exhibit G State'!L25</f>
        <v>0</v>
      </c>
      <c r="N25" s="467">
        <f>'Exhibit G State'!N25</f>
        <v>9.9999999999999978E-2</v>
      </c>
      <c r="P25" s="467"/>
      <c r="R25" s="467"/>
      <c r="S25" s="467"/>
      <c r="T25" s="467"/>
      <c r="U25" s="467"/>
      <c r="V25" s="467"/>
      <c r="W25" s="467"/>
      <c r="X25" s="467"/>
      <c r="Y25" s="467"/>
      <c r="Z25" s="467"/>
      <c r="AA25" s="467"/>
      <c r="AB25" s="36">
        <v>0</v>
      </c>
      <c r="AC25" s="37"/>
      <c r="AD25" s="36">
        <f>ROUND(SUM(D25:Z25),1)</f>
        <v>0.3</v>
      </c>
      <c r="AE25" s="36"/>
      <c r="AF25" s="37"/>
      <c r="AG25" s="493">
        <f>'Exhibit G State'!AG25</f>
        <v>0</v>
      </c>
      <c r="AH25" s="192"/>
      <c r="AI25" s="36"/>
      <c r="AJ25" s="467">
        <f t="shared" ref="AJ25" si="4">ROUND(SUM(+AD25-AG25),1)</f>
        <v>0.3</v>
      </c>
      <c r="AK25" s="35"/>
      <c r="AL25" s="469">
        <f>ROUND(IF(AG25=0,1,AJ25/ABS(AG25)),3)</f>
        <v>1</v>
      </c>
    </row>
    <row r="26" spans="1:38" ht="15" customHeight="1">
      <c r="A26" s="21"/>
      <c r="B26" s="753" t="s">
        <v>966</v>
      </c>
      <c r="C26" s="21"/>
      <c r="D26" s="467">
        <f>'Exhibit G State'!D26</f>
        <v>0</v>
      </c>
      <c r="E26" s="467"/>
      <c r="F26" s="467">
        <f>'Exhibit G State'!F26</f>
        <v>0</v>
      </c>
      <c r="G26" s="467"/>
      <c r="H26" s="467">
        <f>'Exhibit G State'!H26</f>
        <v>0</v>
      </c>
      <c r="J26" s="467">
        <f>'Exhibit G State'!J26</f>
        <v>0</v>
      </c>
      <c r="L26" s="467">
        <f>'Exhibit G State'!L26</f>
        <v>0</v>
      </c>
      <c r="N26" s="467">
        <f>'Exhibit G State'!N26</f>
        <v>0</v>
      </c>
      <c r="P26" s="467"/>
      <c r="R26" s="467"/>
      <c r="S26" s="467"/>
      <c r="T26" s="467"/>
      <c r="U26" s="467"/>
      <c r="V26" s="467"/>
      <c r="W26" s="467"/>
      <c r="X26" s="467"/>
      <c r="Y26" s="467"/>
      <c r="Z26" s="467"/>
      <c r="AA26" s="467"/>
      <c r="AB26" s="36">
        <v>0</v>
      </c>
      <c r="AC26" s="37"/>
      <c r="AD26" s="36">
        <f t="shared" si="3"/>
        <v>0</v>
      </c>
      <c r="AE26" s="36"/>
      <c r="AF26" s="37"/>
      <c r="AG26" s="493">
        <f>'Exhibit G State'!AG26</f>
        <v>0</v>
      </c>
      <c r="AH26" s="192"/>
      <c r="AI26" s="36"/>
      <c r="AJ26" s="467">
        <f t="shared" si="1"/>
        <v>0</v>
      </c>
      <c r="AK26" s="35"/>
      <c r="AL26" s="469">
        <f t="shared" si="2"/>
        <v>0</v>
      </c>
    </row>
    <row r="27" spans="1:38" ht="15" customHeight="1">
      <c r="A27" s="21"/>
      <c r="B27" s="753" t="s">
        <v>967</v>
      </c>
      <c r="C27" s="21"/>
      <c r="D27" s="467">
        <f>'Exhibit G State'!D27</f>
        <v>0.1</v>
      </c>
      <c r="E27" s="467"/>
      <c r="F27" s="467">
        <f>'Exhibit G State'!F27</f>
        <v>0</v>
      </c>
      <c r="G27" s="467"/>
      <c r="H27" s="467">
        <f>'Exhibit G State'!H27</f>
        <v>0.1</v>
      </c>
      <c r="J27" s="467">
        <f>'Exhibit G State'!J27</f>
        <v>0</v>
      </c>
      <c r="L27" s="467">
        <f>'Exhibit G State'!L27</f>
        <v>9.9999999999999978E-2</v>
      </c>
      <c r="N27" s="467">
        <f>'Exhibit G State'!N27</f>
        <v>0</v>
      </c>
      <c r="P27" s="467"/>
      <c r="R27" s="467"/>
      <c r="S27" s="467"/>
      <c r="T27" s="467"/>
      <c r="U27" s="467"/>
      <c r="V27" s="467"/>
      <c r="W27" s="467"/>
      <c r="X27" s="467"/>
      <c r="Y27" s="467"/>
      <c r="Z27" s="467"/>
      <c r="AA27" s="467"/>
      <c r="AB27" s="36">
        <v>0</v>
      </c>
      <c r="AC27" s="37"/>
      <c r="AD27" s="36">
        <f t="shared" si="3"/>
        <v>0.3</v>
      </c>
      <c r="AE27" s="36"/>
      <c r="AF27" s="37"/>
      <c r="AG27" s="493">
        <f>'Exhibit G State'!AG27</f>
        <v>0.3</v>
      </c>
      <c r="AH27" s="192"/>
      <c r="AI27" s="36"/>
      <c r="AJ27" s="467">
        <f t="shared" si="1"/>
        <v>0</v>
      </c>
      <c r="AK27" s="35"/>
      <c r="AL27" s="971">
        <f>ROUND(IF(AG27=0,1,AJ27/ABS(AG27)),3)</f>
        <v>0</v>
      </c>
    </row>
    <row r="28" spans="1:38" ht="15" customHeight="1">
      <c r="A28" s="21"/>
      <c r="B28" s="489" t="s">
        <v>1260</v>
      </c>
      <c r="C28" s="21"/>
      <c r="D28" s="467">
        <f>'Exhibit G State'!D28</f>
        <v>0.2</v>
      </c>
      <c r="E28" s="467"/>
      <c r="F28" s="467">
        <f>'Exhibit G State'!F28</f>
        <v>0.3</v>
      </c>
      <c r="G28" s="467"/>
      <c r="H28" s="467">
        <f>'Exhibit G State'!H28</f>
        <v>6.1</v>
      </c>
      <c r="J28" s="467">
        <f>'Exhibit G State'!J28</f>
        <v>0.10000000000000053</v>
      </c>
      <c r="L28" s="467">
        <f>'Exhibit G State'!L28</f>
        <v>0</v>
      </c>
      <c r="N28" s="467">
        <f>'Exhibit G State'!N28</f>
        <v>6.3999999999999995</v>
      </c>
      <c r="P28" s="467"/>
      <c r="R28" s="467"/>
      <c r="S28" s="467"/>
      <c r="T28" s="467"/>
      <c r="U28" s="467"/>
      <c r="V28" s="467"/>
      <c r="W28" s="467"/>
      <c r="X28" s="467"/>
      <c r="Y28" s="467"/>
      <c r="Z28" s="467"/>
      <c r="AA28" s="467"/>
      <c r="AB28" s="36">
        <v>0</v>
      </c>
      <c r="AC28" s="37"/>
      <c r="AD28" s="36">
        <f t="shared" ref="AD28" si="5">ROUND(SUM(D28:Z28),1)</f>
        <v>13.1</v>
      </c>
      <c r="AE28" s="36"/>
      <c r="AF28" s="37"/>
      <c r="AG28" s="493">
        <f>'Exhibit G State'!AG28</f>
        <v>12.6</v>
      </c>
      <c r="AH28" s="192"/>
      <c r="AI28" s="36"/>
      <c r="AJ28" s="467">
        <f t="shared" ref="AJ28" si="6">ROUND(SUM(+AD28-AG28),1)</f>
        <v>0.5</v>
      </c>
      <c r="AK28" s="35"/>
      <c r="AL28" s="971">
        <f>ROUND(IF(AG28=0,1,AJ28/ABS(AG28)),3)</f>
        <v>0.04</v>
      </c>
    </row>
    <row r="29" spans="1:38" s="139" customFormat="1" ht="15" customHeight="1">
      <c r="A29" s="19"/>
      <c r="B29" s="19" t="s">
        <v>1067</v>
      </c>
      <c r="C29" s="19"/>
      <c r="D29" s="41">
        <f>ROUND(SUM(D20:D28),1)</f>
        <v>218.5</v>
      </c>
      <c r="E29"/>
      <c r="F29" s="41">
        <f>ROUND(SUM(F20:F28),1)</f>
        <v>156.9</v>
      </c>
      <c r="G29"/>
      <c r="H29" s="1138">
        <f>ROUND(SUM(H20:H28),1)</f>
        <v>198.1</v>
      </c>
      <c r="I29"/>
      <c r="J29" s="1138">
        <f>ROUND(SUM(J20:J28),1)</f>
        <v>160.30000000000001</v>
      </c>
      <c r="K29"/>
      <c r="L29" s="41">
        <f>ROUND(SUM(L20:L28),1)</f>
        <v>157.19999999999999</v>
      </c>
      <c r="M29"/>
      <c r="N29" s="41">
        <f>ROUND(SUM(N20:N28),1)</f>
        <v>203.4</v>
      </c>
      <c r="O29"/>
      <c r="P29" s="41">
        <f>ROUND(SUM(P20:P28),1)</f>
        <v>0</v>
      </c>
      <c r="Q29"/>
      <c r="R29" s="41">
        <f>ROUND(SUM(R20:R28),1)</f>
        <v>0</v>
      </c>
      <c r="S29"/>
      <c r="T29" s="41">
        <f>ROUND(SUM(T20:T28),1)</f>
        <v>0</v>
      </c>
      <c r="U29"/>
      <c r="V29" s="41">
        <f>ROUND(SUM(V20:V28),1)</f>
        <v>0</v>
      </c>
      <c r="W29"/>
      <c r="X29" s="41">
        <f>ROUND(SUM(X20:X28),1)</f>
        <v>0</v>
      </c>
      <c r="Y29"/>
      <c r="Z29" s="41">
        <f>ROUND(SUM(Z20:Z28),1)</f>
        <v>0</v>
      </c>
      <c r="AA29" s="42"/>
      <c r="AB29" s="41">
        <f>ROUND(SUM(AB20:AB28),1)</f>
        <v>0</v>
      </c>
      <c r="AC29" s="44"/>
      <c r="AD29" s="41">
        <f>ROUND(SUM(AD20:AD28),1)</f>
        <v>1094.4000000000001</v>
      </c>
      <c r="AE29" s="42"/>
      <c r="AF29" s="44"/>
      <c r="AG29" s="41">
        <f>ROUND(SUM(AG20:AG28),1)</f>
        <v>1039</v>
      </c>
      <c r="AH29" s="198"/>
      <c r="AI29" s="42"/>
      <c r="AJ29" s="41">
        <f>ROUND(SUM(AJ20:AJ28),1)</f>
        <v>55.4</v>
      </c>
      <c r="AL29" s="200">
        <f>ROUND(SUM(+AJ29/AG29),3)</f>
        <v>5.2999999999999999E-2</v>
      </c>
    </row>
    <row r="30" spans="1:38" ht="15" customHeight="1">
      <c r="A30" s="21"/>
      <c r="B30" s="737" t="s">
        <v>1007</v>
      </c>
      <c r="C30" s="21"/>
      <c r="D30" s="36"/>
      <c r="F30" s="36"/>
      <c r="H30" s="467"/>
      <c r="J30" s="467"/>
      <c r="L30" s="36"/>
      <c r="N30" s="36"/>
      <c r="P30" s="36"/>
      <c r="R30" s="36"/>
      <c r="T30" s="36"/>
      <c r="V30" s="36"/>
      <c r="X30" s="36"/>
      <c r="Z30" s="36"/>
      <c r="AA30" s="36"/>
      <c r="AB30" s="36"/>
      <c r="AC30" s="37"/>
      <c r="AD30" s="36"/>
      <c r="AE30" s="36"/>
      <c r="AF30" s="37"/>
      <c r="AG30" s="36"/>
      <c r="AH30" s="192"/>
      <c r="AI30" s="36"/>
      <c r="AJ30" s="467"/>
      <c r="AL30" s="488"/>
    </row>
    <row r="31" spans="1:38" ht="15" customHeight="1">
      <c r="A31" s="21"/>
      <c r="B31" s="753" t="s">
        <v>969</v>
      </c>
      <c r="C31" s="21"/>
      <c r="D31" s="36">
        <f>'Exhibit G State'!D31</f>
        <v>223.3</v>
      </c>
      <c r="E31" s="36"/>
      <c r="F31" s="36">
        <f>'Exhibit G State'!F31</f>
        <v>36.5</v>
      </c>
      <c r="G31" s="36"/>
      <c r="H31" s="36">
        <f>'Exhibit G State'!H31</f>
        <v>291.09999999999997</v>
      </c>
      <c r="J31" s="36">
        <f>'Exhibit G State'!J31</f>
        <v>50.100000000000023</v>
      </c>
      <c r="L31" s="36">
        <f>'Exhibit G State'!L31</f>
        <v>22.700000000000045</v>
      </c>
      <c r="N31" s="36">
        <f>'Exhibit G State'!N31</f>
        <v>304.59999999999997</v>
      </c>
      <c r="P31" s="36"/>
      <c r="R31" s="36"/>
      <c r="S31" s="36"/>
      <c r="T31" s="36"/>
      <c r="U31" s="36"/>
      <c r="V31" s="36"/>
      <c r="W31" s="36"/>
      <c r="X31" s="36"/>
      <c r="Y31" s="36"/>
      <c r="Z31" s="36"/>
      <c r="AA31" s="36"/>
      <c r="AB31" s="36">
        <v>0</v>
      </c>
      <c r="AC31" s="37"/>
      <c r="AD31" s="36">
        <f>ROUND(SUM(D31:Z31),1)</f>
        <v>928.3</v>
      </c>
      <c r="AE31" s="36"/>
      <c r="AF31" s="37"/>
      <c r="AG31" s="36">
        <f>'Exhibit G State'!AG31</f>
        <v>892.9</v>
      </c>
      <c r="AH31" s="192"/>
      <c r="AI31" s="36"/>
      <c r="AJ31" s="467">
        <f>ROUND(SUM(+AD31-AG31),1)</f>
        <v>35.4</v>
      </c>
      <c r="AK31" s="35"/>
      <c r="AL31" s="469">
        <f>ROUND(IF(AG31=0,0,AJ31/ABS(AG31)),3)</f>
        <v>0.04</v>
      </c>
    </row>
    <row r="32" spans="1:38" ht="15" customHeight="1">
      <c r="A32" s="21"/>
      <c r="B32" s="753" t="s">
        <v>970</v>
      </c>
      <c r="C32" s="21"/>
      <c r="D32" s="36">
        <f>'Exhibit G State'!D32</f>
        <v>22.2</v>
      </c>
      <c r="E32" s="36"/>
      <c r="F32" s="36">
        <f>'Exhibit G State'!F32</f>
        <v>0.30000000000000071</v>
      </c>
      <c r="G32" s="36"/>
      <c r="H32" s="36">
        <f>'Exhibit G State'!H32</f>
        <v>16</v>
      </c>
      <c r="J32" s="36">
        <f>'Exhibit G State'!J32</f>
        <v>0.20000000000000284</v>
      </c>
      <c r="L32" s="36">
        <f>'Exhibit G State'!L32</f>
        <v>0.19999999999999574</v>
      </c>
      <c r="N32" s="36">
        <f>'Exhibit G State'!N32</f>
        <v>19.399999999999999</v>
      </c>
      <c r="P32" s="36"/>
      <c r="R32" s="36"/>
      <c r="S32" s="36"/>
      <c r="T32" s="36"/>
      <c r="U32" s="36"/>
      <c r="V32" s="36"/>
      <c r="W32" s="36"/>
      <c r="X32" s="36"/>
      <c r="Y32" s="36"/>
      <c r="Z32" s="36"/>
      <c r="AA32" s="36"/>
      <c r="AB32" s="36">
        <v>0</v>
      </c>
      <c r="AC32" s="37"/>
      <c r="AD32" s="36">
        <f>ROUND(SUM(D32:Z32),1)</f>
        <v>58.3</v>
      </c>
      <c r="AE32" s="36"/>
      <c r="AF32" s="37"/>
      <c r="AG32" s="36">
        <f>'Exhibit G State'!AG32</f>
        <v>43.1</v>
      </c>
      <c r="AH32" s="192"/>
      <c r="AI32" s="36"/>
      <c r="AJ32" s="467">
        <f>ROUND(SUM(+AD32-AG32),1)</f>
        <v>15.2</v>
      </c>
      <c r="AK32" s="35"/>
      <c r="AL32" s="469">
        <f>ROUND(IF(AG32=0,0,AJ32/ABS(AG32)),3)</f>
        <v>0.35299999999999998</v>
      </c>
    </row>
    <row r="33" spans="1:38" ht="15" customHeight="1">
      <c r="A33" s="21"/>
      <c r="B33" s="753" t="s">
        <v>971</v>
      </c>
      <c r="C33" s="21"/>
      <c r="D33" s="36">
        <f>'Exhibit G State'!D33</f>
        <v>24.4</v>
      </c>
      <c r="E33" s="36"/>
      <c r="F33" s="36">
        <f>'Exhibit G State'!F33</f>
        <v>-10.399999999999999</v>
      </c>
      <c r="G33" s="36"/>
      <c r="H33" s="36">
        <f>'Exhibit G State'!H33</f>
        <v>66.300000000000011</v>
      </c>
      <c r="J33" s="36">
        <f>'Exhibit G State'!J33</f>
        <v>0.29999999999998295</v>
      </c>
      <c r="L33" s="36">
        <f>'Exhibit G State'!L33</f>
        <v>2.6000000000000085</v>
      </c>
      <c r="N33" s="36">
        <f>'Exhibit G State'!N33</f>
        <v>57.3</v>
      </c>
      <c r="P33" s="36"/>
      <c r="R33" s="36"/>
      <c r="S33" s="36"/>
      <c r="T33" s="36"/>
      <c r="U33" s="36"/>
      <c r="V33" s="36"/>
      <c r="W33" s="36"/>
      <c r="X33" s="36"/>
      <c r="Y33" s="36"/>
      <c r="Z33" s="36"/>
      <c r="AA33" s="36"/>
      <c r="AB33" s="36">
        <v>0</v>
      </c>
      <c r="AC33" s="37"/>
      <c r="AD33" s="36">
        <f>ROUND(SUM(D33:Z33),1)</f>
        <v>140.5</v>
      </c>
      <c r="AE33" s="36"/>
      <c r="AF33" s="37"/>
      <c r="AG33" s="36">
        <f>'Exhibit G State'!AG33</f>
        <v>138.80000000000001</v>
      </c>
      <c r="AH33" s="192"/>
      <c r="AI33" s="36"/>
      <c r="AJ33" s="467">
        <f>ROUND(SUM(+AD33-AG33),1)</f>
        <v>1.7</v>
      </c>
      <c r="AK33" s="35"/>
      <c r="AL33" s="971">
        <f>ROUND(IF(AG33=0,0,AJ33/ABS(AG33)),3)</f>
        <v>1.2E-2</v>
      </c>
    </row>
    <row r="34" spans="1:38" ht="15" customHeight="1">
      <c r="A34" s="21"/>
      <c r="B34" s="753" t="s">
        <v>972</v>
      </c>
      <c r="C34" s="21"/>
      <c r="D34" s="36">
        <f>'Exhibit G State'!D34</f>
        <v>0.3</v>
      </c>
      <c r="E34" s="36"/>
      <c r="F34" s="36">
        <f>'Exhibit G State'!F34</f>
        <v>0</v>
      </c>
      <c r="G34" s="36"/>
      <c r="H34" s="36">
        <f>'Exhibit G State'!H34</f>
        <v>-9.9999999999999978E-2</v>
      </c>
      <c r="J34" s="36">
        <f>'Exhibit G State'!J34</f>
        <v>9.9999999999999978E-2</v>
      </c>
      <c r="L34" s="36">
        <f>'Exhibit G State'!L34</f>
        <v>0</v>
      </c>
      <c r="N34" s="36">
        <f>'Exhibit G State'!N34</f>
        <v>-9.9999999999999978E-2</v>
      </c>
      <c r="P34" s="36"/>
      <c r="R34" s="36"/>
      <c r="S34" s="36"/>
      <c r="T34" s="36"/>
      <c r="U34" s="36"/>
      <c r="V34" s="36"/>
      <c r="W34" s="36"/>
      <c r="X34" s="36"/>
      <c r="Y34" s="36"/>
      <c r="Z34" s="36"/>
      <c r="AA34" s="36"/>
      <c r="AB34" s="36">
        <v>0</v>
      </c>
      <c r="AC34" s="37"/>
      <c r="AD34" s="36">
        <f>ROUND(SUM(D34:Z34),1)</f>
        <v>0.2</v>
      </c>
      <c r="AE34" s="36"/>
      <c r="AF34" s="37"/>
      <c r="AG34" s="36">
        <f>'Exhibit G State'!AG34</f>
        <v>-0.5</v>
      </c>
      <c r="AH34" s="192"/>
      <c r="AI34" s="36"/>
      <c r="AJ34" s="467">
        <f>ROUND(SUM(+AD34-AG34),1)</f>
        <v>0.7</v>
      </c>
      <c r="AK34" s="35"/>
      <c r="AL34" s="971">
        <f>ROUND(IF(AG34=0,0,AJ34/ABS(AG34)),3)</f>
        <v>1.4</v>
      </c>
    </row>
    <row r="35" spans="1:38" ht="15" customHeight="1">
      <c r="A35" s="21"/>
      <c r="B35" s="753" t="s">
        <v>973</v>
      </c>
      <c r="C35" s="21"/>
      <c r="D35" s="36">
        <f>'Exhibit G State'!D35</f>
        <v>36.1</v>
      </c>
      <c r="E35" s="36"/>
      <c r="F35" s="36">
        <f>'Exhibit G State'!F35</f>
        <v>42.9</v>
      </c>
      <c r="G35" s="36"/>
      <c r="H35" s="36">
        <f>'Exhibit G State'!H35</f>
        <v>41.699999999999996</v>
      </c>
      <c r="J35" s="36">
        <f>'Exhibit G State'!J35</f>
        <v>42.9</v>
      </c>
      <c r="L35" s="36">
        <f>'Exhibit G State'!L35</f>
        <v>48.200000000000024</v>
      </c>
      <c r="N35" s="36">
        <f>'Exhibit G State'!N35</f>
        <v>41.799999999999976</v>
      </c>
      <c r="P35" s="36"/>
      <c r="R35" s="36"/>
      <c r="S35" s="36"/>
      <c r="T35" s="36"/>
      <c r="U35" s="36"/>
      <c r="V35" s="36"/>
      <c r="W35" s="36"/>
      <c r="X35" s="36"/>
      <c r="Y35" s="36"/>
      <c r="Z35" s="36"/>
      <c r="AA35" s="36"/>
      <c r="AB35" s="36">
        <v>0</v>
      </c>
      <c r="AC35" s="37"/>
      <c r="AD35" s="36">
        <f>ROUND(SUM(D35:Z35),1)</f>
        <v>253.6</v>
      </c>
      <c r="AE35" s="36"/>
      <c r="AF35" s="37"/>
      <c r="AG35" s="36">
        <f>'Exhibit G State'!AG35</f>
        <v>244</v>
      </c>
      <c r="AH35" s="192"/>
      <c r="AI35" s="36"/>
      <c r="AJ35" s="467">
        <f>ROUND(SUM(+AD35-AG35),1)</f>
        <v>9.6</v>
      </c>
      <c r="AK35" s="35"/>
      <c r="AL35" s="469">
        <f>ROUND(IF(AG35=0,0,AJ35/ABS(AG35)),3)</f>
        <v>3.9E-2</v>
      </c>
    </row>
    <row r="36" spans="1:38" s="139" customFormat="1" ht="15" customHeight="1">
      <c r="A36" s="19"/>
      <c r="B36" s="19" t="s">
        <v>1068</v>
      </c>
      <c r="C36" s="19"/>
      <c r="D36" s="41">
        <f t="shared" ref="D36:F36" si="7">ROUND(SUM(D31:D35),1)</f>
        <v>306.3</v>
      </c>
      <c r="E36"/>
      <c r="F36" s="41">
        <f t="shared" si="7"/>
        <v>69.3</v>
      </c>
      <c r="G36"/>
      <c r="H36" s="1138">
        <f>ROUND(SUM(H31:H35),1)</f>
        <v>415</v>
      </c>
      <c r="I36"/>
      <c r="J36" s="1138">
        <f>ROUND(SUM(J31:J35),1)</f>
        <v>93.6</v>
      </c>
      <c r="K36"/>
      <c r="L36" s="41">
        <f t="shared" ref="L36:V36" si="8">ROUND(SUM(L31:L35),1)</f>
        <v>73.7</v>
      </c>
      <c r="M36"/>
      <c r="N36" s="41">
        <f t="shared" ref="N36:P36" si="9">ROUND(SUM(N31:N35),1)</f>
        <v>423</v>
      </c>
      <c r="O36"/>
      <c r="P36" s="41">
        <f t="shared" si="9"/>
        <v>0</v>
      </c>
      <c r="Q36"/>
      <c r="R36" s="41">
        <f t="shared" ref="R36:T36" si="10">ROUND(SUM(R31:R35),1)</f>
        <v>0</v>
      </c>
      <c r="S36"/>
      <c r="T36" s="41">
        <f t="shared" si="10"/>
        <v>0</v>
      </c>
      <c r="U36"/>
      <c r="V36" s="41">
        <f t="shared" si="8"/>
        <v>0</v>
      </c>
      <c r="W36"/>
      <c r="X36" s="41">
        <f>ROUND(SUM(X31:X35),1)</f>
        <v>0</v>
      </c>
      <c r="Y36"/>
      <c r="Z36" s="41">
        <f>ROUND(SUM(Z31:Z35),1)</f>
        <v>0</v>
      </c>
      <c r="AA36" s="42"/>
      <c r="AB36" s="41">
        <f>SUM(AB31:AB35)</f>
        <v>0</v>
      </c>
      <c r="AC36" s="44"/>
      <c r="AD36" s="41">
        <f>ROUND(SUM(AD31:AD35),1)</f>
        <v>1380.9</v>
      </c>
      <c r="AE36" s="42"/>
      <c r="AF36" s="44"/>
      <c r="AG36" s="41">
        <f>ROUND(SUM(AG31:AG35),1)</f>
        <v>1318.3</v>
      </c>
      <c r="AH36" s="198"/>
      <c r="AI36" s="42"/>
      <c r="AJ36" s="41">
        <f>ROUND(SUM(AJ31:AJ35),1)</f>
        <v>62.6</v>
      </c>
      <c r="AL36" s="200">
        <f>ROUND(SUM(+AJ36/AG36),3)</f>
        <v>4.7E-2</v>
      </c>
    </row>
    <row r="37" spans="1:38" ht="15" customHeight="1">
      <c r="A37" s="21"/>
      <c r="B37"/>
      <c r="C37" s="21"/>
      <c r="D37" s="36"/>
      <c r="F37" s="36"/>
      <c r="H37" s="467"/>
      <c r="J37" s="467"/>
      <c r="L37" s="36"/>
      <c r="N37" s="36"/>
      <c r="P37" s="36"/>
      <c r="R37" s="36"/>
      <c r="T37" s="36"/>
      <c r="V37" s="36"/>
      <c r="X37" s="36"/>
      <c r="Z37" s="36"/>
      <c r="AA37" s="36"/>
      <c r="AB37" s="36"/>
      <c r="AC37" s="37"/>
      <c r="AD37" s="36"/>
      <c r="AE37" s="36"/>
      <c r="AF37" s="37"/>
      <c r="AG37" s="36"/>
      <c r="AH37" s="192"/>
      <c r="AI37" s="36"/>
      <c r="AJ37" s="467"/>
      <c r="AL37" s="488"/>
    </row>
    <row r="38" spans="1:38" ht="15" customHeight="1">
      <c r="A38" s="21"/>
      <c r="B38" s="19" t="s">
        <v>1069</v>
      </c>
      <c r="C38" s="21"/>
      <c r="D38" s="50">
        <f>ROUND(SUM(D17+D29+D36),1)</f>
        <v>524.79999999999995</v>
      </c>
      <c r="F38" s="50">
        <f>ROUND(SUM(F17+F29+F36),1)</f>
        <v>226.2</v>
      </c>
      <c r="H38" s="50">
        <f>ROUND(SUM(H17+H29+H36),1)</f>
        <v>613.1</v>
      </c>
      <c r="J38" s="50">
        <f>ROUND(SUM(J17+J29+J36),1)</f>
        <v>253.9</v>
      </c>
      <c r="L38" s="50">
        <f>ROUND(SUM(L17+L29+L36),1)</f>
        <v>230.9</v>
      </c>
      <c r="N38" s="50">
        <f>ROUND(SUM(N17+N29+N36),1)</f>
        <v>626.4</v>
      </c>
      <c r="P38" s="50">
        <f>ROUND(SUM(P17+P29+P36),1)</f>
        <v>0</v>
      </c>
      <c r="R38" s="50">
        <f>ROUND(SUM(R17+R29+R36),1)</f>
        <v>0</v>
      </c>
      <c r="T38" s="50">
        <f>ROUND(SUM(T17+T29+T36),1)</f>
        <v>0</v>
      </c>
      <c r="V38" s="50">
        <f>ROUND(SUM(V17+V29+V36),1)</f>
        <v>0</v>
      </c>
      <c r="X38" s="50">
        <f>ROUND(SUM(X17+X29+X36),1)</f>
        <v>0</v>
      </c>
      <c r="Z38" s="50">
        <f>ROUND(SUM(Z17+Z29+Z36),1)</f>
        <v>0</v>
      </c>
      <c r="AA38" s="42"/>
      <c r="AB38" s="50">
        <f>ROUND(SUM(AB17+AB29+AB36),1)</f>
        <v>0</v>
      </c>
      <c r="AC38" s="37"/>
      <c r="AD38" s="50">
        <f>ROUND(SUM(AD17+AD29+AD36),1)</f>
        <v>2475.3000000000002</v>
      </c>
      <c r="AE38" s="36"/>
      <c r="AF38" s="37"/>
      <c r="AG38" s="50">
        <f>ROUND(SUM(AG17+AG29+AG36),1)</f>
        <v>2357.3000000000002</v>
      </c>
      <c r="AH38" s="192"/>
      <c r="AI38" s="36"/>
      <c r="AJ38" s="50">
        <f>ROUND(SUM(AJ17+AJ29+AJ36),1)</f>
        <v>118</v>
      </c>
      <c r="AL38" s="211">
        <f>ROUND(SUM(+AJ38/AG38),3)</f>
        <v>0.05</v>
      </c>
    </row>
    <row r="39" spans="1:38" ht="15" customHeight="1">
      <c r="A39" s="21"/>
      <c r="B39" s="21"/>
      <c r="C39" s="21"/>
      <c r="D39" s="35"/>
      <c r="F39" s="35"/>
      <c r="H39" s="493"/>
      <c r="J39" s="493"/>
      <c r="L39" s="493"/>
      <c r="N39" s="493"/>
      <c r="P39" s="493"/>
      <c r="R39" s="493"/>
      <c r="T39" s="493"/>
      <c r="V39" s="46"/>
      <c r="X39" s="46"/>
      <c r="Z39" s="46"/>
      <c r="AA39" s="35"/>
      <c r="AB39" s="36"/>
      <c r="AC39" s="37"/>
      <c r="AD39" s="36"/>
      <c r="AE39" s="36"/>
      <c r="AF39" s="37"/>
      <c r="AG39" s="193"/>
      <c r="AH39" s="195"/>
      <c r="AI39" s="36"/>
      <c r="AJ39" s="467"/>
      <c r="AK39" s="35"/>
      <c r="AL39" s="488"/>
    </row>
    <row r="40" spans="1:38" ht="15" customHeight="1">
      <c r="A40" s="21"/>
      <c r="B40" s="118" t="s">
        <v>886</v>
      </c>
      <c r="C40" s="21"/>
      <c r="D40" s="35"/>
      <c r="F40" s="35"/>
      <c r="H40" s="493"/>
      <c r="J40" s="493"/>
      <c r="L40" s="493"/>
      <c r="N40" s="493"/>
      <c r="P40" s="493"/>
      <c r="R40" s="493"/>
      <c r="T40" s="493"/>
      <c r="V40" s="46"/>
      <c r="X40" s="46"/>
      <c r="Z40" s="46"/>
      <c r="AA40" s="35"/>
      <c r="AB40" s="36"/>
      <c r="AC40" s="37"/>
      <c r="AD40" s="36"/>
      <c r="AE40" s="36"/>
      <c r="AF40" s="37"/>
      <c r="AG40" s="193"/>
      <c r="AH40" s="195"/>
      <c r="AI40" s="36"/>
      <c r="AJ40" s="467"/>
      <c r="AK40" s="35"/>
      <c r="AL40" s="488"/>
    </row>
    <row r="41" spans="1:38" ht="15" customHeight="1">
      <c r="A41" s="21"/>
      <c r="B41" s="594" t="s">
        <v>1000</v>
      </c>
      <c r="C41" s="21"/>
      <c r="D41" s="35"/>
      <c r="F41" s="35"/>
      <c r="H41" s="493"/>
      <c r="J41" s="493"/>
      <c r="L41" s="493"/>
      <c r="N41" s="493"/>
      <c r="P41" s="493"/>
      <c r="R41" s="493"/>
      <c r="T41" s="493"/>
      <c r="V41" s="46"/>
      <c r="X41" s="46"/>
      <c r="Z41" s="46"/>
      <c r="AA41" s="35"/>
      <c r="AB41" s="36"/>
      <c r="AC41" s="37"/>
      <c r="AD41" s="36"/>
      <c r="AE41" s="36"/>
      <c r="AF41" s="37"/>
      <c r="AG41" s="193"/>
      <c r="AH41" s="195"/>
      <c r="AI41" s="36"/>
      <c r="AJ41" s="467"/>
      <c r="AK41" s="35"/>
      <c r="AL41" s="488"/>
    </row>
    <row r="42" spans="1:38" ht="15" customHeight="1">
      <c r="A42" s="21"/>
      <c r="B42" s="594" t="s">
        <v>918</v>
      </c>
      <c r="C42" s="21"/>
      <c r="D42" s="493">
        <f>'Exhibit G State'!D42+'Exhibit G Federal'!D19</f>
        <v>1</v>
      </c>
      <c r="E42" s="493"/>
      <c r="F42" s="493">
        <f>'Exhibit G State'!F42+'Exhibit G Federal'!F19</f>
        <v>0.89999999999999991</v>
      </c>
      <c r="G42" s="493"/>
      <c r="H42" s="493">
        <f>'Exhibit G State'!H42+'Exhibit G Federal'!H19</f>
        <v>0.89999999999999991</v>
      </c>
      <c r="J42" s="493">
        <f>'Exhibit G State'!J42+'Exhibit G Federal'!J19</f>
        <v>0.90000000000000036</v>
      </c>
      <c r="L42" s="493">
        <f>'Exhibit G State'!L42+'Exhibit G Federal'!L19</f>
        <v>1.2999999999999998</v>
      </c>
      <c r="N42" s="493">
        <f>'Exhibit G State'!N42+'Exhibit G Federal'!N19</f>
        <v>1.5999999999999992</v>
      </c>
      <c r="P42" s="493"/>
      <c r="R42" s="493"/>
      <c r="S42" s="493"/>
      <c r="T42" s="493"/>
      <c r="U42" s="493"/>
      <c r="V42" s="493"/>
      <c r="W42" s="493"/>
      <c r="X42" s="493"/>
      <c r="Y42" s="493"/>
      <c r="Z42" s="493"/>
      <c r="AA42" s="493"/>
      <c r="AB42" s="36">
        <v>0</v>
      </c>
      <c r="AC42" s="37"/>
      <c r="AD42" s="36">
        <f t="shared" ref="AD42:AD84" si="11">ROUND(SUM(D42:Z42),1)</f>
        <v>6.6</v>
      </c>
      <c r="AE42" s="36"/>
      <c r="AF42" s="37"/>
      <c r="AG42" s="493">
        <f>'Exhibit G State'!AG42+'Exhibit G Federal'!AG19</f>
        <v>6</v>
      </c>
      <c r="AH42" s="195"/>
      <c r="AI42" s="36"/>
      <c r="AJ42" s="467">
        <f>ROUND(SUM(+AD42-AG42),1)</f>
        <v>0.6</v>
      </c>
      <c r="AK42" s="35"/>
      <c r="AL42" s="469">
        <f>ROUND(IF(AG42=0,0,AJ42/ABS(AG42)),3)</f>
        <v>0.1</v>
      </c>
    </row>
    <row r="43" spans="1:38" ht="15" customHeight="1">
      <c r="A43" s="21"/>
      <c r="B43" s="594" t="s">
        <v>1001</v>
      </c>
      <c r="C43" s="21"/>
      <c r="D43" s="493"/>
      <c r="E43" s="493"/>
      <c r="F43" s="493"/>
      <c r="G43" s="493"/>
      <c r="H43" s="493"/>
      <c r="J43" s="493"/>
      <c r="L43" s="493"/>
      <c r="N43" s="493"/>
      <c r="P43" s="467"/>
      <c r="R43" s="467"/>
      <c r="S43" s="467"/>
      <c r="T43" s="467"/>
      <c r="U43" s="467"/>
      <c r="V43" s="467"/>
      <c r="W43" s="467"/>
      <c r="X43" s="467"/>
      <c r="Y43" s="467"/>
      <c r="Z43" s="467"/>
      <c r="AA43" s="493"/>
      <c r="AB43" s="36"/>
      <c r="AC43" s="37"/>
      <c r="AD43" s="36"/>
      <c r="AE43" s="36"/>
      <c r="AF43" s="37"/>
      <c r="AG43" s="493"/>
      <c r="AH43" s="195"/>
      <c r="AI43" s="36"/>
      <c r="AJ43" s="467"/>
      <c r="AK43" s="35"/>
      <c r="AL43" s="488"/>
    </row>
    <row r="44" spans="1:38" ht="15" customHeight="1">
      <c r="A44" s="21"/>
      <c r="B44" s="594" t="s">
        <v>920</v>
      </c>
      <c r="C44" s="21"/>
      <c r="D44" s="493">
        <f>'Exhibit G State'!D44+'Exhibit G Federal'!D21</f>
        <v>52.8</v>
      </c>
      <c r="E44" s="493"/>
      <c r="F44" s="493">
        <f>'Exhibit G State'!F44+'Exhibit G Federal'!F21</f>
        <v>-28.6</v>
      </c>
      <c r="G44" s="493"/>
      <c r="H44" s="493">
        <f>'Exhibit G State'!H44+'Exhibit G Federal'!H21</f>
        <v>94.1</v>
      </c>
      <c r="J44" s="493">
        <f>'Exhibit G State'!J44+'Exhibit G Federal'!J21</f>
        <v>89.8</v>
      </c>
      <c r="L44" s="493">
        <f>'Exhibit G State'!L44+'Exhibit G Federal'!L21</f>
        <v>93</v>
      </c>
      <c r="N44" s="493">
        <f>'Exhibit G State'!N44+'Exhibit G Federal'!N21</f>
        <v>99.200000000000017</v>
      </c>
      <c r="P44" s="493"/>
      <c r="R44" s="493"/>
      <c r="S44" s="493"/>
      <c r="T44" s="493"/>
      <c r="U44" s="493"/>
      <c r="V44" s="493"/>
      <c r="W44" s="493"/>
      <c r="X44" s="493"/>
      <c r="Y44" s="493"/>
      <c r="Z44" s="493"/>
      <c r="AA44" s="493"/>
      <c r="AB44" s="36">
        <v>0</v>
      </c>
      <c r="AC44" s="37"/>
      <c r="AD44" s="36">
        <f>ROUND(SUM(D44:Z44),1)</f>
        <v>400.3</v>
      </c>
      <c r="AE44" s="36"/>
      <c r="AF44" s="37"/>
      <c r="AG44" s="493">
        <f>'Exhibit G State'!AG44+'Exhibit G Federal'!AG21</f>
        <v>448.5</v>
      </c>
      <c r="AH44" s="195"/>
      <c r="AI44" s="36"/>
      <c r="AJ44" s="467">
        <f>ROUND(SUM(+AD44-AG44),1)</f>
        <v>-48.2</v>
      </c>
      <c r="AK44" s="35"/>
      <c r="AL44" s="469">
        <f>ROUND(IF(AG44=0,0,AJ44/ABS(AG44)),3)</f>
        <v>-0.107</v>
      </c>
    </row>
    <row r="45" spans="1:38" ht="15" customHeight="1">
      <c r="A45" s="21"/>
      <c r="B45" s="594" t="s">
        <v>921</v>
      </c>
      <c r="C45" s="21"/>
      <c r="D45" s="493">
        <f>'Exhibit G State'!D45+'Exhibit G Federal'!D22</f>
        <v>630.29999999999995</v>
      </c>
      <c r="E45" s="493"/>
      <c r="F45" s="493">
        <f>'Exhibit G State'!F45+'Exhibit G Federal'!F22</f>
        <v>619.90000000000009</v>
      </c>
      <c r="G45" s="493"/>
      <c r="H45" s="493">
        <f>'Exhibit G State'!H45+'Exhibit G Federal'!H22</f>
        <v>590.79999999999995</v>
      </c>
      <c r="J45" s="493">
        <f>'Exhibit G State'!J45+'Exhibit G Federal'!J22</f>
        <v>644.59999999999991</v>
      </c>
      <c r="L45" s="493">
        <f>'Exhibit G State'!L45+'Exhibit G Federal'!L22</f>
        <v>651.59999999999968</v>
      </c>
      <c r="N45" s="493">
        <f>'Exhibit G State'!N45+'Exhibit G Federal'!N22</f>
        <v>593.30000000000018</v>
      </c>
      <c r="P45" s="493"/>
      <c r="R45" s="493"/>
      <c r="S45" s="493"/>
      <c r="T45" s="493"/>
      <c r="U45" s="493"/>
      <c r="V45" s="493"/>
      <c r="W45" s="493"/>
      <c r="X45" s="493"/>
      <c r="Y45" s="493"/>
      <c r="Z45" s="493"/>
      <c r="AA45" s="493"/>
      <c r="AB45" s="36">
        <v>0</v>
      </c>
      <c r="AC45" s="37"/>
      <c r="AD45" s="467">
        <f t="shared" si="11"/>
        <v>3730.5</v>
      </c>
      <c r="AE45" s="36"/>
      <c r="AF45" s="37"/>
      <c r="AG45" s="493">
        <f>'Exhibit G State'!AG45+'Exhibit G Federal'!AG22</f>
        <v>3312.7</v>
      </c>
      <c r="AH45" s="195"/>
      <c r="AI45" s="36"/>
      <c r="AJ45" s="467">
        <f>ROUND(SUM(+AD45-AG45),1)</f>
        <v>417.8</v>
      </c>
      <c r="AK45" s="35"/>
      <c r="AL45" s="469">
        <f>ROUND(IF(AG45=0,0,AJ45/ABS(AG45)),3)</f>
        <v>0.126</v>
      </c>
    </row>
    <row r="46" spans="1:38" ht="15" customHeight="1">
      <c r="A46" s="21"/>
      <c r="B46" s="594" t="s">
        <v>922</v>
      </c>
      <c r="C46" s="21"/>
      <c r="D46" s="493">
        <f>'Exhibit G State'!D46+'Exhibit G Federal'!D23</f>
        <v>0.7</v>
      </c>
      <c r="E46" s="493"/>
      <c r="F46" s="493">
        <f>'Exhibit G State'!F46+'Exhibit G Federal'!F23</f>
        <v>0</v>
      </c>
      <c r="G46" s="493"/>
      <c r="H46" s="493">
        <f>'Exhibit G State'!H46+'Exhibit G Federal'!H23</f>
        <v>0.7</v>
      </c>
      <c r="J46" s="493">
        <f>'Exhibit G State'!J46+'Exhibit G Federal'!J23</f>
        <v>0</v>
      </c>
      <c r="L46" s="493">
        <f>'Exhibit G State'!L46+'Exhibit G Federal'!L23</f>
        <v>0.20000000000000018</v>
      </c>
      <c r="N46" s="493">
        <f>'Exhibit G State'!N46+'Exhibit G Federal'!N23</f>
        <v>61.199999999999989</v>
      </c>
      <c r="P46" s="493"/>
      <c r="R46" s="493"/>
      <c r="S46" s="493"/>
      <c r="T46" s="493"/>
      <c r="U46" s="493"/>
      <c r="V46" s="493"/>
      <c r="W46" s="493"/>
      <c r="X46" s="493"/>
      <c r="Y46" s="493"/>
      <c r="Z46" s="493"/>
      <c r="AA46" s="493"/>
      <c r="AB46" s="36">
        <v>0</v>
      </c>
      <c r="AC46" s="37"/>
      <c r="AD46" s="36">
        <f t="shared" si="11"/>
        <v>62.8</v>
      </c>
      <c r="AE46" s="36"/>
      <c r="AF46" s="37"/>
      <c r="AG46" s="493">
        <f>'Exhibit G State'!AG46+'Exhibit G Federal'!AG23</f>
        <v>64.599999999999994</v>
      </c>
      <c r="AH46" s="195"/>
      <c r="AI46" s="36"/>
      <c r="AJ46" s="467">
        <f>ROUND(SUM(+AD46-AG46),1)</f>
        <v>-1.8</v>
      </c>
      <c r="AK46" s="35"/>
      <c r="AL46" s="971">
        <f>ROUND(IF(AG46=0,0,AJ46/ABS(AG46)),3)</f>
        <v>-2.8000000000000001E-2</v>
      </c>
    </row>
    <row r="47" spans="1:38" ht="15" customHeight="1">
      <c r="A47" s="21"/>
      <c r="B47" s="594" t="s">
        <v>923</v>
      </c>
      <c r="C47" s="21"/>
      <c r="D47" s="493">
        <f>'Exhibit G State'!D47+'Exhibit G Federal'!D24</f>
        <v>0</v>
      </c>
      <c r="E47" s="493"/>
      <c r="F47" s="493">
        <f>'Exhibit G State'!F47+'Exhibit G Federal'!F24</f>
        <v>0.1</v>
      </c>
      <c r="G47" s="493"/>
      <c r="H47" s="493">
        <f>'Exhibit G State'!H47+'Exhibit G Federal'!H24</f>
        <v>0</v>
      </c>
      <c r="J47" s="493">
        <f>'Exhibit G State'!J47+'Exhibit G Federal'!J24</f>
        <v>0</v>
      </c>
      <c r="L47" s="493">
        <f>'Exhibit G State'!L47+'Exhibit G Federal'!L24</f>
        <v>0</v>
      </c>
      <c r="N47" s="493">
        <f>'Exhibit G State'!N47+'Exhibit G Federal'!N24</f>
        <v>0.1</v>
      </c>
      <c r="P47" s="493"/>
      <c r="R47" s="493"/>
      <c r="S47" s="493"/>
      <c r="T47" s="493"/>
      <c r="U47" s="493"/>
      <c r="V47" s="493"/>
      <c r="W47" s="493"/>
      <c r="X47" s="493"/>
      <c r="Y47" s="493"/>
      <c r="Z47" s="493"/>
      <c r="AA47" s="493"/>
      <c r="AB47" s="36">
        <v>0</v>
      </c>
      <c r="AC47" s="37"/>
      <c r="AD47" s="36">
        <f t="shared" si="11"/>
        <v>0.2</v>
      </c>
      <c r="AE47" s="36"/>
      <c r="AF47" s="37"/>
      <c r="AG47" s="493">
        <f>'Exhibit G State'!AG47+'Exhibit G Federal'!AG24</f>
        <v>0.1</v>
      </c>
      <c r="AH47" s="195"/>
      <c r="AI47" s="36"/>
      <c r="AJ47" s="467">
        <f>ROUND(SUM(+AD47-AG47),1)</f>
        <v>0.1</v>
      </c>
      <c r="AK47" s="35"/>
      <c r="AL47" s="469">
        <f>ROUND(IF(AG47=0,1,AJ47/ABS(AG47)),3)</f>
        <v>1</v>
      </c>
    </row>
    <row r="48" spans="1:38" ht="15" customHeight="1">
      <c r="A48" s="21"/>
      <c r="B48" s="594" t="s">
        <v>1005</v>
      </c>
      <c r="C48" s="21"/>
      <c r="D48" s="493"/>
      <c r="E48" s="493"/>
      <c r="F48" s="493"/>
      <c r="G48" s="493"/>
      <c r="H48" s="493"/>
      <c r="J48" s="493"/>
      <c r="L48" s="493"/>
      <c r="N48" s="493"/>
      <c r="P48" s="467"/>
      <c r="R48" s="467"/>
      <c r="S48" s="467"/>
      <c r="T48" s="467"/>
      <c r="U48" s="467"/>
      <c r="V48" s="467"/>
      <c r="W48" s="467"/>
      <c r="X48" s="467"/>
      <c r="Y48" s="467"/>
      <c r="Z48" s="467"/>
      <c r="AA48" s="493"/>
      <c r="AB48" s="36"/>
      <c r="AC48" s="37"/>
      <c r="AD48" s="36"/>
      <c r="AE48" s="36"/>
      <c r="AF48" s="37"/>
      <c r="AG48" s="493"/>
      <c r="AH48" s="195"/>
      <c r="AI48" s="36"/>
      <c r="AJ48" s="467"/>
      <c r="AK48" s="35"/>
      <c r="AL48" s="488"/>
    </row>
    <row r="49" spans="1:38" ht="15" customHeight="1">
      <c r="A49" s="21"/>
      <c r="B49" s="594" t="s">
        <v>1087</v>
      </c>
      <c r="C49" s="21"/>
      <c r="D49" s="493">
        <f>'Exhibit G State'!D49</f>
        <v>0.1</v>
      </c>
      <c r="E49" s="493"/>
      <c r="F49" s="493">
        <f>'Exhibit G State'!F49</f>
        <v>0.19999999999999998</v>
      </c>
      <c r="G49" s="493"/>
      <c r="H49" s="493">
        <f>'Exhibit G State'!H49</f>
        <v>1.9999999999999998</v>
      </c>
      <c r="J49" s="493">
        <f>'Exhibit G State'!J49</f>
        <v>9.9999999999999867E-2</v>
      </c>
      <c r="L49" s="493">
        <f>'Exhibit G State'!L49</f>
        <v>0.10000000000000009</v>
      </c>
      <c r="N49" s="493">
        <f>'Exhibit G State'!N49</f>
        <v>0</v>
      </c>
      <c r="P49" s="493"/>
      <c r="R49" s="493"/>
      <c r="S49" s="493"/>
      <c r="T49" s="493"/>
      <c r="U49" s="493"/>
      <c r="V49" s="493"/>
      <c r="W49" s="493"/>
      <c r="X49" s="493"/>
      <c r="Y49" s="493"/>
      <c r="Z49" s="493"/>
      <c r="AA49" s="493"/>
      <c r="AB49" s="36">
        <v>0</v>
      </c>
      <c r="AC49" s="37"/>
      <c r="AD49" s="36">
        <f>ROUND(SUM(D49:Z49),1)</f>
        <v>2.5</v>
      </c>
      <c r="AE49" s="36"/>
      <c r="AF49" s="37"/>
      <c r="AG49" s="493">
        <f>'Exhibit G State'!AG49</f>
        <v>2.2000000000000002</v>
      </c>
      <c r="AH49" s="195"/>
      <c r="AI49" s="36"/>
      <c r="AJ49" s="467">
        <f>ROUND(SUM(+AD49-AG49),1)</f>
        <v>0.3</v>
      </c>
      <c r="AK49" s="35"/>
      <c r="AL49" s="469">
        <f>ROUND(IF(AG49=0,1,AJ49/ABS(AG49)),3)</f>
        <v>0.13600000000000001</v>
      </c>
    </row>
    <row r="50" spans="1:38" ht="15" customHeight="1">
      <c r="A50" s="21"/>
      <c r="B50" s="594" t="s">
        <v>924</v>
      </c>
      <c r="C50" s="21"/>
      <c r="D50" s="493">
        <f>'Exhibit G State'!D50+'Exhibit G Federal'!D26</f>
        <v>36.4</v>
      </c>
      <c r="E50" s="493"/>
      <c r="F50" s="493">
        <f>'Exhibit G State'!F50+'Exhibit G Federal'!F26</f>
        <v>31.6</v>
      </c>
      <c r="G50" s="493"/>
      <c r="H50" s="493">
        <f>'Exhibit G State'!H50+'Exhibit G Federal'!H26</f>
        <v>80.199999999999989</v>
      </c>
      <c r="J50" s="493">
        <f>'Exhibit G State'!J50+'Exhibit G Federal'!J26</f>
        <v>36.200000000000017</v>
      </c>
      <c r="L50" s="493">
        <f>'Exhibit G State'!L50+'Exhibit G Federal'!L26</f>
        <v>51.299999999999983</v>
      </c>
      <c r="N50" s="493">
        <f>'Exhibit G State'!N50+'Exhibit G Federal'!N26</f>
        <v>82.100000000000051</v>
      </c>
      <c r="P50" s="493"/>
      <c r="R50" s="493"/>
      <c r="S50" s="493"/>
      <c r="T50" s="493"/>
      <c r="U50" s="493"/>
      <c r="V50" s="493"/>
      <c r="W50" s="493"/>
      <c r="X50" s="493"/>
      <c r="Y50" s="493"/>
      <c r="Z50" s="493"/>
      <c r="AA50" s="493"/>
      <c r="AB50" s="36">
        <v>0</v>
      </c>
      <c r="AC50" s="37"/>
      <c r="AD50" s="36">
        <f t="shared" si="11"/>
        <v>317.8</v>
      </c>
      <c r="AE50" s="36"/>
      <c r="AF50" s="37"/>
      <c r="AG50" s="493">
        <f>'Exhibit G State'!AG50+'Exhibit G Federal'!AG26</f>
        <v>327.2</v>
      </c>
      <c r="AH50" s="195"/>
      <c r="AI50" s="36"/>
      <c r="AJ50" s="467">
        <f t="shared" ref="AJ50:AJ55" si="12">ROUND(SUM(+AD50-AG50),1)</f>
        <v>-9.4</v>
      </c>
      <c r="AK50" s="35"/>
      <c r="AL50" s="469">
        <f t="shared" ref="AL50:AL55" si="13">ROUND(IF(AG50=0,0,AJ50/ABS(AG50)),3)</f>
        <v>-2.9000000000000001E-2</v>
      </c>
    </row>
    <row r="51" spans="1:38" ht="15" customHeight="1">
      <c r="A51" s="21"/>
      <c r="B51" s="594" t="s">
        <v>925</v>
      </c>
      <c r="C51" s="21"/>
      <c r="D51" s="493">
        <f>'Exhibit G State'!D51+'Exhibit G Federal'!D27</f>
        <v>3.8</v>
      </c>
      <c r="E51" s="493"/>
      <c r="F51" s="493">
        <f>'Exhibit G State'!F51+'Exhibit G Federal'!F27</f>
        <v>4</v>
      </c>
      <c r="G51" s="493"/>
      <c r="H51" s="493">
        <f>'Exhibit G State'!H51+'Exhibit G Federal'!H27</f>
        <v>4.3000000000000007</v>
      </c>
      <c r="J51" s="493">
        <f>'Exhibit G State'!J51+'Exhibit G Federal'!J27</f>
        <v>3.5999999999999979</v>
      </c>
      <c r="L51" s="493">
        <f>'Exhibit G State'!L51+'Exhibit G Federal'!L27</f>
        <v>5.3000000000000007</v>
      </c>
      <c r="N51" s="493">
        <f>'Exhibit G State'!N51+'Exhibit G Federal'!N27</f>
        <v>5.1000000000000014</v>
      </c>
      <c r="P51" s="493"/>
      <c r="R51" s="493"/>
      <c r="S51" s="493"/>
      <c r="T51" s="493"/>
      <c r="U51" s="493"/>
      <c r="V51" s="493"/>
      <c r="W51" s="493"/>
      <c r="X51" s="493"/>
      <c r="Y51" s="493"/>
      <c r="Z51" s="493"/>
      <c r="AA51" s="493"/>
      <c r="AB51" s="36">
        <v>0</v>
      </c>
      <c r="AC51" s="37"/>
      <c r="AD51" s="36">
        <f t="shared" si="11"/>
        <v>26.1</v>
      </c>
      <c r="AE51" s="36"/>
      <c r="AF51" s="37"/>
      <c r="AG51" s="493">
        <f>'Exhibit G State'!AG51+'Exhibit G Federal'!AG27</f>
        <v>29.2</v>
      </c>
      <c r="AH51" s="195"/>
      <c r="AI51" s="36"/>
      <c r="AJ51" s="467">
        <f t="shared" si="12"/>
        <v>-3.1</v>
      </c>
      <c r="AK51" s="35"/>
      <c r="AL51" s="469">
        <f t="shared" si="13"/>
        <v>-0.106</v>
      </c>
    </row>
    <row r="52" spans="1:38" ht="15" customHeight="1">
      <c r="A52" s="21"/>
      <c r="B52" s="594" t="s">
        <v>926</v>
      </c>
      <c r="C52" s="21"/>
      <c r="D52" s="493">
        <f>'Exhibit G State'!D52+'Exhibit G Federal'!D28</f>
        <v>0.3</v>
      </c>
      <c r="E52" s="493"/>
      <c r="F52" s="493">
        <f>'Exhibit G State'!F52+'Exhibit G Federal'!F28</f>
        <v>0.39999999999999997</v>
      </c>
      <c r="G52" s="493"/>
      <c r="H52" s="493">
        <f>'Exhibit G State'!H52+'Exhibit G Federal'!H28</f>
        <v>0.3</v>
      </c>
      <c r="J52" s="493">
        <f>'Exhibit G State'!J52+'Exhibit G Federal'!J28</f>
        <v>0.39999999999999997</v>
      </c>
      <c r="L52" s="493">
        <f>'Exhibit G State'!L52+'Exhibit G Federal'!L28</f>
        <v>1.0000000000000002</v>
      </c>
      <c r="N52" s="493">
        <f>'Exhibit G State'!N52+'Exhibit G Federal'!N28</f>
        <v>0.7000000000000004</v>
      </c>
      <c r="P52" s="493"/>
      <c r="R52" s="493"/>
      <c r="S52" s="493"/>
      <c r="T52" s="493"/>
      <c r="U52" s="493"/>
      <c r="V52" s="493"/>
      <c r="W52" s="493"/>
      <c r="X52" s="493"/>
      <c r="Y52" s="493"/>
      <c r="Z52" s="493"/>
      <c r="AA52" s="493"/>
      <c r="AB52" s="36">
        <v>0</v>
      </c>
      <c r="AC52" s="37"/>
      <c r="AD52" s="36">
        <f>ROUND(SUM(D52:Z52),1)</f>
        <v>3.1</v>
      </c>
      <c r="AE52" s="36"/>
      <c r="AF52" s="37"/>
      <c r="AG52" s="493">
        <f>'Exhibit G State'!AG52+'Exhibit G Federal'!AG28</f>
        <v>2.9</v>
      </c>
      <c r="AH52" s="195"/>
      <c r="AI52" s="36"/>
      <c r="AJ52" s="467">
        <f t="shared" si="12"/>
        <v>0.2</v>
      </c>
      <c r="AK52" s="35"/>
      <c r="AL52" s="469">
        <f>ROUND(IF(AG52=0,1,AJ52/ABS(AG52)),3)</f>
        <v>6.9000000000000006E-2</v>
      </c>
    </row>
    <row r="53" spans="1:38" ht="15" customHeight="1">
      <c r="A53" s="21"/>
      <c r="B53" s="594" t="s">
        <v>927</v>
      </c>
      <c r="C53" s="21"/>
      <c r="D53" s="493">
        <f>'Exhibit G State'!D53+'Exhibit G Federal'!D29</f>
        <v>39.700000000000003</v>
      </c>
      <c r="E53" s="493"/>
      <c r="F53" s="493">
        <f>'Exhibit G State'!F53+'Exhibit G Federal'!F29</f>
        <v>38</v>
      </c>
      <c r="G53" s="493"/>
      <c r="H53" s="493">
        <f>'Exhibit G State'!H53+'Exhibit G Federal'!H29</f>
        <v>32</v>
      </c>
      <c r="J53" s="493">
        <f>'Exhibit G State'!J53+'Exhibit G Federal'!J29</f>
        <v>16.599999999999994</v>
      </c>
      <c r="L53" s="493">
        <f>'Exhibit G State'!L53+'Exhibit G Federal'!L29</f>
        <v>27.500000000000014</v>
      </c>
      <c r="N53" s="493">
        <f>'Exhibit G State'!N53+'Exhibit G Federal'!N29</f>
        <v>13.799999999999983</v>
      </c>
      <c r="P53" s="493"/>
      <c r="R53" s="493"/>
      <c r="S53" s="493"/>
      <c r="T53" s="493"/>
      <c r="U53" s="493"/>
      <c r="V53" s="493"/>
      <c r="W53" s="493"/>
      <c r="X53" s="493"/>
      <c r="Y53" s="493"/>
      <c r="Z53" s="493"/>
      <c r="AA53" s="493"/>
      <c r="AB53" s="36">
        <v>0</v>
      </c>
      <c r="AC53" s="37"/>
      <c r="AD53" s="36">
        <f t="shared" si="11"/>
        <v>167.6</v>
      </c>
      <c r="AE53" s="36"/>
      <c r="AF53" s="37"/>
      <c r="AG53" s="493">
        <f>'Exhibit G State'!AG53+'Exhibit G Federal'!AG29</f>
        <v>102.1</v>
      </c>
      <c r="AH53" s="195"/>
      <c r="AI53" s="36"/>
      <c r="AJ53" s="467">
        <f t="shared" si="12"/>
        <v>65.5</v>
      </c>
      <c r="AK53" s="35"/>
      <c r="AL53" s="469">
        <f t="shared" si="13"/>
        <v>0.64200000000000002</v>
      </c>
    </row>
    <row r="54" spans="1:38" ht="15" customHeight="1">
      <c r="A54" s="21"/>
      <c r="B54" s="594" t="s">
        <v>928</v>
      </c>
      <c r="C54" s="21"/>
      <c r="D54" s="493">
        <f>'Exhibit G State'!D54+'Exhibit G Federal'!D30</f>
        <v>72.8</v>
      </c>
      <c r="E54" s="493"/>
      <c r="F54" s="493">
        <f>'Exhibit G State'!F54+'Exhibit G Federal'!F30</f>
        <v>38.200000000000003</v>
      </c>
      <c r="G54" s="493"/>
      <c r="H54" s="493">
        <f>'Exhibit G State'!H54+'Exhibit G Federal'!H30</f>
        <v>57.400000000000006</v>
      </c>
      <c r="J54" s="493">
        <f>'Exhibit G State'!J54+'Exhibit G Federal'!J30</f>
        <v>68.299999999999969</v>
      </c>
      <c r="L54" s="493">
        <f>'Exhibit G State'!L54+'Exhibit G Federal'!L30</f>
        <v>137.5</v>
      </c>
      <c r="N54" s="493">
        <f>'Exhibit G State'!N54+'Exhibit G Federal'!N30</f>
        <v>158.60000000000002</v>
      </c>
      <c r="P54" s="493"/>
      <c r="R54" s="493"/>
      <c r="S54" s="493"/>
      <c r="T54" s="493"/>
      <c r="U54" s="493"/>
      <c r="V54" s="493"/>
      <c r="W54" s="493"/>
      <c r="X54" s="493"/>
      <c r="Y54" s="493"/>
      <c r="Z54" s="493"/>
      <c r="AA54" s="493"/>
      <c r="AB54" s="36">
        <v>0</v>
      </c>
      <c r="AC54" s="37"/>
      <c r="AD54" s="467">
        <f t="shared" si="11"/>
        <v>532.79999999999995</v>
      </c>
      <c r="AE54" s="36"/>
      <c r="AF54" s="37"/>
      <c r="AG54" s="493">
        <f>'Exhibit G State'!AG54+'Exhibit G Federal'!AG30</f>
        <v>525.6</v>
      </c>
      <c r="AH54" s="195"/>
      <c r="AI54" s="36"/>
      <c r="AJ54" s="467">
        <f t="shared" si="12"/>
        <v>7.2</v>
      </c>
      <c r="AK54" s="35"/>
      <c r="AL54" s="469">
        <f t="shared" si="13"/>
        <v>1.4E-2</v>
      </c>
    </row>
    <row r="55" spans="1:38" ht="15" customHeight="1">
      <c r="A55" s="21"/>
      <c r="B55" s="594" t="s">
        <v>887</v>
      </c>
      <c r="C55" s="21"/>
      <c r="D55" s="493">
        <f>'Exhibit G State'!D55+'Exhibit G Federal'!D31</f>
        <v>13</v>
      </c>
      <c r="E55" s="493"/>
      <c r="F55" s="493">
        <f>'Exhibit G State'!F55+'Exhibit G Federal'!F31</f>
        <v>10.399999999999999</v>
      </c>
      <c r="G55" s="493"/>
      <c r="H55" s="493">
        <f>'Exhibit G State'!H55+'Exhibit G Federal'!H31</f>
        <v>6.8999999999999986</v>
      </c>
      <c r="J55" s="493">
        <f>'Exhibit G State'!J55+'Exhibit G Federal'!J31</f>
        <v>10.100000000000005</v>
      </c>
      <c r="L55" s="493">
        <f>'Exhibit G State'!L55+'Exhibit G Federal'!L31</f>
        <v>12.500000000000004</v>
      </c>
      <c r="N55" s="493">
        <f>'Exhibit G State'!N55+'Exhibit G Federal'!N31</f>
        <v>7.2</v>
      </c>
      <c r="P55" s="493"/>
      <c r="R55" s="493"/>
      <c r="S55" s="493"/>
      <c r="T55" s="493"/>
      <c r="U55" s="493"/>
      <c r="V55" s="493"/>
      <c r="W55" s="493"/>
      <c r="X55" s="493"/>
      <c r="Y55" s="493"/>
      <c r="Z55" s="493"/>
      <c r="AA55" s="493"/>
      <c r="AB55" s="36">
        <v>0</v>
      </c>
      <c r="AC55" s="37"/>
      <c r="AD55" s="467">
        <f>ROUND(SUM(D55:Z55),1)</f>
        <v>60.1</v>
      </c>
      <c r="AE55" s="36"/>
      <c r="AF55" s="37"/>
      <c r="AG55" s="493">
        <f>'Exhibit G State'!AG55+'Exhibit G Federal'!AG31</f>
        <v>42.9</v>
      </c>
      <c r="AH55" s="195"/>
      <c r="AI55" s="36"/>
      <c r="AJ55" s="467">
        <f t="shared" si="12"/>
        <v>17.2</v>
      </c>
      <c r="AK55" s="35"/>
      <c r="AL55" s="971">
        <f t="shared" si="13"/>
        <v>0.40100000000000002</v>
      </c>
    </row>
    <row r="56" spans="1:38" ht="15" customHeight="1">
      <c r="A56" s="21"/>
      <c r="B56" s="594" t="s">
        <v>1002</v>
      </c>
      <c r="C56" s="21"/>
      <c r="D56" s="493"/>
      <c r="E56" s="493"/>
      <c r="F56" s="493"/>
      <c r="G56" s="493"/>
      <c r="H56" s="493"/>
      <c r="J56" s="493"/>
      <c r="L56" s="493"/>
      <c r="N56" s="493"/>
      <c r="P56" s="493"/>
      <c r="R56" s="493"/>
      <c r="S56" s="493"/>
      <c r="T56" s="493"/>
      <c r="U56" s="493"/>
      <c r="V56" s="493"/>
      <c r="W56" s="493"/>
      <c r="X56" s="493"/>
      <c r="Y56" s="493"/>
      <c r="Z56" s="493"/>
      <c r="AA56" s="493"/>
      <c r="AB56" s="36"/>
      <c r="AC56" s="37"/>
      <c r="AD56" s="467"/>
      <c r="AE56" s="36"/>
      <c r="AF56" s="37"/>
      <c r="AG56" s="493"/>
      <c r="AH56" s="195"/>
      <c r="AI56" s="36"/>
      <c r="AJ56" s="467"/>
      <c r="AK56" s="35"/>
      <c r="AL56" s="488"/>
    </row>
    <row r="57" spans="1:38" ht="15" customHeight="1">
      <c r="A57" s="21"/>
      <c r="B57" s="594" t="s">
        <v>929</v>
      </c>
      <c r="C57" s="21"/>
      <c r="D57" s="493">
        <f>'Exhibit G State'!D57</f>
        <v>41.6</v>
      </c>
      <c r="E57" s="493"/>
      <c r="F57" s="493">
        <f>'Exhibit G State'!F57</f>
        <v>15</v>
      </c>
      <c r="G57" s="493"/>
      <c r="H57" s="493">
        <f>'Exhibit G State'!H57</f>
        <v>45.4</v>
      </c>
      <c r="J57" s="493">
        <f>'Exhibit G State'!J57</f>
        <v>36.800000000000018</v>
      </c>
      <c r="L57" s="493">
        <f>'Exhibit G State'!L57</f>
        <v>17</v>
      </c>
      <c r="N57" s="493">
        <f>'Exhibit G State'!N57</f>
        <v>44.699999999999982</v>
      </c>
      <c r="P57" s="493"/>
      <c r="R57" s="493"/>
      <c r="S57" s="493"/>
      <c r="T57" s="493"/>
      <c r="U57" s="493"/>
      <c r="V57" s="493"/>
      <c r="W57" s="493"/>
      <c r="X57" s="493"/>
      <c r="Y57" s="493"/>
      <c r="Z57" s="493"/>
      <c r="AA57" s="493"/>
      <c r="AB57" s="36">
        <v>0</v>
      </c>
      <c r="AC57" s="37"/>
      <c r="AD57" s="467">
        <f t="shared" si="11"/>
        <v>200.5</v>
      </c>
      <c r="AE57" s="36"/>
      <c r="AF57" s="37"/>
      <c r="AG57" s="493">
        <f>'Exhibit G State'!AG57</f>
        <v>188.9</v>
      </c>
      <c r="AH57" s="195"/>
      <c r="AI57" s="36"/>
      <c r="AJ57" s="467">
        <f t="shared" ref="AJ57:AJ62" si="14">ROUND(SUM(+AD57-AG57),1)</f>
        <v>11.6</v>
      </c>
      <c r="AK57" s="35"/>
      <c r="AL57" s="971">
        <f>ROUND(IF(AG57=0,1,AJ57/ABS(AG57)),3)</f>
        <v>6.0999999999999999E-2</v>
      </c>
    </row>
    <row r="58" spans="1:38" ht="15" customHeight="1">
      <c r="A58" s="21"/>
      <c r="B58" s="594" t="s">
        <v>1415</v>
      </c>
      <c r="C58" s="21"/>
      <c r="D58" s="493">
        <f>'Exhibit G State'!D58</f>
        <v>185</v>
      </c>
      <c r="E58" s="493"/>
      <c r="F58" s="493">
        <f>'Exhibit G State'!F58</f>
        <v>223.7</v>
      </c>
      <c r="G58" s="493"/>
      <c r="H58" s="493">
        <f>'Exhibit G State'!H58</f>
        <v>184.09999999999997</v>
      </c>
      <c r="J58" s="493">
        <f>'Exhibit G State'!J58</f>
        <v>213.10000000000002</v>
      </c>
      <c r="L58" s="493">
        <f>'Exhibit G State'!L58</f>
        <v>255.09999999999997</v>
      </c>
      <c r="N58" s="493">
        <f>'Exhibit G State'!N58</f>
        <v>181.59999999999997</v>
      </c>
      <c r="P58" s="493"/>
      <c r="R58" s="493"/>
      <c r="S58" s="493"/>
      <c r="T58" s="493"/>
      <c r="U58" s="493"/>
      <c r="V58" s="493"/>
      <c r="W58" s="493"/>
      <c r="X58" s="493"/>
      <c r="Y58" s="493"/>
      <c r="Z58" s="493"/>
      <c r="AA58" s="493"/>
      <c r="AB58" s="36">
        <v>0</v>
      </c>
      <c r="AC58" s="37"/>
      <c r="AD58" s="467">
        <f t="shared" si="11"/>
        <v>1242.5999999999999</v>
      </c>
      <c r="AE58" s="36"/>
      <c r="AF58" s="37"/>
      <c r="AG58" s="493">
        <f>'Exhibit G State'!AG58</f>
        <v>1225.5999999999999</v>
      </c>
      <c r="AH58" s="195"/>
      <c r="AI58" s="36"/>
      <c r="AJ58" s="467">
        <f t="shared" si="14"/>
        <v>17</v>
      </c>
      <c r="AK58" s="35"/>
      <c r="AL58" s="469">
        <f>ROUND(IF(AG58=0,0,AJ58/ABS(AG58)),3)</f>
        <v>1.4E-2</v>
      </c>
    </row>
    <row r="59" spans="1:38" ht="15" customHeight="1">
      <c r="A59" s="21"/>
      <c r="B59" s="594" t="s">
        <v>1416</v>
      </c>
      <c r="C59" s="21"/>
      <c r="D59" s="493">
        <f>'Exhibit G State'!D59</f>
        <v>54.1</v>
      </c>
      <c r="E59" s="493"/>
      <c r="F59" s="493">
        <f>'Exhibit G State'!F59</f>
        <v>90.4</v>
      </c>
      <c r="G59" s="493"/>
      <c r="H59" s="493">
        <f>'Exhibit G State'!H59</f>
        <v>47.5</v>
      </c>
      <c r="J59" s="493">
        <f>'Exhibit G State'!J59</f>
        <v>53.400000000000006</v>
      </c>
      <c r="L59" s="493">
        <f>'Exhibit G State'!L59</f>
        <v>59.599999999999994</v>
      </c>
      <c r="N59" s="493">
        <f>'Exhibit G State'!N59</f>
        <v>66.899999999999949</v>
      </c>
      <c r="P59" s="493"/>
      <c r="R59" s="493"/>
      <c r="S59" s="493"/>
      <c r="T59" s="493"/>
      <c r="U59" s="493"/>
      <c r="V59" s="493"/>
      <c r="W59" s="493"/>
      <c r="X59" s="493"/>
      <c r="Y59" s="493"/>
      <c r="Z59" s="493"/>
      <c r="AA59" s="493"/>
      <c r="AB59" s="36">
        <v>0</v>
      </c>
      <c r="AC59" s="37"/>
      <c r="AD59" s="467">
        <f t="shared" si="11"/>
        <v>371.9</v>
      </c>
      <c r="AE59" s="36"/>
      <c r="AF59" s="37"/>
      <c r="AG59" s="493">
        <f>'Exhibit G State'!AG59</f>
        <v>285.39999999999998</v>
      </c>
      <c r="AH59" s="195"/>
      <c r="AI59" s="36"/>
      <c r="AJ59" s="467">
        <f t="shared" si="14"/>
        <v>86.5</v>
      </c>
      <c r="AK59" s="35"/>
      <c r="AL59" s="469">
        <f>ROUND(IF(AG59=0,1,AJ59/ABS(AG59)),3)</f>
        <v>0.30299999999999999</v>
      </c>
    </row>
    <row r="60" spans="1:38" ht="15" customHeight="1">
      <c r="A60" s="21"/>
      <c r="B60" s="594" t="s">
        <v>930</v>
      </c>
      <c r="C60" s="21"/>
      <c r="D60" s="493">
        <f>'Exhibit G State'!D60</f>
        <v>76.2</v>
      </c>
      <c r="E60" s="493"/>
      <c r="F60" s="493">
        <f>'Exhibit G State'!F60</f>
        <v>74.499999999999986</v>
      </c>
      <c r="G60" s="493"/>
      <c r="H60" s="493">
        <f>'Exhibit G State'!H60</f>
        <v>96.899999999999991</v>
      </c>
      <c r="J60" s="493">
        <f>'Exhibit G State'!J60</f>
        <v>84.700000000000031</v>
      </c>
      <c r="L60" s="493">
        <f>'Exhibit G State'!L60</f>
        <v>103.2</v>
      </c>
      <c r="N60" s="493">
        <f>'Exhibit G State'!N60</f>
        <v>81.200000000000031</v>
      </c>
      <c r="P60" s="493"/>
      <c r="R60" s="493"/>
      <c r="S60" s="493"/>
      <c r="T60" s="493"/>
      <c r="U60" s="493"/>
      <c r="V60" s="493"/>
      <c r="W60" s="493"/>
      <c r="X60" s="493"/>
      <c r="Y60" s="493"/>
      <c r="Z60" s="493"/>
      <c r="AA60" s="493"/>
      <c r="AB60" s="36">
        <v>0</v>
      </c>
      <c r="AC60" s="37"/>
      <c r="AD60" s="467">
        <f t="shared" si="11"/>
        <v>516.70000000000005</v>
      </c>
      <c r="AE60" s="36"/>
      <c r="AF60" s="37"/>
      <c r="AG60" s="493">
        <f>'Exhibit G State'!AG60</f>
        <v>491.1</v>
      </c>
      <c r="AH60" s="195"/>
      <c r="AI60" s="36"/>
      <c r="AJ60" s="467">
        <f t="shared" si="14"/>
        <v>25.6</v>
      </c>
      <c r="AK60" s="35"/>
      <c r="AL60" s="971">
        <f>ROUND(IF(AG60=0,1,AJ60/ABS(AG60)),3)</f>
        <v>5.1999999999999998E-2</v>
      </c>
    </row>
    <row r="61" spans="1:38" ht="15" customHeight="1">
      <c r="A61" s="21"/>
      <c r="B61" s="594" t="s">
        <v>888</v>
      </c>
      <c r="C61" s="21"/>
      <c r="D61" s="493">
        <f>'Exhibit G State'!D61+'Exhibit G Federal'!D32</f>
        <v>125</v>
      </c>
      <c r="E61" s="493"/>
      <c r="F61" s="493">
        <f>'Exhibit G State'!F61+'Exhibit G Federal'!F32</f>
        <v>123.79999999999998</v>
      </c>
      <c r="G61" s="493"/>
      <c r="H61" s="493">
        <f>'Exhibit G State'!H61+'Exhibit G Federal'!H32</f>
        <v>136.5</v>
      </c>
      <c r="J61" s="493">
        <f>'Exhibit G State'!J61+'Exhibit G Federal'!J32</f>
        <v>133.80000000000001</v>
      </c>
      <c r="L61" s="493">
        <f>'Exhibit G State'!L61+'Exhibit G Federal'!L32</f>
        <v>147.60000000000008</v>
      </c>
      <c r="N61" s="493">
        <f>'Exhibit G State'!N61+'Exhibit G Federal'!N32</f>
        <v>148.39999999999992</v>
      </c>
      <c r="P61" s="493"/>
      <c r="R61" s="493"/>
      <c r="S61" s="493"/>
      <c r="T61" s="493"/>
      <c r="U61" s="493"/>
      <c r="V61" s="493"/>
      <c r="W61" s="493"/>
      <c r="X61" s="493"/>
      <c r="Y61" s="493"/>
      <c r="Z61" s="493"/>
      <c r="AA61" s="493"/>
      <c r="AB61" s="36">
        <v>0</v>
      </c>
      <c r="AC61" s="37"/>
      <c r="AD61" s="467">
        <f>ROUND(SUM(D61:Z61),1)</f>
        <v>815.1</v>
      </c>
      <c r="AE61" s="36"/>
      <c r="AF61" s="37"/>
      <c r="AG61" s="493">
        <f>'Exhibit G State'!AG61+'Exhibit G Federal'!AG32</f>
        <v>150.10000000000002</v>
      </c>
      <c r="AH61" s="195"/>
      <c r="AI61" s="36"/>
      <c r="AJ61" s="467">
        <f t="shared" si="14"/>
        <v>665</v>
      </c>
      <c r="AK61" s="35"/>
      <c r="AL61" s="971">
        <f>ROUND(IF(AG61=0,0,AJ61/ABS(AG61)),3)</f>
        <v>4.43</v>
      </c>
    </row>
    <row r="62" spans="1:38" ht="15" customHeight="1">
      <c r="A62" s="21"/>
      <c r="B62" s="594" t="s">
        <v>905</v>
      </c>
      <c r="C62" s="21"/>
      <c r="D62" s="493">
        <f>'Exhibit G State'!D62+'Exhibit G Federal'!D33</f>
        <v>6.8</v>
      </c>
      <c r="E62" s="493"/>
      <c r="F62" s="493">
        <f>'Exhibit G State'!F62+'Exhibit G Federal'!F33</f>
        <v>1.6000000000000005</v>
      </c>
      <c r="G62" s="493"/>
      <c r="H62" s="493">
        <f>'Exhibit G State'!H62+'Exhibit G Federal'!H33</f>
        <v>7.0000000000000009</v>
      </c>
      <c r="J62" s="493">
        <f>'Exhibit G State'!J62+'Exhibit G Federal'!J33</f>
        <v>2.9999999999999956</v>
      </c>
      <c r="L62" s="493">
        <f>'Exhibit G State'!L62+'Exhibit G Federal'!L33</f>
        <v>1.4000000000000021</v>
      </c>
      <c r="N62" s="493">
        <f>'Exhibit G State'!N62+'Exhibit G Federal'!N33</f>
        <v>80</v>
      </c>
      <c r="P62" s="493"/>
      <c r="R62" s="493"/>
      <c r="S62" s="493"/>
      <c r="T62" s="493"/>
      <c r="U62" s="493"/>
      <c r="V62" s="493"/>
      <c r="W62" s="493"/>
      <c r="X62" s="493"/>
      <c r="Y62" s="493"/>
      <c r="Z62" s="493"/>
      <c r="AA62" s="493"/>
      <c r="AB62" s="36">
        <v>0</v>
      </c>
      <c r="AC62" s="37"/>
      <c r="AD62" s="467">
        <f>ROUND(SUM(D62:Z62),1)</f>
        <v>99.8</v>
      </c>
      <c r="AE62" s="36"/>
      <c r="AF62" s="37"/>
      <c r="AG62" s="493">
        <f>'Exhibit G State'!AG62+'Exhibit G Federal'!AG33</f>
        <v>98.8</v>
      </c>
      <c r="AH62" s="195"/>
      <c r="AI62" s="36"/>
      <c r="AJ62" s="467">
        <f t="shared" si="14"/>
        <v>1</v>
      </c>
      <c r="AK62" s="35"/>
      <c r="AL62" s="469">
        <f>ROUND(IF(AG62=0,0,AJ62/ABS(AG62)),3)</f>
        <v>0.01</v>
      </c>
    </row>
    <row r="63" spans="1:38" ht="15" customHeight="1">
      <c r="A63" s="21"/>
      <c r="B63" s="594" t="s">
        <v>1003</v>
      </c>
      <c r="C63" s="21"/>
      <c r="D63" s="493"/>
      <c r="E63" s="493"/>
      <c r="F63" s="493"/>
      <c r="G63" s="493"/>
      <c r="H63" s="493"/>
      <c r="J63" s="493"/>
      <c r="L63" s="493"/>
      <c r="N63" s="493"/>
      <c r="P63" s="493"/>
      <c r="R63" s="493"/>
      <c r="S63" s="493"/>
      <c r="T63" s="493"/>
      <c r="U63" s="493"/>
      <c r="V63" s="493"/>
      <c r="W63" s="493"/>
      <c r="X63" s="493"/>
      <c r="Y63" s="493"/>
      <c r="Z63" s="493"/>
      <c r="AA63" s="493"/>
      <c r="AB63" s="36"/>
      <c r="AC63" s="37"/>
      <c r="AD63" s="467"/>
      <c r="AE63" s="36"/>
      <c r="AF63" s="37"/>
      <c r="AG63" s="493"/>
      <c r="AH63" s="195"/>
      <c r="AI63" s="36"/>
      <c r="AJ63" s="467"/>
      <c r="AK63" s="35"/>
      <c r="AL63" s="488"/>
    </row>
    <row r="64" spans="1:38" ht="15" customHeight="1">
      <c r="A64" s="21"/>
      <c r="B64" s="594" t="s">
        <v>931</v>
      </c>
      <c r="C64" s="21"/>
      <c r="D64" s="493">
        <f>'Exhibit G State'!D64+'Exhibit G Federal'!D35</f>
        <v>0</v>
      </c>
      <c r="E64" s="493"/>
      <c r="F64" s="493">
        <f>'Exhibit G State'!F64+'Exhibit G Federal'!F35</f>
        <v>0</v>
      </c>
      <c r="G64" s="493"/>
      <c r="H64" s="493">
        <f>'Exhibit G State'!H64+'Exhibit G Federal'!H35</f>
        <v>0</v>
      </c>
      <c r="J64" s="493">
        <f>'Exhibit G State'!J64+'Exhibit G Federal'!J35</f>
        <v>0</v>
      </c>
      <c r="L64" s="493">
        <f>'Exhibit G State'!L64+'Exhibit G Federal'!L35</f>
        <v>0</v>
      </c>
      <c r="N64" s="493">
        <f>'Exhibit G State'!N64+'Exhibit G Federal'!N35</f>
        <v>0</v>
      </c>
      <c r="P64" s="493"/>
      <c r="R64" s="493"/>
      <c r="S64" s="493"/>
      <c r="T64" s="493"/>
      <c r="U64" s="493"/>
      <c r="V64" s="493"/>
      <c r="W64" s="493"/>
      <c r="X64" s="493"/>
      <c r="Y64" s="493"/>
      <c r="Z64" s="493"/>
      <c r="AA64" s="493"/>
      <c r="AB64" s="36">
        <v>0</v>
      </c>
      <c r="AC64" s="37"/>
      <c r="AD64" s="467">
        <f t="shared" si="11"/>
        <v>0</v>
      </c>
      <c r="AE64" s="36"/>
      <c r="AF64" s="37"/>
      <c r="AG64" s="493">
        <f>'Exhibit G State'!AG64+'Exhibit G Federal'!AG35</f>
        <v>0</v>
      </c>
      <c r="AH64" s="195"/>
      <c r="AI64" s="36"/>
      <c r="AJ64" s="467">
        <f t="shared" ref="AJ64:AJ68" si="15">ROUND(SUM(+AD64-AG64),1)</f>
        <v>0</v>
      </c>
      <c r="AK64" s="35"/>
      <c r="AL64" s="469">
        <f>ROUND(IF(AG64=0,0,AJ64/ABS(AG64)),3)</f>
        <v>0</v>
      </c>
    </row>
    <row r="65" spans="1:38" ht="15" customHeight="1">
      <c r="A65" s="21"/>
      <c r="B65" s="594" t="s">
        <v>932</v>
      </c>
      <c r="C65" s="21"/>
      <c r="D65" s="493">
        <f>'Exhibit G State'!D65+'Exhibit G Federal'!D36</f>
        <v>0.4</v>
      </c>
      <c r="E65" s="493"/>
      <c r="F65" s="493">
        <f>'Exhibit G State'!F65+'Exhibit G Federal'!F36</f>
        <v>0</v>
      </c>
      <c r="G65" s="493"/>
      <c r="H65" s="493">
        <f>'Exhibit G State'!H65+'Exhibit G Federal'!H36</f>
        <v>0</v>
      </c>
      <c r="J65" s="493">
        <f>'Exhibit G State'!J65+'Exhibit G Federal'!J36</f>
        <v>0</v>
      </c>
      <c r="L65" s="493">
        <f>'Exhibit G State'!L65+'Exhibit G Federal'!L36</f>
        <v>0</v>
      </c>
      <c r="N65" s="493">
        <f>'Exhibit G State'!N65+'Exhibit G Federal'!N36</f>
        <v>0</v>
      </c>
      <c r="P65" s="493"/>
      <c r="R65" s="493"/>
      <c r="S65" s="493"/>
      <c r="T65" s="493"/>
      <c r="U65" s="493"/>
      <c r="V65" s="493"/>
      <c r="W65" s="493"/>
      <c r="X65" s="493"/>
      <c r="Y65" s="493"/>
      <c r="Z65" s="493"/>
      <c r="AA65" s="493"/>
      <c r="AB65" s="36">
        <v>0</v>
      </c>
      <c r="AC65" s="37"/>
      <c r="AD65" s="467">
        <f t="shared" si="11"/>
        <v>0.4</v>
      </c>
      <c r="AE65" s="36"/>
      <c r="AF65" s="37"/>
      <c r="AG65" s="493">
        <f>'Exhibit G State'!AG65+'Exhibit G Federal'!AG36</f>
        <v>20.399999999999999</v>
      </c>
      <c r="AH65" s="195"/>
      <c r="AI65" s="36"/>
      <c r="AJ65" s="467">
        <f t="shared" si="15"/>
        <v>-20</v>
      </c>
      <c r="AK65" s="35"/>
      <c r="AL65" s="469">
        <f>ROUND(IF(AG65=0,1,AJ65/ABS(AG65)),3)</f>
        <v>-0.98</v>
      </c>
    </row>
    <row r="66" spans="1:38" ht="15" customHeight="1">
      <c r="A66" s="21"/>
      <c r="B66" s="594" t="s">
        <v>933</v>
      </c>
      <c r="C66" s="21"/>
      <c r="D66" s="493">
        <f>'Exhibit G State'!D66+'Exhibit G Federal'!D37</f>
        <v>0.3</v>
      </c>
      <c r="E66" s="493"/>
      <c r="F66" s="493">
        <f>'Exhibit G State'!F66+'Exhibit G Federal'!F37</f>
        <v>0</v>
      </c>
      <c r="G66" s="493"/>
      <c r="H66" s="493">
        <f>'Exhibit G State'!H66+'Exhibit G Federal'!H37</f>
        <v>2.4000000000000004</v>
      </c>
      <c r="J66" s="493">
        <f>'Exhibit G State'!J66+'Exhibit G Federal'!J37</f>
        <v>3.5</v>
      </c>
      <c r="L66" s="493">
        <f>'Exhibit G State'!L66+'Exhibit G Federal'!L37</f>
        <v>0</v>
      </c>
      <c r="N66" s="493">
        <f>'Exhibit G State'!N66+'Exhibit G Federal'!N37</f>
        <v>0</v>
      </c>
      <c r="P66" s="493"/>
      <c r="R66" s="493"/>
      <c r="S66" s="493"/>
      <c r="T66" s="493"/>
      <c r="U66" s="493"/>
      <c r="V66" s="493"/>
      <c r="W66" s="493"/>
      <c r="X66" s="493"/>
      <c r="Y66" s="493"/>
      <c r="Z66" s="493"/>
      <c r="AA66" s="493"/>
      <c r="AB66" s="36">
        <v>0</v>
      </c>
      <c r="AC66" s="37"/>
      <c r="AD66" s="467">
        <f t="shared" si="11"/>
        <v>6.2</v>
      </c>
      <c r="AE66" s="36"/>
      <c r="AF66" s="37"/>
      <c r="AG66" s="493">
        <f>'Exhibit G State'!AG66+'Exhibit G Federal'!AG37</f>
        <v>7.2</v>
      </c>
      <c r="AH66" s="195"/>
      <c r="AI66" s="36"/>
      <c r="AJ66" s="467">
        <f t="shared" si="15"/>
        <v>-1</v>
      </c>
      <c r="AK66" s="35"/>
      <c r="AL66" s="971">
        <f t="shared" ref="AL66:AL68" si="16">ROUND(IF(AG66=0,0,AJ66/ABS(AG66)),3)</f>
        <v>-0.13900000000000001</v>
      </c>
    </row>
    <row r="67" spans="1:38" ht="15" customHeight="1">
      <c r="A67" s="21"/>
      <c r="B67" s="594" t="s">
        <v>934</v>
      </c>
      <c r="C67" s="21"/>
      <c r="D67" s="493">
        <f>'Exhibit G State'!D67+'Exhibit G Federal'!D38</f>
        <v>4.9000000000000004</v>
      </c>
      <c r="E67" s="493"/>
      <c r="F67" s="493">
        <f>'Exhibit G State'!F67+'Exhibit G Federal'!F38</f>
        <v>9.9999999999999645E-2</v>
      </c>
      <c r="G67" s="493"/>
      <c r="H67" s="493">
        <f>'Exhibit G State'!H67+'Exhibit G Federal'!H38</f>
        <v>10.8</v>
      </c>
      <c r="J67" s="493">
        <f>'Exhibit G State'!J67+'Exhibit G Federal'!J38</f>
        <v>4.6999999999999993</v>
      </c>
      <c r="L67" s="493">
        <f>'Exhibit G State'!L67+'Exhibit G Federal'!L38</f>
        <v>5.6000000000000014</v>
      </c>
      <c r="N67" s="493">
        <f>'Exhibit G State'!N67+'Exhibit G Federal'!N38</f>
        <v>4.5</v>
      </c>
      <c r="P67" s="493"/>
      <c r="R67" s="493"/>
      <c r="S67" s="493"/>
      <c r="T67" s="493"/>
      <c r="U67" s="493"/>
      <c r="V67" s="493"/>
      <c r="W67" s="493"/>
      <c r="X67" s="493"/>
      <c r="Y67" s="493"/>
      <c r="Z67" s="493"/>
      <c r="AA67" s="493"/>
      <c r="AB67" s="36">
        <v>0</v>
      </c>
      <c r="AC67" s="37"/>
      <c r="AD67" s="467">
        <f t="shared" si="11"/>
        <v>30.6</v>
      </c>
      <c r="AE67" s="36"/>
      <c r="AF67" s="37"/>
      <c r="AG67" s="493">
        <f>'Exhibit G State'!AG67+'Exhibit G Federal'!AG38</f>
        <v>30.200000000000003</v>
      </c>
      <c r="AH67" s="195"/>
      <c r="AI67" s="36"/>
      <c r="AJ67" s="467">
        <f t="shared" si="15"/>
        <v>0.4</v>
      </c>
      <c r="AK67" s="35"/>
      <c r="AL67" s="971">
        <f t="shared" si="16"/>
        <v>1.2999999999999999E-2</v>
      </c>
    </row>
    <row r="68" spans="1:38" ht="15" customHeight="1">
      <c r="A68" s="21"/>
      <c r="B68" s="594" t="s">
        <v>906</v>
      </c>
      <c r="C68" s="21"/>
      <c r="D68" s="493">
        <f>'Exhibit G State'!D68+'Exhibit G Federal'!D39</f>
        <v>27.2</v>
      </c>
      <c r="E68" s="493"/>
      <c r="F68" s="493">
        <f>'Exhibit G State'!F68+'Exhibit G Federal'!F39</f>
        <v>15.900000000000002</v>
      </c>
      <c r="G68" s="493"/>
      <c r="H68" s="493">
        <f>'Exhibit G State'!H68+'Exhibit G Federal'!H39</f>
        <v>2.1000000000000014</v>
      </c>
      <c r="J68" s="493">
        <f>'Exhibit G State'!J68+'Exhibit G Federal'!J39</f>
        <v>0.69999999999999574</v>
      </c>
      <c r="L68" s="493">
        <f>'Exhibit G State'!L68+'Exhibit G Federal'!L39</f>
        <v>10</v>
      </c>
      <c r="N68" s="493">
        <f>'Exhibit G State'!N68+'Exhibit G Federal'!N39</f>
        <v>-1.5</v>
      </c>
      <c r="P68" s="493"/>
      <c r="R68" s="493"/>
      <c r="S68" s="493"/>
      <c r="T68" s="493"/>
      <c r="U68" s="493"/>
      <c r="V68" s="493"/>
      <c r="W68" s="493"/>
      <c r="X68" s="493"/>
      <c r="Y68" s="493"/>
      <c r="Z68" s="493"/>
      <c r="AA68" s="493"/>
      <c r="AB68" s="36">
        <v>0</v>
      </c>
      <c r="AC68" s="37"/>
      <c r="AD68" s="467">
        <f t="shared" si="11"/>
        <v>54.4</v>
      </c>
      <c r="AE68" s="36"/>
      <c r="AF68" s="37"/>
      <c r="AG68" s="493">
        <f>'Exhibit G State'!AG68+'Exhibit G Federal'!AG39</f>
        <v>85.1</v>
      </c>
      <c r="AH68" s="195"/>
      <c r="AI68" s="36"/>
      <c r="AJ68" s="467">
        <f t="shared" si="15"/>
        <v>-30.7</v>
      </c>
      <c r="AK68" s="35"/>
      <c r="AL68" s="971">
        <f t="shared" si="16"/>
        <v>-0.36099999999999999</v>
      </c>
    </row>
    <row r="69" spans="1:38" ht="15" customHeight="1">
      <c r="A69" s="21"/>
      <c r="B69" s="594" t="s">
        <v>1004</v>
      </c>
      <c r="C69" s="21"/>
      <c r="D69" s="493"/>
      <c r="E69" s="493"/>
      <c r="F69" s="493"/>
      <c r="G69" s="493"/>
      <c r="H69" s="493"/>
      <c r="J69" s="493"/>
      <c r="L69" s="493"/>
      <c r="N69" s="493"/>
      <c r="P69" s="493"/>
      <c r="R69" s="493"/>
      <c r="S69" s="493"/>
      <c r="T69" s="493"/>
      <c r="U69" s="493"/>
      <c r="V69" s="493"/>
      <c r="W69" s="493"/>
      <c r="X69" s="493"/>
      <c r="Y69" s="493"/>
      <c r="Z69" s="493"/>
      <c r="AA69" s="493"/>
      <c r="AB69" s="36"/>
      <c r="AC69" s="37"/>
      <c r="AD69" s="467"/>
      <c r="AE69" s="36"/>
      <c r="AF69" s="37"/>
      <c r="AG69" s="493"/>
      <c r="AH69" s="195"/>
      <c r="AI69" s="36"/>
      <c r="AJ69" s="467"/>
      <c r="AK69" s="35"/>
      <c r="AL69" s="488"/>
    </row>
    <row r="70" spans="1:38" ht="15" customHeight="1">
      <c r="A70" s="21"/>
      <c r="B70" s="594" t="s">
        <v>935</v>
      </c>
      <c r="C70" s="21"/>
      <c r="D70" s="493">
        <f>'Exhibit G State'!D70+'Exhibit G Federal'!D41</f>
        <v>8.1</v>
      </c>
      <c r="E70" s="493"/>
      <c r="F70" s="493">
        <f>'Exhibit G State'!F70+'Exhibit G Federal'!F41</f>
        <v>26.199999999999996</v>
      </c>
      <c r="G70" s="493"/>
      <c r="H70" s="493">
        <f>'Exhibit G State'!H70+'Exhibit G Federal'!H41</f>
        <v>8.2000000000000028</v>
      </c>
      <c r="J70" s="493">
        <f>'Exhibit G State'!J70+'Exhibit G Federal'!J41</f>
        <v>24.5</v>
      </c>
      <c r="L70" s="493">
        <f>'Exhibit G State'!L70+'Exhibit G Federal'!L41</f>
        <v>9.6000000000000014</v>
      </c>
      <c r="N70" s="493">
        <f>'Exhibit G State'!N70+'Exhibit G Federal'!N41</f>
        <v>8.4000000000000057</v>
      </c>
      <c r="P70" s="493"/>
      <c r="R70" s="493"/>
      <c r="S70" s="493"/>
      <c r="T70" s="493"/>
      <c r="U70" s="493"/>
      <c r="V70" s="493"/>
      <c r="W70" s="493"/>
      <c r="X70" s="493"/>
      <c r="Y70" s="493"/>
      <c r="Z70" s="493"/>
      <c r="AA70" s="493"/>
      <c r="AB70" s="36">
        <v>0</v>
      </c>
      <c r="AC70" s="37"/>
      <c r="AD70" s="467">
        <f t="shared" si="11"/>
        <v>85</v>
      </c>
      <c r="AE70" s="36"/>
      <c r="AF70" s="37"/>
      <c r="AG70" s="493">
        <f>'Exhibit G State'!AG70+'Exhibit G Federal'!AG41</f>
        <v>90.4</v>
      </c>
      <c r="AH70" s="195"/>
      <c r="AI70" s="36"/>
      <c r="AJ70" s="467">
        <f t="shared" ref="AJ70:AJ81" si="17">ROUND(SUM(+AD70-AG70),1)</f>
        <v>-5.4</v>
      </c>
      <c r="AK70" s="35"/>
      <c r="AL70" s="971">
        <f>ROUND(IF(AG70=0,0,AJ70/ABS(AG70)),3)</f>
        <v>-0.06</v>
      </c>
    </row>
    <row r="71" spans="1:38" ht="15" customHeight="1">
      <c r="A71" s="21"/>
      <c r="B71" s="594" t="s">
        <v>936</v>
      </c>
      <c r="C71" s="21"/>
      <c r="D71" s="493">
        <f>'Exhibit G State'!D71+'Exhibit G Federal'!D42</f>
        <v>0</v>
      </c>
      <c r="E71" s="493"/>
      <c r="F71" s="493">
        <f>'Exhibit G State'!F71+'Exhibit G Federal'!F42</f>
        <v>0.19999999999999574</v>
      </c>
      <c r="G71" s="493"/>
      <c r="H71" s="493">
        <f>'Exhibit G State'!H71+'Exhibit G Federal'!H42</f>
        <v>0.10000000000000142</v>
      </c>
      <c r="J71" s="493">
        <f>'Exhibit G State'!J71+'Exhibit G Federal'!J42</f>
        <v>0</v>
      </c>
      <c r="L71" s="493">
        <f>'Exhibit G State'!L71+'Exhibit G Federal'!L42</f>
        <v>0.39999999999999147</v>
      </c>
      <c r="N71" s="493">
        <f>'Exhibit G State'!N71+'Exhibit G Federal'!N42</f>
        <v>0</v>
      </c>
      <c r="P71" s="493"/>
      <c r="R71" s="493"/>
      <c r="S71" s="493"/>
      <c r="T71" s="493"/>
      <c r="U71" s="493"/>
      <c r="V71" s="493"/>
      <c r="W71" s="493"/>
      <c r="X71" s="493"/>
      <c r="Y71" s="493"/>
      <c r="Z71" s="493"/>
      <c r="AA71" s="493"/>
      <c r="AB71" s="36">
        <v>0</v>
      </c>
      <c r="AC71" s="37"/>
      <c r="AD71" s="467">
        <f t="shared" si="11"/>
        <v>0.7</v>
      </c>
      <c r="AE71" s="36"/>
      <c r="AF71" s="37"/>
      <c r="AG71" s="493">
        <f>'Exhibit G State'!AG71+'Exhibit G Federal'!AG42</f>
        <v>7.1999999999999886</v>
      </c>
      <c r="AH71" s="195"/>
      <c r="AI71" s="36"/>
      <c r="AJ71" s="467">
        <f t="shared" si="17"/>
        <v>-6.5</v>
      </c>
      <c r="AK71" s="35"/>
      <c r="AL71" s="971">
        <f>ROUND(IF(AG71=0,1,AJ71/ABS(AG71)),3)</f>
        <v>-0.90300000000000002</v>
      </c>
    </row>
    <row r="72" spans="1:38" ht="15" customHeight="1">
      <c r="A72" s="21"/>
      <c r="B72" s="594" t="s">
        <v>1188</v>
      </c>
      <c r="C72" s="21"/>
      <c r="D72" s="493">
        <f>'Exhibit G State'!D72</f>
        <v>0</v>
      </c>
      <c r="E72" s="493"/>
      <c r="F72" s="493">
        <f>'Exhibit G State'!F72</f>
        <v>0</v>
      </c>
      <c r="G72" s="493"/>
      <c r="H72" s="493">
        <f>'Exhibit G State'!H72</f>
        <v>0</v>
      </c>
      <c r="I72" s="947"/>
      <c r="J72" s="493">
        <f>'Exhibit G State'!J72</f>
        <v>0</v>
      </c>
      <c r="K72" s="947"/>
      <c r="L72" s="493">
        <f>'Exhibit G State'!L72</f>
        <v>0</v>
      </c>
      <c r="M72" s="947"/>
      <c r="N72" s="493">
        <f>'Exhibit G State'!N72</f>
        <v>0</v>
      </c>
      <c r="O72" s="947"/>
      <c r="P72" s="493"/>
      <c r="Q72" s="947"/>
      <c r="R72" s="493"/>
      <c r="S72" s="493"/>
      <c r="T72" s="493"/>
      <c r="U72" s="493"/>
      <c r="V72" s="493"/>
      <c r="W72" s="493"/>
      <c r="X72" s="493"/>
      <c r="Y72" s="493"/>
      <c r="Z72" s="493"/>
      <c r="AA72" s="493"/>
      <c r="AB72" s="36">
        <v>0</v>
      </c>
      <c r="AC72" s="37"/>
      <c r="AD72" s="467">
        <f>ROUND(SUM(D72:Z72),1)</f>
        <v>0</v>
      </c>
      <c r="AE72" s="36"/>
      <c r="AF72" s="37"/>
      <c r="AG72" s="493">
        <f>'Exhibit G State'!AG72</f>
        <v>0</v>
      </c>
      <c r="AH72" s="195"/>
      <c r="AI72" s="36"/>
      <c r="AJ72" s="467">
        <f t="shared" si="17"/>
        <v>0</v>
      </c>
      <c r="AK72" s="35"/>
      <c r="AL72" s="469">
        <f>ROUND(IF(AG72=0,0,AJ72/ABS(AG72)),3)</f>
        <v>0</v>
      </c>
    </row>
    <row r="73" spans="1:38" ht="15" customHeight="1">
      <c r="A73" s="21"/>
      <c r="B73" s="594" t="s">
        <v>937</v>
      </c>
      <c r="C73" s="21"/>
      <c r="D73" s="493">
        <f>'Exhibit G State'!D73+'Exhibit G Federal'!D43</f>
        <v>0.7</v>
      </c>
      <c r="E73" s="493"/>
      <c r="F73" s="493">
        <f>'Exhibit G State'!F73+'Exhibit G Federal'!F43</f>
        <v>1.3</v>
      </c>
      <c r="G73" s="493"/>
      <c r="H73" s="493">
        <f>'Exhibit G State'!H73+'Exhibit G Federal'!H43</f>
        <v>20</v>
      </c>
      <c r="J73" s="493">
        <f>'Exhibit G State'!J73+'Exhibit G Federal'!J43</f>
        <v>0.30000000000000071</v>
      </c>
      <c r="L73" s="493">
        <f>'Exhibit G State'!L73+'Exhibit G Federal'!L43</f>
        <v>1.7</v>
      </c>
      <c r="N73" s="493">
        <f>'Exhibit G State'!N73+'Exhibit G Federal'!N43</f>
        <v>0.59999999999999787</v>
      </c>
      <c r="P73" s="493"/>
      <c r="R73" s="493"/>
      <c r="S73" s="493"/>
      <c r="T73" s="493"/>
      <c r="U73" s="493"/>
      <c r="V73" s="493"/>
      <c r="W73" s="493"/>
      <c r="X73" s="493"/>
      <c r="Y73" s="493"/>
      <c r="Z73" s="493"/>
      <c r="AA73" s="493"/>
      <c r="AB73" s="36">
        <v>0</v>
      </c>
      <c r="AC73" s="37"/>
      <c r="AD73" s="467">
        <f t="shared" si="11"/>
        <v>24.6</v>
      </c>
      <c r="AE73" s="36"/>
      <c r="AF73" s="37"/>
      <c r="AG73" s="493">
        <f>'Exhibit G State'!AG73+'Exhibit G Federal'!AG43</f>
        <v>4.0999999999999996</v>
      </c>
      <c r="AH73" s="195"/>
      <c r="AI73" s="36"/>
      <c r="AJ73" s="467">
        <f t="shared" si="17"/>
        <v>20.5</v>
      </c>
      <c r="AK73" s="35"/>
      <c r="AL73" s="971">
        <f t="shared" ref="AL73:AL76" si="18">ROUND(IF(AG73=0,0,AJ73/ABS(AG73)),3)</f>
        <v>5</v>
      </c>
    </row>
    <row r="74" spans="1:38" ht="15" customHeight="1">
      <c r="A74" s="21"/>
      <c r="B74" s="594" t="s">
        <v>938</v>
      </c>
      <c r="C74" s="21"/>
      <c r="D74" s="493">
        <f>'Exhibit G State'!D74+'Exhibit G Federal'!D44</f>
        <v>0</v>
      </c>
      <c r="E74" s="493"/>
      <c r="F74" s="493">
        <f>'Exhibit G State'!F74+'Exhibit G Federal'!F44</f>
        <v>0</v>
      </c>
      <c r="G74" s="493"/>
      <c r="H74" s="493">
        <f>'Exhibit G State'!H74+'Exhibit G Federal'!H44</f>
        <v>0.1</v>
      </c>
      <c r="J74" s="493">
        <f>'Exhibit G State'!J74+'Exhibit G Federal'!J44</f>
        <v>0</v>
      </c>
      <c r="L74" s="493">
        <f>'Exhibit G State'!L74+'Exhibit G Federal'!L44</f>
        <v>0</v>
      </c>
      <c r="N74" s="493">
        <f>'Exhibit G State'!N74+'Exhibit G Federal'!N44</f>
        <v>0</v>
      </c>
      <c r="P74" s="493"/>
      <c r="R74" s="493"/>
      <c r="S74" s="493"/>
      <c r="T74" s="493"/>
      <c r="U74" s="493"/>
      <c r="V74" s="493"/>
      <c r="W74" s="493"/>
      <c r="X74" s="493"/>
      <c r="Y74" s="493"/>
      <c r="Z74" s="493"/>
      <c r="AA74" s="493"/>
      <c r="AB74" s="36">
        <v>0</v>
      </c>
      <c r="AC74" s="37"/>
      <c r="AD74" s="467">
        <f t="shared" si="11"/>
        <v>0.1</v>
      </c>
      <c r="AE74" s="36"/>
      <c r="AF74" s="37"/>
      <c r="AG74" s="493">
        <f>'Exhibit G State'!AG74+'Exhibit G Federal'!AG44</f>
        <v>0.8</v>
      </c>
      <c r="AH74" s="195"/>
      <c r="AI74" s="36"/>
      <c r="AJ74" s="467">
        <f t="shared" si="17"/>
        <v>-0.7</v>
      </c>
      <c r="AK74" s="35"/>
      <c r="AL74" s="971">
        <f>ROUND(IF(AG74=0,0,AJ74/ABS(AG74)),3)</f>
        <v>-0.875</v>
      </c>
    </row>
    <row r="75" spans="1:38" ht="15" customHeight="1">
      <c r="A75" s="21"/>
      <c r="B75" s="594" t="s">
        <v>939</v>
      </c>
      <c r="C75" s="21"/>
      <c r="D75" s="493">
        <f>'Exhibit G State'!D75+'Exhibit G Federal'!D45</f>
        <v>239.3</v>
      </c>
      <c r="E75" s="493"/>
      <c r="F75" s="493">
        <f>'Exhibit G State'!F75+'Exhibit G Federal'!F45</f>
        <v>-285.60000000000002</v>
      </c>
      <c r="G75" s="493"/>
      <c r="H75" s="493">
        <f>'Exhibit G State'!H75+'Exhibit G Federal'!H45</f>
        <v>752.5</v>
      </c>
      <c r="J75" s="493">
        <f>'Exhibit G State'!J75+'Exhibit G Federal'!J45</f>
        <v>236.60000000000002</v>
      </c>
      <c r="L75" s="493">
        <f>'Exhibit G State'!L75+'Exhibit G Federal'!L45</f>
        <v>272.30000000000007</v>
      </c>
      <c r="N75" s="493">
        <f>'Exhibit G State'!N75+'Exhibit G Federal'!N45</f>
        <v>220</v>
      </c>
      <c r="P75" s="493"/>
      <c r="R75" s="493"/>
      <c r="S75" s="493"/>
      <c r="T75" s="493"/>
      <c r="U75" s="493"/>
      <c r="V75" s="493"/>
      <c r="W75" s="493"/>
      <c r="X75" s="493"/>
      <c r="Y75" s="493"/>
      <c r="Z75" s="493"/>
      <c r="AA75" s="493"/>
      <c r="AB75" s="36">
        <v>0</v>
      </c>
      <c r="AC75" s="37"/>
      <c r="AD75" s="467">
        <f t="shared" si="11"/>
        <v>1435.1</v>
      </c>
      <c r="AE75" s="36"/>
      <c r="AF75" s="37"/>
      <c r="AG75" s="493">
        <f>'Exhibit G State'!AG75+'Exhibit G Federal'!AG45</f>
        <v>1184.5</v>
      </c>
      <c r="AH75" s="195"/>
      <c r="AI75" s="36"/>
      <c r="AJ75" s="467">
        <f t="shared" si="17"/>
        <v>250.6</v>
      </c>
      <c r="AK75" s="35"/>
      <c r="AL75" s="469">
        <f t="shared" si="18"/>
        <v>0.21199999999999999</v>
      </c>
    </row>
    <row r="76" spans="1:38" ht="15" customHeight="1">
      <c r="A76" s="21"/>
      <c r="B76" s="594" t="s">
        <v>940</v>
      </c>
      <c r="C76" s="21"/>
      <c r="D76" s="493">
        <f>'Exhibit G State'!D76+'Exhibit G Federal'!D46</f>
        <v>10.899999999999999</v>
      </c>
      <c r="E76" s="493"/>
      <c r="F76" s="493">
        <f>'Exhibit G State'!F76+'Exhibit G Federal'!F46</f>
        <v>9.6</v>
      </c>
      <c r="G76" s="493"/>
      <c r="H76" s="493">
        <f>'Exhibit G State'!H76+'Exhibit G Federal'!H46</f>
        <v>15.400000000000002</v>
      </c>
      <c r="J76" s="493">
        <f>'Exhibit G State'!J76+'Exhibit G Federal'!J46</f>
        <v>13.999999999999996</v>
      </c>
      <c r="L76" s="493">
        <f>'Exhibit G State'!L76+'Exhibit G Federal'!L46</f>
        <v>12.100000000000001</v>
      </c>
      <c r="N76" s="493">
        <f>'Exhibit G State'!N76+'Exhibit G Federal'!N46</f>
        <v>14.199999999999996</v>
      </c>
      <c r="P76" s="493"/>
      <c r="R76" s="493"/>
      <c r="S76" s="493"/>
      <c r="T76" s="493"/>
      <c r="U76" s="493"/>
      <c r="V76" s="493"/>
      <c r="W76" s="493"/>
      <c r="X76" s="493"/>
      <c r="Y76" s="493"/>
      <c r="Z76" s="493"/>
      <c r="AA76" s="493"/>
      <c r="AB76" s="36">
        <v>0</v>
      </c>
      <c r="AC76" s="37"/>
      <c r="AD76" s="467">
        <f t="shared" si="11"/>
        <v>76.2</v>
      </c>
      <c r="AE76" s="36"/>
      <c r="AF76" s="37"/>
      <c r="AG76" s="493">
        <f>'Exhibit G State'!AG76+'Exhibit G Federal'!AG46</f>
        <v>71.2</v>
      </c>
      <c r="AH76" s="195"/>
      <c r="AI76" s="36"/>
      <c r="AJ76" s="467">
        <f t="shared" si="17"/>
        <v>5</v>
      </c>
      <c r="AK76" s="35"/>
      <c r="AL76" s="469">
        <f t="shared" si="18"/>
        <v>7.0000000000000007E-2</v>
      </c>
    </row>
    <row r="77" spans="1:38" ht="15" customHeight="1">
      <c r="A77" s="21"/>
      <c r="B77" s="594" t="s">
        <v>941</v>
      </c>
      <c r="C77" s="21"/>
      <c r="D77" s="493">
        <f>'Exhibit G State'!D77+'Exhibit G Federal'!D47</f>
        <v>4.5</v>
      </c>
      <c r="E77" s="493"/>
      <c r="F77" s="493">
        <f>'Exhibit G State'!F77+'Exhibit G Federal'!F47</f>
        <v>0.70000000000000018</v>
      </c>
      <c r="G77" s="493"/>
      <c r="H77" s="493">
        <f>'Exhibit G State'!H77+'Exhibit G Federal'!H47</f>
        <v>1.7000000000000002</v>
      </c>
      <c r="J77" s="493">
        <f>'Exhibit G State'!J77+'Exhibit G Federal'!J47</f>
        <v>14.700000000000003</v>
      </c>
      <c r="L77" s="493">
        <f>'Exhibit G State'!L77+'Exhibit G Federal'!L47</f>
        <v>34.699999999999989</v>
      </c>
      <c r="N77" s="493">
        <f>'Exhibit G State'!N77+'Exhibit G Federal'!N47</f>
        <v>0.30000000000000426</v>
      </c>
      <c r="P77" s="493"/>
      <c r="R77" s="493"/>
      <c r="S77" s="493"/>
      <c r="T77" s="493"/>
      <c r="U77" s="493"/>
      <c r="V77" s="493"/>
      <c r="W77" s="493"/>
      <c r="X77" s="493"/>
      <c r="Y77" s="493"/>
      <c r="Z77" s="493"/>
      <c r="AA77" s="493"/>
      <c r="AB77" s="36">
        <v>0</v>
      </c>
      <c r="AC77" s="37"/>
      <c r="AD77" s="467">
        <f t="shared" si="11"/>
        <v>56.6</v>
      </c>
      <c r="AE77" s="36"/>
      <c r="AF77" s="37"/>
      <c r="AG77" s="493">
        <f>'Exhibit G State'!AG77+'Exhibit G Federal'!AG47</f>
        <v>104.7</v>
      </c>
      <c r="AH77" s="195"/>
      <c r="AI77" s="36"/>
      <c r="AJ77" s="467">
        <f t="shared" si="17"/>
        <v>-48.1</v>
      </c>
      <c r="AK77" s="35"/>
      <c r="AL77" s="971">
        <f>ROUND(IF(AG77=0,1,AJ77/ABS(AG77)),3)</f>
        <v>-0.45900000000000002</v>
      </c>
    </row>
    <row r="78" spans="1:38" ht="15" customHeight="1">
      <c r="A78" s="21"/>
      <c r="B78" s="594" t="s">
        <v>942</v>
      </c>
      <c r="C78" s="21"/>
      <c r="D78" s="493">
        <f>'Exhibit G State'!D78+'Exhibit G Federal'!D48</f>
        <v>13.1</v>
      </c>
      <c r="E78" s="493"/>
      <c r="F78" s="493">
        <f>'Exhibit G State'!F78+'Exhibit G Federal'!F48</f>
        <v>-3.9000000000000004</v>
      </c>
      <c r="G78" s="493"/>
      <c r="H78" s="493">
        <f>'Exhibit G State'!H78+'Exhibit G Federal'!H48</f>
        <v>1</v>
      </c>
      <c r="J78" s="493">
        <f>'Exhibit G State'!J78+'Exhibit G Federal'!J48</f>
        <v>11.400000000000002</v>
      </c>
      <c r="L78" s="493">
        <f>'Exhibit G State'!L78+'Exhibit G Federal'!L48</f>
        <v>1.2999999999999972</v>
      </c>
      <c r="N78" s="493">
        <f>'Exhibit G State'!N78+'Exhibit G Federal'!N48</f>
        <v>2.7000000000000028</v>
      </c>
      <c r="P78" s="493"/>
      <c r="R78" s="493"/>
      <c r="S78" s="493"/>
      <c r="T78" s="493"/>
      <c r="U78" s="493"/>
      <c r="V78" s="493"/>
      <c r="W78" s="493"/>
      <c r="X78" s="493"/>
      <c r="Y78" s="493"/>
      <c r="Z78" s="493"/>
      <c r="AA78" s="493"/>
      <c r="AB78" s="36">
        <v>0</v>
      </c>
      <c r="AC78" s="37"/>
      <c r="AD78" s="467">
        <f t="shared" si="11"/>
        <v>25.6</v>
      </c>
      <c r="AE78" s="36"/>
      <c r="AF78" s="37"/>
      <c r="AG78" s="493">
        <f>'Exhibit G State'!AG78+'Exhibit G Federal'!AG48</f>
        <v>7.4</v>
      </c>
      <c r="AH78" s="195"/>
      <c r="AI78" s="36"/>
      <c r="AJ78" s="467">
        <f t="shared" si="17"/>
        <v>18.2</v>
      </c>
      <c r="AK78" s="35"/>
      <c r="AL78" s="469">
        <f>ROUND(IF(AG78=0,0,AJ78/ABS(AG78)),3)</f>
        <v>2.4590000000000001</v>
      </c>
    </row>
    <row r="79" spans="1:38" ht="15" customHeight="1">
      <c r="A79" s="21"/>
      <c r="B79" s="594" t="s">
        <v>943</v>
      </c>
      <c r="C79" s="21"/>
      <c r="D79" s="493">
        <f>'Exhibit G State'!D79+'Exhibit G Federal'!D49</f>
        <v>47.3</v>
      </c>
      <c r="E79" s="493"/>
      <c r="F79" s="493">
        <f>'Exhibit G State'!F79+'Exhibit G Federal'!F49</f>
        <v>39</v>
      </c>
      <c r="G79" s="493"/>
      <c r="H79" s="493">
        <f>'Exhibit G State'!H79+'Exhibit G Federal'!H49</f>
        <v>27.000000000000004</v>
      </c>
      <c r="J79" s="493">
        <f>'Exhibit G State'!J79+'Exhibit G Federal'!J49</f>
        <v>59.800000000000004</v>
      </c>
      <c r="L79" s="493">
        <f>'Exhibit G State'!L79+'Exhibit G Federal'!L49</f>
        <v>37.199999999999989</v>
      </c>
      <c r="N79" s="493">
        <f>'Exhibit G State'!N79+'Exhibit G Federal'!N49</f>
        <v>53.800000000000033</v>
      </c>
      <c r="P79" s="493"/>
      <c r="R79" s="493"/>
      <c r="S79" s="493"/>
      <c r="T79" s="493"/>
      <c r="U79" s="493"/>
      <c r="V79" s="493"/>
      <c r="W79" s="493"/>
      <c r="X79" s="493"/>
      <c r="Y79" s="493"/>
      <c r="Z79" s="493"/>
      <c r="AA79" s="493"/>
      <c r="AB79" s="36">
        <v>0</v>
      </c>
      <c r="AC79" s="37"/>
      <c r="AD79" s="467">
        <f t="shared" si="11"/>
        <v>264.10000000000002</v>
      </c>
      <c r="AE79" s="36"/>
      <c r="AF79" s="37"/>
      <c r="AG79" s="493">
        <f>'Exhibit G State'!AG79+'Exhibit G Federal'!AG49</f>
        <v>340.6</v>
      </c>
      <c r="AH79" s="195"/>
      <c r="AI79" s="36"/>
      <c r="AJ79" s="467">
        <f t="shared" si="17"/>
        <v>-76.5</v>
      </c>
      <c r="AK79" s="35"/>
      <c r="AL79" s="971">
        <f>ROUND(IF(AG79=0,0,AJ79/ABS(AG79)),3)</f>
        <v>-0.22500000000000001</v>
      </c>
    </row>
    <row r="80" spans="1:38" ht="15" customHeight="1">
      <c r="A80" s="21"/>
      <c r="B80" s="594" t="s">
        <v>916</v>
      </c>
      <c r="C80" s="21"/>
      <c r="D80" s="493">
        <f>'Exhibit G State'!D80+'Exhibit G Federal'!D50</f>
        <v>0.6</v>
      </c>
      <c r="E80" s="493"/>
      <c r="F80" s="493">
        <f>'Exhibit G State'!F80+'Exhibit G Federal'!F50</f>
        <v>2.1</v>
      </c>
      <c r="G80" s="493"/>
      <c r="H80" s="493">
        <f>'Exhibit G State'!H80+'Exhibit G Federal'!H50</f>
        <v>1.0999999999999996</v>
      </c>
      <c r="J80" s="493">
        <f>'Exhibit G State'!J80+'Exhibit G Federal'!J50</f>
        <v>1.3000000000000003</v>
      </c>
      <c r="L80" s="493">
        <f>'Exhibit G State'!L80+'Exhibit G Federal'!L50</f>
        <v>1.6</v>
      </c>
      <c r="N80" s="493">
        <f>'Exhibit G State'!N80+'Exhibit G Federal'!N50</f>
        <v>1.2000000000000011</v>
      </c>
      <c r="P80" s="493"/>
      <c r="R80" s="493"/>
      <c r="S80" s="493"/>
      <c r="T80" s="493"/>
      <c r="U80" s="493"/>
      <c r="V80" s="493"/>
      <c r="W80" s="493"/>
      <c r="X80" s="493"/>
      <c r="Y80" s="493"/>
      <c r="Z80" s="493"/>
      <c r="AA80" s="493"/>
      <c r="AB80" s="36">
        <v>0</v>
      </c>
      <c r="AC80" s="37"/>
      <c r="AD80" s="36">
        <f t="shared" si="11"/>
        <v>7.9</v>
      </c>
      <c r="AE80" s="36"/>
      <c r="AF80" s="37"/>
      <c r="AG80" s="493">
        <f>'Exhibit G State'!AG80+'Exhibit G Federal'!AG50</f>
        <v>8.9</v>
      </c>
      <c r="AH80" s="195"/>
      <c r="AI80" s="36"/>
      <c r="AJ80" s="467">
        <f t="shared" si="17"/>
        <v>-1</v>
      </c>
      <c r="AK80" s="35"/>
      <c r="AL80" s="469">
        <f>ROUND(IF(AG80=0,0,AJ80/ABS(AG80)),3)</f>
        <v>-0.112</v>
      </c>
    </row>
    <row r="81" spans="1:45" ht="15" customHeight="1">
      <c r="A81" s="21"/>
      <c r="B81" s="594" t="s">
        <v>917</v>
      </c>
      <c r="C81" s="21"/>
      <c r="D81" s="493">
        <f>'Exhibit G State'!D81+'Exhibit G Federal'!D51</f>
        <v>-25.2</v>
      </c>
      <c r="E81" s="493"/>
      <c r="F81" s="493">
        <f>'Exhibit G State'!F81+'Exhibit G Federal'!F51</f>
        <v>31.299999999999997</v>
      </c>
      <c r="G81" s="493"/>
      <c r="H81" s="493">
        <f>'Exhibit G State'!H81+'Exhibit G Federal'!H51</f>
        <v>60.900000000000006</v>
      </c>
      <c r="J81" s="493">
        <f>'Exhibit G State'!J81+'Exhibit G Federal'!J51</f>
        <v>14.699999999999989</v>
      </c>
      <c r="L81" s="493">
        <f>'Exhibit G State'!L81+'Exhibit G Federal'!L51</f>
        <v>217.4</v>
      </c>
      <c r="N81" s="493">
        <f>'Exhibit G State'!N81+'Exhibit G Federal'!N51</f>
        <v>268.70000000000005</v>
      </c>
      <c r="P81" s="493"/>
      <c r="R81" s="493"/>
      <c r="S81" s="493"/>
      <c r="T81" s="493"/>
      <c r="U81" s="493"/>
      <c r="V81" s="493"/>
      <c r="W81" s="493"/>
      <c r="X81" s="493"/>
      <c r="Y81" s="493"/>
      <c r="Z81" s="493"/>
      <c r="AA81" s="493"/>
      <c r="AB81" s="36">
        <v>0</v>
      </c>
      <c r="AC81" s="37"/>
      <c r="AD81" s="36">
        <f t="shared" si="11"/>
        <v>567.79999999999995</v>
      </c>
      <c r="AE81" s="36"/>
      <c r="AF81" s="37"/>
      <c r="AG81" s="493">
        <f>'Exhibit G State'!AG81+'Exhibit G Federal'!AG51</f>
        <v>603.79999999999995</v>
      </c>
      <c r="AH81" s="195"/>
      <c r="AI81" s="36"/>
      <c r="AJ81" s="467">
        <f t="shared" si="17"/>
        <v>-36</v>
      </c>
      <c r="AK81" s="35"/>
      <c r="AL81" s="469">
        <f>ROUND(IF(AG81=0,0,AJ81/ABS(AG81)),3)</f>
        <v>-0.06</v>
      </c>
    </row>
    <row r="82" spans="1:45" s="139" customFormat="1" ht="15" customHeight="1">
      <c r="A82" s="19"/>
      <c r="B82" s="218" t="s">
        <v>1066</v>
      </c>
      <c r="C82" s="19"/>
      <c r="D82" s="179">
        <f>ROUND(SUM(D42:D81),1)</f>
        <v>1671.7</v>
      </c>
      <c r="E82"/>
      <c r="F82" s="179">
        <f>ROUND(SUM(F42:F81),1)</f>
        <v>1081</v>
      </c>
      <c r="G82"/>
      <c r="H82" s="179">
        <f>ROUND(SUM(H42:H81),1)</f>
        <v>2290.3000000000002</v>
      </c>
      <c r="I82"/>
      <c r="J82" s="179">
        <f>ROUND(SUM(J42:J81),1)</f>
        <v>1781.6</v>
      </c>
      <c r="K82"/>
      <c r="L82" s="179">
        <f>ROUND(SUM(L42:L81),1)</f>
        <v>2169.1</v>
      </c>
      <c r="M82"/>
      <c r="N82" s="179">
        <f>ROUND(SUM(N42:N81),1)</f>
        <v>2198.6</v>
      </c>
      <c r="O82"/>
      <c r="P82" s="179">
        <f>ROUND(SUM(P42:P81),1)</f>
        <v>0</v>
      </c>
      <c r="Q82"/>
      <c r="R82" s="179">
        <f>ROUND(SUM(R42:R81),1)</f>
        <v>0</v>
      </c>
      <c r="S82"/>
      <c r="T82" s="179">
        <f>ROUND(SUM(T42:T81),1)</f>
        <v>0</v>
      </c>
      <c r="U82"/>
      <c r="V82" s="179">
        <f>ROUND(SUM(V42:V81),1)</f>
        <v>0</v>
      </c>
      <c r="W82"/>
      <c r="X82" s="179">
        <f>ROUND(SUM(X42:X81),1)</f>
        <v>0</v>
      </c>
      <c r="Y82"/>
      <c r="Z82" s="179">
        <f>ROUND(SUM(Z42:Z81),1)</f>
        <v>0</v>
      </c>
      <c r="AA82" s="42"/>
      <c r="AB82" s="41">
        <f>SUM(AB42:AB81)</f>
        <v>0</v>
      </c>
      <c r="AC82" s="44"/>
      <c r="AD82" s="179">
        <f>ROUND(SUM(AD42:AD81),1)</f>
        <v>11192.3</v>
      </c>
      <c r="AE82" s="42"/>
      <c r="AF82" s="44"/>
      <c r="AG82" s="179">
        <f>ROUND(SUM(AG42:AG81),1)</f>
        <v>9870.4</v>
      </c>
      <c r="AH82" s="198"/>
      <c r="AI82" s="42"/>
      <c r="AJ82" s="179">
        <f>ROUND(SUM(AJ42:AJ81),1)</f>
        <v>1321.9</v>
      </c>
      <c r="AK82" s="388"/>
      <c r="AL82" s="747">
        <f>ROUND(SUM(+AJ82/AG82),3)</f>
        <v>0.13400000000000001</v>
      </c>
    </row>
    <row r="83" spans="1:45" ht="15" customHeight="1">
      <c r="A83" s="21"/>
      <c r="B83" s="594"/>
      <c r="C83" s="21"/>
      <c r="D83" s="35"/>
      <c r="F83" s="35"/>
      <c r="H83" s="35"/>
      <c r="J83" s="467"/>
      <c r="L83" s="36"/>
      <c r="N83" s="36"/>
      <c r="P83" s="36"/>
      <c r="R83" s="36"/>
      <c r="T83" s="36"/>
      <c r="V83" s="46"/>
      <c r="X83" s="46"/>
      <c r="Z83" s="46"/>
      <c r="AA83" s="35"/>
      <c r="AB83" s="36"/>
      <c r="AC83" s="37"/>
      <c r="AD83" s="36"/>
      <c r="AE83" s="36"/>
      <c r="AF83" s="37"/>
      <c r="AG83" s="36"/>
      <c r="AH83" s="192"/>
      <c r="AI83" s="36"/>
      <c r="AJ83" s="467"/>
      <c r="AK83" s="35"/>
      <c r="AL83" s="488"/>
    </row>
    <row r="84" spans="1:45" ht="15" customHeight="1">
      <c r="A84" s="21"/>
      <c r="B84" s="196" t="s">
        <v>146</v>
      </c>
      <c r="C84" s="21"/>
      <c r="D84" s="493">
        <f>'Exhibit G State'!D84+'Exhibit G Federal'!D54</f>
        <v>8716.1</v>
      </c>
      <c r="E84" s="493"/>
      <c r="F84" s="493">
        <f>'Exhibit G State'!F84+'Exhibit G Federal'!F54</f>
        <v>7415.7999999999993</v>
      </c>
      <c r="G84" s="493"/>
      <c r="H84" s="493">
        <f>'Exhibit G State'!H84+'Exhibit G Federal'!H54</f>
        <v>11399.300000000001</v>
      </c>
      <c r="J84" s="493">
        <f>'Exhibit G State'!J84+'Exhibit G Federal'!J54</f>
        <v>7065.6000000000058</v>
      </c>
      <c r="L84" s="493">
        <f>'Exhibit G State'!L84+'Exhibit G Federal'!L54</f>
        <v>7073.3999999999924</v>
      </c>
      <c r="N84" s="493">
        <f>'Exhibit G State'!N84+'Exhibit G Federal'!N54</f>
        <v>5991.9000000000015</v>
      </c>
      <c r="P84" s="493"/>
      <c r="R84" s="493"/>
      <c r="S84" s="493"/>
      <c r="T84" s="493"/>
      <c r="U84" s="493"/>
      <c r="V84" s="493"/>
      <c r="W84" s="493"/>
      <c r="X84" s="493"/>
      <c r="Z84" s="493"/>
      <c r="AA84" s="493"/>
      <c r="AB84" s="1462">
        <v>0</v>
      </c>
      <c r="AC84" s="37"/>
      <c r="AD84" s="36">
        <f t="shared" si="11"/>
        <v>47662.1</v>
      </c>
      <c r="AE84" s="36"/>
      <c r="AF84" s="37"/>
      <c r="AG84" s="493">
        <f>'Exhibit G State'!AG84+'Exhibit G Federal'!AG54</f>
        <v>41978.1</v>
      </c>
      <c r="AH84" s="192"/>
      <c r="AI84" s="36"/>
      <c r="AJ84" s="467">
        <f>ROUND(SUM(+AD84-AG84),1)</f>
        <v>5684</v>
      </c>
      <c r="AK84" s="35"/>
      <c r="AL84" s="469">
        <f>ROUND(IF(AG84=0,0,AJ84/ABS(AG84)),3)</f>
        <v>0.13500000000000001</v>
      </c>
    </row>
    <row r="85" spans="1:45" ht="15" customHeight="1">
      <c r="A85" s="21"/>
      <c r="B85" s="21"/>
      <c r="C85" s="21"/>
      <c r="D85" s="61"/>
      <c r="F85" s="61"/>
      <c r="H85" s="61"/>
      <c r="J85" s="497"/>
      <c r="L85" s="61"/>
      <c r="N85" s="61"/>
      <c r="P85" s="61"/>
      <c r="R85" s="61"/>
      <c r="T85" s="61"/>
      <c r="V85" s="61"/>
      <c r="X85" s="61"/>
      <c r="Z85" s="61"/>
      <c r="AA85" s="36"/>
      <c r="AB85" s="1152"/>
      <c r="AC85" s="36"/>
      <c r="AD85" s="61"/>
      <c r="AE85" s="36"/>
      <c r="AF85" s="37"/>
      <c r="AG85" s="61"/>
      <c r="AH85" s="192"/>
      <c r="AI85" s="36"/>
      <c r="AJ85" s="941"/>
      <c r="AL85" s="956"/>
    </row>
    <row r="86" spans="1:45" ht="15" customHeight="1">
      <c r="A86" s="21"/>
      <c r="B86" s="19" t="s">
        <v>147</v>
      </c>
      <c r="C86" s="21"/>
      <c r="D86" s="42">
        <f>ROUND(SUM(D84+D82+D38),1)</f>
        <v>10912.6</v>
      </c>
      <c r="F86" s="42">
        <f>ROUND(SUM(F84+F82+F38),1)</f>
        <v>8723</v>
      </c>
      <c r="H86" s="42">
        <f>ROUND(SUM(H84+H82+H38),1)</f>
        <v>14302.7</v>
      </c>
      <c r="J86" s="42">
        <f>ROUND(SUM(J84+J82+J38),1)</f>
        <v>9101.1</v>
      </c>
      <c r="L86" s="42">
        <f>ROUND(SUM(L84+L82+L38),1)</f>
        <v>9473.4</v>
      </c>
      <c r="N86" s="42">
        <f>ROUND(SUM(N84+N82+N38),1)</f>
        <v>8816.9</v>
      </c>
      <c r="P86" s="42">
        <f>ROUND(SUM(P84+P82+P38),1)</f>
        <v>0</v>
      </c>
      <c r="R86" s="42">
        <f>ROUND(SUM(R84+R82+R38),1)</f>
        <v>0</v>
      </c>
      <c r="T86" s="42">
        <f>ROUND(SUM(T84+T82+T38),1)</f>
        <v>0</v>
      </c>
      <c r="V86" s="42">
        <f>ROUND(SUM(V84+V82+V38),1)</f>
        <v>0</v>
      </c>
      <c r="X86" s="42">
        <f>ROUND(SUM(X84+X82+X38),1)</f>
        <v>0</v>
      </c>
      <c r="Z86" s="42">
        <f>ROUND(SUM(Z84+Z82+Z38),1)</f>
        <v>0</v>
      </c>
      <c r="AA86" s="42"/>
      <c r="AB86" s="1463">
        <f>ROUND(SUM(AB84+AB82+AB38),1)</f>
        <v>0</v>
      </c>
      <c r="AC86" s="44"/>
      <c r="AD86" s="42">
        <f>ROUND(SUM(AD84+AD82+AD38),1)</f>
        <v>61329.7</v>
      </c>
      <c r="AE86" s="42"/>
      <c r="AF86" s="44"/>
      <c r="AG86" s="42">
        <f>ROUND(SUM(AG84+AG82+AG38),1)</f>
        <v>54205.8</v>
      </c>
      <c r="AH86" s="198"/>
      <c r="AI86" s="42"/>
      <c r="AJ86" s="50">
        <f>ROUND(SUM(AJ84+AJ82+AJ38),1)</f>
        <v>7123.9</v>
      </c>
      <c r="AK86" s="199"/>
      <c r="AL86" s="651">
        <f>ROUND(SUM(+AJ86/AG86),3)</f>
        <v>0.13100000000000001</v>
      </c>
    </row>
    <row r="87" spans="1:45" ht="15" customHeight="1">
      <c r="A87" s="21"/>
      <c r="B87" s="21"/>
      <c r="C87" s="21"/>
      <c r="D87" s="61"/>
      <c r="F87" s="61"/>
      <c r="H87" s="61"/>
      <c r="J87" s="497"/>
      <c r="L87" s="61"/>
      <c r="N87" s="61"/>
      <c r="P87" s="61"/>
      <c r="R87" s="61"/>
      <c r="T87" s="61"/>
      <c r="V87" s="61"/>
      <c r="X87" s="61"/>
      <c r="Z87" s="61"/>
      <c r="AA87" s="36"/>
      <c r="AB87" s="36"/>
      <c r="AC87" s="37"/>
      <c r="AD87" s="61"/>
      <c r="AE87" s="36"/>
      <c r="AF87" s="37"/>
      <c r="AG87" s="61"/>
      <c r="AH87" s="192"/>
      <c r="AI87" s="36"/>
      <c r="AJ87" s="467"/>
      <c r="AL87" s="488"/>
    </row>
    <row r="88" spans="1:45" ht="15" customHeight="1">
      <c r="A88" s="21"/>
      <c r="B88" s="118" t="s">
        <v>22</v>
      </c>
      <c r="C88" s="21"/>
      <c r="D88" s="36"/>
      <c r="F88" s="36"/>
      <c r="H88" s="36"/>
      <c r="J88" s="467"/>
      <c r="L88" s="36"/>
      <c r="N88" s="36"/>
      <c r="P88" s="36"/>
      <c r="R88" s="36"/>
      <c r="T88" s="36"/>
      <c r="V88" s="36"/>
      <c r="X88" s="36"/>
      <c r="Z88" s="36"/>
      <c r="AA88" s="36"/>
      <c r="AB88" s="36"/>
      <c r="AC88" s="37"/>
      <c r="AD88" s="36"/>
      <c r="AE88" s="1759"/>
      <c r="AF88" s="1238"/>
      <c r="AG88" s="36"/>
      <c r="AH88" s="192"/>
      <c r="AI88" s="36"/>
      <c r="AJ88" s="467"/>
      <c r="AL88" s="488"/>
    </row>
    <row r="89" spans="1:45" ht="15" customHeight="1">
      <c r="A89" s="21"/>
      <c r="B89" s="499" t="s">
        <v>148</v>
      </c>
      <c r="C89" s="21"/>
      <c r="D89" s="35"/>
      <c r="F89" s="35"/>
      <c r="H89" s="35"/>
      <c r="J89" s="467"/>
      <c r="L89" s="36"/>
      <c r="N89" s="36"/>
      <c r="P89" s="36"/>
      <c r="R89" s="36"/>
      <c r="T89" s="36"/>
      <c r="V89" s="36"/>
      <c r="X89" s="36"/>
      <c r="Z89" s="46"/>
      <c r="AA89" s="35"/>
      <c r="AB89" s="36"/>
      <c r="AC89" s="37"/>
      <c r="AD89" s="36"/>
      <c r="AE89" s="36"/>
      <c r="AF89" s="37"/>
      <c r="AG89" s="36"/>
      <c r="AH89" s="192"/>
      <c r="AI89" s="36"/>
      <c r="AJ89" s="467"/>
      <c r="AL89" s="488"/>
    </row>
    <row r="90" spans="1:45" ht="15" customHeight="1">
      <c r="A90" s="21"/>
      <c r="B90" s="120" t="s">
        <v>24</v>
      </c>
      <c r="C90" s="21"/>
      <c r="D90" s="493">
        <f>'Exhibit G State'!D90+'Exhibit G Federal'!D60</f>
        <v>691.2</v>
      </c>
      <c r="E90" s="493"/>
      <c r="F90" s="493">
        <f>'Exhibit G State'!F90+'Exhibit G Federal'!F60</f>
        <v>455.99999999999989</v>
      </c>
      <c r="G90" s="493"/>
      <c r="H90" s="493">
        <f>'Exhibit G State'!H90+'Exhibit G Federal'!H60</f>
        <v>1174.8000000000002</v>
      </c>
      <c r="J90" s="493">
        <f>'Exhibit G State'!J90+'Exhibit G Federal'!J60</f>
        <v>534.79999999999984</v>
      </c>
      <c r="L90" s="493">
        <f>'Exhibit G State'!L90+'Exhibit G Federal'!L60</f>
        <v>471.59999999999985</v>
      </c>
      <c r="N90" s="493">
        <f>'Exhibit G State'!N90+'Exhibit G Federal'!N60</f>
        <v>3516.9000000000015</v>
      </c>
      <c r="P90" s="493"/>
      <c r="R90" s="493"/>
      <c r="S90" s="493"/>
      <c r="T90" s="493"/>
      <c r="U90" s="493"/>
      <c r="V90" s="493"/>
      <c r="W90" s="493"/>
      <c r="X90" s="493"/>
      <c r="Y90" s="493"/>
      <c r="Z90" s="493"/>
      <c r="AA90" s="493"/>
      <c r="AB90" s="36">
        <v>0</v>
      </c>
      <c r="AC90" s="37"/>
      <c r="AD90" s="36">
        <f>ROUND(SUM(D90:Z90),1)</f>
        <v>6845.3</v>
      </c>
      <c r="AE90" s="36"/>
      <c r="AF90" s="37"/>
      <c r="AG90" s="493">
        <f>'Exhibit G State'!AG90+'Exhibit G Federal'!AG60</f>
        <v>6390.2</v>
      </c>
      <c r="AH90" s="192"/>
      <c r="AI90" s="36"/>
      <c r="AJ90" s="467">
        <f>ROUND(SUM(+AD90-AG90),1)</f>
        <v>455.1</v>
      </c>
      <c r="AK90" s="35"/>
      <c r="AL90" s="469">
        <f>ROUND(IF(AG90=0,0,AJ90/ABS(AG90)),3)</f>
        <v>7.0999999999999994E-2</v>
      </c>
      <c r="AR90" s="39"/>
      <c r="AS90" s="1464"/>
    </row>
    <row r="91" spans="1:45" ht="15" customHeight="1">
      <c r="A91" s="21"/>
      <c r="B91" s="120" t="s">
        <v>25</v>
      </c>
      <c r="C91" s="21"/>
      <c r="D91" s="493">
        <f>'Exhibit G State'!D91+'Exhibit G Federal'!D61</f>
        <v>0</v>
      </c>
      <c r="E91" s="493"/>
      <c r="F91" s="493">
        <f>'Exhibit G State'!F91+'Exhibit G Federal'!F61</f>
        <v>0.2</v>
      </c>
      <c r="G91" s="493"/>
      <c r="H91" s="493">
        <f>'Exhibit G State'!H91+'Exhibit G Federal'!H61</f>
        <v>0</v>
      </c>
      <c r="J91" s="493">
        <f>'Exhibit G State'!J91+'Exhibit G Federal'!J61</f>
        <v>1.3</v>
      </c>
      <c r="L91" s="493">
        <f>'Exhibit G State'!L91+'Exhibit G Federal'!L61</f>
        <v>0.19999999999999996</v>
      </c>
      <c r="N91" s="493">
        <f>'Exhibit G State'!N91+'Exhibit G Federal'!N61</f>
        <v>0.40000000000000013</v>
      </c>
      <c r="P91" s="493"/>
      <c r="R91" s="493"/>
      <c r="S91" s="493"/>
      <c r="T91" s="493"/>
      <c r="U91" s="493"/>
      <c r="V91" s="493"/>
      <c r="W91" s="493"/>
      <c r="X91" s="493"/>
      <c r="Y91" s="493"/>
      <c r="Z91" s="493"/>
      <c r="AA91" s="493"/>
      <c r="AB91" s="36">
        <v>0</v>
      </c>
      <c r="AC91" s="37"/>
      <c r="AD91" s="36">
        <f>ROUND(SUM(D91:Z91),1)</f>
        <v>2.1</v>
      </c>
      <c r="AE91" s="36"/>
      <c r="AF91" s="37"/>
      <c r="AG91" s="493">
        <f>'Exhibit G State'!AG91+'Exhibit G Federal'!AG61</f>
        <v>2.1999999999999997</v>
      </c>
      <c r="AH91" s="192"/>
      <c r="AI91" s="36"/>
      <c r="AJ91" s="467">
        <f>ROUND(SUM(+AD91-AG91),1)</f>
        <v>-0.1</v>
      </c>
      <c r="AK91" s="35"/>
      <c r="AL91" s="971">
        <f>ROUND(IF(AG91=0,0,AJ91/ABS(AG91)),3)</f>
        <v>-4.4999999999999998E-2</v>
      </c>
      <c r="AR91" s="1464"/>
      <c r="AS91" s="1464"/>
    </row>
    <row r="92" spans="1:45" ht="15" customHeight="1">
      <c r="A92" s="21"/>
      <c r="B92" s="120" t="s">
        <v>26</v>
      </c>
      <c r="C92" s="21"/>
      <c r="D92" s="493">
        <f>'Exhibit G State'!D92+'Exhibit G Federal'!D62</f>
        <v>3.2</v>
      </c>
      <c r="E92" s="493"/>
      <c r="F92" s="493">
        <f>'Exhibit G State'!F92+'Exhibit G Federal'!F62</f>
        <v>46.400000000000006</v>
      </c>
      <c r="G92" s="493"/>
      <c r="H92" s="493">
        <f>'Exhibit G State'!H92+'Exhibit G Federal'!H62</f>
        <v>5.3999999999999995</v>
      </c>
      <c r="J92" s="493">
        <f>'Exhibit G State'!J92+'Exhibit G Federal'!J62</f>
        <v>24.8</v>
      </c>
      <c r="L92" s="493">
        <f>'Exhibit G State'!L92+'Exhibit G Federal'!L62</f>
        <v>38</v>
      </c>
      <c r="N92" s="493">
        <f>'Exhibit G State'!N92+'Exhibit G Federal'!N62</f>
        <v>6.6999999999999957</v>
      </c>
      <c r="P92" s="493"/>
      <c r="R92" s="493"/>
      <c r="S92" s="493"/>
      <c r="T92" s="493"/>
      <c r="U92" s="493"/>
      <c r="V92" s="493"/>
      <c r="W92" s="493"/>
      <c r="X92" s="493"/>
      <c r="Y92" s="493"/>
      <c r="Z92" s="493"/>
      <c r="AA92" s="493"/>
      <c r="AB92" s="36">
        <v>0</v>
      </c>
      <c r="AC92" s="37"/>
      <c r="AD92" s="36">
        <f>ROUND(SUM(D92:Z92),1)</f>
        <v>124.5</v>
      </c>
      <c r="AE92" s="36"/>
      <c r="AF92" s="37"/>
      <c r="AG92" s="493">
        <f>'Exhibit G State'!AG92+'Exhibit G Federal'!AG62</f>
        <v>690.3</v>
      </c>
      <c r="AH92" s="192"/>
      <c r="AI92" s="36"/>
      <c r="AJ92" s="467">
        <f>ROUND(SUM(+AD92-AG92),1)</f>
        <v>-565.79999999999995</v>
      </c>
      <c r="AK92" s="35"/>
      <c r="AL92" s="2026">
        <f>ROUND(IF(AG92=0,0,AJ92/ABS(AG92)),3)</f>
        <v>-0.82</v>
      </c>
      <c r="AR92" s="1464"/>
      <c r="AS92" s="1464"/>
    </row>
    <row r="93" spans="1:45" ht="15" customHeight="1">
      <c r="A93" s="21"/>
      <c r="B93" s="120" t="s">
        <v>27</v>
      </c>
      <c r="C93" s="21"/>
      <c r="D93" s="36"/>
      <c r="E93" s="36"/>
      <c r="F93" s="36"/>
      <c r="G93" s="36"/>
      <c r="H93" s="36"/>
      <c r="J93" s="36"/>
      <c r="L93" s="36"/>
      <c r="N93" s="36"/>
      <c r="P93" s="36"/>
      <c r="R93" s="36"/>
      <c r="S93" s="36"/>
      <c r="T93" s="36"/>
      <c r="U93" s="36"/>
      <c r="V93" s="36"/>
      <c r="W93" s="36"/>
      <c r="X93" s="36"/>
      <c r="Y93" s="36"/>
      <c r="Z93" s="36"/>
      <c r="AA93" s="36"/>
      <c r="AB93" s="36"/>
      <c r="AC93" s="37"/>
      <c r="AD93" s="36"/>
      <c r="AE93" s="36"/>
      <c r="AF93" s="37"/>
      <c r="AG93" s="36"/>
      <c r="AH93" s="192"/>
      <c r="AI93" s="36"/>
      <c r="AJ93" s="467" t="s">
        <v>14</v>
      </c>
      <c r="AK93" s="472" t="s">
        <v>14</v>
      </c>
      <c r="AL93" s="488" t="s">
        <v>14</v>
      </c>
      <c r="AR93" s="39"/>
      <c r="AS93" s="39"/>
    </row>
    <row r="94" spans="1:45" ht="15" customHeight="1">
      <c r="A94" s="21"/>
      <c r="B94" s="1128" t="s">
        <v>28</v>
      </c>
      <c r="C94" s="21"/>
      <c r="D94" s="493">
        <f>'Exhibit G State'!D94+'Exhibit G Federal'!D64</f>
        <v>4589.7</v>
      </c>
      <c r="E94" s="493"/>
      <c r="F94" s="493">
        <f>'Exhibit G State'!F94+'Exhibit G Federal'!F64</f>
        <v>7948.5999999999995</v>
      </c>
      <c r="G94" s="493"/>
      <c r="H94" s="493">
        <f>'Exhibit G State'!H94+'Exhibit G Federal'!H64</f>
        <v>4733.3999999999996</v>
      </c>
      <c r="J94" s="493">
        <f>'Exhibit G State'!J94+'Exhibit G Federal'!J64</f>
        <v>5170.7000000000007</v>
      </c>
      <c r="L94" s="493">
        <f>'Exhibit G State'!L94+'Exhibit G Federal'!L64</f>
        <v>5992.6</v>
      </c>
      <c r="N94" s="493">
        <f>'Exhibit G State'!N94+'Exhibit G Federal'!N64</f>
        <v>2424.1000000000004</v>
      </c>
      <c r="P94" s="493"/>
      <c r="R94" s="493"/>
      <c r="S94" s="493"/>
      <c r="T94" s="493"/>
      <c r="U94" s="493"/>
      <c r="V94" s="493"/>
      <c r="W94" s="493"/>
      <c r="X94" s="493"/>
      <c r="Y94" s="493"/>
      <c r="Z94" s="493"/>
      <c r="AA94" s="493"/>
      <c r="AB94" s="36">
        <v>0</v>
      </c>
      <c r="AC94" s="37"/>
      <c r="AD94" s="36">
        <f t="shared" ref="AD94:AD99" si="19">ROUND(SUM(D94:Z94),1)</f>
        <v>30859.1</v>
      </c>
      <c r="AE94" s="36"/>
      <c r="AF94" s="37"/>
      <c r="AG94" s="493">
        <f>'Exhibit G State'!AG94+'Exhibit G Federal'!AG64</f>
        <v>28085.100000000002</v>
      </c>
      <c r="AH94" s="192"/>
      <c r="AI94" s="36"/>
      <c r="AJ94" s="467">
        <f t="shared" ref="AJ94:AJ99" si="20">ROUND(SUM(+AD94-AG94),1)</f>
        <v>2774</v>
      </c>
      <c r="AK94" s="35"/>
      <c r="AL94" s="469">
        <f>ROUND(IF(AG94=0,0,AJ94/ABS(AG94)),3)</f>
        <v>9.9000000000000005E-2</v>
      </c>
      <c r="AR94" s="39"/>
      <c r="AS94" s="39"/>
    </row>
    <row r="95" spans="1:45" ht="15" customHeight="1">
      <c r="A95" s="21"/>
      <c r="B95" s="120" t="s">
        <v>29</v>
      </c>
      <c r="C95" s="21"/>
      <c r="D95" s="493">
        <f>'Exhibit G State'!D95+'Exhibit G Federal'!D65</f>
        <v>834.19999999999993</v>
      </c>
      <c r="E95" s="493"/>
      <c r="F95" s="493">
        <f>'Exhibit G State'!F95+'Exhibit G Federal'!F65</f>
        <v>875.3</v>
      </c>
      <c r="G95" s="493"/>
      <c r="H95" s="493">
        <f>'Exhibit G State'!H95+'Exhibit G Federal'!H65</f>
        <v>1088.6999999999998</v>
      </c>
      <c r="J95" s="493">
        <f>'Exhibit G State'!J95+'Exhibit G Federal'!J65</f>
        <v>1055.8000000000004</v>
      </c>
      <c r="L95" s="493">
        <f>'Exhibit G State'!L95+'Exhibit G Federal'!L65</f>
        <v>1070.799999999999</v>
      </c>
      <c r="N95" s="493">
        <f>'Exhibit G State'!N95+'Exhibit G Federal'!N65</f>
        <v>1566.9</v>
      </c>
      <c r="P95" s="493"/>
      <c r="R95" s="493"/>
      <c r="S95" s="493"/>
      <c r="T95" s="493"/>
      <c r="U95" s="493"/>
      <c r="V95" s="493"/>
      <c r="W95" s="493"/>
      <c r="X95" s="493"/>
      <c r="Y95" s="493"/>
      <c r="Z95" s="493"/>
      <c r="AA95" s="493"/>
      <c r="AB95" s="36">
        <v>0</v>
      </c>
      <c r="AC95" s="37"/>
      <c r="AD95" s="36">
        <f t="shared" si="19"/>
        <v>6491.7</v>
      </c>
      <c r="AE95" s="36"/>
      <c r="AF95" s="37"/>
      <c r="AG95" s="493">
        <f>'Exhibit G State'!AG95+'Exhibit G Federal'!AG65</f>
        <v>4617.8999999999996</v>
      </c>
      <c r="AH95" s="192"/>
      <c r="AI95" s="36"/>
      <c r="AJ95" s="467">
        <f t="shared" si="20"/>
        <v>1873.8</v>
      </c>
      <c r="AK95" s="35"/>
      <c r="AL95" s="469">
        <f t="shared" ref="AL95:AL99" si="21">ROUND(IF(AG95=0,0,AJ95/ABS(AG95)),3)</f>
        <v>0.40600000000000003</v>
      </c>
      <c r="AR95" s="39"/>
      <c r="AS95" s="39"/>
    </row>
    <row r="96" spans="1:45" ht="15" customHeight="1">
      <c r="A96" s="21"/>
      <c r="B96" s="120" t="s">
        <v>30</v>
      </c>
      <c r="C96" s="21"/>
      <c r="D96" s="493">
        <f>'Exhibit G State'!D96+'Exhibit G Federal'!D66</f>
        <v>1078.5</v>
      </c>
      <c r="E96" s="493"/>
      <c r="F96" s="493">
        <f>'Exhibit G State'!F96+'Exhibit G Federal'!F66</f>
        <v>196.39999999999992</v>
      </c>
      <c r="G96" s="493"/>
      <c r="H96" s="493">
        <f>'Exhibit G State'!H96+'Exhibit G Federal'!H66</f>
        <v>849.30000000000007</v>
      </c>
      <c r="J96" s="493">
        <f>'Exhibit G State'!J96+'Exhibit G Federal'!J66</f>
        <v>370.7000000000001</v>
      </c>
      <c r="L96" s="493">
        <f>'Exhibit G State'!L96+'Exhibit G Federal'!L66</f>
        <v>274.60000000000008</v>
      </c>
      <c r="N96" s="493">
        <f>'Exhibit G State'!N96+'Exhibit G Federal'!N66</f>
        <v>188.99999999999997</v>
      </c>
      <c r="P96" s="493"/>
      <c r="R96" s="493"/>
      <c r="S96" s="493"/>
      <c r="T96" s="493"/>
      <c r="U96" s="493"/>
      <c r="V96" s="493"/>
      <c r="W96" s="493"/>
      <c r="X96" s="493"/>
      <c r="Y96" s="493"/>
      <c r="Z96" s="493"/>
      <c r="AA96" s="493"/>
      <c r="AB96" s="36">
        <v>0</v>
      </c>
      <c r="AC96" s="37"/>
      <c r="AD96" s="36">
        <f t="shared" si="19"/>
        <v>2958.5</v>
      </c>
      <c r="AE96" s="36"/>
      <c r="AF96" s="37"/>
      <c r="AG96" s="493">
        <f>'Exhibit G State'!AG96+'Exhibit G Federal'!AG66</f>
        <v>849.6</v>
      </c>
      <c r="AH96" s="192"/>
      <c r="AI96" s="36"/>
      <c r="AJ96" s="467">
        <f t="shared" si="20"/>
        <v>2108.9</v>
      </c>
      <c r="AK96" s="35"/>
      <c r="AL96" s="2026">
        <f t="shared" si="21"/>
        <v>2.4820000000000002</v>
      </c>
      <c r="AR96" s="39"/>
      <c r="AS96" s="39"/>
    </row>
    <row r="97" spans="1:45" ht="15" customHeight="1">
      <c r="A97" s="21"/>
      <c r="B97" s="120" t="s">
        <v>31</v>
      </c>
      <c r="C97" s="21"/>
      <c r="D97" s="493">
        <f>'Exhibit G State'!D97+'Exhibit G Federal'!D67</f>
        <v>612.5</v>
      </c>
      <c r="E97" s="493"/>
      <c r="F97" s="493">
        <f>'Exhibit G State'!F97+'Exhibit G Federal'!F67</f>
        <v>410.60000000000008</v>
      </c>
      <c r="G97" s="493"/>
      <c r="H97" s="493">
        <f>'Exhibit G State'!H97+'Exhibit G Federal'!H67</f>
        <v>288.30000000000007</v>
      </c>
      <c r="J97" s="493">
        <f>'Exhibit G State'!J97+'Exhibit G Federal'!J67</f>
        <v>269.99999999999989</v>
      </c>
      <c r="L97" s="493">
        <f>'Exhibit G State'!L97+'Exhibit G Federal'!L67</f>
        <v>389.7000000000001</v>
      </c>
      <c r="N97" s="493">
        <f>'Exhibit G State'!N97+'Exhibit G Federal'!N67</f>
        <v>611.79999999999984</v>
      </c>
      <c r="P97" s="493"/>
      <c r="R97" s="493"/>
      <c r="S97" s="493"/>
      <c r="T97" s="493"/>
      <c r="U97" s="493"/>
      <c r="V97" s="493"/>
      <c r="W97" s="493"/>
      <c r="X97" s="493"/>
      <c r="Y97" s="493"/>
      <c r="Z97" s="493"/>
      <c r="AA97" s="493"/>
      <c r="AB97" s="36">
        <v>0</v>
      </c>
      <c r="AC97" s="37"/>
      <c r="AD97" s="36">
        <f t="shared" si="19"/>
        <v>2582.9</v>
      </c>
      <c r="AE97" s="36"/>
      <c r="AF97" s="37"/>
      <c r="AG97" s="493">
        <f>'Exhibit G State'!AG97+'Exhibit G Federal'!AG67</f>
        <v>3233.4</v>
      </c>
      <c r="AH97" s="192"/>
      <c r="AI97" s="36"/>
      <c r="AJ97" s="467">
        <f t="shared" si="20"/>
        <v>-650.5</v>
      </c>
      <c r="AK97" s="35"/>
      <c r="AL97" s="469">
        <f t="shared" si="21"/>
        <v>-0.20100000000000001</v>
      </c>
      <c r="AR97" s="39"/>
      <c r="AS97" s="39"/>
    </row>
    <row r="98" spans="1:45" ht="15" customHeight="1">
      <c r="A98" s="21"/>
      <c r="B98" s="120" t="s">
        <v>32</v>
      </c>
      <c r="C98" s="21"/>
      <c r="D98" s="493">
        <f>'Exhibit G State'!D98+'Exhibit G Federal'!D68</f>
        <v>0.5</v>
      </c>
      <c r="E98" s="493"/>
      <c r="F98" s="493">
        <f>'Exhibit G State'!F98+'Exhibit G Federal'!F68</f>
        <v>154.30000000000001</v>
      </c>
      <c r="G98" s="493"/>
      <c r="H98" s="493">
        <f>'Exhibit G State'!H98+'Exhibit G Federal'!H68</f>
        <v>2.5999999999999996</v>
      </c>
      <c r="J98" s="493">
        <f>'Exhibit G State'!J98+'Exhibit G Federal'!J68</f>
        <v>11.099999999999994</v>
      </c>
      <c r="L98" s="493">
        <f>'Exhibit G State'!L98+'Exhibit G Federal'!L68</f>
        <v>6.0000000000000124</v>
      </c>
      <c r="N98" s="493">
        <f>'Exhibit G State'!N98+'Exhibit G Federal'!N68</f>
        <v>5.9999999999999947</v>
      </c>
      <c r="P98" s="493"/>
      <c r="R98" s="493"/>
      <c r="S98" s="493"/>
      <c r="T98" s="493"/>
      <c r="U98" s="493"/>
      <c r="V98" s="493"/>
      <c r="W98" s="493"/>
      <c r="X98" s="493"/>
      <c r="Y98" s="493"/>
      <c r="Z98" s="493"/>
      <c r="AA98" s="493"/>
      <c r="AB98" s="36">
        <v>0</v>
      </c>
      <c r="AC98" s="37"/>
      <c r="AD98" s="36">
        <f t="shared" si="19"/>
        <v>180.5</v>
      </c>
      <c r="AE98" s="36"/>
      <c r="AF98" s="37"/>
      <c r="AG98" s="493">
        <f>'Exhibit G State'!AG98+'Exhibit G Federal'!AG68</f>
        <v>17.399999999999999</v>
      </c>
      <c r="AH98" s="192"/>
      <c r="AI98" s="36"/>
      <c r="AJ98" s="467">
        <f t="shared" si="20"/>
        <v>163.1</v>
      </c>
      <c r="AK98" s="35"/>
      <c r="AL98" s="971">
        <f>ROUND(IF(AG98=0,0,AJ98/ABS(AG98)),3)</f>
        <v>9.3740000000000006</v>
      </c>
      <c r="AR98" s="1464"/>
      <c r="AS98" s="1464"/>
    </row>
    <row r="99" spans="1:45" ht="15" customHeight="1">
      <c r="A99" s="21"/>
      <c r="B99" s="120" t="s">
        <v>33</v>
      </c>
      <c r="C99" s="21"/>
      <c r="D99" s="493">
        <f>'Exhibit G State'!D99+'Exhibit G Federal'!D69</f>
        <v>88.5</v>
      </c>
      <c r="E99" s="493"/>
      <c r="F99" s="493">
        <f>'Exhibit G State'!F99+'Exhibit G Federal'!F69</f>
        <v>584.29999999999995</v>
      </c>
      <c r="G99" s="493"/>
      <c r="H99" s="493">
        <f>'Exhibit G State'!H99+'Exhibit G Federal'!H69</f>
        <v>350.00000000000006</v>
      </c>
      <c r="J99" s="493">
        <f>'Exhibit G State'!J99+'Exhibit G Federal'!J69</f>
        <v>380.9</v>
      </c>
      <c r="L99" s="493">
        <f>'Exhibit G State'!L99+'Exhibit G Federal'!L69</f>
        <v>536.19999999999982</v>
      </c>
      <c r="N99" s="493">
        <f>'Exhibit G State'!N99+'Exhibit G Federal'!N69</f>
        <v>364.70000000000044</v>
      </c>
      <c r="P99" s="493"/>
      <c r="R99" s="493"/>
      <c r="S99" s="493"/>
      <c r="T99" s="493"/>
      <c r="U99" s="493"/>
      <c r="V99" s="493"/>
      <c r="W99" s="493"/>
      <c r="X99" s="493"/>
      <c r="Y99" s="493"/>
      <c r="Z99" s="493"/>
      <c r="AA99" s="493"/>
      <c r="AB99" s="36">
        <v>0</v>
      </c>
      <c r="AC99" s="37"/>
      <c r="AD99" s="36">
        <f t="shared" si="19"/>
        <v>2304.6</v>
      </c>
      <c r="AE99" s="36"/>
      <c r="AF99" s="37"/>
      <c r="AG99" s="493">
        <f>'Exhibit G State'!AG99+'Exhibit G Federal'!AG69</f>
        <v>2145</v>
      </c>
      <c r="AH99" s="192"/>
      <c r="AI99" s="36"/>
      <c r="AJ99" s="467">
        <f t="shared" si="20"/>
        <v>159.6</v>
      </c>
      <c r="AK99" s="35"/>
      <c r="AL99" s="954">
        <f t="shared" si="21"/>
        <v>7.3999999999999996E-2</v>
      </c>
      <c r="AM99" s="1465"/>
      <c r="AR99" s="39"/>
      <c r="AS99" s="39"/>
    </row>
    <row r="100" spans="1:45" ht="15" customHeight="1">
      <c r="A100" s="21"/>
      <c r="B100" s="19" t="s">
        <v>1036</v>
      </c>
      <c r="C100" s="21"/>
      <c r="D100" s="41">
        <f>ROUND(SUM(D90:D99),1)</f>
        <v>7898.3</v>
      </c>
      <c r="F100" s="41">
        <f>ROUND(SUM(F90:F99),1)</f>
        <v>10672.1</v>
      </c>
      <c r="H100" s="41">
        <f>ROUND(SUM(H90:H99),1)</f>
        <v>8492.5</v>
      </c>
      <c r="J100" s="1138">
        <f>ROUND(SUM(J90:J99),1)</f>
        <v>7820.1</v>
      </c>
      <c r="L100" s="41">
        <f t="shared" ref="L100" si="22">ROUND(SUM(L90:L99),1)</f>
        <v>8779.7000000000007</v>
      </c>
      <c r="N100" s="41">
        <f t="shared" ref="N100" si="23">ROUND(SUM(N90:N99),1)</f>
        <v>8686.5</v>
      </c>
      <c r="P100" s="41">
        <f t="shared" ref="P100" si="24">ROUND(SUM(P90:P99),1)</f>
        <v>0</v>
      </c>
      <c r="R100" s="41">
        <f t="shared" ref="R100:T100" si="25">ROUND(SUM(R90:R99),1)</f>
        <v>0</v>
      </c>
      <c r="T100" s="41">
        <f t="shared" si="25"/>
        <v>0</v>
      </c>
      <c r="V100" s="41">
        <f t="shared" ref="V100:X100" si="26">ROUND(SUM(V90:V99),1)</f>
        <v>0</v>
      </c>
      <c r="X100" s="41">
        <f t="shared" si="26"/>
        <v>0</v>
      </c>
      <c r="Z100" s="41">
        <f t="shared" ref="Z100" si="27">ROUND(SUM(Z90:Z99),1)</f>
        <v>0</v>
      </c>
      <c r="AA100" s="42"/>
      <c r="AB100" s="41">
        <f>ROUND(SUM(AB90:AB99),1)</f>
        <v>0</v>
      </c>
      <c r="AC100" s="44"/>
      <c r="AD100" s="41">
        <f>ROUND(SUM(AD90:AD99),1)</f>
        <v>52349.2</v>
      </c>
      <c r="AE100" s="42"/>
      <c r="AF100" s="44"/>
      <c r="AG100" s="41">
        <f>ROUND(SUM(AG90:AG99),1)</f>
        <v>46031.1</v>
      </c>
      <c r="AH100" s="198"/>
      <c r="AI100" s="42"/>
      <c r="AJ100" s="41">
        <f>ROUND(SUM(AJ90:AJ99),1)</f>
        <v>6318.1</v>
      </c>
      <c r="AK100" s="112"/>
      <c r="AL100" s="651">
        <f>ROUND(SUM(+AJ100/AG100),3)</f>
        <v>0.13700000000000001</v>
      </c>
      <c r="AS100" s="39"/>
    </row>
    <row r="101" spans="1:45" ht="15" customHeight="1">
      <c r="A101" s="21"/>
      <c r="B101" s="21" t="s">
        <v>166</v>
      </c>
      <c r="C101" s="21"/>
      <c r="D101" s="36"/>
      <c r="F101" s="36"/>
      <c r="H101" s="36"/>
      <c r="J101" s="467"/>
      <c r="L101" s="36"/>
      <c r="N101" s="36"/>
      <c r="P101" s="36"/>
      <c r="R101" s="36"/>
      <c r="T101" s="36"/>
      <c r="V101" s="36"/>
      <c r="X101" s="36"/>
      <c r="Z101" s="36"/>
      <c r="AA101" s="36"/>
      <c r="AB101" s="36"/>
      <c r="AC101" s="37"/>
      <c r="AD101" s="36"/>
      <c r="AE101" s="36"/>
      <c r="AF101" s="37"/>
      <c r="AG101" s="36"/>
      <c r="AH101" s="192"/>
      <c r="AI101" s="36"/>
      <c r="AJ101" s="467"/>
      <c r="AL101" s="488"/>
      <c r="AS101" s="39"/>
    </row>
    <row r="102" spans="1:45" ht="15" customHeight="1">
      <c r="A102" s="21"/>
      <c r="B102" s="21" t="s">
        <v>150</v>
      </c>
      <c r="C102" s="21"/>
      <c r="D102" s="493">
        <f>'Exhibit G State'!D102+'Exhibit G Federal'!D72</f>
        <v>527.4</v>
      </c>
      <c r="E102" s="493"/>
      <c r="F102" s="493">
        <f>'Exhibit G State'!F102+'Exhibit G Federal'!F72</f>
        <v>495.3</v>
      </c>
      <c r="G102" s="493"/>
      <c r="H102" s="493">
        <f>'Exhibit G State'!H102+'Exhibit G Federal'!H72</f>
        <v>451.6</v>
      </c>
      <c r="J102" s="493">
        <f>'Exhibit G State'!J102+'Exhibit G Federal'!J72</f>
        <v>465.09999999999991</v>
      </c>
      <c r="L102" s="493">
        <f>'Exhibit G State'!L102+'Exhibit G Federal'!L72</f>
        <v>723.2</v>
      </c>
      <c r="N102" s="493">
        <f>'Exhibit G State'!N102+'Exhibit G Federal'!N72</f>
        <v>459.2000000000001</v>
      </c>
      <c r="P102" s="493"/>
      <c r="R102" s="493"/>
      <c r="S102" s="493"/>
      <c r="T102" s="493"/>
      <c r="U102" s="493"/>
      <c r="V102" s="493"/>
      <c r="W102" s="493"/>
      <c r="X102" s="493"/>
      <c r="Y102" s="493"/>
      <c r="Z102" s="493"/>
      <c r="AA102" s="493"/>
      <c r="AB102" s="36">
        <v>0</v>
      </c>
      <c r="AC102" s="37"/>
      <c r="AD102" s="36">
        <f>ROUND(SUM(D102:Z102),1)</f>
        <v>3121.8</v>
      </c>
      <c r="AE102" s="36"/>
      <c r="AF102" s="37"/>
      <c r="AG102" s="493">
        <f>'Exhibit G State'!AG102+'Exhibit G Federal'!AG72</f>
        <v>2943.1</v>
      </c>
      <c r="AH102" s="192"/>
      <c r="AI102" s="36"/>
      <c r="AJ102" s="467">
        <f>ROUND(SUM(+AD102-AG102),1)</f>
        <v>178.7</v>
      </c>
      <c r="AK102" s="35"/>
      <c r="AL102" s="469">
        <f>ROUND(IF(AG102=0,0,AJ102/ABS(AG102)),3)</f>
        <v>6.0999999999999999E-2</v>
      </c>
    </row>
    <row r="103" spans="1:45" ht="15" customHeight="1">
      <c r="A103" s="21"/>
      <c r="B103" s="21" t="s">
        <v>167</v>
      </c>
      <c r="C103" s="21"/>
      <c r="D103" s="493">
        <f>'Exhibit G State'!D103+'Exhibit G Federal'!D73</f>
        <v>292.39999999999998</v>
      </c>
      <c r="E103" s="493"/>
      <c r="F103" s="493">
        <f>'Exhibit G State'!F103+'Exhibit G Federal'!F73</f>
        <v>404.8</v>
      </c>
      <c r="G103" s="493"/>
      <c r="H103" s="493">
        <f>'Exhibit G State'!H103+'Exhibit G Federal'!H73</f>
        <v>1074.5999999999999</v>
      </c>
      <c r="J103" s="493">
        <f>'Exhibit G State'!J103+'Exhibit G Federal'!J73</f>
        <v>325.60000000000014</v>
      </c>
      <c r="L103" s="493">
        <f>'Exhibit G State'!L103+'Exhibit G Federal'!L73</f>
        <v>456.79999999999984</v>
      </c>
      <c r="N103" s="493">
        <f>'Exhibit G State'!N103+'Exhibit G Federal'!N73</f>
        <v>693.00000000000011</v>
      </c>
      <c r="P103" s="493"/>
      <c r="R103" s="493"/>
      <c r="S103" s="493"/>
      <c r="T103" s="493"/>
      <c r="U103" s="493"/>
      <c r="V103" s="493"/>
      <c r="W103" s="493"/>
      <c r="X103" s="493"/>
      <c r="Y103" s="493"/>
      <c r="Z103" s="493"/>
      <c r="AA103" s="493"/>
      <c r="AB103" s="36">
        <v>0</v>
      </c>
      <c r="AC103" s="37"/>
      <c r="AD103" s="36">
        <f>ROUND(SUM(D103:Z103),1)</f>
        <v>3247.2</v>
      </c>
      <c r="AE103" s="36"/>
      <c r="AF103" s="37"/>
      <c r="AG103" s="493">
        <f>'Exhibit G State'!AG103+'Exhibit G Federal'!AG73</f>
        <v>2293.3000000000002</v>
      </c>
      <c r="AH103" s="192"/>
      <c r="AI103" s="36"/>
      <c r="AJ103" s="467">
        <f>ROUND(SUM(+AD103-AG103),1)</f>
        <v>953.9</v>
      </c>
      <c r="AK103" s="35"/>
      <c r="AL103" s="469">
        <f>ROUND(IF(AG103=0,0,AJ103/ABS(AG103)),3)</f>
        <v>0.41599999999999998</v>
      </c>
    </row>
    <row r="104" spans="1:45" ht="15" customHeight="1">
      <c r="A104" s="21"/>
      <c r="B104" s="21" t="s">
        <v>168</v>
      </c>
      <c r="C104" s="21"/>
      <c r="D104" s="493">
        <f>'Exhibit G State'!D104+'Exhibit G Federal'!D74</f>
        <v>29.9</v>
      </c>
      <c r="E104" s="493"/>
      <c r="F104" s="493">
        <f>'Exhibit G State'!F104+'Exhibit G Federal'!F74</f>
        <v>170.2</v>
      </c>
      <c r="G104" s="493"/>
      <c r="H104" s="493">
        <f>'Exhibit G State'!H104+'Exhibit G Federal'!H74</f>
        <v>130.69999999999999</v>
      </c>
      <c r="J104" s="493">
        <f>'Exhibit G State'!J104+'Exhibit G Federal'!J74</f>
        <v>84.500000000000014</v>
      </c>
      <c r="L104" s="493">
        <f>'Exhibit G State'!L104+'Exhibit G Federal'!L74</f>
        <v>160.6</v>
      </c>
      <c r="N104" s="493">
        <f>'Exhibit G State'!N104+'Exhibit G Federal'!N74</f>
        <v>97.600000000000094</v>
      </c>
      <c r="P104" s="493"/>
      <c r="R104" s="493"/>
      <c r="S104" s="493"/>
      <c r="T104" s="493"/>
      <c r="U104" s="493"/>
      <c r="V104" s="493"/>
      <c r="W104" s="493"/>
      <c r="X104" s="493"/>
      <c r="Y104" s="493"/>
      <c r="Z104" s="493"/>
      <c r="AA104" s="493"/>
      <c r="AB104" s="36">
        <v>0</v>
      </c>
      <c r="AC104" s="37"/>
      <c r="AD104" s="36">
        <f>ROUND(SUM(D104:Z104),1)</f>
        <v>673.5</v>
      </c>
      <c r="AE104" s="36"/>
      <c r="AF104" s="37"/>
      <c r="AG104" s="493">
        <f>'Exhibit G State'!AG104+'Exhibit G Federal'!AG74</f>
        <v>697.09999999999991</v>
      </c>
      <c r="AH104" s="192"/>
      <c r="AI104" s="36"/>
      <c r="AJ104" s="467">
        <f>ROUND(SUM(+AD104-AG104),1)</f>
        <v>-23.6</v>
      </c>
      <c r="AK104" s="35"/>
      <c r="AL104" s="469">
        <f>ROUND(IF(AG104=0,0,AJ104/ABS(AG104)),3)</f>
        <v>-3.4000000000000002E-2</v>
      </c>
    </row>
    <row r="105" spans="1:45" ht="15" customHeight="1">
      <c r="A105" s="21"/>
      <c r="B105" s="152" t="s">
        <v>1214</v>
      </c>
      <c r="C105" s="21"/>
      <c r="D105" s="493"/>
      <c r="E105" s="493"/>
      <c r="F105" s="493"/>
      <c r="G105" s="493"/>
      <c r="H105" s="493"/>
      <c r="J105" s="493"/>
      <c r="L105" s="493"/>
      <c r="N105" s="493"/>
      <c r="P105" s="493"/>
      <c r="R105" s="493"/>
      <c r="S105" s="493"/>
      <c r="T105" s="493"/>
      <c r="U105" s="493"/>
      <c r="V105" s="493"/>
      <c r="W105" s="493"/>
      <c r="X105" s="493"/>
      <c r="Y105" s="493"/>
      <c r="Z105" s="493"/>
      <c r="AA105" s="493"/>
      <c r="AB105" s="36"/>
      <c r="AC105" s="37"/>
      <c r="AD105" s="36"/>
      <c r="AE105" s="36"/>
      <c r="AF105" s="37"/>
      <c r="AG105" s="493"/>
      <c r="AH105" s="192"/>
      <c r="AI105" s="36"/>
      <c r="AJ105" s="467"/>
      <c r="AK105" s="35"/>
      <c r="AL105" s="469"/>
    </row>
    <row r="106" spans="1:45" ht="15" customHeight="1">
      <c r="A106" s="21"/>
      <c r="B106" s="152" t="s">
        <v>1302</v>
      </c>
      <c r="C106" s="21"/>
      <c r="D106" s="493">
        <f>'Exhibit G Federal'!D76</f>
        <v>0</v>
      </c>
      <c r="E106" s="493"/>
      <c r="F106" s="493">
        <f>'Exhibit G Federal'!F76</f>
        <v>0</v>
      </c>
      <c r="G106" s="493"/>
      <c r="H106" s="493">
        <f>'Exhibit G Federal'!H76</f>
        <v>0</v>
      </c>
      <c r="J106" s="493">
        <f>'Exhibit G Federal'!J76</f>
        <v>0</v>
      </c>
      <c r="L106" s="493">
        <f>'Exhibit G Federal'!L76</f>
        <v>0</v>
      </c>
      <c r="N106" s="493">
        <f>'Exhibit G Federal'!N76</f>
        <v>0</v>
      </c>
      <c r="P106" s="493"/>
      <c r="R106" s="493"/>
      <c r="S106" s="493"/>
      <c r="T106" s="493"/>
      <c r="U106" s="493"/>
      <c r="V106" s="493"/>
      <c r="W106" s="493"/>
      <c r="X106" s="493"/>
      <c r="Y106" s="493"/>
      <c r="Z106" s="493"/>
      <c r="AA106" s="493"/>
      <c r="AB106" s="36">
        <v>0</v>
      </c>
      <c r="AC106" s="37"/>
      <c r="AD106" s="36">
        <f>ROUND(SUM(D106:Z106),1)</f>
        <v>0</v>
      </c>
      <c r="AE106" s="36"/>
      <c r="AF106" s="37"/>
      <c r="AG106" s="493">
        <f>'Exhibit G Federal'!AG76</f>
        <v>0</v>
      </c>
      <c r="AH106" s="192"/>
      <c r="AI106" s="36"/>
      <c r="AJ106" s="467">
        <f>ROUND(SUM(+AD106-AG106),1)</f>
        <v>0</v>
      </c>
      <c r="AK106" s="35"/>
      <c r="AL106" s="469">
        <f>ROUND(IF(AG106=0,0,AJ106/ABS(AG106)),3)</f>
        <v>0</v>
      </c>
    </row>
    <row r="107" spans="1:45" ht="15" customHeight="1">
      <c r="A107" s="21"/>
      <c r="B107" s="21" t="s">
        <v>169</v>
      </c>
      <c r="C107" s="21"/>
      <c r="D107" s="493">
        <f>'Exhibit G State'!D105+'Exhibit G Federal'!D77</f>
        <v>0</v>
      </c>
      <c r="E107" s="493"/>
      <c r="F107" s="493">
        <f>'Exhibit G State'!F105+'Exhibit G Federal'!F77</f>
        <v>0</v>
      </c>
      <c r="G107" s="493"/>
      <c r="H107" s="493">
        <f>'Exhibit G State'!H105+'Exhibit G Federal'!H77</f>
        <v>0</v>
      </c>
      <c r="J107" s="493">
        <f>'Exhibit G State'!J105+'Exhibit G Federal'!J77</f>
        <v>0</v>
      </c>
      <c r="L107" s="493">
        <f>'Exhibit G State'!L105+'Exhibit G Federal'!L77</f>
        <v>0</v>
      </c>
      <c r="N107" s="493">
        <f>'Exhibit G State'!N105+'Exhibit G Federal'!N77</f>
        <v>0</v>
      </c>
      <c r="P107" s="493"/>
      <c r="R107" s="493"/>
      <c r="S107" s="493"/>
      <c r="T107" s="493"/>
      <c r="U107" s="493"/>
      <c r="V107" s="493"/>
      <c r="W107" s="493"/>
      <c r="X107" s="493"/>
      <c r="Y107" s="493"/>
      <c r="Z107" s="493"/>
      <c r="AA107" s="493"/>
      <c r="AB107" s="1462">
        <v>0</v>
      </c>
      <c r="AC107" s="37"/>
      <c r="AD107" s="36">
        <f>ROUND(SUM(D107:Z107),1)</f>
        <v>0</v>
      </c>
      <c r="AE107" s="36"/>
      <c r="AF107" s="37"/>
      <c r="AG107" s="493">
        <f>'Exhibit G State'!AG105+'Exhibit G Federal'!AG77</f>
        <v>0</v>
      </c>
      <c r="AH107" s="192"/>
      <c r="AI107" s="36"/>
      <c r="AJ107" s="467">
        <f>ROUND(SUM(+AD107-AG107),1)</f>
        <v>0</v>
      </c>
      <c r="AK107" s="35"/>
      <c r="AL107" s="469">
        <f>ROUND(IF(AG107=0,0,AJ107/ABS(AG107)),3)</f>
        <v>0</v>
      </c>
    </row>
    <row r="108" spans="1:45" ht="15" customHeight="1">
      <c r="A108" s="21"/>
      <c r="B108" s="21"/>
      <c r="C108" s="21"/>
      <c r="D108" s="61"/>
      <c r="F108" s="61"/>
      <c r="H108" s="61"/>
      <c r="J108" s="497"/>
      <c r="L108" s="61"/>
      <c r="N108" s="61"/>
      <c r="P108" s="61"/>
      <c r="R108" s="61"/>
      <c r="T108" s="61"/>
      <c r="V108" s="61"/>
      <c r="X108" s="61"/>
      <c r="Z108" s="61"/>
      <c r="AA108" s="36"/>
      <c r="AB108" s="36"/>
      <c r="AC108" s="37"/>
      <c r="AD108" s="61"/>
      <c r="AE108" s="36"/>
      <c r="AF108" s="37"/>
      <c r="AG108" s="61"/>
      <c r="AH108" s="192"/>
      <c r="AI108" s="36"/>
      <c r="AJ108" s="941"/>
      <c r="AL108" s="956"/>
    </row>
    <row r="109" spans="1:45" ht="15" customHeight="1">
      <c r="A109" s="21"/>
      <c r="B109" s="19" t="s">
        <v>153</v>
      </c>
      <c r="C109" s="21"/>
      <c r="D109" s="42">
        <f>ROUND(SUM(D100:D107),1)</f>
        <v>8748</v>
      </c>
      <c r="F109" s="42">
        <f>ROUND(SUM(F100:F107),1)</f>
        <v>11742.4</v>
      </c>
      <c r="H109" s="42">
        <f>ROUND(SUM(H100:H107),1)</f>
        <v>10149.4</v>
      </c>
      <c r="J109" s="42">
        <f>ROUND(SUM(J100:J107),1)</f>
        <v>8695.2999999999993</v>
      </c>
      <c r="L109" s="42">
        <f t="shared" ref="L109" si="28">ROUND(SUM(L100:L107),1)</f>
        <v>10120.299999999999</v>
      </c>
      <c r="N109" s="42">
        <f t="shared" ref="N109" si="29">ROUND(SUM(N100:N107),1)</f>
        <v>9936.2999999999993</v>
      </c>
      <c r="P109" s="42">
        <f t="shared" ref="P109" si="30">ROUND(SUM(P100:P107),1)</f>
        <v>0</v>
      </c>
      <c r="R109" s="42">
        <f t="shared" ref="R109:T109" si="31">ROUND(SUM(R100:R107),1)</f>
        <v>0</v>
      </c>
      <c r="T109" s="42">
        <f t="shared" si="31"/>
        <v>0</v>
      </c>
      <c r="V109" s="42">
        <f t="shared" ref="V109:X109" si="32">ROUND(SUM(V100:V107),1)</f>
        <v>0</v>
      </c>
      <c r="X109" s="42">
        <f t="shared" si="32"/>
        <v>0</v>
      </c>
      <c r="Z109" s="42">
        <f t="shared" ref="Z109" si="33">ROUND(SUM(Z100:Z107),1)</f>
        <v>0</v>
      </c>
      <c r="AA109" s="42"/>
      <c r="AB109" s="1463">
        <v>0</v>
      </c>
      <c r="AC109" s="44"/>
      <c r="AD109" s="42">
        <f>ROUND(SUM(AD100:AD107),1)</f>
        <v>59391.7</v>
      </c>
      <c r="AE109" s="42"/>
      <c r="AF109" s="44"/>
      <c r="AG109" s="42">
        <f>ROUND(SUM(AG100:AG107),1)</f>
        <v>51964.6</v>
      </c>
      <c r="AH109" s="198"/>
      <c r="AI109" s="42"/>
      <c r="AJ109" s="50">
        <f>ROUND(SUM(AJ100:AJ107),1)</f>
        <v>7427.1</v>
      </c>
      <c r="AK109" s="139"/>
      <c r="AL109" s="651">
        <f>ROUND(SUM(+AJ109/AG109),3)</f>
        <v>0.14299999999999999</v>
      </c>
    </row>
    <row r="110" spans="1:45" ht="15" customHeight="1">
      <c r="A110" s="21"/>
      <c r="B110" s="21"/>
      <c r="C110" s="21"/>
      <c r="D110" s="61"/>
      <c r="F110" s="61"/>
      <c r="H110" s="61"/>
      <c r="J110" s="497"/>
      <c r="L110" s="61"/>
      <c r="N110" s="61"/>
      <c r="P110" s="61"/>
      <c r="R110" s="61"/>
      <c r="T110" s="61"/>
      <c r="V110" s="61"/>
      <c r="X110" s="61"/>
      <c r="Z110" s="61"/>
      <c r="AA110" s="36"/>
      <c r="AB110" s="36"/>
      <c r="AC110" s="37"/>
      <c r="AD110" s="61"/>
      <c r="AE110" s="36"/>
      <c r="AF110" s="37"/>
      <c r="AG110" s="61"/>
      <c r="AH110" s="192"/>
      <c r="AI110" s="36"/>
      <c r="AJ110" s="467"/>
      <c r="AL110" s="488"/>
    </row>
    <row r="111" spans="1:45" ht="15" customHeight="1">
      <c r="A111" s="21"/>
      <c r="B111" s="19" t="s">
        <v>154</v>
      </c>
      <c r="C111" s="21"/>
      <c r="D111" s="36"/>
      <c r="F111" s="36"/>
      <c r="H111" s="36"/>
      <c r="J111" s="467"/>
      <c r="L111" s="36"/>
      <c r="N111" s="36"/>
      <c r="P111" s="36"/>
      <c r="R111" s="36"/>
      <c r="T111" s="36"/>
      <c r="V111" s="36"/>
      <c r="X111" s="36"/>
      <c r="Z111" s="36"/>
      <c r="AA111" s="36"/>
      <c r="AB111" s="36"/>
      <c r="AC111" s="37"/>
      <c r="AD111" s="36" t="s">
        <v>155</v>
      </c>
      <c r="AE111" s="1856"/>
      <c r="AF111" s="1857"/>
      <c r="AG111" s="36"/>
      <c r="AH111" s="1867"/>
      <c r="AI111" s="38"/>
      <c r="AJ111" s="467"/>
      <c r="AL111" s="488"/>
    </row>
    <row r="112" spans="1:45" ht="15" customHeight="1">
      <c r="A112" s="21"/>
      <c r="B112" s="19" t="s">
        <v>44</v>
      </c>
      <c r="C112" s="21"/>
      <c r="D112" s="42">
        <f>ROUND(SUM(D86-D109),1)</f>
        <v>2164.6</v>
      </c>
      <c r="F112" s="42">
        <f>ROUND(SUM(F86-F109),1)</f>
        <v>-3019.4</v>
      </c>
      <c r="G112" s="42">
        <f>ROUND(SUM(G86-G109),1)</f>
        <v>0</v>
      </c>
      <c r="H112" s="42">
        <f>ROUND(SUM(H86-H109),1)</f>
        <v>4153.3</v>
      </c>
      <c r="J112" s="42">
        <f>ROUND(SUM(J86-J109),1)</f>
        <v>405.8</v>
      </c>
      <c r="L112" s="42">
        <f>ROUND(SUM(L86-L109),1)</f>
        <v>-646.9</v>
      </c>
      <c r="N112" s="42">
        <f>ROUND(SUM(N86-N109),1)</f>
        <v>-1119.4000000000001</v>
      </c>
      <c r="P112" s="42">
        <f>ROUND(SUM(P86-P109),1)</f>
        <v>0</v>
      </c>
      <c r="R112" s="42">
        <f>ROUND(SUM(R86-R109),1)</f>
        <v>0</v>
      </c>
      <c r="T112" s="42">
        <f>ROUND(SUM(T86-T109),1)</f>
        <v>0</v>
      </c>
      <c r="V112" s="42">
        <f>ROUND(SUM(V86-V109),1)</f>
        <v>0</v>
      </c>
      <c r="X112" s="42">
        <f>ROUND(SUM(X86-X109),1)</f>
        <v>0</v>
      </c>
      <c r="Z112" s="42">
        <f>ROUND(SUM(Z86-Z109),1)</f>
        <v>0</v>
      </c>
      <c r="AA112" s="42"/>
      <c r="AB112" s="1463">
        <v>0</v>
      </c>
      <c r="AC112" s="44"/>
      <c r="AD112" s="42">
        <f>ROUND(SUM(AD86-AD109),1)</f>
        <v>1938</v>
      </c>
      <c r="AE112" s="42"/>
      <c r="AF112" s="44"/>
      <c r="AG112" s="42">
        <f>ROUND(SUM(AG86-AG109),1)</f>
        <v>2241.1999999999998</v>
      </c>
      <c r="AH112" s="198"/>
      <c r="AI112" s="42"/>
      <c r="AJ112" s="601">
        <f>ROUND(SUM(AJ86-AJ109),1)</f>
        <v>-303.2</v>
      </c>
      <c r="AK112" s="139"/>
      <c r="AL112" s="1151">
        <f>ROUND(SUM(+AJ112/ABS(AG112)),3)</f>
        <v>-0.13500000000000001</v>
      </c>
    </row>
    <row r="113" spans="1:49" ht="15" customHeight="1">
      <c r="A113" s="21"/>
      <c r="B113" s="21"/>
      <c r="C113" s="21"/>
      <c r="D113" s="61"/>
      <c r="F113" s="61"/>
      <c r="H113" s="61"/>
      <c r="J113" s="497"/>
      <c r="L113" s="61"/>
      <c r="N113" s="61"/>
      <c r="P113" s="61"/>
      <c r="R113" s="61"/>
      <c r="T113" s="61"/>
      <c r="V113" s="61"/>
      <c r="X113" s="61"/>
      <c r="Z113" s="61"/>
      <c r="AA113" s="36"/>
      <c r="AB113" s="36"/>
      <c r="AC113" s="37"/>
      <c r="AD113" s="61"/>
      <c r="AE113" s="36"/>
      <c r="AF113" s="37"/>
      <c r="AG113" s="61"/>
      <c r="AH113" s="192"/>
      <c r="AI113" s="36"/>
      <c r="AJ113" s="467"/>
      <c r="AL113" s="488"/>
    </row>
    <row r="114" spans="1:49" ht="15" customHeight="1">
      <c r="A114" s="21"/>
      <c r="B114" s="19" t="s">
        <v>45</v>
      </c>
      <c r="C114" s="21"/>
      <c r="D114" s="36"/>
      <c r="F114" s="36"/>
      <c r="H114" s="36"/>
      <c r="J114" s="467"/>
      <c r="L114" s="36"/>
      <c r="N114" s="36"/>
      <c r="P114" s="36"/>
      <c r="R114" s="36"/>
      <c r="T114" s="36"/>
      <c r="V114" s="36"/>
      <c r="X114" s="36"/>
      <c r="Z114" s="467" t="s">
        <v>14</v>
      </c>
      <c r="AA114" s="36"/>
      <c r="AB114" s="36"/>
      <c r="AC114" s="37"/>
      <c r="AD114" s="36"/>
      <c r="AE114" s="36"/>
      <c r="AF114" s="37"/>
      <c r="AG114" s="36"/>
      <c r="AH114" s="192"/>
      <c r="AI114" s="36"/>
      <c r="AJ114" s="467"/>
      <c r="AL114" s="488"/>
    </row>
    <row r="115" spans="1:49" ht="15" customHeight="1">
      <c r="A115" s="21"/>
      <c r="B115" s="21" t="s">
        <v>170</v>
      </c>
      <c r="C115" s="21"/>
      <c r="D115" s="1466">
        <f>+'Exhibit G State'!D113+'Exhibit G Federal'!D85</f>
        <v>310</v>
      </c>
      <c r="E115" s="1466"/>
      <c r="F115" s="1466">
        <f>+'Exhibit G State'!F113+'Exhibit G Federal'!F85</f>
        <v>859.09999999999991</v>
      </c>
      <c r="G115" s="1466"/>
      <c r="H115" s="1466">
        <f>+'Exhibit G State'!H113+'Exhibit G Federal'!H85</f>
        <v>441.20000000000005</v>
      </c>
      <c r="I115" s="1466"/>
      <c r="J115" s="1466">
        <f>+'Exhibit G State'!J113+'Exhibit G Federal'!J85</f>
        <v>342</v>
      </c>
      <c r="L115" s="1466">
        <f>+'Exhibit G State'!L113+'Exhibit G Federal'!L85</f>
        <v>144.20000000000005</v>
      </c>
      <c r="N115" s="1466">
        <f>+'Exhibit G State'!N113+'Exhibit G Federal'!N85</f>
        <v>94.5</v>
      </c>
      <c r="P115" s="1466"/>
      <c r="R115" s="1466"/>
      <c r="S115" s="1466"/>
      <c r="T115" s="1466"/>
      <c r="U115" s="2169"/>
      <c r="V115" s="1466"/>
      <c r="W115" s="1466"/>
      <c r="X115" s="1466"/>
      <c r="Y115" s="1466"/>
      <c r="Z115" s="1466"/>
      <c r="AA115" s="193"/>
      <c r="AB115" s="912">
        <v>-380.6</v>
      </c>
      <c r="AC115" s="37"/>
      <c r="AD115" s="36">
        <f>ROUND(SUM(D115:AB115),1)</f>
        <v>1810.4</v>
      </c>
      <c r="AE115" s="36"/>
      <c r="AF115" s="37"/>
      <c r="AG115" s="493">
        <f>'Exhibit G State'!AG113+'Exhibit G Federal'!AG85-365.4</f>
        <v>1983.6</v>
      </c>
      <c r="AH115" s="192"/>
      <c r="AI115" s="36"/>
      <c r="AJ115" s="467">
        <f>ROUND(SUM(+AD115-AG115),1)</f>
        <v>-173.2</v>
      </c>
      <c r="AK115" s="35"/>
      <c r="AL115" s="469">
        <f>ROUND(IF(AG115=0,0,AJ115/ABS(AG115)),3)</f>
        <v>-8.6999999999999994E-2</v>
      </c>
    </row>
    <row r="116" spans="1:49" ht="15" customHeight="1">
      <c r="A116" s="21"/>
      <c r="B116" s="21" t="s">
        <v>171</v>
      </c>
      <c r="C116" s="21"/>
      <c r="D116" s="1466">
        <f>+'Exhibit G State'!D114+'Exhibit G Federal'!D86</f>
        <v>-99.7</v>
      </c>
      <c r="E116" s="1466"/>
      <c r="F116" s="1466">
        <f>+'Exhibit G State'!F114+'Exhibit G Federal'!F86</f>
        <v>-419.1</v>
      </c>
      <c r="G116" s="1466"/>
      <c r="H116" s="1466">
        <f>+'Exhibit G State'!H114+'Exhibit G Federal'!H86</f>
        <v>-177.3</v>
      </c>
      <c r="J116" s="1466">
        <f>+'Exhibit G State'!J114+'Exhibit G Federal'!J86</f>
        <v>-52.399999999999977</v>
      </c>
      <c r="L116" s="1466">
        <f>+'Exhibit G State'!L114+'Exhibit G Federal'!L86</f>
        <v>-192.8</v>
      </c>
      <c r="N116" s="1466">
        <f>+'Exhibit G State'!N114+'Exhibit G Federal'!N86</f>
        <v>-118.29999999999998</v>
      </c>
      <c r="P116" s="1466"/>
      <c r="R116" s="1466"/>
      <c r="S116" s="1466"/>
      <c r="T116" s="1466"/>
      <c r="U116" s="2169"/>
      <c r="V116" s="1466"/>
      <c r="W116" s="1466"/>
      <c r="X116" s="1466"/>
      <c r="Y116" s="1466"/>
      <c r="Z116" s="1466"/>
      <c r="AA116" s="193"/>
      <c r="AB116" s="2292">
        <v>380.6</v>
      </c>
      <c r="AC116" s="37"/>
      <c r="AD116" s="36">
        <f>ROUND(SUM(D116:AB116),1)</f>
        <v>-679</v>
      </c>
      <c r="AE116" s="36"/>
      <c r="AF116" s="37"/>
      <c r="AG116" s="493">
        <f>'Exhibit G State'!AG114+'Exhibit G Federal'!AG86+365.4</f>
        <v>-848.6</v>
      </c>
      <c r="AH116" s="192"/>
      <c r="AI116" s="36"/>
      <c r="AJ116" s="467">
        <f>ROUND(SUM(+AD116-AG116)*-1,1)</f>
        <v>-169.6</v>
      </c>
      <c r="AK116" s="35"/>
      <c r="AL116" s="469">
        <f>ROUND(IF(AG116=0,0,AJ116/ABS(AG116)),3)</f>
        <v>-0.2</v>
      </c>
    </row>
    <row r="117" spans="1:49" ht="15" customHeight="1">
      <c r="A117" s="21"/>
      <c r="B117" s="21"/>
      <c r="C117" s="21"/>
      <c r="D117" s="61"/>
      <c r="F117" s="61"/>
      <c r="H117" s="61"/>
      <c r="J117" s="61"/>
      <c r="L117" s="61"/>
      <c r="N117" s="61"/>
      <c r="P117" s="61"/>
      <c r="R117" s="61"/>
      <c r="T117" s="61"/>
      <c r="V117" s="61"/>
      <c r="X117" s="61"/>
      <c r="Z117" s="61"/>
      <c r="AA117" s="36"/>
      <c r="AB117" s="36"/>
      <c r="AC117" s="37"/>
      <c r="AD117" s="61"/>
      <c r="AE117" s="36"/>
      <c r="AF117" s="37"/>
      <c r="AG117" s="61"/>
      <c r="AH117" s="192"/>
      <c r="AI117" s="36"/>
      <c r="AJ117" s="941"/>
      <c r="AL117" s="956"/>
    </row>
    <row r="118" spans="1:49" ht="15" customHeight="1">
      <c r="A118" s="21"/>
      <c r="B118" s="19" t="s">
        <v>1037</v>
      </c>
      <c r="C118" s="21"/>
      <c r="D118" s="42">
        <f>ROUND(SUM(D115:D116),1)</f>
        <v>210.3</v>
      </c>
      <c r="F118" s="42">
        <f>ROUND(SUM(F115:F116),1)</f>
        <v>440</v>
      </c>
      <c r="H118" s="42">
        <f>ROUND(SUM(H115:H116),1)</f>
        <v>263.89999999999998</v>
      </c>
      <c r="J118" s="42">
        <f>ROUND(SUM(J115:J116),1)</f>
        <v>289.60000000000002</v>
      </c>
      <c r="L118" s="42">
        <f>ROUND(SUM(L115:L116),1)</f>
        <v>-48.6</v>
      </c>
      <c r="N118" s="42">
        <f>ROUND(SUM(N115:N116),1)</f>
        <v>-23.8</v>
      </c>
      <c r="P118" s="42">
        <f>ROUND(SUM(P115:P116),1)</f>
        <v>0</v>
      </c>
      <c r="R118" s="42">
        <f>ROUND(SUM(R115:R116),1)</f>
        <v>0</v>
      </c>
      <c r="T118" s="42">
        <f>ROUND(SUM(T115:T116),1)</f>
        <v>0</v>
      </c>
      <c r="V118" s="42">
        <f>ROUND(SUM(V115:V116),1)</f>
        <v>0</v>
      </c>
      <c r="X118" s="42">
        <f>ROUND(SUM(X115:X116),1)</f>
        <v>0</v>
      </c>
      <c r="Z118" s="42">
        <f>ROUND(SUM(Z115:Z116),1)</f>
        <v>0</v>
      </c>
      <c r="AA118" s="42"/>
      <c r="AB118" s="1463">
        <f>ROUND(SUM(AB115:AB116),1)</f>
        <v>0</v>
      </c>
      <c r="AC118" s="44"/>
      <c r="AD118" s="42">
        <f>ROUND(SUM(AD115:AD116),1)</f>
        <v>1131.4000000000001</v>
      </c>
      <c r="AE118" s="42"/>
      <c r="AF118" s="44"/>
      <c r="AG118" s="42">
        <f>ROUND(SUM(AG115:AG116),1)</f>
        <v>1135</v>
      </c>
      <c r="AH118" s="198"/>
      <c r="AI118" s="42"/>
      <c r="AJ118" s="50">
        <f>ROUND(SUM(AD118-AG118),1)</f>
        <v>-3.6</v>
      </c>
      <c r="AK118" s="112"/>
      <c r="AL118" s="651">
        <f>ROUND(SUM(+AJ118/AG118),3)</f>
        <v>-3.0000000000000001E-3</v>
      </c>
    </row>
    <row r="119" spans="1:49" ht="15" customHeight="1">
      <c r="A119" s="21"/>
      <c r="B119" s="21"/>
      <c r="C119" s="21"/>
      <c r="D119" s="61"/>
      <c r="F119" s="61"/>
      <c r="H119" s="61"/>
      <c r="J119" s="61"/>
      <c r="L119" s="61"/>
      <c r="N119" s="61"/>
      <c r="P119" s="61"/>
      <c r="R119" s="61"/>
      <c r="T119" s="61"/>
      <c r="V119" s="61"/>
      <c r="X119" s="61"/>
      <c r="Z119" s="61"/>
      <c r="AA119" s="36"/>
      <c r="AB119" s="36"/>
      <c r="AC119" s="37"/>
      <c r="AD119" s="61"/>
      <c r="AE119" s="36"/>
      <c r="AF119" s="37"/>
      <c r="AG119" s="61"/>
      <c r="AH119" s="192"/>
      <c r="AI119" s="36"/>
      <c r="AJ119" s="467"/>
      <c r="AL119" s="488"/>
    </row>
    <row r="120" spans="1:49" ht="15" customHeight="1">
      <c r="A120" s="21"/>
      <c r="B120" s="19" t="s">
        <v>162</v>
      </c>
      <c r="C120" s="21"/>
      <c r="D120" s="36"/>
      <c r="F120" s="36"/>
      <c r="H120" s="36"/>
      <c r="J120" s="36"/>
      <c r="L120" s="36"/>
      <c r="N120" s="36"/>
      <c r="P120" s="36"/>
      <c r="R120" s="36"/>
      <c r="T120" s="36"/>
      <c r="V120" s="36"/>
      <c r="X120" s="36"/>
      <c r="Z120" s="36"/>
      <c r="AA120" s="36"/>
      <c r="AB120" s="36"/>
      <c r="AC120" s="37"/>
      <c r="AD120" s="36"/>
      <c r="AE120" s="36"/>
      <c r="AF120" s="37"/>
      <c r="AG120" s="36"/>
      <c r="AH120" s="192"/>
      <c r="AI120" s="36"/>
      <c r="AJ120" s="467"/>
      <c r="AL120" s="488"/>
    </row>
    <row r="121" spans="1:49" ht="15" customHeight="1">
      <c r="A121" s="21"/>
      <c r="B121" s="19" t="s">
        <v>163</v>
      </c>
      <c r="C121" s="21"/>
      <c r="D121" s="36"/>
      <c r="F121" s="36"/>
      <c r="H121" s="36"/>
      <c r="J121" s="36"/>
      <c r="L121" s="36"/>
      <c r="N121" s="36"/>
      <c r="P121" s="36"/>
      <c r="R121" s="36"/>
      <c r="T121" s="36"/>
      <c r="V121" s="36"/>
      <c r="X121" s="36"/>
      <c r="Z121" s="36"/>
      <c r="AA121" s="36"/>
      <c r="AB121" s="36"/>
      <c r="AC121" s="37"/>
      <c r="AD121" s="36"/>
      <c r="AE121" s="36"/>
      <c r="AF121" s="37"/>
      <c r="AG121" s="36"/>
      <c r="AH121" s="192"/>
      <c r="AI121" s="36"/>
      <c r="AJ121" s="467"/>
      <c r="AL121" s="488"/>
    </row>
    <row r="122" spans="1:49" ht="15" customHeight="1">
      <c r="A122" s="21"/>
      <c r="B122" s="19" t="s">
        <v>1038</v>
      </c>
      <c r="C122" s="21"/>
      <c r="D122" s="42">
        <f>ROUND(SUM(D112+D118),1)</f>
        <v>2374.9</v>
      </c>
      <c r="F122" s="42">
        <f>ROUND(SUM(F112+F118),1)</f>
        <v>-2579.4</v>
      </c>
      <c r="H122" s="42">
        <f>ROUND(SUM(H112+H118),1)</f>
        <v>4417.2</v>
      </c>
      <c r="J122" s="42">
        <f>ROUND(SUM(J112+J118),1)</f>
        <v>695.4</v>
      </c>
      <c r="L122" s="42">
        <f>ROUND(SUM(L112+L118),1)</f>
        <v>-695.5</v>
      </c>
      <c r="N122" s="42">
        <f>ROUND(SUM(N112+N118),1)</f>
        <v>-1143.2</v>
      </c>
      <c r="P122" s="42">
        <f>ROUND(SUM(P112+P118),1)</f>
        <v>0</v>
      </c>
      <c r="R122" s="42">
        <f>ROUND(SUM(R112+R118),1)</f>
        <v>0</v>
      </c>
      <c r="T122" s="42">
        <f>ROUND(SUM(T112+T118),1)</f>
        <v>0</v>
      </c>
      <c r="V122" s="42">
        <f>ROUND(SUM(V112+V118),1)</f>
        <v>0</v>
      </c>
      <c r="X122" s="42">
        <f>ROUND(SUM(X112+X118),1)</f>
        <v>0</v>
      </c>
      <c r="Z122" s="42">
        <f>ROUND(SUM(Z112+Z118),1)</f>
        <v>0</v>
      </c>
      <c r="AA122" s="42"/>
      <c r="AB122" s="1463">
        <f>ROUND(SUM(AB112+AB118),1)</f>
        <v>0</v>
      </c>
      <c r="AC122" s="44"/>
      <c r="AD122" s="42">
        <f>ROUND(SUM(AD112+AD118),1)</f>
        <v>3069.4</v>
      </c>
      <c r="AE122" s="42"/>
      <c r="AF122" s="44"/>
      <c r="AG122" s="42">
        <f>ROUND(SUM(AG112+AG118),1)</f>
        <v>3376.2</v>
      </c>
      <c r="AH122" s="198"/>
      <c r="AI122" s="42"/>
      <c r="AJ122" s="50">
        <f>ROUND(SUM(AD122-AG122),1)</f>
        <v>-306.8</v>
      </c>
      <c r="AK122" s="139"/>
      <c r="AL122" s="1151">
        <f>ROUND(SUM(AJ122/ABS(AG122)),3)</f>
        <v>-9.0999999999999998E-2</v>
      </c>
    </row>
    <row r="123" spans="1:49" ht="15" customHeight="1">
      <c r="A123" s="21"/>
      <c r="B123" s="21"/>
      <c r="C123" s="21"/>
      <c r="D123" s="29"/>
      <c r="F123" s="29"/>
      <c r="H123" s="29"/>
      <c r="J123" s="29"/>
      <c r="L123" s="29"/>
      <c r="N123" s="29"/>
      <c r="P123" s="29"/>
      <c r="R123" s="29"/>
      <c r="T123" s="29"/>
      <c r="V123" s="29"/>
      <c r="X123" s="29"/>
      <c r="Z123" s="29"/>
      <c r="AC123" s="141"/>
      <c r="AD123" s="29"/>
      <c r="AF123" s="141"/>
      <c r="AG123" s="29"/>
      <c r="AH123" s="191"/>
      <c r="AJ123" s="644"/>
      <c r="AL123" s="488"/>
    </row>
    <row r="124" spans="1:49" ht="15" customHeight="1" thickBot="1">
      <c r="A124" s="21"/>
      <c r="B124" s="19" t="s">
        <v>1039</v>
      </c>
      <c r="C124" s="21"/>
      <c r="D124" s="65">
        <f>ROUND(SUM(D13+D122),1)</f>
        <v>26315.1</v>
      </c>
      <c r="F124" s="65">
        <f>ROUND(SUM(F13+F122),1)</f>
        <v>23735.7</v>
      </c>
      <c r="H124" s="65">
        <f>ROUND(SUM(H13+H122),1)</f>
        <v>28152.9</v>
      </c>
      <c r="J124" s="65">
        <f>ROUND(SUM(J13+J122),1)</f>
        <v>28848.3</v>
      </c>
      <c r="L124" s="65">
        <f>ROUND(SUM(L13+L122),1)</f>
        <v>28152.799999999999</v>
      </c>
      <c r="N124" s="65">
        <f>ROUND(SUM(N13+N122),1)</f>
        <v>27009.599999999999</v>
      </c>
      <c r="P124" s="65">
        <f>ROUND(SUM(P13+P122),1)</f>
        <v>0</v>
      </c>
      <c r="R124" s="65">
        <f>ROUND(SUM(R13+R122),1)</f>
        <v>0</v>
      </c>
      <c r="T124" s="65">
        <f>ROUND(SUM(T13+T122),1)</f>
        <v>0</v>
      </c>
      <c r="V124" s="65">
        <f>ROUND(SUM(V13+V122),1)</f>
        <v>0</v>
      </c>
      <c r="X124" s="65">
        <f>ROUND(SUM(X13+X122),1)</f>
        <v>0</v>
      </c>
      <c r="Z124" s="65">
        <f>ROUND(SUM(Z13+Z122),1)</f>
        <v>0</v>
      </c>
      <c r="AA124" s="65"/>
      <c r="AB124" s="1467">
        <f>ROUND(SUM(AB13+AB122),1)</f>
        <v>0</v>
      </c>
      <c r="AC124" s="66"/>
      <c r="AD124" s="65">
        <f>ROUND(SUM(AD13+AD122),1)</f>
        <v>27009.599999999999</v>
      </c>
      <c r="AE124" s="65"/>
      <c r="AF124" s="66"/>
      <c r="AG124" s="182">
        <f>ROUND(SUM(AG13+AG122),1)</f>
        <v>25314.400000000001</v>
      </c>
      <c r="AH124" s="189"/>
      <c r="AI124" s="65"/>
      <c r="AJ124" s="182">
        <f>ROUND(SUM(AD124-AG124),1)</f>
        <v>1695.2</v>
      </c>
      <c r="AK124" s="123"/>
      <c r="AL124" s="201">
        <f>ROUND(SUM(+AJ124/AG124),3)</f>
        <v>6.7000000000000004E-2</v>
      </c>
      <c r="AM124" s="186"/>
      <c r="AN124" s="186"/>
      <c r="AO124" s="186"/>
      <c r="AP124" s="186"/>
      <c r="AQ124" s="186"/>
      <c r="AR124" s="186"/>
      <c r="AS124" s="186"/>
      <c r="AT124" s="186"/>
      <c r="AU124" s="186"/>
      <c r="AV124" s="186"/>
      <c r="AW124" s="186"/>
    </row>
    <row r="125" spans="1:49" ht="15" customHeight="1" thickTop="1">
      <c r="A125" s="21"/>
      <c r="B125" s="21"/>
      <c r="C125" s="21"/>
      <c r="D125" s="1468"/>
      <c r="F125" s="1468"/>
      <c r="H125" s="1468"/>
      <c r="J125" s="1468"/>
      <c r="L125" s="1468"/>
      <c r="N125" s="1468"/>
      <c r="P125" s="1468"/>
      <c r="R125" s="1468"/>
      <c r="T125" s="1468"/>
      <c r="V125" s="1468"/>
      <c r="X125" s="1468"/>
      <c r="Z125" s="1468"/>
      <c r="AA125" s="186"/>
      <c r="AB125" s="186"/>
      <c r="AC125" s="186"/>
      <c r="AD125" s="1468"/>
      <c r="AE125" s="186"/>
      <c r="AF125" s="186"/>
      <c r="AG125" s="186"/>
      <c r="AH125" s="186"/>
      <c r="AI125" s="186"/>
      <c r="AJ125" s="714"/>
      <c r="AK125" s="186"/>
      <c r="AL125" s="488"/>
      <c r="AM125" s="186"/>
      <c r="AN125" s="186"/>
      <c r="AO125" s="186"/>
      <c r="AP125" s="186"/>
      <c r="AQ125" s="186"/>
      <c r="AR125" s="186"/>
      <c r="AS125" s="186"/>
      <c r="AT125" s="186"/>
      <c r="AU125" s="186"/>
      <c r="AV125" s="186"/>
      <c r="AW125" s="186"/>
    </row>
    <row r="126" spans="1:49" ht="15" customHeight="1">
      <c r="A126" s="21"/>
      <c r="B126" s="21"/>
      <c r="C126" s="21"/>
      <c r="D126" s="186"/>
      <c r="F126" s="186"/>
      <c r="H126" s="186"/>
      <c r="J126" s="186"/>
      <c r="L126" s="186"/>
      <c r="N126" s="186"/>
      <c r="P126" s="186"/>
      <c r="R126" s="186"/>
      <c r="T126" s="186"/>
      <c r="V126" s="186"/>
      <c r="X126" s="186"/>
      <c r="Z126" s="186"/>
      <c r="AA126" s="186"/>
      <c r="AB126" s="714" t="s">
        <v>14</v>
      </c>
      <c r="AC126" s="186"/>
      <c r="AD126" s="186"/>
      <c r="AE126" s="186"/>
      <c r="AF126" s="186"/>
      <c r="AG126" s="186"/>
      <c r="AH126" s="186"/>
      <c r="AI126" s="186"/>
      <c r="AJ126" s="714"/>
      <c r="AK126" s="186"/>
      <c r="AL126" s="488"/>
      <c r="AM126" s="186"/>
      <c r="AN126" s="186"/>
      <c r="AO126" s="186"/>
      <c r="AP126" s="186"/>
      <c r="AQ126" s="186"/>
      <c r="AR126" s="186"/>
      <c r="AS126" s="186"/>
      <c r="AT126" s="186"/>
      <c r="AU126" s="186"/>
      <c r="AV126" s="186"/>
      <c r="AW126" s="186"/>
    </row>
    <row r="127" spans="1:49" ht="15" customHeight="1">
      <c r="B127" s="644" t="s">
        <v>1115</v>
      </c>
      <c r="D127" s="186"/>
      <c r="F127" s="186"/>
      <c r="H127" s="186"/>
      <c r="J127" s="186"/>
      <c r="L127" s="186"/>
      <c r="N127" s="186"/>
      <c r="P127" s="186"/>
      <c r="R127" s="186"/>
      <c r="T127" s="186"/>
      <c r="V127" s="186"/>
      <c r="X127" s="186"/>
      <c r="Z127" s="186"/>
      <c r="AA127" s="186"/>
      <c r="AB127" s="714" t="s">
        <v>14</v>
      </c>
      <c r="AC127" s="186"/>
      <c r="AD127" s="186"/>
      <c r="AE127" s="186"/>
      <c r="AF127" s="186"/>
      <c r="AG127" s="186"/>
      <c r="AH127" s="186"/>
      <c r="AI127" s="186"/>
      <c r="AJ127" s="714"/>
      <c r="AK127" s="186"/>
      <c r="AL127" s="488"/>
      <c r="AM127" s="186"/>
      <c r="AN127" s="186"/>
      <c r="AO127" s="186"/>
      <c r="AP127" s="186"/>
      <c r="AQ127" s="186"/>
      <c r="AR127" s="186"/>
      <c r="AS127" s="186"/>
      <c r="AT127" s="186"/>
      <c r="AU127" s="186"/>
      <c r="AV127" s="186"/>
      <c r="AW127" s="186"/>
    </row>
    <row r="128" spans="1:49" ht="15" customHeight="1">
      <c r="B128" s="142"/>
      <c r="D128" s="186"/>
      <c r="F128" s="186"/>
      <c r="H128" s="186"/>
      <c r="J128" s="186"/>
      <c r="L128" s="186"/>
      <c r="N128" s="186"/>
      <c r="P128" s="186"/>
      <c r="R128" s="186"/>
      <c r="T128" s="186"/>
      <c r="V128" s="186"/>
      <c r="X128" s="186"/>
      <c r="Z128" s="186"/>
      <c r="AA128" s="186"/>
      <c r="AB128" s="186"/>
      <c r="AC128" s="186"/>
      <c r="AD128" s="186"/>
      <c r="AE128" s="186"/>
      <c r="AF128" s="186"/>
      <c r="AG128" s="186"/>
      <c r="AH128" s="186"/>
      <c r="AI128" s="186"/>
      <c r="AJ128" s="714"/>
      <c r="AK128" s="186"/>
      <c r="AL128" s="488"/>
      <c r="AM128" s="186"/>
      <c r="AN128" s="186"/>
      <c r="AO128" s="186"/>
      <c r="AP128" s="186"/>
      <c r="AQ128" s="186"/>
      <c r="AR128" s="186"/>
      <c r="AS128" s="186"/>
      <c r="AT128" s="186"/>
      <c r="AU128" s="186"/>
      <c r="AV128" s="186"/>
      <c r="AW128" s="186"/>
    </row>
    <row r="129" spans="8:38" ht="15" customHeight="1">
      <c r="AJ129" s="644"/>
      <c r="AL129" s="488"/>
    </row>
    <row r="130" spans="8:38" ht="15" customHeight="1">
      <c r="AJ130" s="644"/>
      <c r="AL130" s="488"/>
    </row>
    <row r="131" spans="8:38" ht="15" customHeight="1">
      <c r="AJ131" s="644"/>
      <c r="AL131" s="488"/>
    </row>
    <row r="132" spans="8:38" ht="15" customHeight="1">
      <c r="H132" s="644" t="s">
        <v>14</v>
      </c>
      <c r="AJ132" s="644"/>
      <c r="AL132" s="488"/>
    </row>
    <row r="133" spans="8:38" ht="15" customHeight="1">
      <c r="H133" s="644" t="s">
        <v>14</v>
      </c>
      <c r="AJ133" s="644"/>
      <c r="AL133" s="488"/>
    </row>
    <row r="134" spans="8:38" ht="15" customHeight="1">
      <c r="AJ134" s="644"/>
      <c r="AL134" s="488"/>
    </row>
    <row r="135" spans="8:38" ht="15" customHeight="1">
      <c r="AJ135" s="644"/>
      <c r="AL135" s="488"/>
    </row>
    <row r="136" spans="8:38" ht="15" customHeight="1">
      <c r="AJ136" s="644"/>
      <c r="AL136" s="488"/>
    </row>
    <row r="137" spans="8:38" ht="15" customHeight="1">
      <c r="AJ137" s="644"/>
      <c r="AL137" s="488"/>
    </row>
    <row r="138" spans="8:38" ht="15" customHeight="1">
      <c r="AJ138" s="644"/>
      <c r="AL138" s="488"/>
    </row>
    <row r="139" spans="8:38" ht="15" customHeight="1">
      <c r="AJ139" s="644"/>
      <c r="AL139" s="488"/>
    </row>
    <row r="140" spans="8:38" ht="15" customHeight="1">
      <c r="AJ140" s="644"/>
      <c r="AL140" s="488"/>
    </row>
    <row r="141" spans="8:38" ht="15" customHeight="1">
      <c r="AJ141" s="644"/>
      <c r="AL141" s="488"/>
    </row>
    <row r="142" spans="8:38" ht="15" customHeight="1">
      <c r="AJ142" s="644"/>
      <c r="AL142" s="488"/>
    </row>
    <row r="143" spans="8:38" ht="15" customHeight="1">
      <c r="AJ143" s="644"/>
      <c r="AL143" s="488"/>
    </row>
    <row r="144" spans="8:38" ht="15" customHeight="1">
      <c r="AJ144" s="644"/>
      <c r="AL144" s="488"/>
    </row>
    <row r="145" spans="36:38" ht="15" customHeight="1">
      <c r="AJ145" s="644"/>
      <c r="AL145" s="488"/>
    </row>
    <row r="146" spans="36:38" ht="15" customHeight="1">
      <c r="AJ146" s="644"/>
      <c r="AL146" s="488"/>
    </row>
    <row r="147" spans="36:38" ht="15" customHeight="1">
      <c r="AJ147" s="644"/>
      <c r="AL147" s="488"/>
    </row>
    <row r="148" spans="36:38" ht="15" customHeight="1">
      <c r="AJ148" s="644"/>
      <c r="AL148" s="488"/>
    </row>
    <row r="149" spans="36:38" ht="15" customHeight="1">
      <c r="AJ149" s="644"/>
      <c r="AL149" s="488"/>
    </row>
    <row r="150" spans="36:38" ht="15" customHeight="1">
      <c r="AJ150" s="644"/>
      <c r="AL150" s="488"/>
    </row>
    <row r="151" spans="36:38" ht="15" customHeight="1">
      <c r="AJ151" s="644"/>
      <c r="AL151" s="488"/>
    </row>
    <row r="152" spans="36:38" ht="15" customHeight="1">
      <c r="AJ152" s="644"/>
      <c r="AL152" s="488"/>
    </row>
    <row r="153" spans="36:38" ht="15" customHeight="1">
      <c r="AJ153" s="644"/>
      <c r="AL153" s="488"/>
    </row>
    <row r="154" spans="36:38" ht="15" customHeight="1">
      <c r="AJ154" s="644"/>
      <c r="AL154" s="488"/>
    </row>
    <row r="155" spans="36:38" ht="15" customHeight="1">
      <c r="AJ155" s="644"/>
      <c r="AL155" s="488"/>
    </row>
    <row r="156" spans="36:38" ht="15" customHeight="1">
      <c r="AJ156" s="644"/>
      <c r="AL156" s="488"/>
    </row>
    <row r="157" spans="36:38" ht="15" customHeight="1">
      <c r="AJ157" s="644"/>
      <c r="AL157" s="488"/>
    </row>
    <row r="158" spans="36:38" ht="15" customHeight="1">
      <c r="AJ158" s="644"/>
      <c r="AL158" s="488"/>
    </row>
    <row r="159" spans="36:38" ht="15" customHeight="1">
      <c r="AJ159" s="644"/>
      <c r="AL159" s="488"/>
    </row>
    <row r="160" spans="36:38" ht="15" customHeight="1">
      <c r="AJ160" s="644"/>
      <c r="AL160" s="488"/>
    </row>
    <row r="161" spans="36:38" ht="15" customHeight="1">
      <c r="AJ161" s="644"/>
      <c r="AL161" s="488"/>
    </row>
    <row r="162" spans="36:38" ht="15" customHeight="1">
      <c r="AJ162" s="644"/>
      <c r="AL162" s="488"/>
    </row>
    <row r="163" spans="36:38" ht="15" customHeight="1">
      <c r="AJ163" s="644"/>
      <c r="AL163" s="488"/>
    </row>
    <row r="164" spans="36:38" ht="15" customHeight="1">
      <c r="AJ164" s="644"/>
      <c r="AL164" s="488"/>
    </row>
    <row r="165" spans="36:38" ht="15" customHeight="1">
      <c r="AJ165" s="644"/>
      <c r="AL165" s="488"/>
    </row>
    <row r="166" spans="36:38" ht="15" customHeight="1">
      <c r="AJ166" s="644"/>
      <c r="AL166" s="488"/>
    </row>
    <row r="167" spans="36:38" ht="15" customHeight="1">
      <c r="AJ167" s="644"/>
      <c r="AL167" s="488"/>
    </row>
    <row r="168" spans="36:38" ht="15" customHeight="1">
      <c r="AJ168" s="644"/>
      <c r="AL168" s="488"/>
    </row>
    <row r="169" spans="36:38" ht="15" customHeight="1">
      <c r="AJ169" s="644"/>
      <c r="AL169" s="488"/>
    </row>
    <row r="170" spans="36:38" ht="15" customHeight="1">
      <c r="AJ170" s="644"/>
      <c r="AL170" s="488"/>
    </row>
    <row r="171" spans="36:38" ht="15" customHeight="1"/>
    <row r="172" spans="36:38" ht="15" customHeight="1"/>
    <row r="173" spans="36:38" ht="15" customHeight="1"/>
    <row r="174" spans="36:38" ht="15" customHeight="1"/>
    <row r="175" spans="36:38" ht="15" customHeight="1"/>
    <row r="176" spans="36:38" ht="15" customHeight="1"/>
  </sheetData>
  <mergeCells count="1">
    <mergeCell ref="AC9:AL9"/>
  </mergeCells>
  <pageMargins left="0.25" right="0.25" top="0.5" bottom="0.25" header="0" footer="0.25"/>
  <pageSetup scale="36" firstPageNumber="22" orientation="landscape" useFirstPageNumber="1" r:id="rId1"/>
  <headerFooter scaleWithDoc="0" alignWithMargins="0">
    <oddFooter>&amp;C&amp;8&amp;P</oddFooter>
  </headerFooter>
  <rowBreaks count="1" manualBreakCount="1">
    <brk id="87" min="1" max="37" man="1"/>
  </rowBreaks>
  <customProperties>
    <customPr name="SheetOptions" r:id="rId2"/>
  </customProperties>
  <ignoredErrors>
    <ignoredError sqref="AL119:AL121 AL123 AL125 AL113:AL115 AL19:AL20 AL117" unlockedFormula="1"/>
    <ignoredError sqref="AL48 AL95:AL97 AL61 AL58 AL66:AL69 AL53:AL56 AL35:AL46 AL92:AL93 AL63 AL29:AL33 AL108 AL101:AL104 AL87:AL90 AL78:AL85 AL50:AL51 AL110:AL111" formula="1" unlockedFormula="1"/>
    <ignoredError sqref="AJ23:AK23 AL52 AL25:AL28 AL112 AL86 AL91 AL105:AL107 AL109 AL34 AL64:AL65 AL94 AL47 AL57 AL70:AL77 AL59:AL60 AL62 AL98:AL100 AL49" 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dimension ref="A1:AW172"/>
  <sheetViews>
    <sheetView showGridLines="0" zoomScale="80" zoomScaleNormal="80" workbookViewId="0"/>
  </sheetViews>
  <sheetFormatPr defaultColWidth="8.88671875" defaultRowHeight="12.75"/>
  <cols>
    <col min="1" max="1" width="1.88671875" style="170" customWidth="1"/>
    <col min="2" max="2" width="40.88671875" style="170" customWidth="1"/>
    <col min="3" max="3" width="1.88671875" style="170" customWidth="1"/>
    <col min="4" max="4" width="12.109375" style="170" customWidth="1"/>
    <col min="5" max="5" width="1.88671875" style="170" customWidth="1"/>
    <col min="6" max="6" width="12" style="170" customWidth="1"/>
    <col min="7" max="7" width="1.88671875" style="170" customWidth="1"/>
    <col min="8" max="8" width="13.109375" style="170" customWidth="1"/>
    <col min="9" max="9" width="1.88671875" style="170" customWidth="1"/>
    <col min="10" max="10" width="13.109375" style="170" customWidth="1"/>
    <col min="11" max="11" width="1.88671875" style="170" customWidth="1"/>
    <col min="12" max="12" width="13.109375" style="170" customWidth="1"/>
    <col min="13" max="13" width="1.88671875" style="170" customWidth="1"/>
    <col min="14" max="14" width="14" style="170" customWidth="1"/>
    <col min="15" max="15" width="1.88671875" style="170" customWidth="1"/>
    <col min="16" max="16" width="11.88671875" style="170" customWidth="1"/>
    <col min="17" max="17" width="1.88671875" style="170" customWidth="1"/>
    <col min="18" max="18" width="11.5546875" style="170" customWidth="1"/>
    <col min="19" max="19" width="1.88671875" style="170" customWidth="1"/>
    <col min="20" max="20" width="12.109375" style="170" customWidth="1"/>
    <col min="21" max="21" width="1.88671875" style="170" customWidth="1"/>
    <col min="22" max="22" width="13" style="170" customWidth="1"/>
    <col min="23" max="23" width="1.88671875" style="170" customWidth="1"/>
    <col min="24" max="24" width="12.109375" style="170" customWidth="1"/>
    <col min="25" max="25" width="1.88671875" style="170" customWidth="1"/>
    <col min="26" max="26" width="11.44140625" style="170" customWidth="1"/>
    <col min="27" max="27" width="1.109375" style="170" customWidth="1"/>
    <col min="28" max="29" width="1.88671875" style="170" customWidth="1"/>
    <col min="30" max="30" width="15.88671875" style="170" customWidth="1"/>
    <col min="31" max="32" width="1.44140625" style="170" customWidth="1"/>
    <col min="33" max="33" width="12.88671875" style="170" bestFit="1" customWidth="1"/>
    <col min="34" max="34" width="1.5546875" style="170" customWidth="1"/>
    <col min="35" max="35" width="0.88671875" style="170" customWidth="1"/>
    <col min="36" max="36" width="14.88671875" style="170" customWidth="1"/>
    <col min="37" max="37" width="0.88671875" style="170" customWidth="1"/>
    <col min="38" max="38" width="12.109375" style="170" customWidth="1"/>
    <col min="39" max="16384" width="8.88671875" style="170"/>
  </cols>
  <sheetData>
    <row r="1" spans="1:40" ht="15">
      <c r="B1" s="468" t="s">
        <v>841</v>
      </c>
    </row>
    <row r="2" spans="1:40" ht="15.75">
      <c r="M2" s="19"/>
      <c r="N2" s="19"/>
      <c r="O2" s="184"/>
    </row>
    <row r="3" spans="1:40" ht="20.25" customHeight="1">
      <c r="B3" s="172" t="s">
        <v>0</v>
      </c>
      <c r="M3" s="19"/>
      <c r="N3" s="19"/>
      <c r="O3" s="184"/>
      <c r="AF3" s="71"/>
      <c r="AG3" s="71"/>
      <c r="AH3" s="71"/>
      <c r="AI3" s="71"/>
      <c r="AJ3" s="71"/>
      <c r="AK3" s="71"/>
      <c r="AL3" s="277" t="s">
        <v>165</v>
      </c>
    </row>
    <row r="4" spans="1:40" ht="18">
      <c r="B4" s="172" t="s">
        <v>172</v>
      </c>
      <c r="L4" s="19"/>
      <c r="M4" s="19"/>
      <c r="O4" s="184"/>
    </row>
    <row r="5" spans="1:40" ht="18">
      <c r="B5" s="129" t="s">
        <v>145</v>
      </c>
      <c r="L5" s="184"/>
      <c r="M5" s="184"/>
      <c r="O5" s="184"/>
      <c r="X5" s="202"/>
    </row>
    <row r="6" spans="1:40" ht="20.25">
      <c r="B6" s="967" t="str">
        <f>'Cashflow Governmental'!A6</f>
        <v xml:space="preserve">FISCAL YEAR 2023-2024   </v>
      </c>
      <c r="L6" s="184"/>
      <c r="M6" s="184"/>
      <c r="O6" s="184"/>
      <c r="AL6" s="187"/>
    </row>
    <row r="7" spans="1:40" ht="18">
      <c r="B7" s="172" t="s">
        <v>1202</v>
      </c>
      <c r="AI7" s="100"/>
      <c r="AJ7" s="100"/>
      <c r="AK7" s="100"/>
      <c r="AL7" s="100"/>
    </row>
    <row r="8" spans="1:40" ht="13.5" customHeight="1">
      <c r="D8" s="1303"/>
      <c r="L8" s="184"/>
      <c r="M8" s="184"/>
      <c r="N8" s="184"/>
      <c r="O8" s="184"/>
      <c r="AC8" s="100"/>
      <c r="AD8" s="184"/>
      <c r="AE8" s="184"/>
      <c r="AF8" s="100"/>
      <c r="AG8" s="100"/>
      <c r="AH8" s="100"/>
      <c r="AI8" s="184"/>
      <c r="AJ8" s="184"/>
      <c r="AK8" s="184"/>
      <c r="AL8" s="184"/>
    </row>
    <row r="9" spans="1:40" ht="20.25" customHeight="1">
      <c r="M9" s="184"/>
      <c r="N9" s="184"/>
      <c r="O9" s="184"/>
      <c r="AC9" s="2333" t="str">
        <f>'Exhibit G'!AC9:AL9</f>
        <v>6 Months Ended September 30</v>
      </c>
      <c r="AD9" s="2333"/>
      <c r="AE9" s="2333"/>
      <c r="AF9" s="2333"/>
      <c r="AG9" s="2333"/>
      <c r="AH9" s="2333"/>
      <c r="AI9" s="2333"/>
      <c r="AJ9" s="2333"/>
      <c r="AK9" s="2333"/>
      <c r="AL9" s="2333"/>
    </row>
    <row r="10" spans="1:40" ht="15.75">
      <c r="B10" s="20"/>
      <c r="C10" s="20"/>
      <c r="D10" s="537" t="str">
        <f>'Cashflow Governmental'!C13</f>
        <v>2023</v>
      </c>
      <c r="E10" s="19"/>
      <c r="F10" s="19"/>
      <c r="G10" s="19"/>
      <c r="H10" s="19"/>
      <c r="I10" s="19"/>
      <c r="J10" s="19"/>
      <c r="K10" s="19"/>
      <c r="L10" s="19"/>
      <c r="M10" s="19"/>
      <c r="N10" s="19"/>
      <c r="O10" s="19"/>
      <c r="P10" s="19"/>
      <c r="Q10" s="19"/>
      <c r="R10" s="19"/>
      <c r="S10" s="19"/>
      <c r="T10" s="19"/>
      <c r="U10" s="19"/>
      <c r="V10" s="537">
        <f>'Cashflow Governmental'!U13</f>
        <v>2024</v>
      </c>
      <c r="W10" s="19"/>
      <c r="X10" s="19"/>
      <c r="Y10" s="19"/>
      <c r="Z10" s="19"/>
      <c r="AA10" s="19"/>
      <c r="AB10" s="19"/>
      <c r="AC10" s="19"/>
      <c r="AD10" s="139"/>
      <c r="AE10" s="139"/>
      <c r="AF10" s="139"/>
      <c r="AG10" s="139"/>
      <c r="AH10" s="139"/>
      <c r="AI10" s="139"/>
      <c r="AJ10" s="545" t="s">
        <v>7</v>
      </c>
      <c r="AK10" s="545"/>
      <c r="AL10" s="545" t="s">
        <v>8</v>
      </c>
      <c r="AM10" s="548"/>
      <c r="AN10" s="548"/>
    </row>
    <row r="11" spans="1:40" ht="15.75">
      <c r="B11" s="20"/>
      <c r="C11" s="20"/>
      <c r="D11" s="743" t="s">
        <v>122</v>
      </c>
      <c r="E11" s="19"/>
      <c r="F11" s="743" t="s">
        <v>123</v>
      </c>
      <c r="G11" s="19"/>
      <c r="H11" s="743" t="s">
        <v>124</v>
      </c>
      <c r="I11" s="19"/>
      <c r="J11" s="743" t="s">
        <v>125</v>
      </c>
      <c r="K11" s="19"/>
      <c r="L11" s="743" t="s">
        <v>126</v>
      </c>
      <c r="M11" s="19"/>
      <c r="N11" s="743" t="s">
        <v>141</v>
      </c>
      <c r="O11" s="19"/>
      <c r="P11" s="743" t="s">
        <v>142</v>
      </c>
      <c r="Q11" s="19"/>
      <c r="R11" s="743" t="s">
        <v>129</v>
      </c>
      <c r="S11" s="19"/>
      <c r="T11" s="743" t="s">
        <v>130</v>
      </c>
      <c r="U11" s="19"/>
      <c r="V11" s="743" t="s">
        <v>131</v>
      </c>
      <c r="W11" s="19"/>
      <c r="X11" s="743" t="s">
        <v>132</v>
      </c>
      <c r="Y11" s="19"/>
      <c r="Z11" s="743" t="s">
        <v>182</v>
      </c>
      <c r="AA11" s="133"/>
      <c r="AB11" s="19"/>
      <c r="AC11" s="19"/>
      <c r="AD11" s="1751">
        <f>'Cashflow Governmental'!AB14</f>
        <v>2023</v>
      </c>
      <c r="AE11" s="537"/>
      <c r="AF11" s="133" t="s">
        <v>14</v>
      </c>
      <c r="AG11" s="1751">
        <f>'Cashflow Governmental'!AE14</f>
        <v>2022</v>
      </c>
      <c r="AH11" s="537"/>
      <c r="AI11" s="139"/>
      <c r="AJ11" s="745" t="s">
        <v>11</v>
      </c>
      <c r="AK11" s="545"/>
      <c r="AL11" s="745" t="s">
        <v>12</v>
      </c>
      <c r="AM11" s="548"/>
      <c r="AN11" s="548" t="s">
        <v>14</v>
      </c>
    </row>
    <row r="12" spans="1:40" ht="5.25" customHeight="1">
      <c r="B12" s="20"/>
      <c r="C12" s="20"/>
      <c r="D12" s="133"/>
      <c r="E12" s="19"/>
      <c r="F12" s="133"/>
      <c r="G12" s="19"/>
      <c r="H12" s="133"/>
      <c r="I12" s="19"/>
      <c r="J12" s="133"/>
      <c r="K12" s="19"/>
      <c r="L12" s="133"/>
      <c r="M12" s="19"/>
      <c r="N12" s="133"/>
      <c r="O12" s="19"/>
      <c r="P12" s="133"/>
      <c r="Q12" s="19"/>
      <c r="R12" s="133"/>
      <c r="S12" s="19"/>
      <c r="T12" s="133"/>
      <c r="U12" s="19"/>
      <c r="V12" s="133"/>
      <c r="W12" s="19"/>
      <c r="X12" s="133"/>
      <c r="Y12" s="19"/>
      <c r="Z12" s="133"/>
      <c r="AA12" s="133"/>
      <c r="AB12" s="19"/>
      <c r="AC12" s="19"/>
      <c r="AD12" s="537"/>
      <c r="AE12" s="537"/>
      <c r="AF12" s="133"/>
      <c r="AG12" s="537"/>
      <c r="AH12" s="537"/>
      <c r="AI12" s="139"/>
      <c r="AJ12" s="545"/>
      <c r="AK12" s="545"/>
      <c r="AL12" s="545"/>
      <c r="AM12" s="548"/>
      <c r="AN12" s="548"/>
    </row>
    <row r="13" spans="1:40" ht="15.75">
      <c r="B13" s="19" t="s">
        <v>1107</v>
      </c>
      <c r="C13" s="20"/>
      <c r="D13" s="217">
        <v>9113.7999999999993</v>
      </c>
      <c r="E13" s="19"/>
      <c r="F13" s="90">
        <f>D122</f>
        <v>10202</v>
      </c>
      <c r="G13" s="90"/>
      <c r="H13" s="90">
        <f t="shared" ref="H13:N13" si="0">F122</f>
        <v>10190</v>
      </c>
      <c r="I13" s="19"/>
      <c r="J13" s="90">
        <f t="shared" si="0"/>
        <v>11322.6</v>
      </c>
      <c r="K13" s="19"/>
      <c r="L13" s="90">
        <f t="shared" si="0"/>
        <v>11914.7</v>
      </c>
      <c r="M13" s="19"/>
      <c r="N13" s="90">
        <f t="shared" si="0"/>
        <v>12081.6</v>
      </c>
      <c r="O13" s="19"/>
      <c r="P13" s="90"/>
      <c r="Q13" s="19"/>
      <c r="R13" s="90"/>
      <c r="S13" s="90"/>
      <c r="T13" s="90"/>
      <c r="U13" s="90"/>
      <c r="V13" s="90"/>
      <c r="W13" s="90"/>
      <c r="X13" s="90"/>
      <c r="Y13" s="90"/>
      <c r="Z13" s="90"/>
      <c r="AA13" s="133"/>
      <c r="AB13" s="19"/>
      <c r="AC13" s="1301"/>
      <c r="AD13" s="1752">
        <f>D13</f>
        <v>9113.7999999999993</v>
      </c>
      <c r="AE13" s="537"/>
      <c r="AF13" s="1754"/>
      <c r="AG13" s="65">
        <v>7612.5</v>
      </c>
      <c r="AH13" s="537"/>
      <c r="AI13" s="188"/>
      <c r="AJ13" s="1148">
        <f>ROUND(SUM(+AD13-AG13),1)</f>
        <v>1501.3</v>
      </c>
      <c r="AK13" s="42"/>
      <c r="AL13" s="190">
        <f>ROUND(IF(AG13=0,1,AJ13/ABS(AG13)),3)</f>
        <v>0.19700000000000001</v>
      </c>
      <c r="AM13" s="548"/>
      <c r="AN13" s="548" t="s">
        <v>14</v>
      </c>
    </row>
    <row r="14" spans="1:40" ht="15.75">
      <c r="B14" s="19"/>
      <c r="C14" s="20"/>
      <c r="D14" s="133"/>
      <c r="E14" s="19"/>
      <c r="F14" s="133"/>
      <c r="G14" s="133"/>
      <c r="H14" s="133"/>
      <c r="I14" s="19"/>
      <c r="J14" s="133"/>
      <c r="K14" s="19"/>
      <c r="L14" s="133"/>
      <c r="M14" s="19"/>
      <c r="N14" s="133"/>
      <c r="O14" s="19"/>
      <c r="P14" s="133"/>
      <c r="Q14" s="19"/>
      <c r="R14" s="133"/>
      <c r="S14" s="19"/>
      <c r="T14" s="133"/>
      <c r="U14" s="19"/>
      <c r="V14" s="133"/>
      <c r="W14" s="19"/>
      <c r="X14" s="133"/>
      <c r="Y14" s="19"/>
      <c r="Z14" s="133"/>
      <c r="AA14" s="133"/>
      <c r="AB14" s="19"/>
      <c r="AC14" s="1301"/>
      <c r="AD14" s="537"/>
      <c r="AE14" s="537"/>
      <c r="AF14" s="1754"/>
      <c r="AG14" s="537"/>
      <c r="AH14" s="537"/>
      <c r="AI14" s="188"/>
      <c r="AJ14" s="545"/>
      <c r="AK14" s="545"/>
      <c r="AL14" s="545"/>
      <c r="AM14" s="548"/>
      <c r="AN14" s="548"/>
    </row>
    <row r="15" spans="1:40" ht="15" customHeight="1">
      <c r="A15" s="100"/>
      <c r="B15" s="19" t="s">
        <v>13</v>
      </c>
      <c r="C15" s="21"/>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744"/>
      <c r="AD15" s="20"/>
      <c r="AE15" s="20"/>
      <c r="AF15" s="744"/>
      <c r="AG15" s="20"/>
      <c r="AH15" s="20"/>
      <c r="AI15" s="188"/>
      <c r="AJ15" s="20"/>
      <c r="AK15" s="20"/>
      <c r="AL15" s="20"/>
    </row>
    <row r="16" spans="1:40" ht="15" customHeight="1">
      <c r="A16" s="100"/>
      <c r="B16" s="118" t="s">
        <v>947</v>
      </c>
      <c r="C16" s="21"/>
      <c r="D16" s="20"/>
      <c r="E16" s="20"/>
      <c r="F16" s="20"/>
      <c r="G16" s="20"/>
      <c r="H16" s="20"/>
      <c r="I16" s="20"/>
      <c r="J16" s="20"/>
      <c r="K16" s="20"/>
      <c r="L16" s="20"/>
      <c r="M16" s="20"/>
      <c r="N16" s="20"/>
      <c r="O16" s="20"/>
      <c r="P16" s="20"/>
      <c r="Q16" s="20"/>
      <c r="R16" s="20"/>
      <c r="S16" s="20"/>
      <c r="T16" s="20"/>
      <c r="U16" s="20"/>
      <c r="V16" s="20"/>
      <c r="W16" s="20"/>
      <c r="X16" s="20"/>
      <c r="Y16" s="20"/>
      <c r="Z16" s="20"/>
      <c r="AA16" s="20"/>
      <c r="AB16" s="20"/>
      <c r="AC16" s="204"/>
      <c r="AD16" s="20"/>
      <c r="AE16" s="20"/>
      <c r="AF16" s="204"/>
      <c r="AG16" s="20"/>
      <c r="AH16" s="191"/>
      <c r="AI16" s="20"/>
      <c r="AJ16" s="20"/>
      <c r="AK16" s="20"/>
      <c r="AL16" s="20"/>
    </row>
    <row r="17" spans="1:38" s="548" customFormat="1" ht="15" customHeight="1">
      <c r="A17" s="748"/>
      <c r="B17" s="737" t="s">
        <v>950</v>
      </c>
      <c r="C17" s="19"/>
      <c r="D17" s="647">
        <v>0</v>
      </c>
      <c r="E17" s="647"/>
      <c r="F17" s="647">
        <v>0</v>
      </c>
      <c r="G17" s="647"/>
      <c r="H17" s="647">
        <v>0</v>
      </c>
      <c r="I17" s="467"/>
      <c r="J17" s="647">
        <v>0</v>
      </c>
      <c r="K17" s="1004"/>
      <c r="L17" s="647">
        <v>0</v>
      </c>
      <c r="M17" s="1119"/>
      <c r="N17" s="647">
        <f>$AD17-$D17-$F17-$H17-$J17-$L17</f>
        <v>0</v>
      </c>
      <c r="O17" s="1119"/>
      <c r="P17" s="647"/>
      <c r="Q17" s="1119"/>
      <c r="R17" s="647"/>
      <c r="S17" s="647"/>
      <c r="T17" s="647"/>
      <c r="U17" s="647"/>
      <c r="V17" s="647"/>
      <c r="W17" s="1119"/>
      <c r="X17" s="647"/>
      <c r="Y17" s="647"/>
      <c r="Z17" s="647"/>
      <c r="AA17" s="683"/>
      <c r="AB17" s="479"/>
      <c r="AC17" s="1236"/>
      <c r="AD17" s="912">
        <v>0</v>
      </c>
      <c r="AE17" s="481"/>
      <c r="AF17" s="711"/>
      <c r="AG17" s="912">
        <v>0</v>
      </c>
      <c r="AH17" s="1131"/>
      <c r="AI17" s="479"/>
      <c r="AJ17" s="467">
        <f>ROUND(SUM(+AD17-AG17),1)</f>
        <v>0</v>
      </c>
      <c r="AK17" s="467"/>
      <c r="AL17" s="488">
        <f>ROUND(IF(AG17=0,0,AJ17/ABS(AG17)),3)</f>
        <v>0</v>
      </c>
    </row>
    <row r="18" spans="1:38" s="548" customFormat="1" ht="6" customHeight="1">
      <c r="A18" s="748"/>
      <c r="B18" s="737"/>
      <c r="C18" s="19"/>
      <c r="D18" s="647" t="s">
        <v>14</v>
      </c>
      <c r="E18" s="65"/>
      <c r="F18" s="647"/>
      <c r="G18" s="647"/>
      <c r="H18" s="647"/>
      <c r="I18" s="65"/>
      <c r="J18" s="647"/>
      <c r="K18" s="65"/>
      <c r="L18" s="647"/>
      <c r="M18" s="65"/>
      <c r="N18" s="647"/>
      <c r="O18" s="65"/>
      <c r="P18" s="912"/>
      <c r="Q18" s="65"/>
      <c r="R18" s="647"/>
      <c r="S18" s="65"/>
      <c r="T18" s="647"/>
      <c r="U18" s="65"/>
      <c r="V18" s="647"/>
      <c r="W18" s="65"/>
      <c r="X18" s="647"/>
      <c r="Y18" s="65"/>
      <c r="Z18" s="647"/>
      <c r="AA18" s="122"/>
      <c r="AB18" s="65"/>
      <c r="AC18" s="1237"/>
      <c r="AD18" s="65"/>
      <c r="AE18" s="481"/>
      <c r="AF18" s="1755"/>
      <c r="AG18" s="65"/>
      <c r="AH18" s="1131"/>
      <c r="AI18" s="479"/>
      <c r="AJ18" s="65"/>
      <c r="AK18" s="42"/>
      <c r="AL18" s="1132"/>
    </row>
    <row r="19" spans="1:38" ht="15" customHeight="1">
      <c r="A19" s="100"/>
      <c r="B19" s="737" t="s">
        <v>1006</v>
      </c>
      <c r="C19" s="21"/>
      <c r="D19" s="647" t="s">
        <v>14</v>
      </c>
      <c r="E19" s="467"/>
      <c r="F19" s="647"/>
      <c r="G19" s="647"/>
      <c r="H19" s="647"/>
      <c r="I19" s="467"/>
      <c r="J19" s="647"/>
      <c r="K19" s="36"/>
      <c r="L19" s="647"/>
      <c r="M19" s="36"/>
      <c r="N19" s="647"/>
      <c r="O19" s="36"/>
      <c r="P19" s="912"/>
      <c r="Q19" s="36"/>
      <c r="R19" s="647"/>
      <c r="S19" s="36"/>
      <c r="T19" s="647"/>
      <c r="U19" s="36"/>
      <c r="V19" s="647"/>
      <c r="W19" s="36"/>
      <c r="X19" s="647"/>
      <c r="Y19" s="36"/>
      <c r="Z19" s="647"/>
      <c r="AA19" s="36"/>
      <c r="AB19" s="36"/>
      <c r="AC19" s="750"/>
      <c r="AD19" s="36"/>
      <c r="AE19" s="36"/>
      <c r="AF19" s="1238"/>
      <c r="AG19" s="36"/>
      <c r="AH19" s="192"/>
      <c r="AI19" s="36"/>
      <c r="AJ19" s="467"/>
      <c r="AK19" s="644"/>
      <c r="AL19" s="661"/>
    </row>
    <row r="20" spans="1:38" ht="15" customHeight="1">
      <c r="A20" s="100"/>
      <c r="B20" s="753" t="s">
        <v>962</v>
      </c>
      <c r="C20" s="21"/>
      <c r="D20" s="647">
        <v>155.30000000000001</v>
      </c>
      <c r="E20" s="1139"/>
      <c r="F20" s="647">
        <v>94.999999999999972</v>
      </c>
      <c r="G20" s="647"/>
      <c r="H20" s="647">
        <v>124.20000000000002</v>
      </c>
      <c r="I20" s="1139"/>
      <c r="J20" s="647">
        <v>99.5</v>
      </c>
      <c r="K20" s="1004"/>
      <c r="L20" s="647">
        <v>97.000000000000028</v>
      </c>
      <c r="M20" s="1004"/>
      <c r="N20" s="647">
        <f>$AD20-$D20-$F20-$H20-$J20-$L20</f>
        <v>123.29999999999993</v>
      </c>
      <c r="O20" s="1004"/>
      <c r="P20" s="647"/>
      <c r="Q20" s="1004"/>
      <c r="R20" s="647"/>
      <c r="S20" s="1004"/>
      <c r="T20" s="647"/>
      <c r="U20" s="1004"/>
      <c r="V20" s="647"/>
      <c r="W20" s="1004"/>
      <c r="X20" s="647"/>
      <c r="Y20" s="1004"/>
      <c r="Z20" s="647"/>
      <c r="AA20" s="496"/>
      <c r="AB20" s="467"/>
      <c r="AC20" s="933"/>
      <c r="AD20" s="912">
        <v>694.3</v>
      </c>
      <c r="AE20" s="493"/>
      <c r="AF20" s="720"/>
      <c r="AG20" s="912">
        <v>657.9</v>
      </c>
      <c r="AH20" s="192"/>
      <c r="AI20" s="36"/>
      <c r="AJ20" s="467">
        <f t="shared" ref="AJ20:AJ28" si="1">ROUND(SUM(+AD20-AG20),1)</f>
        <v>36.4</v>
      </c>
      <c r="AK20" s="644"/>
      <c r="AL20" s="1129">
        <f t="shared" ref="AL20:AL29" si="2">ROUND(IF(AG20=0,0,AJ20/ABS(AG20)),3)</f>
        <v>5.5E-2</v>
      </c>
    </row>
    <row r="21" spans="1:38" ht="15" customHeight="1">
      <c r="A21" s="100"/>
      <c r="B21" s="753" t="s">
        <v>963</v>
      </c>
      <c r="C21" s="21"/>
      <c r="D21" s="647">
        <v>1.9</v>
      </c>
      <c r="E21" s="1139"/>
      <c r="F21" s="647">
        <v>0</v>
      </c>
      <c r="G21" s="647"/>
      <c r="H21" s="647">
        <v>6.9</v>
      </c>
      <c r="I21" s="1139"/>
      <c r="J21" s="647">
        <v>0</v>
      </c>
      <c r="K21" s="1004"/>
      <c r="L21" s="647">
        <v>0</v>
      </c>
      <c r="M21" s="1004"/>
      <c r="N21" s="647">
        <f t="shared" ref="N21:N28" si="3">$AD21-$D21-$F21-$H21-$J21-$L21</f>
        <v>10.1</v>
      </c>
      <c r="O21" s="1004"/>
      <c r="P21" s="647"/>
      <c r="Q21" s="1004"/>
      <c r="R21" s="647"/>
      <c r="S21" s="1004"/>
      <c r="T21" s="647"/>
      <c r="U21" s="1004"/>
      <c r="V21" s="647"/>
      <c r="W21" s="1004"/>
      <c r="X21" s="647"/>
      <c r="Y21" s="1004"/>
      <c r="Z21" s="647"/>
      <c r="AA21" s="496"/>
      <c r="AB21" s="467"/>
      <c r="AC21" s="933"/>
      <c r="AD21" s="912">
        <v>18.899999999999999</v>
      </c>
      <c r="AE21" s="493"/>
      <c r="AF21" s="720"/>
      <c r="AG21" s="912">
        <v>17</v>
      </c>
      <c r="AH21" s="192"/>
      <c r="AI21" s="36"/>
      <c r="AJ21" s="467">
        <f t="shared" si="1"/>
        <v>1.9</v>
      </c>
      <c r="AK21" s="644"/>
      <c r="AL21" s="1129">
        <f>ROUND(IF(AG21=0,1,AJ21/ABS(AG21)),3)</f>
        <v>0.112</v>
      </c>
    </row>
    <row r="22" spans="1:38" ht="15" customHeight="1">
      <c r="A22" s="100"/>
      <c r="B22" s="753" t="s">
        <v>964</v>
      </c>
      <c r="C22" s="21"/>
      <c r="D22" s="647">
        <v>51.8</v>
      </c>
      <c r="E22" s="1139"/>
      <c r="F22" s="647">
        <v>51.7</v>
      </c>
      <c r="G22" s="647"/>
      <c r="H22" s="647">
        <v>48.800000000000011</v>
      </c>
      <c r="I22" s="1139"/>
      <c r="J22" s="647">
        <v>50.499999999999986</v>
      </c>
      <c r="K22" s="1004"/>
      <c r="L22" s="647">
        <v>50.800000000000026</v>
      </c>
      <c r="M22" s="1004"/>
      <c r="N22" s="647">
        <f t="shared" si="3"/>
        <v>46.899999999999977</v>
      </c>
      <c r="O22" s="1004"/>
      <c r="P22" s="647"/>
      <c r="Q22" s="1004"/>
      <c r="R22" s="647"/>
      <c r="S22" s="1004"/>
      <c r="T22" s="647"/>
      <c r="U22" s="1004"/>
      <c r="V22" s="647"/>
      <c r="W22" s="1004"/>
      <c r="X22" s="647"/>
      <c r="Y22" s="1004"/>
      <c r="Z22" s="647"/>
      <c r="AA22" s="496"/>
      <c r="AB22" s="467"/>
      <c r="AC22" s="933"/>
      <c r="AD22" s="912">
        <v>300.5</v>
      </c>
      <c r="AE22" s="493"/>
      <c r="AF22" s="720"/>
      <c r="AG22" s="912">
        <v>327.7</v>
      </c>
      <c r="AH22" s="192"/>
      <c r="AI22" s="36"/>
      <c r="AJ22" s="467">
        <f t="shared" si="1"/>
        <v>-27.2</v>
      </c>
      <c r="AK22" s="644"/>
      <c r="AL22" s="1129">
        <f t="shared" si="2"/>
        <v>-8.3000000000000004E-2</v>
      </c>
    </row>
    <row r="23" spans="1:38" ht="15" customHeight="1">
      <c r="A23" s="100"/>
      <c r="B23" s="489" t="s">
        <v>1392</v>
      </c>
      <c r="C23" s="21"/>
      <c r="D23" s="647">
        <v>0.9</v>
      </c>
      <c r="E23" s="1139"/>
      <c r="F23" s="647">
        <v>0.79999999999999993</v>
      </c>
      <c r="G23" s="647"/>
      <c r="H23" s="647">
        <v>3.5999999999999996</v>
      </c>
      <c r="I23" s="1139"/>
      <c r="J23" s="647">
        <v>0.90000000000000036</v>
      </c>
      <c r="K23" s="1004"/>
      <c r="L23" s="647">
        <v>0.29999999999999982</v>
      </c>
      <c r="M23" s="1004"/>
      <c r="N23" s="647">
        <f t="shared" si="3"/>
        <v>6.9999999999999991</v>
      </c>
      <c r="O23" s="1004"/>
      <c r="P23" s="647"/>
      <c r="Q23" s="1004"/>
      <c r="R23" s="647"/>
      <c r="S23" s="1004"/>
      <c r="T23" s="647"/>
      <c r="U23" s="1004"/>
      <c r="V23" s="647"/>
      <c r="W23" s="1004"/>
      <c r="X23" s="647"/>
      <c r="Y23" s="1004"/>
      <c r="Z23" s="647"/>
      <c r="AA23" s="496"/>
      <c r="AB23" s="467"/>
      <c r="AC23" s="933"/>
      <c r="AD23" s="912">
        <v>13.5</v>
      </c>
      <c r="AE23" s="493"/>
      <c r="AF23" s="720"/>
      <c r="AG23" s="912">
        <v>6.1</v>
      </c>
      <c r="AH23" s="192"/>
      <c r="AI23" s="36"/>
      <c r="AJ23" s="467">
        <f t="shared" si="1"/>
        <v>7.4</v>
      </c>
      <c r="AK23" s="644"/>
      <c r="AL23" s="469">
        <f>ROUND(IF(AG23=0,1,AJ23/ABS(AG23)),3)</f>
        <v>1.2130000000000001</v>
      </c>
    </row>
    <row r="24" spans="1:38" ht="15" customHeight="1">
      <c r="A24" s="100"/>
      <c r="B24" s="753" t="s">
        <v>965</v>
      </c>
      <c r="C24" s="21"/>
      <c r="D24" s="647">
        <v>8.1999999999999993</v>
      </c>
      <c r="E24" s="1139"/>
      <c r="F24" s="647">
        <v>9.1000000000000014</v>
      </c>
      <c r="G24" s="647"/>
      <c r="H24" s="647">
        <v>8.3000000000000007</v>
      </c>
      <c r="I24" s="1139"/>
      <c r="J24" s="647">
        <v>9.2999999999999972</v>
      </c>
      <c r="K24" s="1004"/>
      <c r="L24" s="647">
        <v>9.0000000000000036</v>
      </c>
      <c r="M24" s="1004"/>
      <c r="N24" s="647">
        <f t="shared" si="3"/>
        <v>9.5999999999999943</v>
      </c>
      <c r="O24" s="1004"/>
      <c r="P24" s="647"/>
      <c r="Q24" s="1004"/>
      <c r="R24" s="647"/>
      <c r="S24" s="1004"/>
      <c r="T24" s="647"/>
      <c r="U24" s="1004"/>
      <c r="V24" s="647"/>
      <c r="W24" s="1004"/>
      <c r="X24" s="647"/>
      <c r="Y24" s="1004"/>
      <c r="Z24" s="647"/>
      <c r="AA24" s="496"/>
      <c r="AB24" s="467"/>
      <c r="AC24" s="933"/>
      <c r="AD24" s="912">
        <v>53.5</v>
      </c>
      <c r="AE24" s="493"/>
      <c r="AF24" s="720"/>
      <c r="AG24" s="912">
        <v>17.399999999999999</v>
      </c>
      <c r="AH24" s="192"/>
      <c r="AI24" s="36"/>
      <c r="AJ24" s="467">
        <f t="shared" si="1"/>
        <v>36.1</v>
      </c>
      <c r="AK24" s="644"/>
      <c r="AL24" s="1129">
        <f t="shared" si="2"/>
        <v>2.0750000000000002</v>
      </c>
    </row>
    <row r="25" spans="1:38" ht="15" customHeight="1">
      <c r="A25" s="100"/>
      <c r="B25" s="753" t="s">
        <v>1432</v>
      </c>
      <c r="C25" s="21"/>
      <c r="D25" s="647">
        <v>0.1</v>
      </c>
      <c r="E25" s="1139"/>
      <c r="F25" s="647">
        <v>0</v>
      </c>
      <c r="G25" s="647"/>
      <c r="H25" s="647">
        <v>0.1</v>
      </c>
      <c r="I25" s="1139"/>
      <c r="J25" s="647">
        <v>0</v>
      </c>
      <c r="K25" s="1004"/>
      <c r="L25" s="647">
        <v>0</v>
      </c>
      <c r="M25" s="1004"/>
      <c r="N25" s="647">
        <f t="shared" si="3"/>
        <v>9.9999999999999978E-2</v>
      </c>
      <c r="O25" s="1004"/>
      <c r="P25" s="647"/>
      <c r="Q25" s="1004"/>
      <c r="R25" s="647"/>
      <c r="S25" s="1004"/>
      <c r="T25" s="647"/>
      <c r="U25" s="1004"/>
      <c r="V25" s="647"/>
      <c r="W25" s="1004"/>
      <c r="X25" s="647"/>
      <c r="Y25" s="1004"/>
      <c r="Z25" s="647"/>
      <c r="AA25" s="496"/>
      <c r="AB25" s="467"/>
      <c r="AC25" s="717"/>
      <c r="AD25" s="912">
        <v>0.3</v>
      </c>
      <c r="AE25" s="493"/>
      <c r="AF25" s="720"/>
      <c r="AG25" s="912">
        <v>0</v>
      </c>
      <c r="AH25" s="192"/>
      <c r="AI25" s="36"/>
      <c r="AJ25" s="467">
        <f t="shared" ref="AJ25" si="4">ROUND(SUM(+AD25-AG25),1)</f>
        <v>0.3</v>
      </c>
      <c r="AK25" s="644"/>
      <c r="AL25" s="1129">
        <f>ROUND(IF(AG25=0,1,AJ25/ABS(AG25)),3)</f>
        <v>1</v>
      </c>
    </row>
    <row r="26" spans="1:38" ht="15" customHeight="1">
      <c r="A26" s="100"/>
      <c r="B26" s="753" t="s">
        <v>966</v>
      </c>
      <c r="C26" s="21"/>
      <c r="D26" s="647">
        <v>0</v>
      </c>
      <c r="E26" s="1139"/>
      <c r="F26" s="647">
        <v>0</v>
      </c>
      <c r="G26" s="647"/>
      <c r="H26" s="647">
        <v>0</v>
      </c>
      <c r="I26" s="1139"/>
      <c r="J26" s="647">
        <v>0</v>
      </c>
      <c r="K26" s="1004"/>
      <c r="L26" s="647">
        <v>0</v>
      </c>
      <c r="M26" s="1004"/>
      <c r="N26" s="647">
        <f t="shared" si="3"/>
        <v>0</v>
      </c>
      <c r="O26" s="1004"/>
      <c r="P26" s="647"/>
      <c r="Q26" s="1004"/>
      <c r="R26" s="647"/>
      <c r="S26" s="1004"/>
      <c r="T26" s="647"/>
      <c r="U26" s="1004"/>
      <c r="V26" s="647"/>
      <c r="W26" s="1004"/>
      <c r="X26" s="647"/>
      <c r="Y26" s="1004"/>
      <c r="Z26" s="647"/>
      <c r="AA26" s="496"/>
      <c r="AB26" s="467"/>
      <c r="AC26" s="933"/>
      <c r="AD26" s="912">
        <v>0</v>
      </c>
      <c r="AE26" s="493"/>
      <c r="AF26" s="720"/>
      <c r="AG26" s="912">
        <v>0</v>
      </c>
      <c r="AH26" s="192"/>
      <c r="AI26" s="36"/>
      <c r="AJ26" s="467">
        <f t="shared" si="1"/>
        <v>0</v>
      </c>
      <c r="AK26" s="644"/>
      <c r="AL26" s="1129">
        <f t="shared" si="2"/>
        <v>0</v>
      </c>
    </row>
    <row r="27" spans="1:38" ht="15" customHeight="1">
      <c r="A27" s="100"/>
      <c r="B27" s="753" t="s">
        <v>967</v>
      </c>
      <c r="C27" s="21"/>
      <c r="D27" s="647">
        <v>0.1</v>
      </c>
      <c r="E27" s="1139"/>
      <c r="F27" s="647">
        <v>0</v>
      </c>
      <c r="G27" s="647"/>
      <c r="H27" s="647">
        <v>0.1</v>
      </c>
      <c r="I27" s="1139"/>
      <c r="J27" s="647">
        <v>0</v>
      </c>
      <c r="K27" s="1004"/>
      <c r="L27" s="647">
        <v>9.9999999999999978E-2</v>
      </c>
      <c r="M27" s="1004"/>
      <c r="N27" s="647">
        <f t="shared" si="3"/>
        <v>0</v>
      </c>
      <c r="O27" s="1004"/>
      <c r="P27" s="647"/>
      <c r="Q27" s="1004"/>
      <c r="R27" s="647"/>
      <c r="S27" s="1004"/>
      <c r="T27" s="647"/>
      <c r="U27" s="1004"/>
      <c r="V27" s="647"/>
      <c r="W27" s="1004"/>
      <c r="X27" s="647"/>
      <c r="Y27" s="1004"/>
      <c r="Z27" s="647"/>
      <c r="AA27" s="496"/>
      <c r="AB27" s="467"/>
      <c r="AC27" s="933"/>
      <c r="AD27" s="912">
        <v>0.3</v>
      </c>
      <c r="AE27" s="493"/>
      <c r="AF27" s="720"/>
      <c r="AG27" s="912">
        <v>0.3</v>
      </c>
      <c r="AH27" s="192"/>
      <c r="AI27" s="36"/>
      <c r="AJ27" s="467">
        <f t="shared" si="1"/>
        <v>0</v>
      </c>
      <c r="AK27" s="644"/>
      <c r="AL27" s="1133">
        <f>ROUND(IF(AG27=0,1,AJ27/ABS(AG27)),3)</f>
        <v>0</v>
      </c>
    </row>
    <row r="28" spans="1:38" ht="15" customHeight="1">
      <c r="A28" s="100"/>
      <c r="B28" s="489" t="s">
        <v>1260</v>
      </c>
      <c r="C28" s="21"/>
      <c r="D28" s="647">
        <v>0.2</v>
      </c>
      <c r="E28" s="1139"/>
      <c r="F28" s="647">
        <v>0.3</v>
      </c>
      <c r="G28" s="647"/>
      <c r="H28" s="647">
        <v>6.1</v>
      </c>
      <c r="I28" s="1139"/>
      <c r="J28" s="647">
        <v>0.10000000000000053</v>
      </c>
      <c r="K28" s="1004"/>
      <c r="L28" s="647">
        <v>0</v>
      </c>
      <c r="M28" s="1004"/>
      <c r="N28" s="647">
        <f t="shared" si="3"/>
        <v>6.3999999999999995</v>
      </c>
      <c r="O28" s="1004"/>
      <c r="P28" s="647"/>
      <c r="Q28" s="1004"/>
      <c r="R28" s="647"/>
      <c r="S28" s="1004"/>
      <c r="T28" s="647"/>
      <c r="U28" s="1004"/>
      <c r="V28" s="647"/>
      <c r="W28" s="1004"/>
      <c r="X28" s="647"/>
      <c r="Y28" s="1004"/>
      <c r="Z28" s="647"/>
      <c r="AA28" s="496"/>
      <c r="AB28" s="467"/>
      <c r="AC28" s="933"/>
      <c r="AD28" s="912">
        <v>13.1</v>
      </c>
      <c r="AE28" s="493"/>
      <c r="AF28" s="720"/>
      <c r="AG28" s="912">
        <v>12.6</v>
      </c>
      <c r="AH28" s="192"/>
      <c r="AI28" s="36"/>
      <c r="AJ28" s="467">
        <f t="shared" si="1"/>
        <v>0.5</v>
      </c>
      <c r="AK28" s="644"/>
      <c r="AL28" s="1133">
        <f>ROUND(IF(AG28=0,1,AJ28/ABS(AG28)),3)</f>
        <v>0.04</v>
      </c>
    </row>
    <row r="29" spans="1:38" s="548" customFormat="1" ht="15" customHeight="1">
      <c r="A29" s="748"/>
      <c r="B29" s="19" t="s">
        <v>1067</v>
      </c>
      <c r="C29" s="19"/>
      <c r="D29" s="1138">
        <f>ROUND(SUM(D20:D28),1)</f>
        <v>218.5</v>
      </c>
      <c r="E29" s="42"/>
      <c r="F29" s="1138">
        <f>ROUND(SUM(F20:F28),1)</f>
        <v>156.9</v>
      </c>
      <c r="G29" s="42"/>
      <c r="H29" s="1138">
        <f>ROUND(SUM(H20:H28),1)</f>
        <v>198.1</v>
      </c>
      <c r="I29" s="42"/>
      <c r="J29" s="1138">
        <f>ROUND(SUM(J20:J28),1)</f>
        <v>160.30000000000001</v>
      </c>
      <c r="K29" s="42"/>
      <c r="L29" s="41">
        <f>ROUND(SUM(L20:L28),1)</f>
        <v>157.19999999999999</v>
      </c>
      <c r="M29" s="42"/>
      <c r="N29" s="41">
        <f>ROUND(SUM(N20:N28),1)</f>
        <v>203.4</v>
      </c>
      <c r="O29" s="42"/>
      <c r="P29" s="41">
        <f>ROUND(SUM(P20:P28),1)</f>
        <v>0</v>
      </c>
      <c r="Q29" s="42"/>
      <c r="R29" s="41">
        <f>ROUND(SUM(R20:R28),1)</f>
        <v>0</v>
      </c>
      <c r="S29" s="41"/>
      <c r="T29" s="41">
        <f t="shared" ref="T29" si="5">ROUND(SUM(T20:T28),1)</f>
        <v>0</v>
      </c>
      <c r="U29" s="42"/>
      <c r="V29" s="41">
        <f>ROUND(SUM(V20:V28),1)</f>
        <v>0</v>
      </c>
      <c r="W29" s="42"/>
      <c r="X29" s="41">
        <f>ROUND(SUM(X20:X28),1)</f>
        <v>0</v>
      </c>
      <c r="Y29" s="42"/>
      <c r="Z29" s="41">
        <f>ROUND(SUM(Z20:Z28),1)</f>
        <v>0</v>
      </c>
      <c r="AA29" s="42"/>
      <c r="AB29" s="42"/>
      <c r="AC29" s="1234"/>
      <c r="AD29" s="41">
        <f>ROUND(SUM(AD20:AD28),1)</f>
        <v>1094.4000000000001</v>
      </c>
      <c r="AE29" s="42"/>
      <c r="AF29" s="1756"/>
      <c r="AG29" s="41">
        <f>ROUND(SUM(AG20:AG28),1)</f>
        <v>1039</v>
      </c>
      <c r="AH29" s="198"/>
      <c r="AI29" s="42"/>
      <c r="AJ29" s="41">
        <f>ROUND(SUM(AJ20:AJ28),1)</f>
        <v>55.4</v>
      </c>
      <c r="AK29" s="139"/>
      <c r="AL29" s="736">
        <f t="shared" si="2"/>
        <v>5.2999999999999999E-2</v>
      </c>
    </row>
    <row r="30" spans="1:38" ht="15" customHeight="1">
      <c r="A30" s="100"/>
      <c r="B30" s="737" t="s">
        <v>951</v>
      </c>
      <c r="C30" s="21"/>
      <c r="D30" s="467"/>
      <c r="E30" s="467"/>
      <c r="F30" s="467"/>
      <c r="G30" s="467"/>
      <c r="H30" s="467"/>
      <c r="I30" s="467"/>
      <c r="J30" s="467"/>
      <c r="K30" s="36"/>
      <c r="L30" s="36"/>
      <c r="M30" s="36"/>
      <c r="N30" s="36"/>
      <c r="O30" s="36"/>
      <c r="P30" s="36"/>
      <c r="Q30" s="36"/>
      <c r="R30" s="36"/>
      <c r="S30" s="36"/>
      <c r="T30" s="36"/>
      <c r="U30" s="36"/>
      <c r="V30" s="36"/>
      <c r="W30" s="36"/>
      <c r="X30" s="36"/>
      <c r="Y30" s="36"/>
      <c r="Z30" s="36"/>
      <c r="AA30" s="36"/>
      <c r="AB30" s="36"/>
      <c r="AC30" s="750"/>
      <c r="AD30" s="36"/>
      <c r="AE30" s="36"/>
      <c r="AF30" s="1238"/>
      <c r="AG30" s="36"/>
      <c r="AH30" s="192"/>
      <c r="AI30" s="36"/>
      <c r="AJ30" s="467"/>
      <c r="AK30" s="644"/>
      <c r="AL30" s="644"/>
    </row>
    <row r="31" spans="1:38" ht="15" customHeight="1">
      <c r="A31" s="100"/>
      <c r="B31" s="753" t="s">
        <v>969</v>
      </c>
      <c r="C31" s="21"/>
      <c r="D31" s="647">
        <v>223.3</v>
      </c>
      <c r="E31" s="1139"/>
      <c r="F31" s="647">
        <v>36.5</v>
      </c>
      <c r="G31" s="647"/>
      <c r="H31" s="647">
        <v>291.09999999999997</v>
      </c>
      <c r="I31" s="467"/>
      <c r="J31" s="647">
        <v>50.100000000000023</v>
      </c>
      <c r="K31" s="1004"/>
      <c r="L31" s="647">
        <v>22.700000000000045</v>
      </c>
      <c r="M31" s="1004"/>
      <c r="N31" s="647">
        <f t="shared" ref="N31:N35" si="6">$AD31-$D31-$F31-$H31-$J31-$L31</f>
        <v>304.59999999999997</v>
      </c>
      <c r="O31" s="1004"/>
      <c r="P31" s="647"/>
      <c r="Q31" s="1004"/>
      <c r="R31" s="647"/>
      <c r="S31" s="1004"/>
      <c r="T31" s="647"/>
      <c r="U31" s="1004"/>
      <c r="V31" s="647"/>
      <c r="W31" s="1004"/>
      <c r="X31" s="647"/>
      <c r="Y31" s="1004"/>
      <c r="Z31" s="647"/>
      <c r="AA31" s="496"/>
      <c r="AB31" s="467"/>
      <c r="AC31" s="933"/>
      <c r="AD31" s="912">
        <v>928.3</v>
      </c>
      <c r="AE31" s="493"/>
      <c r="AF31" s="720"/>
      <c r="AG31" s="912">
        <v>892.9</v>
      </c>
      <c r="AH31" s="192"/>
      <c r="AI31" s="36"/>
      <c r="AJ31" s="467">
        <f>ROUND(SUM(+AD31-AG31),1)</f>
        <v>35.4</v>
      </c>
      <c r="AK31" s="644"/>
      <c r="AL31" s="1129">
        <f t="shared" ref="AL31:AL36" si="7">ROUND(IF(AG31=0,0,AJ31/ABS(AG31)),3)</f>
        <v>0.04</v>
      </c>
    </row>
    <row r="32" spans="1:38" ht="15" customHeight="1">
      <c r="A32" s="100"/>
      <c r="B32" s="753" t="s">
        <v>970</v>
      </c>
      <c r="C32" s="21"/>
      <c r="D32" s="647">
        <v>22.2</v>
      </c>
      <c r="E32" s="1139"/>
      <c r="F32" s="647">
        <v>0.30000000000000071</v>
      </c>
      <c r="G32" s="647"/>
      <c r="H32" s="647">
        <v>16</v>
      </c>
      <c r="I32" s="467"/>
      <c r="J32" s="647">
        <v>0.20000000000000284</v>
      </c>
      <c r="K32" s="1004"/>
      <c r="L32" s="647">
        <v>0.19999999999999574</v>
      </c>
      <c r="M32" s="1004"/>
      <c r="N32" s="647">
        <f t="shared" si="6"/>
        <v>19.399999999999999</v>
      </c>
      <c r="O32" s="1004"/>
      <c r="P32" s="647"/>
      <c r="Q32" s="1004"/>
      <c r="R32" s="647"/>
      <c r="S32" s="1004"/>
      <c r="T32" s="647"/>
      <c r="U32" s="1004"/>
      <c r="V32" s="647"/>
      <c r="W32" s="1004"/>
      <c r="X32" s="647"/>
      <c r="Y32" s="1004"/>
      <c r="Z32" s="647"/>
      <c r="AA32" s="496"/>
      <c r="AB32" s="467"/>
      <c r="AC32" s="933"/>
      <c r="AD32" s="912">
        <v>58.3</v>
      </c>
      <c r="AE32" s="493"/>
      <c r="AF32" s="720"/>
      <c r="AG32" s="912">
        <v>43.1</v>
      </c>
      <c r="AH32" s="192"/>
      <c r="AI32" s="36"/>
      <c r="AJ32" s="467">
        <f>ROUND(SUM(+AD32-AG32),1)</f>
        <v>15.2</v>
      </c>
      <c r="AK32" s="644"/>
      <c r="AL32" s="1129">
        <f t="shared" si="7"/>
        <v>0.35299999999999998</v>
      </c>
    </row>
    <row r="33" spans="1:39" ht="15" customHeight="1">
      <c r="A33" s="100"/>
      <c r="B33" s="753" t="s">
        <v>971</v>
      </c>
      <c r="C33" s="21"/>
      <c r="D33" s="647">
        <v>24.4</v>
      </c>
      <c r="E33" s="1139"/>
      <c r="F33" s="647">
        <v>-10.399999999999999</v>
      </c>
      <c r="G33" s="647"/>
      <c r="H33" s="647">
        <v>66.300000000000011</v>
      </c>
      <c r="I33" s="467"/>
      <c r="J33" s="647">
        <v>0.29999999999998295</v>
      </c>
      <c r="K33" s="1004"/>
      <c r="L33" s="647">
        <v>2.6000000000000085</v>
      </c>
      <c r="M33" s="1004"/>
      <c r="N33" s="647">
        <f t="shared" si="6"/>
        <v>57.3</v>
      </c>
      <c r="O33" s="1004"/>
      <c r="P33" s="647"/>
      <c r="Q33" s="1004"/>
      <c r="R33" s="647"/>
      <c r="S33" s="1004"/>
      <c r="T33" s="647"/>
      <c r="U33" s="1004"/>
      <c r="V33" s="647"/>
      <c r="W33" s="1004"/>
      <c r="X33" s="647"/>
      <c r="Y33" s="1004"/>
      <c r="Z33" s="647"/>
      <c r="AA33" s="496"/>
      <c r="AB33" s="467"/>
      <c r="AC33" s="933"/>
      <c r="AD33" s="912">
        <v>140.5</v>
      </c>
      <c r="AE33" s="493"/>
      <c r="AF33" s="720"/>
      <c r="AG33" s="912">
        <v>138.80000000000001</v>
      </c>
      <c r="AH33" s="192"/>
      <c r="AI33" s="36"/>
      <c r="AJ33" s="467">
        <f>ROUND(SUM(+AD33-AG33),1)</f>
        <v>1.7</v>
      </c>
      <c r="AK33" s="644"/>
      <c r="AL33" s="1130">
        <f>ROUND(IF(AG33=0,0,AJ33/ABS(AG33)),3)</f>
        <v>1.2E-2</v>
      </c>
    </row>
    <row r="34" spans="1:39" ht="15" customHeight="1">
      <c r="A34" s="100"/>
      <c r="B34" s="753" t="s">
        <v>972</v>
      </c>
      <c r="C34" s="21"/>
      <c r="D34" s="647">
        <v>0.3</v>
      </c>
      <c r="E34" s="1139"/>
      <c r="F34" s="647">
        <v>0</v>
      </c>
      <c r="G34" s="647"/>
      <c r="H34" s="647">
        <v>-9.9999999999999978E-2</v>
      </c>
      <c r="I34" s="467"/>
      <c r="J34" s="647">
        <v>9.9999999999999978E-2</v>
      </c>
      <c r="K34" s="1004"/>
      <c r="L34" s="647">
        <v>0</v>
      </c>
      <c r="M34" s="1004"/>
      <c r="N34" s="647">
        <f t="shared" si="6"/>
        <v>-9.9999999999999978E-2</v>
      </c>
      <c r="O34" s="1004"/>
      <c r="P34" s="647"/>
      <c r="Q34" s="1004"/>
      <c r="R34" s="647"/>
      <c r="S34" s="1004"/>
      <c r="T34" s="647"/>
      <c r="U34" s="1004"/>
      <c r="V34" s="647"/>
      <c r="W34" s="1004"/>
      <c r="X34" s="647"/>
      <c r="Y34" s="1004"/>
      <c r="Z34" s="647"/>
      <c r="AA34" s="496"/>
      <c r="AB34" s="467"/>
      <c r="AC34" s="933"/>
      <c r="AD34" s="912">
        <v>0.2</v>
      </c>
      <c r="AE34" s="493"/>
      <c r="AF34" s="720"/>
      <c r="AG34" s="912">
        <v>-0.5</v>
      </c>
      <c r="AH34" s="192"/>
      <c r="AI34" s="36"/>
      <c r="AJ34" s="467">
        <f>ROUND(SUM(+AD34-AG34),1)</f>
        <v>0.7</v>
      </c>
      <c r="AK34" s="644"/>
      <c r="AL34" s="1130">
        <f>ROUND(IF(AG34=0,1,AJ34/ABS(AG34)),3)</f>
        <v>1.4</v>
      </c>
    </row>
    <row r="35" spans="1:39" ht="15" customHeight="1">
      <c r="A35" s="100"/>
      <c r="B35" s="753" t="s">
        <v>973</v>
      </c>
      <c r="C35" s="21"/>
      <c r="D35" s="647">
        <v>36.1</v>
      </c>
      <c r="E35" s="1139"/>
      <c r="F35" s="647">
        <v>42.9</v>
      </c>
      <c r="G35" s="647"/>
      <c r="H35" s="647">
        <v>41.699999999999996</v>
      </c>
      <c r="I35" s="467"/>
      <c r="J35" s="647">
        <v>42.9</v>
      </c>
      <c r="K35" s="1004"/>
      <c r="L35" s="647">
        <v>48.200000000000024</v>
      </c>
      <c r="M35" s="1004"/>
      <c r="N35" s="647">
        <f t="shared" si="6"/>
        <v>41.799999999999976</v>
      </c>
      <c r="O35" s="1004"/>
      <c r="P35" s="647"/>
      <c r="Q35" s="1004"/>
      <c r="R35" s="647"/>
      <c r="S35" s="1004"/>
      <c r="T35" s="647"/>
      <c r="U35" s="1004"/>
      <c r="V35" s="647"/>
      <c r="W35" s="1004"/>
      <c r="X35" s="647"/>
      <c r="Y35" s="1004"/>
      <c r="Z35" s="647"/>
      <c r="AA35" s="496"/>
      <c r="AB35" s="467"/>
      <c r="AC35" s="933"/>
      <c r="AD35" s="912">
        <v>253.6</v>
      </c>
      <c r="AE35" s="493"/>
      <c r="AF35" s="720"/>
      <c r="AG35" s="912">
        <v>244</v>
      </c>
      <c r="AH35" s="192"/>
      <c r="AI35" s="36"/>
      <c r="AJ35" s="467">
        <f>ROUND(SUM(+AD35-AG35),1)</f>
        <v>9.6</v>
      </c>
      <c r="AK35" s="644"/>
      <c r="AL35" s="1129">
        <f t="shared" si="7"/>
        <v>3.9E-2</v>
      </c>
    </row>
    <row r="36" spans="1:39" s="548" customFormat="1" ht="15" customHeight="1">
      <c r="A36" s="748"/>
      <c r="B36" s="19" t="s">
        <v>1070</v>
      </c>
      <c r="C36" s="19"/>
      <c r="D36" s="1138">
        <f>ROUND(SUM(D31:D35),1)</f>
        <v>306.3</v>
      </c>
      <c r="E36" s="42"/>
      <c r="F36" s="1138">
        <f>ROUND(SUM(F31:F35),1)</f>
        <v>69.3</v>
      </c>
      <c r="G36" s="42"/>
      <c r="H36" s="1138">
        <f>ROUND(SUM(H31:H35),1)</f>
        <v>415</v>
      </c>
      <c r="I36" s="42"/>
      <c r="J36" s="1138">
        <f>ROUND(SUM(J31:J35),1)</f>
        <v>93.6</v>
      </c>
      <c r="K36" s="42"/>
      <c r="L36" s="41">
        <f>ROUND(SUM(L31:L35),1)</f>
        <v>73.7</v>
      </c>
      <c r="M36" s="42"/>
      <c r="N36" s="41">
        <f>ROUND(SUM(N31:N35),1)</f>
        <v>423</v>
      </c>
      <c r="O36" s="42"/>
      <c r="P36" s="41">
        <f>ROUND(SUM(P31:P35),1)</f>
        <v>0</v>
      </c>
      <c r="Q36" s="42"/>
      <c r="R36" s="41">
        <f>ROUND(SUM(R31:R35),1)</f>
        <v>0</v>
      </c>
      <c r="S36" s="41"/>
      <c r="T36" s="41">
        <f t="shared" ref="T36" si="8">ROUND(SUM(T31:T35),1)</f>
        <v>0</v>
      </c>
      <c r="U36" s="42"/>
      <c r="V36" s="41">
        <f>ROUND(SUM(V31:V35),1)</f>
        <v>0</v>
      </c>
      <c r="W36" s="42"/>
      <c r="X36" s="41">
        <f>ROUND(SUM(X31:X35),1)</f>
        <v>0</v>
      </c>
      <c r="Y36" s="42"/>
      <c r="Z36" s="41">
        <f>ROUND(SUM(Z31:Z35),1)</f>
        <v>0</v>
      </c>
      <c r="AA36" s="42"/>
      <c r="AB36" s="42"/>
      <c r="AC36" s="1234"/>
      <c r="AD36" s="41">
        <f>ROUND(SUM(AD31:AD35),1)</f>
        <v>1380.9</v>
      </c>
      <c r="AE36" s="42"/>
      <c r="AF36" s="1756"/>
      <c r="AG36" s="41">
        <f>ROUND(SUM(AG31:AG35),1)</f>
        <v>1318.3</v>
      </c>
      <c r="AH36" s="198"/>
      <c r="AI36" s="42"/>
      <c r="AJ36" s="41">
        <f>ROUND(SUM(AJ31:AJ35),1)</f>
        <v>62.6</v>
      </c>
      <c r="AK36" s="139"/>
      <c r="AL36" s="13">
        <f t="shared" si="7"/>
        <v>4.7E-2</v>
      </c>
    </row>
    <row r="37" spans="1:39" ht="15" customHeight="1">
      <c r="A37" s="100"/>
      <c r="B37" s="19"/>
      <c r="C37" s="21"/>
      <c r="D37" s="467"/>
      <c r="E37" s="467"/>
      <c r="F37" s="467"/>
      <c r="G37" s="467"/>
      <c r="H37" s="467"/>
      <c r="I37" s="467"/>
      <c r="J37" s="467"/>
      <c r="K37" s="36"/>
      <c r="L37" s="36"/>
      <c r="M37" s="36"/>
      <c r="N37" s="36"/>
      <c r="O37" s="36"/>
      <c r="P37" s="36"/>
      <c r="Q37" s="36"/>
      <c r="R37" s="36"/>
      <c r="S37" s="36"/>
      <c r="T37" s="36"/>
      <c r="U37" s="36"/>
      <c r="V37" s="36"/>
      <c r="W37" s="36"/>
      <c r="X37" s="647"/>
      <c r="Y37" s="36"/>
      <c r="Z37" s="36"/>
      <c r="AA37" s="36"/>
      <c r="AB37" s="36"/>
      <c r="AC37" s="1238"/>
      <c r="AD37" s="36"/>
      <c r="AE37" s="36"/>
      <c r="AF37" s="1238"/>
      <c r="AG37" s="36"/>
      <c r="AH37" s="192"/>
      <c r="AI37" s="36"/>
      <c r="AJ37" s="467"/>
      <c r="AK37" s="644"/>
      <c r="AL37" s="644"/>
    </row>
    <row r="38" spans="1:39" ht="15" customHeight="1">
      <c r="A38" s="100"/>
      <c r="B38" s="218" t="s">
        <v>948</v>
      </c>
      <c r="C38" s="21"/>
      <c r="D38" s="1893">
        <f>ROUND(SUM(D17+D29+D36),1)</f>
        <v>524.79999999999995</v>
      </c>
      <c r="E38" s="467"/>
      <c r="F38" s="1893">
        <f>ROUND(SUM(F17+F29+F36),1)</f>
        <v>226.2</v>
      </c>
      <c r="G38" s="467"/>
      <c r="H38" s="1893">
        <f>ROUND(SUM(H17+H29+H36),1)</f>
        <v>613.1</v>
      </c>
      <c r="I38" s="467"/>
      <c r="J38" s="1893">
        <f>ROUND(SUM(J17+J29+J36),1)</f>
        <v>253.9</v>
      </c>
      <c r="K38" s="36"/>
      <c r="L38" s="1893">
        <f>ROUND(SUM(L17+L29+L36),1)</f>
        <v>230.9</v>
      </c>
      <c r="M38" s="467"/>
      <c r="N38" s="1893">
        <f>ROUND(SUM(N17+N29+N36),1)</f>
        <v>626.4</v>
      </c>
      <c r="O38" s="467"/>
      <c r="P38" s="1893">
        <f>ROUND(SUM(P17+P29+P36),1)</f>
        <v>0</v>
      </c>
      <c r="Q38" s="467"/>
      <c r="R38" s="1893">
        <f>ROUND(SUM(R17+R29+R36),1)</f>
        <v>0</v>
      </c>
      <c r="S38" s="1893"/>
      <c r="T38" s="1893">
        <f t="shared" ref="T38" si="9">ROUND(SUM(T17+T29+T36),1)</f>
        <v>0</v>
      </c>
      <c r="U38" s="467"/>
      <c r="V38" s="1893">
        <f>ROUND(SUM(V17+V29+V36),1)</f>
        <v>0</v>
      </c>
      <c r="W38" s="467"/>
      <c r="X38" s="1893">
        <f>ROUND(SUM(X17+X29+X36),1)</f>
        <v>0</v>
      </c>
      <c r="Y38" s="467"/>
      <c r="Z38" s="1893">
        <f>ROUND(SUM(Z17+Z29+Z36),1)</f>
        <v>0</v>
      </c>
      <c r="AA38" s="1240"/>
      <c r="AB38" s="36"/>
      <c r="AC38" s="37"/>
      <c r="AD38" s="1893">
        <f>ROUND(SUM(AD17+AD29+AD36),1)</f>
        <v>2475.3000000000002</v>
      </c>
      <c r="AE38" s="36"/>
      <c r="AF38" s="37"/>
      <c r="AG38" s="1893">
        <f>ROUND(SUM(AG17+AG29+AG36),1)</f>
        <v>2357.3000000000002</v>
      </c>
      <c r="AH38" s="195"/>
      <c r="AI38" s="36"/>
      <c r="AJ38" s="1893">
        <f>ROUND(SUM(AJ17+AJ29+AJ36),1)</f>
        <v>118</v>
      </c>
      <c r="AK38" s="467"/>
      <c r="AL38" s="1894">
        <f>ROUND(IF(AG38=0,0,AJ38/ABS(AG38)),3)</f>
        <v>0.05</v>
      </c>
      <c r="AM38" s="567"/>
    </row>
    <row r="39" spans="1:39" ht="15" customHeight="1">
      <c r="A39" s="100"/>
      <c r="B39" s="21"/>
      <c r="C39" s="21"/>
      <c r="D39" s="493"/>
      <c r="E39" s="467"/>
      <c r="F39" s="493"/>
      <c r="G39" s="467"/>
      <c r="H39" s="467"/>
      <c r="I39" s="467"/>
      <c r="J39" s="493"/>
      <c r="K39" s="36"/>
      <c r="L39" s="46"/>
      <c r="M39" s="36"/>
      <c r="N39" s="46"/>
      <c r="O39" s="36"/>
      <c r="P39" s="46"/>
      <c r="Q39" s="36"/>
      <c r="R39" s="46"/>
      <c r="S39" s="36"/>
      <c r="T39" s="46"/>
      <c r="U39" s="36"/>
      <c r="V39" s="46"/>
      <c r="W39" s="36"/>
      <c r="X39" s="647"/>
      <c r="Y39" s="36"/>
      <c r="Z39" s="46"/>
      <c r="AA39" s="46"/>
      <c r="AB39" s="36"/>
      <c r="AC39" s="37"/>
      <c r="AD39" s="193"/>
      <c r="AE39" s="40"/>
      <c r="AF39" s="750"/>
      <c r="AG39" s="193"/>
      <c r="AH39" s="195"/>
      <c r="AI39" s="36"/>
      <c r="AJ39" s="467"/>
      <c r="AK39" s="467"/>
      <c r="AL39" s="488"/>
      <c r="AM39" s="567"/>
    </row>
    <row r="40" spans="1:39" ht="15" customHeight="1">
      <c r="A40" s="100"/>
      <c r="B40" s="118" t="s">
        <v>886</v>
      </c>
      <c r="C40" s="21"/>
      <c r="D40" s="493"/>
      <c r="E40" s="467"/>
      <c r="F40" s="493"/>
      <c r="G40" s="467"/>
      <c r="H40" s="467"/>
      <c r="I40" s="467"/>
      <c r="J40" s="493"/>
      <c r="K40" s="36"/>
      <c r="L40" s="46"/>
      <c r="M40" s="36"/>
      <c r="N40" s="46"/>
      <c r="O40" s="36"/>
      <c r="P40" s="46"/>
      <c r="Q40" s="36"/>
      <c r="R40" s="46"/>
      <c r="S40" s="36"/>
      <c r="T40" s="46"/>
      <c r="U40" s="36"/>
      <c r="V40" s="46"/>
      <c r="W40" s="36"/>
      <c r="X40" s="647"/>
      <c r="Y40" s="36"/>
      <c r="Z40" s="46"/>
      <c r="AA40" s="46"/>
      <c r="AB40" s="36"/>
      <c r="AC40" s="37"/>
      <c r="AD40" s="36"/>
      <c r="AE40" s="36"/>
      <c r="AF40" s="750"/>
      <c r="AG40" s="36"/>
      <c r="AH40" s="192"/>
      <c r="AI40" s="36"/>
      <c r="AJ40" s="467"/>
      <c r="AK40" s="467"/>
      <c r="AL40" s="488"/>
      <c r="AM40" s="567"/>
    </row>
    <row r="41" spans="1:39" ht="15" customHeight="1">
      <c r="A41" s="100"/>
      <c r="B41" s="594" t="s">
        <v>1000</v>
      </c>
      <c r="C41" s="21"/>
      <c r="D41" s="493"/>
      <c r="E41" s="467"/>
      <c r="F41" s="493"/>
      <c r="G41" s="467"/>
      <c r="H41" s="467"/>
      <c r="I41" s="467"/>
      <c r="J41" s="493"/>
      <c r="K41" s="36"/>
      <c r="L41" s="46"/>
      <c r="M41" s="36"/>
      <c r="N41" s="46"/>
      <c r="O41" s="36"/>
      <c r="P41" s="46"/>
      <c r="Q41" s="36"/>
      <c r="R41" s="46"/>
      <c r="S41" s="36"/>
      <c r="T41" s="46"/>
      <c r="U41" s="36"/>
      <c r="V41" s="46"/>
      <c r="W41" s="36"/>
      <c r="X41" s="647"/>
      <c r="Y41" s="36"/>
      <c r="Z41" s="46"/>
      <c r="AA41" s="46"/>
      <c r="AB41" s="36"/>
      <c r="AC41" s="37"/>
      <c r="AD41" s="36"/>
      <c r="AE41" s="36"/>
      <c r="AF41" s="750"/>
      <c r="AG41" s="36"/>
      <c r="AH41" s="192"/>
      <c r="AI41" s="36"/>
      <c r="AJ41" s="467"/>
      <c r="AK41" s="467"/>
      <c r="AL41" s="488"/>
      <c r="AM41" s="567"/>
    </row>
    <row r="42" spans="1:39" ht="15" customHeight="1">
      <c r="A42" s="100"/>
      <c r="B42" s="594" t="s">
        <v>918</v>
      </c>
      <c r="C42" s="21"/>
      <c r="D42" s="647">
        <v>1</v>
      </c>
      <c r="E42" s="467"/>
      <c r="F42" s="647">
        <v>0.89999999999999991</v>
      </c>
      <c r="G42" s="647"/>
      <c r="H42" s="647">
        <v>0.89999999999999991</v>
      </c>
      <c r="I42" s="467"/>
      <c r="J42" s="647">
        <v>0.90000000000000036</v>
      </c>
      <c r="K42" s="1004"/>
      <c r="L42" s="647">
        <v>1.2999999999999998</v>
      </c>
      <c r="M42" s="1004"/>
      <c r="N42" s="647">
        <f t="shared" ref="N42:N81" si="10">$AD42-$D42-$F42-$H42-$J42-$L42</f>
        <v>1.5999999999999992</v>
      </c>
      <c r="O42" s="1004"/>
      <c r="P42" s="647"/>
      <c r="Q42" s="1004"/>
      <c r="R42" s="647"/>
      <c r="S42" s="1004"/>
      <c r="T42" s="647"/>
      <c r="U42" s="1004"/>
      <c r="V42" s="647"/>
      <c r="W42" s="1004"/>
      <c r="X42" s="647"/>
      <c r="Y42" s="1004"/>
      <c r="Z42" s="647"/>
      <c r="AA42" s="496"/>
      <c r="AB42" s="467"/>
      <c r="AC42" s="933"/>
      <c r="AD42" s="912">
        <v>6.6</v>
      </c>
      <c r="AE42" s="493"/>
      <c r="AF42" s="720"/>
      <c r="AG42" s="912">
        <v>6</v>
      </c>
      <c r="AH42" s="192"/>
      <c r="AI42" s="36"/>
      <c r="AJ42" s="467">
        <f>ROUND(SUM(+AD42-AG42),1)</f>
        <v>0.6</v>
      </c>
      <c r="AK42" s="467"/>
      <c r="AL42" s="488">
        <f>ROUND(IF(AG42=0,0,AJ42/ABS(AG42)),3)</f>
        <v>0.1</v>
      </c>
      <c r="AM42" s="567"/>
    </row>
    <row r="43" spans="1:39" ht="15" customHeight="1">
      <c r="A43" s="100"/>
      <c r="B43" s="594" t="s">
        <v>1001</v>
      </c>
      <c r="C43" s="21"/>
      <c r="D43" s="647" t="s">
        <v>14</v>
      </c>
      <c r="E43" s="467"/>
      <c r="F43" s="647"/>
      <c r="G43" s="647"/>
      <c r="H43" s="647"/>
      <c r="I43" s="467"/>
      <c r="J43" s="647"/>
      <c r="K43" s="36"/>
      <c r="L43" s="647"/>
      <c r="M43" s="467"/>
      <c r="N43" s="647"/>
      <c r="O43" s="36"/>
      <c r="P43" s="647"/>
      <c r="Q43" s="36"/>
      <c r="R43" s="647"/>
      <c r="S43" s="36"/>
      <c r="T43" s="647"/>
      <c r="U43" s="36"/>
      <c r="V43" s="647"/>
      <c r="W43" s="36"/>
      <c r="X43" s="647"/>
      <c r="Y43" s="36"/>
      <c r="Z43" s="647"/>
      <c r="AA43" s="46"/>
      <c r="AB43" s="36"/>
      <c r="AC43" s="37"/>
      <c r="AD43" s="36"/>
      <c r="AE43" s="36"/>
      <c r="AF43" s="750"/>
      <c r="AG43" s="36"/>
      <c r="AH43" s="192"/>
      <c r="AI43" s="36"/>
      <c r="AJ43" s="467"/>
      <c r="AK43" s="467"/>
      <c r="AL43" s="488"/>
      <c r="AM43" s="567"/>
    </row>
    <row r="44" spans="1:39" ht="15" customHeight="1">
      <c r="A44" s="100"/>
      <c r="B44" s="594" t="s">
        <v>920</v>
      </c>
      <c r="C44" s="21"/>
      <c r="D44" s="647">
        <v>47.4</v>
      </c>
      <c r="E44" s="467"/>
      <c r="F44" s="647">
        <v>-73.2</v>
      </c>
      <c r="G44" s="647"/>
      <c r="H44" s="647">
        <v>94</v>
      </c>
      <c r="I44" s="467"/>
      <c r="J44" s="647">
        <v>87</v>
      </c>
      <c r="K44" s="1004"/>
      <c r="L44" s="647">
        <v>82</v>
      </c>
      <c r="M44" s="1004"/>
      <c r="N44" s="647">
        <f t="shared" si="10"/>
        <v>99.100000000000023</v>
      </c>
      <c r="O44" s="1004"/>
      <c r="P44" s="647"/>
      <c r="Q44" s="1004"/>
      <c r="R44" s="647"/>
      <c r="S44" s="1004"/>
      <c r="T44" s="647"/>
      <c r="U44" s="1004"/>
      <c r="V44" s="647"/>
      <c r="W44" s="1004"/>
      <c r="X44" s="647"/>
      <c r="Y44" s="1004"/>
      <c r="Z44" s="647"/>
      <c r="AA44" s="496"/>
      <c r="AB44" s="467"/>
      <c r="AC44" s="933"/>
      <c r="AD44" s="912">
        <v>336.3</v>
      </c>
      <c r="AE44" s="493"/>
      <c r="AF44" s="720"/>
      <c r="AG44" s="912">
        <v>388</v>
      </c>
      <c r="AH44" s="192"/>
      <c r="AI44" s="36"/>
      <c r="AJ44" s="467">
        <f>ROUND(SUM(+AD44-AG44),1)</f>
        <v>-51.7</v>
      </c>
      <c r="AK44" s="467"/>
      <c r="AL44" s="488">
        <f>ROUND(IF(AG44=0,0,AJ44/ABS(AG44)),3)</f>
        <v>-0.13300000000000001</v>
      </c>
      <c r="AM44" s="567"/>
    </row>
    <row r="45" spans="1:39" ht="15" customHeight="1">
      <c r="A45" s="100"/>
      <c r="B45" s="594" t="s">
        <v>921</v>
      </c>
      <c r="C45" s="21"/>
      <c r="D45" s="647">
        <v>630.29999999999995</v>
      </c>
      <c r="E45" s="467"/>
      <c r="F45" s="647">
        <v>619.90000000000009</v>
      </c>
      <c r="G45" s="647"/>
      <c r="H45" s="647">
        <v>590.79999999999995</v>
      </c>
      <c r="I45" s="467"/>
      <c r="J45" s="647">
        <v>644.59999999999991</v>
      </c>
      <c r="K45" s="1004"/>
      <c r="L45" s="647">
        <v>651.59999999999968</v>
      </c>
      <c r="M45" s="1004"/>
      <c r="N45" s="647">
        <f t="shared" si="10"/>
        <v>593.30000000000018</v>
      </c>
      <c r="O45" s="1004"/>
      <c r="P45" s="647"/>
      <c r="Q45" s="1004"/>
      <c r="R45" s="647"/>
      <c r="S45" s="1004"/>
      <c r="T45" s="647"/>
      <c r="U45" s="1004"/>
      <c r="V45" s="647"/>
      <c r="W45" s="1004"/>
      <c r="X45" s="647"/>
      <c r="Y45" s="1004"/>
      <c r="Z45" s="647"/>
      <c r="AA45" s="496"/>
      <c r="AB45" s="467"/>
      <c r="AC45" s="933"/>
      <c r="AD45" s="912">
        <v>3730.5</v>
      </c>
      <c r="AE45" s="493"/>
      <c r="AF45" s="720"/>
      <c r="AG45" s="912">
        <v>3312.7</v>
      </c>
      <c r="AH45" s="192"/>
      <c r="AI45" s="36"/>
      <c r="AJ45" s="467">
        <f>ROUND(SUM(+AD45-AG45),1)</f>
        <v>417.8</v>
      </c>
      <c r="AK45" s="467"/>
      <c r="AL45" s="488">
        <f>ROUND(IF(AG45=0,0,AJ45/ABS(AG45)),3)</f>
        <v>0.126</v>
      </c>
      <c r="AM45" s="567"/>
    </row>
    <row r="46" spans="1:39" ht="15" customHeight="1">
      <c r="A46" s="100"/>
      <c r="B46" s="594" t="s">
        <v>922</v>
      </c>
      <c r="C46" s="21"/>
      <c r="D46" s="647">
        <v>0.7</v>
      </c>
      <c r="E46" s="467"/>
      <c r="F46" s="647">
        <v>0</v>
      </c>
      <c r="G46" s="647"/>
      <c r="H46" s="647">
        <v>0.7</v>
      </c>
      <c r="I46" s="467"/>
      <c r="J46" s="647">
        <v>0</v>
      </c>
      <c r="K46" s="1004"/>
      <c r="L46" s="647">
        <v>0.20000000000000018</v>
      </c>
      <c r="M46" s="1004"/>
      <c r="N46" s="647">
        <f t="shared" si="10"/>
        <v>61.199999999999989</v>
      </c>
      <c r="O46" s="1004"/>
      <c r="P46" s="647"/>
      <c r="Q46" s="1004"/>
      <c r="R46" s="647"/>
      <c r="S46" s="1004"/>
      <c r="T46" s="647"/>
      <c r="U46" s="1004"/>
      <c r="V46" s="647"/>
      <c r="W46" s="1004"/>
      <c r="X46" s="647"/>
      <c r="Y46" s="1004"/>
      <c r="Z46" s="647"/>
      <c r="AA46" s="496"/>
      <c r="AB46" s="467"/>
      <c r="AC46" s="933"/>
      <c r="AD46" s="912">
        <v>62.8</v>
      </c>
      <c r="AE46" s="493"/>
      <c r="AF46" s="720"/>
      <c r="AG46" s="912">
        <v>64.599999999999994</v>
      </c>
      <c r="AH46" s="192"/>
      <c r="AI46" s="36"/>
      <c r="AJ46" s="467">
        <f>ROUND(SUM(+AD46-AG46),1)</f>
        <v>-1.8</v>
      </c>
      <c r="AK46" s="467"/>
      <c r="AL46" s="1133">
        <f>ROUND(IF(AG46=0,0,AJ46/ABS(AG46)),3)</f>
        <v>-2.8000000000000001E-2</v>
      </c>
      <c r="AM46" s="567"/>
    </row>
    <row r="47" spans="1:39" ht="15" customHeight="1">
      <c r="A47" s="100"/>
      <c r="B47" s="594" t="s">
        <v>923</v>
      </c>
      <c r="C47" s="21"/>
      <c r="D47" s="647">
        <v>0</v>
      </c>
      <c r="E47" s="467"/>
      <c r="F47" s="647">
        <v>0.1</v>
      </c>
      <c r="G47" s="647"/>
      <c r="H47" s="647">
        <v>0</v>
      </c>
      <c r="I47" s="467"/>
      <c r="J47" s="647">
        <v>0</v>
      </c>
      <c r="K47" s="1004"/>
      <c r="L47" s="647">
        <v>0</v>
      </c>
      <c r="M47" s="1004"/>
      <c r="N47" s="647">
        <f t="shared" si="10"/>
        <v>0.1</v>
      </c>
      <c r="O47" s="1004"/>
      <c r="P47" s="647"/>
      <c r="Q47" s="1004"/>
      <c r="R47" s="647"/>
      <c r="S47" s="1004"/>
      <c r="T47" s="647"/>
      <c r="U47" s="1004"/>
      <c r="V47" s="647"/>
      <c r="W47" s="1004"/>
      <c r="X47" s="647"/>
      <c r="Y47" s="1004"/>
      <c r="Z47" s="647"/>
      <c r="AA47" s="496"/>
      <c r="AB47" s="467"/>
      <c r="AC47" s="933"/>
      <c r="AD47" s="912">
        <v>0.2</v>
      </c>
      <c r="AE47" s="493"/>
      <c r="AF47" s="720"/>
      <c r="AG47" s="912">
        <v>0.1</v>
      </c>
      <c r="AH47" s="192"/>
      <c r="AI47" s="36"/>
      <c r="AJ47" s="467">
        <f>ROUND(SUM(+AD47-AG47),1)</f>
        <v>0.1</v>
      </c>
      <c r="AK47" s="467"/>
      <c r="AL47" s="488">
        <f>ROUND(IF(AG47=0,1,AJ47/ABS(AG47)),3)</f>
        <v>1</v>
      </c>
      <c r="AM47" s="567"/>
    </row>
    <row r="48" spans="1:39" ht="15" customHeight="1">
      <c r="A48" s="100"/>
      <c r="B48" s="594" t="s">
        <v>1005</v>
      </c>
      <c r="C48" s="21"/>
      <c r="D48" s="647" t="s">
        <v>14</v>
      </c>
      <c r="E48" s="467"/>
      <c r="F48" s="647"/>
      <c r="G48" s="647"/>
      <c r="H48" s="647"/>
      <c r="I48" s="467"/>
      <c r="J48" s="647"/>
      <c r="K48" s="36"/>
      <c r="L48" s="647"/>
      <c r="M48" s="36"/>
      <c r="N48" s="647"/>
      <c r="O48" s="36"/>
      <c r="P48" s="647"/>
      <c r="Q48" s="36"/>
      <c r="R48" s="647"/>
      <c r="S48" s="36"/>
      <c r="T48" s="647"/>
      <c r="U48" s="36"/>
      <c r="V48" s="647"/>
      <c r="W48" s="36"/>
      <c r="X48" s="647"/>
      <c r="Y48" s="36"/>
      <c r="Z48" s="647"/>
      <c r="AA48" s="46"/>
      <c r="AB48" s="36"/>
      <c r="AC48" s="37"/>
      <c r="AD48" s="38"/>
      <c r="AE48" s="36"/>
      <c r="AF48" s="750"/>
      <c r="AG48" s="38"/>
      <c r="AH48" s="192"/>
      <c r="AI48" s="36"/>
      <c r="AJ48" s="467"/>
      <c r="AK48" s="467"/>
      <c r="AL48" s="488"/>
      <c r="AM48" s="567"/>
    </row>
    <row r="49" spans="1:39" ht="15" customHeight="1">
      <c r="A49" s="100"/>
      <c r="B49" s="594" t="s">
        <v>1087</v>
      </c>
      <c r="C49" s="21"/>
      <c r="D49" s="647">
        <v>0.1</v>
      </c>
      <c r="E49" s="467"/>
      <c r="F49" s="647">
        <v>0.19999999999999998</v>
      </c>
      <c r="G49" s="647"/>
      <c r="H49" s="647">
        <v>1.9999999999999998</v>
      </c>
      <c r="I49" s="467"/>
      <c r="J49" s="647">
        <v>9.9999999999999867E-2</v>
      </c>
      <c r="K49" s="1004"/>
      <c r="L49" s="647">
        <v>0.10000000000000009</v>
      </c>
      <c r="M49" s="1004"/>
      <c r="N49" s="647">
        <f t="shared" si="10"/>
        <v>0</v>
      </c>
      <c r="O49" s="1004"/>
      <c r="P49" s="647"/>
      <c r="Q49" s="1004"/>
      <c r="R49" s="647"/>
      <c r="S49" s="1004"/>
      <c r="T49" s="647"/>
      <c r="U49" s="1004"/>
      <c r="V49" s="647"/>
      <c r="W49" s="1004"/>
      <c r="X49" s="647"/>
      <c r="Y49" s="1004"/>
      <c r="Z49" s="647"/>
      <c r="AA49" s="496"/>
      <c r="AB49" s="467"/>
      <c r="AC49" s="933"/>
      <c r="AD49" s="912">
        <v>2.5</v>
      </c>
      <c r="AE49" s="493"/>
      <c r="AF49" s="720"/>
      <c r="AG49" s="912">
        <v>2.2000000000000002</v>
      </c>
      <c r="AH49" s="192"/>
      <c r="AI49" s="36"/>
      <c r="AJ49" s="467">
        <f t="shared" ref="AJ49:AJ55" si="11">ROUND(SUM(+AD49-AG49),1)</f>
        <v>0.3</v>
      </c>
      <c r="AK49" s="467"/>
      <c r="AL49" s="469">
        <f>ROUND(IF(AG49=0,1,AJ49/ABS(AG49)),3)</f>
        <v>0.13600000000000001</v>
      </c>
      <c r="AM49" s="567"/>
    </row>
    <row r="50" spans="1:39" ht="15" customHeight="1">
      <c r="A50" s="100"/>
      <c r="B50" s="594" t="s">
        <v>924</v>
      </c>
      <c r="C50" s="21"/>
      <c r="D50" s="647">
        <v>36.4</v>
      </c>
      <c r="E50" s="467"/>
      <c r="F50" s="647">
        <v>31.6</v>
      </c>
      <c r="G50" s="647"/>
      <c r="H50" s="647">
        <v>80.199999999999989</v>
      </c>
      <c r="I50" s="467"/>
      <c r="J50" s="647">
        <v>36.200000000000017</v>
      </c>
      <c r="K50" s="1004"/>
      <c r="L50" s="647">
        <v>51.299999999999983</v>
      </c>
      <c r="M50" s="1004"/>
      <c r="N50" s="647">
        <f t="shared" si="10"/>
        <v>82.100000000000051</v>
      </c>
      <c r="O50" s="1004"/>
      <c r="P50" s="647"/>
      <c r="Q50" s="1004"/>
      <c r="R50" s="647"/>
      <c r="S50" s="1004"/>
      <c r="T50" s="647"/>
      <c r="U50" s="1004"/>
      <c r="V50" s="647"/>
      <c r="W50" s="1004"/>
      <c r="X50" s="647"/>
      <c r="Y50" s="1004"/>
      <c r="Z50" s="647"/>
      <c r="AA50" s="496"/>
      <c r="AB50" s="467"/>
      <c r="AC50" s="933"/>
      <c r="AD50" s="912">
        <v>317.8</v>
      </c>
      <c r="AE50" s="493"/>
      <c r="AF50" s="720"/>
      <c r="AG50" s="912">
        <v>327.2</v>
      </c>
      <c r="AH50" s="192"/>
      <c r="AI50" s="36"/>
      <c r="AJ50" s="467">
        <f t="shared" si="11"/>
        <v>-9.4</v>
      </c>
      <c r="AK50" s="467"/>
      <c r="AL50" s="488">
        <f t="shared" ref="AL50:AL55" si="12">ROUND(IF(AG50=0,0,AJ50/ABS(AG50)),3)</f>
        <v>-2.9000000000000001E-2</v>
      </c>
      <c r="AM50" s="567"/>
    </row>
    <row r="51" spans="1:39" ht="15" customHeight="1">
      <c r="A51" s="100"/>
      <c r="B51" s="594" t="s">
        <v>925</v>
      </c>
      <c r="C51" s="21"/>
      <c r="D51" s="647">
        <v>3.8</v>
      </c>
      <c r="E51" s="467"/>
      <c r="F51" s="647">
        <v>4</v>
      </c>
      <c r="G51" s="647"/>
      <c r="H51" s="647">
        <v>4.3000000000000007</v>
      </c>
      <c r="I51" s="467"/>
      <c r="J51" s="647">
        <v>3.5999999999999979</v>
      </c>
      <c r="K51" s="1004"/>
      <c r="L51" s="647">
        <v>5.3000000000000007</v>
      </c>
      <c r="M51" s="1004"/>
      <c r="N51" s="647">
        <f t="shared" si="10"/>
        <v>5.1000000000000014</v>
      </c>
      <c r="O51" s="1004"/>
      <c r="P51" s="647"/>
      <c r="Q51" s="1004"/>
      <c r="R51" s="647"/>
      <c r="S51" s="1004"/>
      <c r="T51" s="647"/>
      <c r="U51" s="1004"/>
      <c r="V51" s="647"/>
      <c r="W51" s="1004"/>
      <c r="X51" s="647"/>
      <c r="Y51" s="1004"/>
      <c r="Z51" s="647"/>
      <c r="AA51" s="496"/>
      <c r="AB51" s="467"/>
      <c r="AC51" s="933"/>
      <c r="AD51" s="912">
        <v>26.1</v>
      </c>
      <c r="AE51" s="493"/>
      <c r="AF51" s="720"/>
      <c r="AG51" s="912">
        <v>29.2</v>
      </c>
      <c r="AH51" s="192"/>
      <c r="AI51" s="36"/>
      <c r="AJ51" s="467">
        <f t="shared" si="11"/>
        <v>-3.1</v>
      </c>
      <c r="AK51" s="467"/>
      <c r="AL51" s="488">
        <f t="shared" si="12"/>
        <v>-0.106</v>
      </c>
      <c r="AM51" s="567"/>
    </row>
    <row r="52" spans="1:39" ht="15" customHeight="1">
      <c r="A52" s="100"/>
      <c r="B52" s="594" t="s">
        <v>926</v>
      </c>
      <c r="C52" s="21"/>
      <c r="D52" s="647">
        <v>0.3</v>
      </c>
      <c r="E52" s="467"/>
      <c r="F52" s="647">
        <v>0.39999999999999997</v>
      </c>
      <c r="G52" s="647"/>
      <c r="H52" s="647">
        <v>0.3</v>
      </c>
      <c r="I52" s="467"/>
      <c r="J52" s="647">
        <v>0.39999999999999997</v>
      </c>
      <c r="K52" s="1004"/>
      <c r="L52" s="647">
        <v>1.0000000000000002</v>
      </c>
      <c r="M52" s="1004"/>
      <c r="N52" s="647">
        <f t="shared" si="10"/>
        <v>0.7000000000000004</v>
      </c>
      <c r="O52" s="1004"/>
      <c r="P52" s="647"/>
      <c r="Q52" s="1004"/>
      <c r="R52" s="647"/>
      <c r="S52" s="1004"/>
      <c r="T52" s="647"/>
      <c r="U52" s="1004"/>
      <c r="V52" s="647"/>
      <c r="W52" s="1004"/>
      <c r="X52" s="647"/>
      <c r="Y52" s="1004"/>
      <c r="Z52" s="647"/>
      <c r="AA52" s="496"/>
      <c r="AB52" s="467"/>
      <c r="AC52" s="933"/>
      <c r="AD52" s="912">
        <v>3.1</v>
      </c>
      <c r="AE52" s="493"/>
      <c r="AF52" s="720"/>
      <c r="AG52" s="912">
        <v>2.9</v>
      </c>
      <c r="AH52" s="192"/>
      <c r="AI52" s="36"/>
      <c r="AJ52" s="467">
        <f t="shared" si="11"/>
        <v>0.2</v>
      </c>
      <c r="AK52" s="467"/>
      <c r="AL52" s="488">
        <f>ROUND(IF(AG52=0,1,AJ52/ABS(AG52)),3)</f>
        <v>6.9000000000000006E-2</v>
      </c>
      <c r="AM52" s="567"/>
    </row>
    <row r="53" spans="1:39" ht="15" customHeight="1">
      <c r="A53" s="100"/>
      <c r="B53" s="594" t="s">
        <v>927</v>
      </c>
      <c r="C53" s="21"/>
      <c r="D53" s="647">
        <v>39.700000000000003</v>
      </c>
      <c r="E53" s="467"/>
      <c r="F53" s="647">
        <v>38</v>
      </c>
      <c r="G53" s="647"/>
      <c r="H53" s="647">
        <v>32</v>
      </c>
      <c r="I53" s="467"/>
      <c r="J53" s="647">
        <v>16.599999999999994</v>
      </c>
      <c r="K53" s="1004"/>
      <c r="L53" s="647">
        <v>27.500000000000014</v>
      </c>
      <c r="M53" s="1004"/>
      <c r="N53" s="647">
        <f t="shared" si="10"/>
        <v>13.799999999999983</v>
      </c>
      <c r="O53" s="1004"/>
      <c r="P53" s="647"/>
      <c r="Q53" s="1004"/>
      <c r="R53" s="647"/>
      <c r="S53" s="1004"/>
      <c r="T53" s="647"/>
      <c r="U53" s="1004"/>
      <c r="V53" s="647"/>
      <c r="W53" s="1004"/>
      <c r="X53" s="647"/>
      <c r="Y53" s="1004"/>
      <c r="Z53" s="647"/>
      <c r="AA53" s="496"/>
      <c r="AB53" s="467"/>
      <c r="AC53" s="933"/>
      <c r="AD53" s="912">
        <v>167.6</v>
      </c>
      <c r="AE53" s="493"/>
      <c r="AF53" s="720"/>
      <c r="AG53" s="912">
        <v>102.1</v>
      </c>
      <c r="AH53" s="192"/>
      <c r="AI53" s="36"/>
      <c r="AJ53" s="467">
        <f t="shared" si="11"/>
        <v>65.5</v>
      </c>
      <c r="AK53" s="467"/>
      <c r="AL53" s="488">
        <f t="shared" si="12"/>
        <v>0.64200000000000002</v>
      </c>
      <c r="AM53" s="567"/>
    </row>
    <row r="54" spans="1:39" ht="15" customHeight="1">
      <c r="A54" s="100"/>
      <c r="B54" s="594" t="s">
        <v>928</v>
      </c>
      <c r="C54" s="21"/>
      <c r="D54" s="647">
        <v>72.8</v>
      </c>
      <c r="E54" s="467"/>
      <c r="F54" s="647">
        <v>38.200000000000003</v>
      </c>
      <c r="G54" s="647"/>
      <c r="H54" s="647">
        <v>57.400000000000006</v>
      </c>
      <c r="I54" s="467"/>
      <c r="J54" s="647">
        <v>68.299999999999969</v>
      </c>
      <c r="K54" s="1004"/>
      <c r="L54" s="647">
        <v>137.5</v>
      </c>
      <c r="M54" s="1004"/>
      <c r="N54" s="647">
        <f t="shared" si="10"/>
        <v>158.60000000000002</v>
      </c>
      <c r="O54" s="1004"/>
      <c r="P54" s="647"/>
      <c r="Q54" s="1004"/>
      <c r="R54" s="647"/>
      <c r="S54" s="1004"/>
      <c r="T54" s="647"/>
      <c r="U54" s="1004"/>
      <c r="V54" s="647"/>
      <c r="W54" s="1004"/>
      <c r="X54" s="647"/>
      <c r="Y54" s="1004"/>
      <c r="Z54" s="647"/>
      <c r="AA54" s="496"/>
      <c r="AB54" s="467"/>
      <c r="AC54" s="933"/>
      <c r="AD54" s="912">
        <v>532.79999999999995</v>
      </c>
      <c r="AE54" s="493"/>
      <c r="AF54" s="720"/>
      <c r="AG54" s="912">
        <v>525.6</v>
      </c>
      <c r="AH54" s="192"/>
      <c r="AI54" s="36"/>
      <c r="AJ54" s="467">
        <f t="shared" si="11"/>
        <v>7.2</v>
      </c>
      <c r="AK54" s="467"/>
      <c r="AL54" s="488">
        <f t="shared" si="12"/>
        <v>1.4E-2</v>
      </c>
      <c r="AM54" s="567"/>
    </row>
    <row r="55" spans="1:39" ht="15" customHeight="1">
      <c r="A55" s="100"/>
      <c r="B55" s="594" t="s">
        <v>887</v>
      </c>
      <c r="C55" s="21"/>
      <c r="D55" s="647">
        <v>12.3</v>
      </c>
      <c r="E55" s="467"/>
      <c r="F55" s="647">
        <v>9.8999999999999986</v>
      </c>
      <c r="G55" s="647"/>
      <c r="H55" s="647">
        <v>6.3999999999999986</v>
      </c>
      <c r="I55" s="467"/>
      <c r="J55" s="647">
        <v>9.600000000000005</v>
      </c>
      <c r="K55" s="1004"/>
      <c r="L55" s="647">
        <v>12.000000000000004</v>
      </c>
      <c r="M55" s="1004"/>
      <c r="N55" s="647">
        <f t="shared" si="10"/>
        <v>6.5</v>
      </c>
      <c r="O55" s="1004"/>
      <c r="P55" s="647"/>
      <c r="Q55" s="1004"/>
      <c r="R55" s="647"/>
      <c r="S55" s="1004"/>
      <c r="T55" s="647"/>
      <c r="U55" s="1004"/>
      <c r="V55" s="647"/>
      <c r="W55" s="1004"/>
      <c r="X55" s="647"/>
      <c r="Y55" s="1004"/>
      <c r="Z55" s="647"/>
      <c r="AA55" s="496"/>
      <c r="AB55" s="467"/>
      <c r="AC55" s="933"/>
      <c r="AD55" s="912">
        <v>56.7</v>
      </c>
      <c r="AE55" s="493"/>
      <c r="AF55" s="720"/>
      <c r="AG55" s="912">
        <v>39.299999999999997</v>
      </c>
      <c r="AH55" s="192"/>
      <c r="AI55" s="36"/>
      <c r="AJ55" s="467">
        <f t="shared" si="11"/>
        <v>17.399999999999999</v>
      </c>
      <c r="AK55" s="467"/>
      <c r="AL55" s="971">
        <f t="shared" si="12"/>
        <v>0.443</v>
      </c>
      <c r="AM55" s="567"/>
    </row>
    <row r="56" spans="1:39" ht="15" customHeight="1">
      <c r="A56" s="100"/>
      <c r="B56" s="594" t="s">
        <v>1002</v>
      </c>
      <c r="C56" s="21"/>
      <c r="D56" s="647" t="s">
        <v>14</v>
      </c>
      <c r="E56" s="467"/>
      <c r="F56" s="647"/>
      <c r="G56" s="647"/>
      <c r="H56" s="647"/>
      <c r="I56" s="467"/>
      <c r="J56" s="647"/>
      <c r="K56" s="36"/>
      <c r="L56" s="647"/>
      <c r="M56" s="36"/>
      <c r="N56" s="647"/>
      <c r="O56" s="36"/>
      <c r="P56" s="647"/>
      <c r="Q56" s="36"/>
      <c r="R56" s="647"/>
      <c r="S56" s="36"/>
      <c r="T56" s="647"/>
      <c r="U56" s="36"/>
      <c r="V56" s="647"/>
      <c r="W56" s="36"/>
      <c r="X56" s="647"/>
      <c r="Y56" s="36"/>
      <c r="Z56" s="647"/>
      <c r="AA56" s="46"/>
      <c r="AB56" s="36"/>
      <c r="AC56" s="37"/>
      <c r="AD56" s="36"/>
      <c r="AE56" s="36"/>
      <c r="AF56" s="750"/>
      <c r="AG56" s="36"/>
      <c r="AH56" s="192"/>
      <c r="AI56" s="36"/>
      <c r="AJ56" s="467"/>
      <c r="AK56" s="467"/>
      <c r="AL56" s="488"/>
      <c r="AM56" s="567"/>
    </row>
    <row r="57" spans="1:39" ht="15" customHeight="1">
      <c r="A57" s="100"/>
      <c r="B57" s="594" t="s">
        <v>929</v>
      </c>
      <c r="C57" s="21"/>
      <c r="D57" s="647">
        <v>41.6</v>
      </c>
      <c r="E57" s="467"/>
      <c r="F57" s="647">
        <v>15</v>
      </c>
      <c r="G57" s="647"/>
      <c r="H57" s="647">
        <v>45.4</v>
      </c>
      <c r="I57" s="467"/>
      <c r="J57" s="647">
        <v>36.800000000000018</v>
      </c>
      <c r="K57" s="1004"/>
      <c r="L57" s="647">
        <v>17</v>
      </c>
      <c r="M57" s="1004"/>
      <c r="N57" s="647">
        <f t="shared" si="10"/>
        <v>44.699999999999982</v>
      </c>
      <c r="O57" s="1004"/>
      <c r="P57" s="647"/>
      <c r="Q57" s="1004"/>
      <c r="R57" s="647"/>
      <c r="S57" s="1004"/>
      <c r="T57" s="647"/>
      <c r="U57" s="1004"/>
      <c r="V57" s="647"/>
      <c r="W57" s="1004"/>
      <c r="X57" s="647"/>
      <c r="Y57" s="1004"/>
      <c r="Z57" s="647"/>
      <c r="AA57" s="496"/>
      <c r="AB57" s="467"/>
      <c r="AC57" s="933"/>
      <c r="AD57" s="912">
        <v>200.5</v>
      </c>
      <c r="AE57" s="493"/>
      <c r="AF57" s="720"/>
      <c r="AG57" s="912">
        <v>188.9</v>
      </c>
      <c r="AH57" s="192"/>
      <c r="AI57" s="36"/>
      <c r="AJ57" s="467">
        <f t="shared" ref="AJ57:AJ62" si="13">ROUND(SUM(+AD57-AG57),1)</f>
        <v>11.6</v>
      </c>
      <c r="AK57" s="467"/>
      <c r="AL57" s="971">
        <f>ROUND(IF(AG57=0,1,AJ57/ABS(AG57)),3)</f>
        <v>6.0999999999999999E-2</v>
      </c>
      <c r="AM57" s="567"/>
    </row>
    <row r="58" spans="1:39" ht="15" customHeight="1">
      <c r="A58" s="100"/>
      <c r="B58" s="594" t="s">
        <v>1415</v>
      </c>
      <c r="C58" s="21"/>
      <c r="D58" s="647">
        <v>185</v>
      </c>
      <c r="E58" s="467"/>
      <c r="F58" s="647">
        <v>223.7</v>
      </c>
      <c r="G58" s="647"/>
      <c r="H58" s="647">
        <v>184.09999999999997</v>
      </c>
      <c r="I58" s="467"/>
      <c r="J58" s="647">
        <v>213.10000000000002</v>
      </c>
      <c r="K58" s="1004"/>
      <c r="L58" s="647">
        <v>255.09999999999997</v>
      </c>
      <c r="M58" s="1004"/>
      <c r="N58" s="647">
        <f t="shared" si="10"/>
        <v>181.59999999999997</v>
      </c>
      <c r="O58" s="1004"/>
      <c r="P58" s="647"/>
      <c r="Q58" s="1004"/>
      <c r="R58" s="647"/>
      <c r="S58" s="1004"/>
      <c r="T58" s="647"/>
      <c r="U58" s="1004"/>
      <c r="V58" s="647"/>
      <c r="W58" s="1004"/>
      <c r="X58" s="647"/>
      <c r="Y58" s="1004"/>
      <c r="Z58" s="647"/>
      <c r="AA58" s="496"/>
      <c r="AB58" s="467"/>
      <c r="AC58" s="933"/>
      <c r="AD58" s="912">
        <v>1242.5999999999999</v>
      </c>
      <c r="AE58" s="493"/>
      <c r="AF58" s="720"/>
      <c r="AG58" s="912">
        <v>1225.5999999999999</v>
      </c>
      <c r="AH58" s="192"/>
      <c r="AI58" s="36"/>
      <c r="AJ58" s="467">
        <f t="shared" si="13"/>
        <v>17</v>
      </c>
      <c r="AK58" s="467"/>
      <c r="AL58" s="488">
        <f>ROUND(IF(AG58=0,0,AJ58/ABS(AG58)),3)</f>
        <v>1.4E-2</v>
      </c>
      <c r="AM58" s="567"/>
    </row>
    <row r="59" spans="1:39" ht="15" customHeight="1">
      <c r="A59" s="100"/>
      <c r="B59" s="594" t="s">
        <v>1416</v>
      </c>
      <c r="C59" s="21"/>
      <c r="D59" s="647">
        <v>54.1</v>
      </c>
      <c r="E59" s="467"/>
      <c r="F59" s="647">
        <v>90.4</v>
      </c>
      <c r="G59" s="647"/>
      <c r="H59" s="647">
        <v>47.5</v>
      </c>
      <c r="I59" s="467"/>
      <c r="J59" s="647">
        <v>53.400000000000006</v>
      </c>
      <c r="K59" s="1004"/>
      <c r="L59" s="647">
        <v>59.599999999999994</v>
      </c>
      <c r="M59" s="1004"/>
      <c r="N59" s="647">
        <f t="shared" si="10"/>
        <v>66.899999999999949</v>
      </c>
      <c r="O59" s="1004"/>
      <c r="P59" s="647"/>
      <c r="Q59" s="1004"/>
      <c r="R59" s="647"/>
      <c r="S59" s="1004"/>
      <c r="T59" s="647"/>
      <c r="U59" s="1004"/>
      <c r="V59" s="647"/>
      <c r="W59" s="1004"/>
      <c r="X59" s="647"/>
      <c r="Y59" s="1004"/>
      <c r="Z59" s="647"/>
      <c r="AA59" s="496"/>
      <c r="AB59" s="467"/>
      <c r="AC59" s="717"/>
      <c r="AD59" s="912">
        <v>371.9</v>
      </c>
      <c r="AE59" s="493"/>
      <c r="AF59" s="720"/>
      <c r="AG59" s="912">
        <v>285.39999999999998</v>
      </c>
      <c r="AH59" s="192"/>
      <c r="AI59" s="36"/>
      <c r="AJ59" s="467">
        <f t="shared" si="13"/>
        <v>86.5</v>
      </c>
      <c r="AK59" s="467"/>
      <c r="AL59" s="488">
        <f>ROUND(IF(AG59=0,1,AJ59/ABS(AG59)),3)</f>
        <v>0.30299999999999999</v>
      </c>
      <c r="AM59" s="567"/>
    </row>
    <row r="60" spans="1:39" ht="15" customHeight="1">
      <c r="A60" s="100"/>
      <c r="B60" s="594" t="s">
        <v>930</v>
      </c>
      <c r="C60" s="21"/>
      <c r="D60" s="647">
        <v>76.2</v>
      </c>
      <c r="E60" s="467"/>
      <c r="F60" s="647">
        <v>74.499999999999986</v>
      </c>
      <c r="G60" s="647"/>
      <c r="H60" s="647">
        <v>96.899999999999991</v>
      </c>
      <c r="I60" s="467"/>
      <c r="J60" s="647">
        <v>84.700000000000031</v>
      </c>
      <c r="K60" s="1004"/>
      <c r="L60" s="647">
        <v>103.2</v>
      </c>
      <c r="M60" s="1004"/>
      <c r="N60" s="647">
        <f t="shared" si="10"/>
        <v>81.200000000000031</v>
      </c>
      <c r="O60" s="1004"/>
      <c r="P60" s="647"/>
      <c r="Q60" s="1004"/>
      <c r="R60" s="647"/>
      <c r="S60" s="1004"/>
      <c r="T60" s="647"/>
      <c r="U60" s="1004"/>
      <c r="V60" s="647"/>
      <c r="W60" s="1004"/>
      <c r="X60" s="647"/>
      <c r="Y60" s="1004"/>
      <c r="Z60" s="647"/>
      <c r="AA60" s="496"/>
      <c r="AB60" s="467"/>
      <c r="AC60" s="933"/>
      <c r="AD60" s="912">
        <v>516.70000000000005</v>
      </c>
      <c r="AE60" s="493"/>
      <c r="AF60" s="720"/>
      <c r="AG60" s="912">
        <v>491.1</v>
      </c>
      <c r="AH60" s="192"/>
      <c r="AI60" s="36"/>
      <c r="AJ60" s="467">
        <f t="shared" si="13"/>
        <v>25.6</v>
      </c>
      <c r="AK60" s="467"/>
      <c r="AL60" s="1133">
        <f>ROUND(IF(AG60=0,1,AJ60/ABS(AG60)),3)</f>
        <v>5.1999999999999998E-2</v>
      </c>
      <c r="AM60" s="567"/>
    </row>
    <row r="61" spans="1:39" ht="15" customHeight="1">
      <c r="A61" s="100"/>
      <c r="B61" s="594" t="s">
        <v>888</v>
      </c>
      <c r="C61" s="21"/>
      <c r="D61" s="647">
        <v>52.6</v>
      </c>
      <c r="E61" s="467"/>
      <c r="F61" s="647">
        <v>54.699999999999996</v>
      </c>
      <c r="G61" s="647"/>
      <c r="H61" s="647">
        <v>65.800000000000011</v>
      </c>
      <c r="I61" s="467"/>
      <c r="J61" s="647">
        <v>62.5</v>
      </c>
      <c r="K61" s="1004"/>
      <c r="L61" s="647">
        <v>67.000000000000028</v>
      </c>
      <c r="M61" s="1004"/>
      <c r="N61" s="647">
        <f t="shared" si="10"/>
        <v>70.399999999999949</v>
      </c>
      <c r="O61" s="1004"/>
      <c r="P61" s="647"/>
      <c r="Q61" s="1004"/>
      <c r="R61" s="647"/>
      <c r="S61" s="1004"/>
      <c r="T61" s="647"/>
      <c r="U61" s="1004"/>
      <c r="V61" s="647"/>
      <c r="W61" s="1004"/>
      <c r="X61" s="647"/>
      <c r="Y61" s="1004"/>
      <c r="Z61" s="647"/>
      <c r="AA61" s="496"/>
      <c r="AB61" s="467"/>
      <c r="AC61" s="933"/>
      <c r="AD61" s="912">
        <v>373</v>
      </c>
      <c r="AE61" s="493"/>
      <c r="AF61" s="720"/>
      <c r="AG61" s="912">
        <v>69.900000000000006</v>
      </c>
      <c r="AH61" s="192"/>
      <c r="AI61" s="36"/>
      <c r="AJ61" s="467">
        <f t="shared" si="13"/>
        <v>303.10000000000002</v>
      </c>
      <c r="AK61" s="467"/>
      <c r="AL61" s="2190">
        <f>ROUND(IF(AG61=0,0,AJ61/ABS(AG61)),3)</f>
        <v>4.3360000000000003</v>
      </c>
      <c r="AM61" s="567"/>
    </row>
    <row r="62" spans="1:39" ht="15" customHeight="1">
      <c r="A62" s="100"/>
      <c r="B62" s="594" t="s">
        <v>905</v>
      </c>
      <c r="C62" s="21"/>
      <c r="D62" s="647">
        <v>6.8</v>
      </c>
      <c r="E62" s="467"/>
      <c r="F62" s="647">
        <v>1.6000000000000005</v>
      </c>
      <c r="G62" s="647"/>
      <c r="H62" s="647">
        <v>7.0000000000000009</v>
      </c>
      <c r="I62" s="467"/>
      <c r="J62" s="647">
        <v>2.9999999999999956</v>
      </c>
      <c r="K62" s="1004"/>
      <c r="L62" s="647">
        <v>1.4000000000000021</v>
      </c>
      <c r="M62" s="1004"/>
      <c r="N62" s="647">
        <f t="shared" si="10"/>
        <v>80</v>
      </c>
      <c r="O62" s="1004"/>
      <c r="P62" s="647"/>
      <c r="Q62" s="1004"/>
      <c r="R62" s="647"/>
      <c r="S62" s="1004"/>
      <c r="T62" s="647"/>
      <c r="U62" s="1004"/>
      <c r="V62" s="647"/>
      <c r="W62" s="1004"/>
      <c r="X62" s="647"/>
      <c r="Y62" s="1004"/>
      <c r="Z62" s="647"/>
      <c r="AA62" s="496"/>
      <c r="AB62" s="467"/>
      <c r="AC62" s="933"/>
      <c r="AD62" s="912">
        <v>99.8</v>
      </c>
      <c r="AE62" s="493"/>
      <c r="AF62" s="720"/>
      <c r="AG62" s="912">
        <v>98.8</v>
      </c>
      <c r="AH62" s="192"/>
      <c r="AI62" s="36"/>
      <c r="AJ62" s="467">
        <f t="shared" si="13"/>
        <v>1</v>
      </c>
      <c r="AK62" s="467"/>
      <c r="AL62" s="488">
        <f>ROUND(IF(AG62=0,0,AJ62/ABS(AG62)),3)</f>
        <v>0.01</v>
      </c>
      <c r="AM62" s="567"/>
    </row>
    <row r="63" spans="1:39" ht="15" customHeight="1">
      <c r="A63" s="100"/>
      <c r="B63" s="594" t="s">
        <v>1003</v>
      </c>
      <c r="C63" s="21"/>
      <c r="D63" s="647" t="s">
        <v>14</v>
      </c>
      <c r="E63" s="467"/>
      <c r="F63" s="647"/>
      <c r="G63" s="647"/>
      <c r="H63" s="647"/>
      <c r="I63" s="467"/>
      <c r="J63" s="647"/>
      <c r="K63" s="36"/>
      <c r="L63" s="647"/>
      <c r="M63" s="36"/>
      <c r="N63" s="647"/>
      <c r="O63" s="36"/>
      <c r="P63" s="647"/>
      <c r="Q63" s="36"/>
      <c r="R63" s="647"/>
      <c r="S63" s="36"/>
      <c r="T63" s="647"/>
      <c r="U63" s="36"/>
      <c r="V63" s="912"/>
      <c r="W63" s="36"/>
      <c r="X63" s="647"/>
      <c r="Y63" s="36"/>
      <c r="Z63" s="647"/>
      <c r="AA63" s="46"/>
      <c r="AB63" s="36"/>
      <c r="AC63" s="37"/>
      <c r="AD63" s="36"/>
      <c r="AE63" s="36"/>
      <c r="AF63" s="750"/>
      <c r="AG63" s="36"/>
      <c r="AH63" s="192"/>
      <c r="AI63" s="36"/>
      <c r="AJ63" s="467"/>
      <c r="AK63" s="467"/>
      <c r="AL63" s="488"/>
      <c r="AM63" s="567"/>
    </row>
    <row r="64" spans="1:39" ht="15" customHeight="1">
      <c r="A64" s="100"/>
      <c r="B64" s="594" t="s">
        <v>931</v>
      </c>
      <c r="C64" s="21"/>
      <c r="D64" s="647">
        <v>0</v>
      </c>
      <c r="E64" s="467"/>
      <c r="F64" s="647">
        <v>0</v>
      </c>
      <c r="G64" s="647"/>
      <c r="H64" s="647">
        <v>0</v>
      </c>
      <c r="I64" s="467"/>
      <c r="J64" s="647">
        <v>0</v>
      </c>
      <c r="K64" s="1004"/>
      <c r="L64" s="647">
        <v>0</v>
      </c>
      <c r="M64" s="1004"/>
      <c r="N64" s="647">
        <f t="shared" si="10"/>
        <v>0</v>
      </c>
      <c r="O64" s="1004"/>
      <c r="P64" s="647"/>
      <c r="Q64" s="1004"/>
      <c r="R64" s="647"/>
      <c r="S64" s="1004"/>
      <c r="T64" s="647"/>
      <c r="U64" s="1004"/>
      <c r="V64" s="647"/>
      <c r="W64" s="1004"/>
      <c r="X64" s="647"/>
      <c r="Y64" s="1004"/>
      <c r="Z64" s="647"/>
      <c r="AA64" s="496"/>
      <c r="AB64" s="467"/>
      <c r="AC64" s="933"/>
      <c r="AD64" s="912">
        <v>0</v>
      </c>
      <c r="AE64" s="493"/>
      <c r="AF64" s="720"/>
      <c r="AG64" s="912">
        <v>0</v>
      </c>
      <c r="AH64" s="192"/>
      <c r="AI64" s="36"/>
      <c r="AJ64" s="467">
        <f t="shared" ref="AJ64:AJ68" si="14">ROUND(SUM(+AD64-AG64),1)</f>
        <v>0</v>
      </c>
      <c r="AK64" s="467"/>
      <c r="AL64" s="488">
        <f>ROUND(IF(AG64=0,0,AJ64/ABS(AG64)),3)</f>
        <v>0</v>
      </c>
      <c r="AM64" s="567"/>
    </row>
    <row r="65" spans="1:39" ht="15" customHeight="1">
      <c r="A65" s="100"/>
      <c r="B65" s="594" t="s">
        <v>932</v>
      </c>
      <c r="C65" s="21"/>
      <c r="D65" s="647">
        <v>0.4</v>
      </c>
      <c r="E65" s="467"/>
      <c r="F65" s="647">
        <v>0</v>
      </c>
      <c r="G65" s="647"/>
      <c r="H65" s="647">
        <v>0</v>
      </c>
      <c r="I65" s="467"/>
      <c r="J65" s="647">
        <v>0</v>
      </c>
      <c r="K65" s="1004"/>
      <c r="L65" s="647">
        <v>0</v>
      </c>
      <c r="M65" s="1004"/>
      <c r="N65" s="647">
        <f t="shared" si="10"/>
        <v>0</v>
      </c>
      <c r="O65" s="1004"/>
      <c r="P65" s="647"/>
      <c r="Q65" s="1004"/>
      <c r="R65" s="647"/>
      <c r="S65" s="1004"/>
      <c r="T65" s="647"/>
      <c r="U65" s="1004"/>
      <c r="V65" s="647"/>
      <c r="W65" s="1004"/>
      <c r="X65" s="647"/>
      <c r="Y65" s="1004"/>
      <c r="Z65" s="647"/>
      <c r="AA65" s="496"/>
      <c r="AB65" s="467"/>
      <c r="AC65" s="933"/>
      <c r="AD65" s="912">
        <v>0.4</v>
      </c>
      <c r="AE65" s="493"/>
      <c r="AF65" s="720"/>
      <c r="AG65" s="912">
        <v>20.399999999999999</v>
      </c>
      <c r="AH65" s="192"/>
      <c r="AI65" s="36"/>
      <c r="AJ65" s="467">
        <f t="shared" si="14"/>
        <v>-20</v>
      </c>
      <c r="AK65" s="467"/>
      <c r="AL65" s="488">
        <f>ROUND(IF(AG65=0,1,AJ65/ABS(AG65)),3)</f>
        <v>-0.98</v>
      </c>
      <c r="AM65" s="567"/>
    </row>
    <row r="66" spans="1:39" ht="15" customHeight="1">
      <c r="A66" s="100"/>
      <c r="B66" s="594" t="s">
        <v>933</v>
      </c>
      <c r="C66" s="21"/>
      <c r="D66" s="647">
        <v>0.3</v>
      </c>
      <c r="E66" s="467"/>
      <c r="F66" s="647">
        <v>0</v>
      </c>
      <c r="G66" s="647"/>
      <c r="H66" s="647">
        <v>2.4000000000000004</v>
      </c>
      <c r="I66" s="467"/>
      <c r="J66" s="647">
        <v>3.5</v>
      </c>
      <c r="K66" s="1004"/>
      <c r="L66" s="647">
        <v>0</v>
      </c>
      <c r="M66" s="1004"/>
      <c r="N66" s="647">
        <f t="shared" si="10"/>
        <v>0</v>
      </c>
      <c r="O66" s="1004"/>
      <c r="P66" s="647"/>
      <c r="Q66" s="1004"/>
      <c r="R66" s="647"/>
      <c r="S66" s="1004"/>
      <c r="T66" s="647"/>
      <c r="U66" s="1004"/>
      <c r="V66" s="647"/>
      <c r="W66" s="1004"/>
      <c r="X66" s="647"/>
      <c r="Y66" s="1004"/>
      <c r="Z66" s="647"/>
      <c r="AA66" s="496"/>
      <c r="AB66" s="467"/>
      <c r="AC66" s="933"/>
      <c r="AD66" s="912">
        <v>6.2</v>
      </c>
      <c r="AE66" s="493"/>
      <c r="AF66" s="720"/>
      <c r="AG66" s="912">
        <v>7.2</v>
      </c>
      <c r="AH66" s="192"/>
      <c r="AI66" s="36"/>
      <c r="AJ66" s="467">
        <f t="shared" si="14"/>
        <v>-1</v>
      </c>
      <c r="AK66" s="467"/>
      <c r="AL66" s="1133">
        <f>ROUND(IF(AG66=0,0,AJ66/ABS(AG66)),3)</f>
        <v>-0.13900000000000001</v>
      </c>
      <c r="AM66" s="567"/>
    </row>
    <row r="67" spans="1:39" ht="15" customHeight="1">
      <c r="A67" s="100"/>
      <c r="B67" s="594" t="s">
        <v>934</v>
      </c>
      <c r="C67" s="21"/>
      <c r="D67" s="647">
        <v>4.9000000000000004</v>
      </c>
      <c r="E67" s="467"/>
      <c r="F67" s="647">
        <v>9.9999999999999645E-2</v>
      </c>
      <c r="G67" s="647"/>
      <c r="H67" s="647">
        <v>10.8</v>
      </c>
      <c r="I67" s="467"/>
      <c r="J67" s="647">
        <v>4.6999999999999993</v>
      </c>
      <c r="K67" s="1004"/>
      <c r="L67" s="647">
        <v>5.6000000000000014</v>
      </c>
      <c r="M67" s="1004"/>
      <c r="N67" s="647">
        <f t="shared" si="10"/>
        <v>4.5</v>
      </c>
      <c r="O67" s="1004"/>
      <c r="P67" s="647"/>
      <c r="Q67" s="1004"/>
      <c r="R67" s="647"/>
      <c r="S67" s="1004"/>
      <c r="T67" s="647"/>
      <c r="U67" s="1004"/>
      <c r="V67" s="647"/>
      <c r="W67" s="1004"/>
      <c r="X67" s="647"/>
      <c r="Y67" s="1004"/>
      <c r="Z67" s="647"/>
      <c r="AA67" s="496"/>
      <c r="AB67" s="467"/>
      <c r="AC67" s="933"/>
      <c r="AD67" s="912">
        <v>30.6</v>
      </c>
      <c r="AE67" s="493"/>
      <c r="AF67" s="720"/>
      <c r="AG67" s="912">
        <v>30.200000000000003</v>
      </c>
      <c r="AH67" s="192"/>
      <c r="AI67" s="36"/>
      <c r="AJ67" s="467">
        <f t="shared" si="14"/>
        <v>0.4</v>
      </c>
      <c r="AK67" s="467"/>
      <c r="AL67" s="1133">
        <f t="shared" ref="AL67:AL68" si="15">ROUND(IF(AG67=0,0,AJ67/ABS(AG67)),3)</f>
        <v>1.2999999999999999E-2</v>
      </c>
      <c r="AM67" s="567"/>
    </row>
    <row r="68" spans="1:39" ht="15" customHeight="1">
      <c r="A68" s="100"/>
      <c r="B68" s="594" t="s">
        <v>906</v>
      </c>
      <c r="C68" s="21"/>
      <c r="D68" s="647">
        <v>27.2</v>
      </c>
      <c r="E68" s="467"/>
      <c r="F68" s="647">
        <v>15.900000000000002</v>
      </c>
      <c r="G68" s="647"/>
      <c r="H68" s="647">
        <v>2.1000000000000014</v>
      </c>
      <c r="I68" s="467"/>
      <c r="J68" s="647">
        <v>0.69999999999999574</v>
      </c>
      <c r="K68" s="1004"/>
      <c r="L68" s="647">
        <v>10</v>
      </c>
      <c r="M68" s="1004"/>
      <c r="N68" s="647">
        <f t="shared" si="10"/>
        <v>-1.5</v>
      </c>
      <c r="O68" s="1004"/>
      <c r="P68" s="647"/>
      <c r="Q68" s="1004"/>
      <c r="R68" s="647"/>
      <c r="S68" s="1004"/>
      <c r="T68" s="647"/>
      <c r="U68" s="1004"/>
      <c r="V68" s="647"/>
      <c r="W68" s="1004"/>
      <c r="X68" s="647"/>
      <c r="Y68" s="1004"/>
      <c r="Z68" s="647"/>
      <c r="AA68" s="496"/>
      <c r="AB68" s="467"/>
      <c r="AC68" s="933"/>
      <c r="AD68" s="912">
        <v>54.4</v>
      </c>
      <c r="AE68" s="493"/>
      <c r="AF68" s="720"/>
      <c r="AG68" s="912">
        <v>85.1</v>
      </c>
      <c r="AH68" s="192"/>
      <c r="AI68" s="36"/>
      <c r="AJ68" s="467">
        <f t="shared" si="14"/>
        <v>-30.7</v>
      </c>
      <c r="AK68" s="467"/>
      <c r="AL68" s="1133">
        <f t="shared" si="15"/>
        <v>-0.36099999999999999</v>
      </c>
      <c r="AM68" s="567"/>
    </row>
    <row r="69" spans="1:39" ht="17.25" customHeight="1">
      <c r="A69" s="100"/>
      <c r="B69" s="594" t="s">
        <v>1004</v>
      </c>
      <c r="C69" s="21"/>
      <c r="D69" s="647" t="s">
        <v>14</v>
      </c>
      <c r="E69" s="467"/>
      <c r="F69" s="647"/>
      <c r="G69" s="647"/>
      <c r="H69" s="647"/>
      <c r="I69" s="467"/>
      <c r="J69" s="647"/>
      <c r="K69" s="36"/>
      <c r="L69" s="647"/>
      <c r="M69" s="36"/>
      <c r="N69" s="647"/>
      <c r="O69" s="36"/>
      <c r="P69" s="647"/>
      <c r="Q69" s="36"/>
      <c r="R69" s="647"/>
      <c r="S69" s="36"/>
      <c r="T69" s="647"/>
      <c r="U69" s="36"/>
      <c r="V69" s="647"/>
      <c r="W69" s="36"/>
      <c r="X69" s="647"/>
      <c r="Y69" s="36"/>
      <c r="Z69" s="647"/>
      <c r="AA69" s="46"/>
      <c r="AB69" s="36"/>
      <c r="AC69" s="37"/>
      <c r="AD69" s="36"/>
      <c r="AE69" s="36"/>
      <c r="AF69" s="750"/>
      <c r="AG69" s="36"/>
      <c r="AH69" s="192"/>
      <c r="AI69" s="36"/>
      <c r="AJ69" s="467"/>
      <c r="AK69" s="467"/>
      <c r="AL69" s="488"/>
      <c r="AM69" s="567"/>
    </row>
    <row r="70" spans="1:39" ht="15" customHeight="1">
      <c r="A70" s="100"/>
      <c r="B70" s="594" t="s">
        <v>935</v>
      </c>
      <c r="C70" s="21"/>
      <c r="D70" s="647">
        <v>8.1</v>
      </c>
      <c r="E70" s="467"/>
      <c r="F70" s="647">
        <v>26.199999999999996</v>
      </c>
      <c r="G70" s="647"/>
      <c r="H70" s="647">
        <v>8.2000000000000028</v>
      </c>
      <c r="I70" s="467"/>
      <c r="J70" s="647">
        <v>24.5</v>
      </c>
      <c r="K70" s="1004"/>
      <c r="L70" s="647">
        <v>9.6000000000000014</v>
      </c>
      <c r="M70" s="1004"/>
      <c r="N70" s="647">
        <f t="shared" si="10"/>
        <v>8.4000000000000057</v>
      </c>
      <c r="O70" s="1004"/>
      <c r="P70" s="647"/>
      <c r="Q70" s="1004"/>
      <c r="R70" s="647"/>
      <c r="S70" s="1004"/>
      <c r="T70" s="647"/>
      <c r="U70" s="1004"/>
      <c r="V70" s="647"/>
      <c r="W70" s="1004"/>
      <c r="X70" s="647"/>
      <c r="Y70" s="1004"/>
      <c r="Z70" s="647"/>
      <c r="AA70" s="496"/>
      <c r="AB70" s="467"/>
      <c r="AC70" s="933"/>
      <c r="AD70" s="912">
        <v>85</v>
      </c>
      <c r="AE70" s="493"/>
      <c r="AF70" s="720"/>
      <c r="AG70" s="912">
        <v>90.4</v>
      </c>
      <c r="AH70" s="192"/>
      <c r="AI70" s="36"/>
      <c r="AJ70" s="467">
        <f t="shared" ref="AJ70:AJ81" si="16">ROUND(SUM(+AD70-AG70),1)</f>
        <v>-5.4</v>
      </c>
      <c r="AK70" s="467"/>
      <c r="AL70" s="1133">
        <f>ROUND(IF(AG70=0,0,AJ70/ABS(AG70)),3)</f>
        <v>-0.06</v>
      </c>
      <c r="AM70" s="567" t="s">
        <v>14</v>
      </c>
    </row>
    <row r="71" spans="1:39" ht="15" customHeight="1">
      <c r="A71" s="100"/>
      <c r="B71" s="594" t="s">
        <v>936</v>
      </c>
      <c r="C71" s="21"/>
      <c r="D71" s="647">
        <v>0</v>
      </c>
      <c r="E71" s="467"/>
      <c r="F71" s="647">
        <v>0.19999999999999574</v>
      </c>
      <c r="G71" s="647"/>
      <c r="H71" s="647">
        <v>0.10000000000000142</v>
      </c>
      <c r="I71" s="467"/>
      <c r="J71" s="647">
        <v>0</v>
      </c>
      <c r="K71" s="1004"/>
      <c r="L71" s="647">
        <v>0.39999999999999147</v>
      </c>
      <c r="M71" s="1004"/>
      <c r="N71" s="647">
        <f t="shared" si="10"/>
        <v>0</v>
      </c>
      <c r="O71" s="1004"/>
      <c r="P71" s="647"/>
      <c r="Q71" s="1004"/>
      <c r="R71" s="647"/>
      <c r="S71" s="1004"/>
      <c r="T71" s="647"/>
      <c r="U71" s="1004"/>
      <c r="V71" s="647"/>
      <c r="W71" s="1004"/>
      <c r="X71" s="647"/>
      <c r="Y71" s="1004"/>
      <c r="Z71" s="647"/>
      <c r="AA71" s="496"/>
      <c r="AB71" s="467"/>
      <c r="AC71" s="933"/>
      <c r="AD71" s="912">
        <v>0.69999999999998863</v>
      </c>
      <c r="AE71" s="493"/>
      <c r="AF71" s="720"/>
      <c r="AG71" s="912">
        <v>7.1999999999999886</v>
      </c>
      <c r="AH71" s="192"/>
      <c r="AI71" s="36"/>
      <c r="AJ71" s="467">
        <f t="shared" si="16"/>
        <v>-6.5</v>
      </c>
      <c r="AK71" s="467"/>
      <c r="AL71" s="1133">
        <f>ROUND(IF(AG71=0,1,AJ71/ABS(AG71)),3)</f>
        <v>-0.90300000000000002</v>
      </c>
      <c r="AM71" s="567"/>
    </row>
    <row r="72" spans="1:39" ht="15" customHeight="1">
      <c r="A72" s="100"/>
      <c r="B72" s="594" t="s">
        <v>1188</v>
      </c>
      <c r="C72" s="21"/>
      <c r="D72" s="647">
        <v>0</v>
      </c>
      <c r="E72" s="467"/>
      <c r="F72" s="647">
        <v>0</v>
      </c>
      <c r="G72" s="647"/>
      <c r="H72" s="647">
        <v>0</v>
      </c>
      <c r="I72" s="467"/>
      <c r="J72" s="647">
        <v>0</v>
      </c>
      <c r="K72" s="1004"/>
      <c r="L72" s="647">
        <v>0</v>
      </c>
      <c r="M72" s="1004"/>
      <c r="N72" s="647">
        <f t="shared" si="10"/>
        <v>0</v>
      </c>
      <c r="O72" s="1004"/>
      <c r="P72" s="647"/>
      <c r="Q72" s="1004"/>
      <c r="R72" s="647"/>
      <c r="S72" s="1004"/>
      <c r="T72" s="647"/>
      <c r="U72" s="1004"/>
      <c r="V72" s="647"/>
      <c r="W72" s="1004"/>
      <c r="X72" s="647"/>
      <c r="Y72" s="1004"/>
      <c r="Z72" s="647"/>
      <c r="AA72" s="496"/>
      <c r="AB72" s="467"/>
      <c r="AC72" s="933"/>
      <c r="AD72" s="912">
        <v>0</v>
      </c>
      <c r="AE72" s="493"/>
      <c r="AF72" s="1757"/>
      <c r="AG72" s="912">
        <v>0</v>
      </c>
      <c r="AH72" s="192"/>
      <c r="AI72" s="36"/>
      <c r="AJ72" s="467">
        <f t="shared" si="16"/>
        <v>0</v>
      </c>
      <c r="AK72" s="467"/>
      <c r="AL72" s="488">
        <f>ROUND(IF(AG72=0,0,AJ72/ABS(AG72)),3)</f>
        <v>0</v>
      </c>
      <c r="AM72" s="567"/>
    </row>
    <row r="73" spans="1:39" ht="15" customHeight="1">
      <c r="A73" s="100"/>
      <c r="B73" s="594" t="s">
        <v>937</v>
      </c>
      <c r="C73" s="21"/>
      <c r="D73" s="647">
        <v>0.3</v>
      </c>
      <c r="E73" s="467"/>
      <c r="F73" s="647">
        <v>1.3</v>
      </c>
      <c r="G73" s="647"/>
      <c r="H73" s="647">
        <v>19.7</v>
      </c>
      <c r="I73" s="467"/>
      <c r="J73" s="647">
        <v>0.30000000000000071</v>
      </c>
      <c r="K73" s="1004"/>
      <c r="L73" s="647">
        <v>1</v>
      </c>
      <c r="M73" s="1004"/>
      <c r="N73" s="647">
        <f t="shared" si="10"/>
        <v>0.59999999999999787</v>
      </c>
      <c r="O73" s="1004"/>
      <c r="P73" s="647"/>
      <c r="Q73" s="1004"/>
      <c r="R73" s="647"/>
      <c r="S73" s="1004"/>
      <c r="T73" s="647"/>
      <c r="U73" s="1004"/>
      <c r="V73" s="647"/>
      <c r="W73" s="1004"/>
      <c r="X73" s="647"/>
      <c r="Y73" s="1004"/>
      <c r="Z73" s="647"/>
      <c r="AA73" s="496"/>
      <c r="AB73" s="467"/>
      <c r="AC73" s="933"/>
      <c r="AD73" s="912">
        <v>23.2</v>
      </c>
      <c r="AE73" s="493"/>
      <c r="AF73" s="720"/>
      <c r="AG73" s="912">
        <v>3.9</v>
      </c>
      <c r="AH73" s="192"/>
      <c r="AI73" s="36"/>
      <c r="AJ73" s="467">
        <f t="shared" si="16"/>
        <v>19.3</v>
      </c>
      <c r="AK73" s="467"/>
      <c r="AL73" s="1133">
        <f t="shared" ref="AL73:AL76" si="17">ROUND(IF(AG73=0,0,AJ73/ABS(AG73)),3)</f>
        <v>4.9489999999999998</v>
      </c>
      <c r="AM73" s="567"/>
    </row>
    <row r="74" spans="1:39" ht="15" customHeight="1">
      <c r="A74" s="100"/>
      <c r="B74" s="594" t="s">
        <v>938</v>
      </c>
      <c r="C74" s="21"/>
      <c r="D74" s="647">
        <v>0</v>
      </c>
      <c r="E74" s="467"/>
      <c r="F74" s="647">
        <v>0</v>
      </c>
      <c r="G74" s="647"/>
      <c r="H74" s="647">
        <v>0.1</v>
      </c>
      <c r="I74" s="467"/>
      <c r="J74" s="647">
        <v>0</v>
      </c>
      <c r="K74" s="1004"/>
      <c r="L74" s="647">
        <v>0</v>
      </c>
      <c r="M74" s="1004"/>
      <c r="N74" s="647">
        <f t="shared" si="10"/>
        <v>0</v>
      </c>
      <c r="O74" s="1004"/>
      <c r="P74" s="647"/>
      <c r="Q74" s="1004"/>
      <c r="R74" s="647"/>
      <c r="S74" s="1004"/>
      <c r="T74" s="647"/>
      <c r="U74" s="1004"/>
      <c r="V74" s="647"/>
      <c r="W74" s="1004"/>
      <c r="X74" s="647"/>
      <c r="Y74" s="1004"/>
      <c r="Z74" s="647"/>
      <c r="AA74" s="496"/>
      <c r="AB74" s="467"/>
      <c r="AC74" s="933"/>
      <c r="AD74" s="912">
        <v>0.1</v>
      </c>
      <c r="AE74" s="493"/>
      <c r="AF74" s="720"/>
      <c r="AG74" s="912">
        <v>0.8</v>
      </c>
      <c r="AH74" s="192"/>
      <c r="AI74" s="36"/>
      <c r="AJ74" s="467">
        <f t="shared" si="16"/>
        <v>-0.7</v>
      </c>
      <c r="AK74" s="467"/>
      <c r="AL74" s="1133">
        <f>ROUND(IF(AG74=0,0,AJ74/ABS(AG74)),3)</f>
        <v>-0.875</v>
      </c>
      <c r="AM74" s="567"/>
    </row>
    <row r="75" spans="1:39" ht="15" customHeight="1">
      <c r="A75" s="100"/>
      <c r="B75" s="594" t="s">
        <v>939</v>
      </c>
      <c r="C75" s="21"/>
      <c r="D75" s="647">
        <v>239.3</v>
      </c>
      <c r="E75" s="467"/>
      <c r="F75" s="647">
        <v>-285.60000000000002</v>
      </c>
      <c r="G75" s="647"/>
      <c r="H75" s="647">
        <v>752.5</v>
      </c>
      <c r="I75" s="467"/>
      <c r="J75" s="647">
        <v>236.60000000000002</v>
      </c>
      <c r="K75" s="1004"/>
      <c r="L75" s="647">
        <v>272.30000000000007</v>
      </c>
      <c r="M75" s="1004"/>
      <c r="N75" s="647">
        <f t="shared" si="10"/>
        <v>220</v>
      </c>
      <c r="O75" s="1004"/>
      <c r="P75" s="647"/>
      <c r="Q75" s="1004"/>
      <c r="R75" s="647"/>
      <c r="S75" s="1004"/>
      <c r="T75" s="647"/>
      <c r="U75" s="1004"/>
      <c r="V75" s="647"/>
      <c r="W75" s="1004"/>
      <c r="X75" s="647"/>
      <c r="Y75" s="1004"/>
      <c r="Z75" s="647"/>
      <c r="AA75" s="496"/>
      <c r="AB75" s="467"/>
      <c r="AC75" s="933"/>
      <c r="AD75" s="912">
        <v>1435.1</v>
      </c>
      <c r="AE75" s="493"/>
      <c r="AF75" s="720"/>
      <c r="AG75" s="912">
        <v>1184.5</v>
      </c>
      <c r="AH75" s="192"/>
      <c r="AI75" s="36"/>
      <c r="AJ75" s="467">
        <f t="shared" si="16"/>
        <v>250.6</v>
      </c>
      <c r="AK75" s="467"/>
      <c r="AL75" s="488">
        <f t="shared" si="17"/>
        <v>0.21199999999999999</v>
      </c>
      <c r="AM75" s="567"/>
    </row>
    <row r="76" spans="1:39" ht="15" customHeight="1">
      <c r="A76" s="100"/>
      <c r="B76" s="594" t="s">
        <v>940</v>
      </c>
      <c r="C76" s="21"/>
      <c r="D76" s="647">
        <v>3.8</v>
      </c>
      <c r="E76" s="467"/>
      <c r="F76" s="647">
        <v>0.5</v>
      </c>
      <c r="G76" s="647"/>
      <c r="H76" s="647">
        <v>6.8999999999999995</v>
      </c>
      <c r="I76" s="467"/>
      <c r="J76" s="647">
        <v>4.9999999999999991</v>
      </c>
      <c r="K76" s="1004"/>
      <c r="L76" s="647">
        <v>3.400000000000003</v>
      </c>
      <c r="M76" s="1004"/>
      <c r="N76" s="647">
        <f t="shared" si="10"/>
        <v>5.599999999999997</v>
      </c>
      <c r="O76" s="1004"/>
      <c r="P76" s="647"/>
      <c r="Q76" s="1004"/>
      <c r="R76" s="647"/>
      <c r="S76" s="1004"/>
      <c r="T76" s="647"/>
      <c r="U76" s="1004"/>
      <c r="V76" s="647"/>
      <c r="W76" s="1004"/>
      <c r="X76" s="647"/>
      <c r="Y76" s="1004"/>
      <c r="Z76" s="647"/>
      <c r="AA76" s="496"/>
      <c r="AB76" s="467"/>
      <c r="AC76" s="933"/>
      <c r="AD76" s="912">
        <v>25.2</v>
      </c>
      <c r="AE76" s="493"/>
      <c r="AF76" s="720"/>
      <c r="AG76" s="912">
        <v>26</v>
      </c>
      <c r="AH76" s="192"/>
      <c r="AI76" s="36"/>
      <c r="AJ76" s="467">
        <f t="shared" si="16"/>
        <v>-0.8</v>
      </c>
      <c r="AK76" s="467"/>
      <c r="AL76" s="1133">
        <f t="shared" si="17"/>
        <v>-3.1E-2</v>
      </c>
      <c r="AM76" s="567"/>
    </row>
    <row r="77" spans="1:39" ht="15" customHeight="1">
      <c r="A77" s="100"/>
      <c r="B77" s="594" t="s">
        <v>941</v>
      </c>
      <c r="C77" s="21"/>
      <c r="D77" s="647">
        <v>4.5</v>
      </c>
      <c r="E77" s="467"/>
      <c r="F77" s="647">
        <v>0.70000000000000018</v>
      </c>
      <c r="G77" s="647"/>
      <c r="H77" s="647">
        <v>1.7000000000000002</v>
      </c>
      <c r="I77" s="467"/>
      <c r="J77" s="647">
        <v>14.700000000000003</v>
      </c>
      <c r="K77" s="1004"/>
      <c r="L77" s="647">
        <v>34.699999999999989</v>
      </c>
      <c r="M77" s="1004"/>
      <c r="N77" s="647">
        <f t="shared" si="10"/>
        <v>0.30000000000000426</v>
      </c>
      <c r="O77" s="1004"/>
      <c r="P77" s="647"/>
      <c r="Q77" s="1004"/>
      <c r="R77" s="647"/>
      <c r="S77" s="1004"/>
      <c r="T77" s="647"/>
      <c r="U77" s="1004"/>
      <c r="V77" s="647"/>
      <c r="W77" s="1004"/>
      <c r="X77" s="647"/>
      <c r="Y77" s="1004"/>
      <c r="Z77" s="647"/>
      <c r="AA77" s="496"/>
      <c r="AB77" s="467"/>
      <c r="AC77" s="933"/>
      <c r="AD77" s="912">
        <v>56.6</v>
      </c>
      <c r="AE77" s="493"/>
      <c r="AF77" s="720"/>
      <c r="AG77" s="912">
        <v>104.7</v>
      </c>
      <c r="AH77" s="192"/>
      <c r="AI77" s="36"/>
      <c r="AJ77" s="467">
        <f t="shared" si="16"/>
        <v>-48.1</v>
      </c>
      <c r="AK77" s="467"/>
      <c r="AL77" s="1133">
        <f>ROUND(IF(AG77=0,1,AJ77/ABS(AG77)),3)</f>
        <v>-0.45900000000000002</v>
      </c>
      <c r="AM77" s="567"/>
    </row>
    <row r="78" spans="1:39" ht="15" customHeight="1">
      <c r="A78" s="100"/>
      <c r="B78" s="594" t="s">
        <v>942</v>
      </c>
      <c r="C78" s="21"/>
      <c r="D78" s="647">
        <v>13.1</v>
      </c>
      <c r="E78" s="467"/>
      <c r="F78" s="647">
        <v>-3.9000000000000004</v>
      </c>
      <c r="G78" s="647"/>
      <c r="H78" s="647">
        <v>1</v>
      </c>
      <c r="I78" s="467"/>
      <c r="J78" s="647">
        <v>11.400000000000002</v>
      </c>
      <c r="K78" s="1004"/>
      <c r="L78" s="647">
        <v>1.2999999999999972</v>
      </c>
      <c r="M78" s="1004"/>
      <c r="N78" s="647">
        <f t="shared" si="10"/>
        <v>2.7000000000000028</v>
      </c>
      <c r="O78" s="1004"/>
      <c r="P78" s="647"/>
      <c r="Q78" s="1004"/>
      <c r="R78" s="647"/>
      <c r="S78" s="1004"/>
      <c r="T78" s="647"/>
      <c r="U78" s="1004"/>
      <c r="V78" s="647"/>
      <c r="W78" s="1004"/>
      <c r="X78" s="647"/>
      <c r="Y78" s="1004"/>
      <c r="Z78" s="647"/>
      <c r="AA78" s="496"/>
      <c r="AB78" s="467"/>
      <c r="AC78" s="933"/>
      <c r="AD78" s="912">
        <v>25.6</v>
      </c>
      <c r="AE78" s="493"/>
      <c r="AF78" s="720"/>
      <c r="AG78" s="912">
        <v>7.4</v>
      </c>
      <c r="AH78" s="192"/>
      <c r="AI78" s="36"/>
      <c r="AJ78" s="467">
        <f t="shared" si="16"/>
        <v>18.2</v>
      </c>
      <c r="AK78" s="467"/>
      <c r="AL78" s="488">
        <f>ROUND(IF(AG78=0,0,AJ78/ABS(AG78)),3)</f>
        <v>2.4590000000000001</v>
      </c>
      <c r="AM78" s="567"/>
    </row>
    <row r="79" spans="1:39" ht="15" customHeight="1">
      <c r="A79" s="100"/>
      <c r="B79" s="594" t="s">
        <v>943</v>
      </c>
      <c r="C79" s="21"/>
      <c r="D79" s="647">
        <v>47</v>
      </c>
      <c r="E79" s="467"/>
      <c r="F79" s="647">
        <v>39</v>
      </c>
      <c r="G79" s="647"/>
      <c r="H79" s="647">
        <v>26.700000000000003</v>
      </c>
      <c r="I79" s="467"/>
      <c r="J79" s="647">
        <v>59.7</v>
      </c>
      <c r="K79" s="1004"/>
      <c r="L79" s="647">
        <v>36.699999999999989</v>
      </c>
      <c r="M79" s="1004"/>
      <c r="N79" s="647">
        <f t="shared" si="10"/>
        <v>53.700000000000031</v>
      </c>
      <c r="O79" s="1004"/>
      <c r="P79" s="647"/>
      <c r="Q79" s="1004"/>
      <c r="R79" s="647"/>
      <c r="S79" s="1004"/>
      <c r="T79" s="647"/>
      <c r="U79" s="1004"/>
      <c r="V79" s="647"/>
      <c r="W79" s="1004"/>
      <c r="X79" s="647"/>
      <c r="Y79" s="1004"/>
      <c r="Z79" s="647"/>
      <c r="AA79" s="496"/>
      <c r="AB79" s="467"/>
      <c r="AC79" s="932"/>
      <c r="AD79" s="912">
        <v>262.8</v>
      </c>
      <c r="AE79" s="467"/>
      <c r="AF79" s="933"/>
      <c r="AG79" s="912">
        <v>339.8</v>
      </c>
      <c r="AH79" s="192"/>
      <c r="AI79" s="36"/>
      <c r="AJ79" s="467">
        <f t="shared" si="16"/>
        <v>-77</v>
      </c>
      <c r="AK79" s="467"/>
      <c r="AL79" s="1133">
        <f>ROUND(IF(AG79=0,0,AJ79/ABS(AG79)),3)</f>
        <v>-0.22700000000000001</v>
      </c>
      <c r="AM79" s="567"/>
    </row>
    <row r="80" spans="1:39" ht="15" customHeight="1">
      <c r="A80" s="100"/>
      <c r="B80" s="594" t="s">
        <v>916</v>
      </c>
      <c r="C80" s="21"/>
      <c r="D80" s="647">
        <v>0.6</v>
      </c>
      <c r="E80" s="467"/>
      <c r="F80" s="647">
        <v>2.1</v>
      </c>
      <c r="G80" s="647"/>
      <c r="H80" s="647">
        <v>1.0999999999999996</v>
      </c>
      <c r="I80" s="467"/>
      <c r="J80" s="647">
        <v>1.3000000000000003</v>
      </c>
      <c r="K80" s="1004"/>
      <c r="L80" s="647">
        <v>1.6</v>
      </c>
      <c r="M80" s="1004"/>
      <c r="N80" s="647">
        <f t="shared" si="10"/>
        <v>1.2000000000000011</v>
      </c>
      <c r="O80" s="1004"/>
      <c r="P80" s="647"/>
      <c r="Q80" s="1004"/>
      <c r="R80" s="647"/>
      <c r="S80" s="1004"/>
      <c r="T80" s="647"/>
      <c r="U80" s="1004"/>
      <c r="V80" s="647"/>
      <c r="W80" s="1004"/>
      <c r="X80" s="647"/>
      <c r="Y80" s="1004"/>
      <c r="Z80" s="647"/>
      <c r="AA80" s="496"/>
      <c r="AB80" s="467"/>
      <c r="AC80" s="932"/>
      <c r="AD80" s="912">
        <v>7.9</v>
      </c>
      <c r="AE80" s="467"/>
      <c r="AF80" s="933"/>
      <c r="AG80" s="912">
        <v>8.9</v>
      </c>
      <c r="AH80" s="192"/>
      <c r="AI80" s="36"/>
      <c r="AJ80" s="467">
        <f t="shared" si="16"/>
        <v>-1</v>
      </c>
      <c r="AK80" s="467"/>
      <c r="AL80" s="488">
        <f>ROUND(IF(AG80=0,0,AJ80/ABS(AG80)),3)</f>
        <v>-0.112</v>
      </c>
      <c r="AM80" s="567"/>
    </row>
    <row r="81" spans="1:39" ht="15" customHeight="1">
      <c r="A81" s="100"/>
      <c r="B81" s="594" t="s">
        <v>917</v>
      </c>
      <c r="C81" s="21"/>
      <c r="D81" s="647">
        <v>-25.2</v>
      </c>
      <c r="E81" s="467"/>
      <c r="F81" s="647">
        <v>31.299999999999997</v>
      </c>
      <c r="G81" s="647"/>
      <c r="H81" s="647">
        <v>60.900000000000006</v>
      </c>
      <c r="I81" s="467"/>
      <c r="J81" s="647">
        <v>14.699999999999989</v>
      </c>
      <c r="K81" s="1004"/>
      <c r="L81" s="647">
        <v>217.4</v>
      </c>
      <c r="M81" s="1004"/>
      <c r="N81" s="647">
        <f t="shared" si="10"/>
        <v>268.70000000000005</v>
      </c>
      <c r="O81" s="1004"/>
      <c r="P81" s="647"/>
      <c r="Q81" s="1004"/>
      <c r="R81" s="647"/>
      <c r="S81" s="1004"/>
      <c r="T81" s="647"/>
      <c r="U81" s="1004"/>
      <c r="V81" s="647"/>
      <c r="W81" s="1004"/>
      <c r="X81" s="647"/>
      <c r="Y81" s="1004"/>
      <c r="Z81" s="647"/>
      <c r="AA81" s="496"/>
      <c r="AB81" s="467"/>
      <c r="AC81" s="933"/>
      <c r="AD81" s="912">
        <v>567.79999999999995</v>
      </c>
      <c r="AE81" s="493"/>
      <c r="AF81" s="720"/>
      <c r="AG81" s="912">
        <v>603.79999999999995</v>
      </c>
      <c r="AH81" s="192"/>
      <c r="AI81" s="36"/>
      <c r="AJ81" s="467">
        <f t="shared" si="16"/>
        <v>-36</v>
      </c>
      <c r="AK81" s="467"/>
      <c r="AL81" s="488">
        <f>ROUND(IF(AG81=0,0,AJ81/ABS(AG81)),3)</f>
        <v>-0.06</v>
      </c>
      <c r="AM81" s="567"/>
    </row>
    <row r="82" spans="1:39" ht="15" customHeight="1">
      <c r="A82" s="100"/>
      <c r="B82" s="218" t="s">
        <v>1040</v>
      </c>
      <c r="C82" s="21"/>
      <c r="D82" s="1138">
        <f>ROUND(SUM(D42:D81),1)</f>
        <v>1585.4</v>
      </c>
      <c r="E82" s="467"/>
      <c r="F82" s="1138">
        <f>ROUND(SUM(F42:F81),1)</f>
        <v>957.7</v>
      </c>
      <c r="G82" s="467"/>
      <c r="H82" s="1138">
        <f>ROUND(SUM(H42:H81),1)</f>
        <v>2209.9</v>
      </c>
      <c r="I82" s="467"/>
      <c r="J82" s="1138">
        <f>ROUND(SUM(J42:J81),1)</f>
        <v>1697.9</v>
      </c>
      <c r="K82" s="36"/>
      <c r="L82" s="179">
        <f>ROUND(SUM(L42:L81),1)</f>
        <v>2067.1</v>
      </c>
      <c r="M82" s="36"/>
      <c r="N82" s="179">
        <f>ROUND(SUM(N42:N81),1)</f>
        <v>2111.1</v>
      </c>
      <c r="O82" s="36"/>
      <c r="P82" s="179">
        <f>ROUND(SUM(P42:P81),1)</f>
        <v>0</v>
      </c>
      <c r="Q82" s="36"/>
      <c r="R82" s="179">
        <f>ROUND(SUM(R42:R81),1)</f>
        <v>0</v>
      </c>
      <c r="S82" s="179"/>
      <c r="T82" s="179">
        <f t="shared" ref="T82" si="18">ROUND(SUM(T42:T81),1)</f>
        <v>0</v>
      </c>
      <c r="U82" s="36"/>
      <c r="V82" s="179">
        <f>ROUND(SUM(V42:V81),1)</f>
        <v>0</v>
      </c>
      <c r="W82" s="36"/>
      <c r="X82" s="179">
        <f>ROUND(SUM(X42:X81),1)</f>
        <v>0</v>
      </c>
      <c r="Y82" s="36"/>
      <c r="Z82" s="179">
        <f>ROUND(SUM(Z42:Z81),1)</f>
        <v>0</v>
      </c>
      <c r="AA82" s="42"/>
      <c r="AB82" s="36"/>
      <c r="AC82" s="37"/>
      <c r="AD82" s="179">
        <f>ROUND(SUM(AD42:AD81),1)</f>
        <v>10629.1</v>
      </c>
      <c r="AE82" s="36"/>
      <c r="AF82" s="750"/>
      <c r="AG82" s="179">
        <f>ROUND(SUM(AG42:AG81),1)</f>
        <v>9679.9</v>
      </c>
      <c r="AH82" s="192"/>
      <c r="AI82" s="36"/>
      <c r="AJ82" s="179">
        <f>ROUND(SUM(AJ42:AJ81),1)</f>
        <v>949.2</v>
      </c>
      <c r="AK82" s="467"/>
      <c r="AL82" s="747">
        <f>ROUND(SUM(+AJ82/AG82),3)</f>
        <v>9.8000000000000004E-2</v>
      </c>
      <c r="AM82" s="567"/>
    </row>
    <row r="83" spans="1:39" ht="15" customHeight="1">
      <c r="A83" s="100"/>
      <c r="B83" s="218"/>
      <c r="C83" s="21"/>
      <c r="D83" s="42"/>
      <c r="E83" s="467"/>
      <c r="F83" s="42"/>
      <c r="G83" s="467"/>
      <c r="H83" s="42"/>
      <c r="I83" s="467"/>
      <c r="J83" s="42"/>
      <c r="K83" s="36"/>
      <c r="L83" s="42"/>
      <c r="M83" s="36"/>
      <c r="N83" s="42"/>
      <c r="O83" s="36"/>
      <c r="P83" s="42"/>
      <c r="Q83" s="36"/>
      <c r="R83" s="42"/>
      <c r="S83" s="36"/>
      <c r="T83" s="42"/>
      <c r="U83" s="36"/>
      <c r="V83" s="42"/>
      <c r="W83" s="36"/>
      <c r="X83" s="647"/>
      <c r="Y83" s="36"/>
      <c r="Z83" s="42"/>
      <c r="AA83" s="42"/>
      <c r="AB83" s="36"/>
      <c r="AC83" s="37"/>
      <c r="AD83" s="42"/>
      <c r="AE83" s="36"/>
      <c r="AF83" s="750"/>
      <c r="AG83" s="42"/>
      <c r="AH83" s="192"/>
      <c r="AI83" s="36"/>
      <c r="AJ83" s="42"/>
      <c r="AK83" s="467"/>
      <c r="AL83" s="190"/>
      <c r="AM83" s="567"/>
    </row>
    <row r="84" spans="1:39" ht="15" customHeight="1">
      <c r="A84" s="100"/>
      <c r="B84" s="196" t="s">
        <v>146</v>
      </c>
      <c r="C84" s="21"/>
      <c r="D84" s="647">
        <v>0</v>
      </c>
      <c r="E84" s="467"/>
      <c r="F84" s="647">
        <v>0</v>
      </c>
      <c r="G84" s="647"/>
      <c r="H84" s="647">
        <v>0.1</v>
      </c>
      <c r="I84" s="467"/>
      <c r="J84" s="647">
        <v>0</v>
      </c>
      <c r="K84" s="1004"/>
      <c r="L84" s="647">
        <v>-0.1</v>
      </c>
      <c r="M84" s="1004"/>
      <c r="N84" s="647">
        <f t="shared" ref="N84" si="19">$AD84-$D84-$F84-$H84-$J84-$L84</f>
        <v>0</v>
      </c>
      <c r="O84" s="1004"/>
      <c r="P84" s="647"/>
      <c r="Q84" s="1004"/>
      <c r="R84" s="647"/>
      <c r="S84" s="1004"/>
      <c r="T84" s="647"/>
      <c r="U84" s="1004"/>
      <c r="V84" s="647"/>
      <c r="W84" s="1004"/>
      <c r="X84" s="2112"/>
      <c r="Y84" s="1004"/>
      <c r="Z84" s="647"/>
      <c r="AA84" s="496"/>
      <c r="AB84" s="467"/>
      <c r="AC84" s="933"/>
      <c r="AD84" s="912">
        <v>0</v>
      </c>
      <c r="AE84" s="493"/>
      <c r="AF84" s="720"/>
      <c r="AG84" s="912">
        <v>11</v>
      </c>
      <c r="AH84" s="192"/>
      <c r="AI84" s="36"/>
      <c r="AJ84" s="467">
        <f>ROUND(SUM(+AD84-AG84),1)</f>
        <v>-11</v>
      </c>
      <c r="AK84" s="467"/>
      <c r="AL84" s="971">
        <f>ROUND(IF(AG84=0,0,AJ84/ABS(AG84)),3)</f>
        <v>-1</v>
      </c>
      <c r="AM84" s="567"/>
    </row>
    <row r="85" spans="1:39" ht="15" customHeight="1">
      <c r="A85" s="100"/>
      <c r="B85" s="21"/>
      <c r="C85" s="21"/>
      <c r="D85" s="497"/>
      <c r="E85" s="467"/>
      <c r="F85" s="497"/>
      <c r="G85" s="467"/>
      <c r="H85" s="497"/>
      <c r="I85" s="467"/>
      <c r="J85" s="497"/>
      <c r="K85" s="36"/>
      <c r="L85" s="61"/>
      <c r="M85" s="36"/>
      <c r="N85" s="61"/>
      <c r="O85" s="36"/>
      <c r="P85" s="61"/>
      <c r="Q85" s="36"/>
      <c r="R85" s="61"/>
      <c r="S85" s="36"/>
      <c r="T85" s="61"/>
      <c r="U85" s="36"/>
      <c r="V85" s="61"/>
      <c r="W85" s="36"/>
      <c r="X85" s="647"/>
      <c r="Y85" s="36"/>
      <c r="Z85" s="61"/>
      <c r="AA85" s="36"/>
      <c r="AB85" s="36"/>
      <c r="AC85" s="37"/>
      <c r="AD85" s="61"/>
      <c r="AE85" s="36"/>
      <c r="AF85" s="750"/>
      <c r="AG85" s="61"/>
      <c r="AH85" s="192"/>
      <c r="AI85" s="36"/>
      <c r="AJ85" s="941"/>
      <c r="AK85" s="644"/>
      <c r="AL85" s="956"/>
      <c r="AM85" s="567"/>
    </row>
    <row r="86" spans="1:39" ht="15" customHeight="1">
      <c r="A86" s="100"/>
      <c r="B86" s="19" t="s">
        <v>147</v>
      </c>
      <c r="C86" s="21"/>
      <c r="D86" s="42">
        <f>ROUND(SUM(D38+D82+D84),1)</f>
        <v>2110.1999999999998</v>
      </c>
      <c r="E86" s="42"/>
      <c r="F86" s="42">
        <f>ROUND(SUM(F38+F82+F84),1)</f>
        <v>1183.9000000000001</v>
      </c>
      <c r="G86" s="42"/>
      <c r="H86" s="42">
        <f>ROUND(SUM(H38+H82+H84),1)</f>
        <v>2823.1</v>
      </c>
      <c r="I86" s="42"/>
      <c r="J86" s="42">
        <f>ROUND(SUM(J38+J82+J84),1)</f>
        <v>1951.8</v>
      </c>
      <c r="K86" s="42"/>
      <c r="L86" s="42">
        <f>ROUND(SUM(L38+L82+L84),1)</f>
        <v>2297.9</v>
      </c>
      <c r="M86" s="42"/>
      <c r="N86" s="42">
        <f>ROUND(SUM(N38+N82+N84),1)</f>
        <v>2737.5</v>
      </c>
      <c r="O86" s="42"/>
      <c r="P86" s="42">
        <f>ROUND(SUM(P38+P82+P84),1)</f>
        <v>0</v>
      </c>
      <c r="Q86" s="42"/>
      <c r="R86" s="42">
        <f>ROUND(SUM(R38+R82+R84),1)</f>
        <v>0</v>
      </c>
      <c r="S86" s="42"/>
      <c r="T86" s="42">
        <f t="shared" ref="T86" si="20">ROUND(SUM(T38+T82+T84),1)</f>
        <v>0</v>
      </c>
      <c r="U86" s="42"/>
      <c r="V86" s="42">
        <f>ROUND(SUM(V38+V82+V84),1)</f>
        <v>0</v>
      </c>
      <c r="W86" s="42"/>
      <c r="X86" s="601">
        <f>ROUND(SUM(X38+X82+X84),1)</f>
        <v>0</v>
      </c>
      <c r="Y86" s="42"/>
      <c r="Z86" s="42">
        <f>ROUND(SUM(Z38+Z82+Z84),1)</f>
        <v>0</v>
      </c>
      <c r="AA86" s="42"/>
      <c r="AB86" s="42"/>
      <c r="AC86" s="44"/>
      <c r="AD86" s="42">
        <f>ROUND(SUM(AD38+AD82+AD84),1)</f>
        <v>13104.4</v>
      </c>
      <c r="AE86" s="42"/>
      <c r="AF86" s="1234"/>
      <c r="AG86" s="42">
        <f>ROUND(SUM(AG38+AG82+AG84),1)</f>
        <v>12048.2</v>
      </c>
      <c r="AH86" s="198"/>
      <c r="AI86" s="42"/>
      <c r="AJ86" s="601">
        <f>ROUND(SUM(AJ38+AJ82+AJ84),1)</f>
        <v>1056.2</v>
      </c>
      <c r="AK86" s="199"/>
      <c r="AL86" s="211">
        <f>ROUND(SUM((AD86-AG86)/ABS(AG86)),3)</f>
        <v>8.7999999999999995E-2</v>
      </c>
      <c r="AM86" s="567"/>
    </row>
    <row r="87" spans="1:39" ht="15" customHeight="1">
      <c r="A87" s="100"/>
      <c r="B87" s="21"/>
      <c r="C87" s="21"/>
      <c r="D87" s="497"/>
      <c r="E87" s="467"/>
      <c r="F87" s="497"/>
      <c r="G87" s="467"/>
      <c r="H87" s="497"/>
      <c r="I87" s="467"/>
      <c r="J87" s="497"/>
      <c r="K87" s="36"/>
      <c r="L87" s="61"/>
      <c r="M87" s="36"/>
      <c r="N87" s="61"/>
      <c r="O87" s="36"/>
      <c r="P87" s="61"/>
      <c r="Q87" s="36"/>
      <c r="R87" s="61"/>
      <c r="S87" s="36"/>
      <c r="T87" s="61"/>
      <c r="U87" s="36"/>
      <c r="V87" s="61"/>
      <c r="W87" s="36"/>
      <c r="X87" s="647"/>
      <c r="Y87" s="36"/>
      <c r="Z87" s="61"/>
      <c r="AA87" s="36"/>
      <c r="AB87" s="36"/>
      <c r="AC87" s="37"/>
      <c r="AD87" s="61"/>
      <c r="AE87" s="36"/>
      <c r="AF87" s="750"/>
      <c r="AG87" s="61"/>
      <c r="AH87" s="192"/>
      <c r="AI87" s="36"/>
      <c r="AJ87" s="467"/>
      <c r="AK87" s="644"/>
      <c r="AL87" s="488"/>
      <c r="AM87" s="567"/>
    </row>
    <row r="88" spans="1:39" ht="15" customHeight="1">
      <c r="A88" s="100"/>
      <c r="B88" s="118" t="s">
        <v>22</v>
      </c>
      <c r="C88" s="21"/>
      <c r="D88" s="467"/>
      <c r="E88" s="467"/>
      <c r="F88" s="467"/>
      <c r="G88" s="467"/>
      <c r="H88" s="467"/>
      <c r="I88" s="467"/>
      <c r="J88" s="467"/>
      <c r="K88" s="36"/>
      <c r="L88" s="36"/>
      <c r="M88" s="36"/>
      <c r="N88" s="36"/>
      <c r="O88" s="36"/>
      <c r="P88" s="36"/>
      <c r="Q88" s="36"/>
      <c r="R88" s="36"/>
      <c r="S88" s="36"/>
      <c r="T88" s="36"/>
      <c r="U88" s="36"/>
      <c r="V88" s="36"/>
      <c r="W88" s="36"/>
      <c r="X88" s="647"/>
      <c r="Y88" s="36"/>
      <c r="Z88" s="36"/>
      <c r="AA88" s="36"/>
      <c r="AB88" s="36"/>
      <c r="AC88" s="37"/>
      <c r="AD88" s="36"/>
      <c r="AE88" s="36"/>
      <c r="AF88" s="750"/>
      <c r="AG88" s="36"/>
      <c r="AH88" s="192"/>
      <c r="AI88" s="36"/>
      <c r="AJ88" s="467"/>
      <c r="AK88" s="644"/>
      <c r="AL88" s="488"/>
      <c r="AM88" s="567"/>
    </row>
    <row r="89" spans="1:39" ht="12.75" customHeight="1">
      <c r="A89" s="100"/>
      <c r="B89" s="499" t="s">
        <v>148</v>
      </c>
      <c r="C89" s="21"/>
      <c r="D89" s="493"/>
      <c r="E89" s="467"/>
      <c r="F89" s="493"/>
      <c r="G89" s="467"/>
      <c r="H89" s="467"/>
      <c r="I89" s="467"/>
      <c r="J89" s="647"/>
      <c r="K89" s="36"/>
      <c r="L89" s="46"/>
      <c r="M89" s="36"/>
      <c r="N89" s="46"/>
      <c r="O89" s="36"/>
      <c r="P89" s="46"/>
      <c r="Q89" s="36"/>
      <c r="R89" s="46"/>
      <c r="S89" s="36"/>
      <c r="T89" s="46"/>
      <c r="U89" s="36"/>
      <c r="V89" s="36"/>
      <c r="W89" s="36"/>
      <c r="X89" s="647"/>
      <c r="Y89" s="36"/>
      <c r="Z89" s="36"/>
      <c r="AA89" s="36"/>
      <c r="AB89" s="36"/>
      <c r="AC89" s="37"/>
      <c r="AD89" s="116"/>
      <c r="AE89" s="36"/>
      <c r="AF89" s="750"/>
      <c r="AG89" s="116"/>
      <c r="AH89" s="192"/>
      <c r="AI89" s="36"/>
      <c r="AJ89" s="467"/>
      <c r="AK89" s="644"/>
      <c r="AL89" s="488"/>
      <c r="AM89" s="567"/>
    </row>
    <row r="90" spans="1:39" ht="15" customHeight="1">
      <c r="A90" s="100"/>
      <c r="B90" s="120" t="s">
        <v>24</v>
      </c>
      <c r="C90" s="21"/>
      <c r="D90" s="647">
        <v>0.5</v>
      </c>
      <c r="E90" s="467"/>
      <c r="F90" s="647">
        <v>9.9999999999999978E-2</v>
      </c>
      <c r="G90" s="647"/>
      <c r="H90" s="647">
        <v>316.89999999999998</v>
      </c>
      <c r="I90" s="467"/>
      <c r="J90" s="647">
        <v>0.10000000000002274</v>
      </c>
      <c r="K90" s="1004"/>
      <c r="L90" s="647">
        <v>0.19999999999998863</v>
      </c>
      <c r="M90" s="1004"/>
      <c r="N90" s="647">
        <f t="shared" ref="N90:N99" si="21">$AD90-$D90-$F90-$H90-$J90-$L90</f>
        <v>3156.0000000000005</v>
      </c>
      <c r="O90" s="1004"/>
      <c r="P90" s="647"/>
      <c r="Q90" s="1004"/>
      <c r="R90" s="647"/>
      <c r="S90" s="1004"/>
      <c r="T90" s="647"/>
      <c r="U90" s="1004"/>
      <c r="V90" s="647"/>
      <c r="W90" s="1004"/>
      <c r="X90" s="647"/>
      <c r="Y90" s="1004"/>
      <c r="Z90" s="647"/>
      <c r="AA90" s="496"/>
      <c r="AB90" s="467"/>
      <c r="AC90" s="933"/>
      <c r="AD90" s="912">
        <v>3473.8</v>
      </c>
      <c r="AE90" s="493"/>
      <c r="AF90" s="720"/>
      <c r="AG90" s="912">
        <v>3392.6</v>
      </c>
      <c r="AH90" s="192"/>
      <c r="AI90" s="36"/>
      <c r="AJ90" s="467">
        <f>ROUND(SUM(+AD90-AG90),1)</f>
        <v>81.2</v>
      </c>
      <c r="AK90" s="467"/>
      <c r="AL90" s="971">
        <f>ROUND(IF(AG90=0,1,AJ90/ABS(AG90)),3)</f>
        <v>2.4E-2</v>
      </c>
      <c r="AM90" s="567"/>
    </row>
    <row r="91" spans="1:39" ht="15" customHeight="1">
      <c r="A91" s="100"/>
      <c r="B91" s="120" t="s">
        <v>25</v>
      </c>
      <c r="C91" s="21"/>
      <c r="D91" s="647">
        <v>0</v>
      </c>
      <c r="E91" s="467"/>
      <c r="F91" s="647">
        <v>0.2</v>
      </c>
      <c r="G91" s="647"/>
      <c r="H91" s="647">
        <v>0</v>
      </c>
      <c r="I91" s="467"/>
      <c r="J91" s="647">
        <v>1.2</v>
      </c>
      <c r="K91" s="1004"/>
      <c r="L91" s="647">
        <v>0.19999999999999996</v>
      </c>
      <c r="M91" s="1004"/>
      <c r="N91" s="647">
        <f t="shared" si="21"/>
        <v>0.40000000000000013</v>
      </c>
      <c r="O91" s="1004"/>
      <c r="P91" s="647"/>
      <c r="Q91" s="1004"/>
      <c r="R91" s="647"/>
      <c r="S91" s="1004"/>
      <c r="T91" s="647"/>
      <c r="U91" s="1004"/>
      <c r="V91" s="647"/>
      <c r="W91" s="1004"/>
      <c r="X91" s="647"/>
      <c r="Y91" s="1004"/>
      <c r="Z91" s="647"/>
      <c r="AA91" s="496"/>
      <c r="AB91" s="467"/>
      <c r="AC91" s="933"/>
      <c r="AD91" s="912">
        <v>2</v>
      </c>
      <c r="AE91" s="493"/>
      <c r="AF91" s="720"/>
      <c r="AG91" s="912">
        <v>1.7999999999999998</v>
      </c>
      <c r="AH91" s="192"/>
      <c r="AI91" s="36"/>
      <c r="AJ91" s="467">
        <f>ROUND(SUM(+AD91-AG91),1)</f>
        <v>0.2</v>
      </c>
      <c r="AK91" s="467"/>
      <c r="AL91" s="488">
        <f>ROUND(IF(AG91=0,0,AJ91/ABS(AG91)),3)</f>
        <v>0.111</v>
      </c>
      <c r="AM91" s="567"/>
    </row>
    <row r="92" spans="1:39" ht="15" customHeight="1">
      <c r="A92" s="100"/>
      <c r="B92" s="120" t="s">
        <v>26</v>
      </c>
      <c r="C92" s="21"/>
      <c r="D92" s="647">
        <v>1.5</v>
      </c>
      <c r="E92" s="467"/>
      <c r="F92" s="647">
        <v>43.2</v>
      </c>
      <c r="G92" s="647"/>
      <c r="H92" s="647">
        <v>5</v>
      </c>
      <c r="I92" s="467"/>
      <c r="J92" s="647">
        <v>13.899999999999999</v>
      </c>
      <c r="K92" s="1004"/>
      <c r="L92" s="647">
        <v>35.1</v>
      </c>
      <c r="M92" s="1004"/>
      <c r="N92" s="647">
        <f t="shared" si="21"/>
        <v>3.7999999999999972</v>
      </c>
      <c r="O92" s="1004"/>
      <c r="P92" s="647"/>
      <c r="Q92" s="1004"/>
      <c r="R92" s="647"/>
      <c r="S92" s="1004"/>
      <c r="T92" s="647"/>
      <c r="U92" s="1004"/>
      <c r="V92" s="647"/>
      <c r="W92" s="1004"/>
      <c r="X92" s="647"/>
      <c r="Y92" s="1004"/>
      <c r="Z92" s="647"/>
      <c r="AA92" s="496"/>
      <c r="AB92" s="467"/>
      <c r="AC92" s="933"/>
      <c r="AD92" s="912">
        <v>102.5</v>
      </c>
      <c r="AE92" s="493"/>
      <c r="AF92" s="720"/>
      <c r="AG92" s="912">
        <v>232.4</v>
      </c>
      <c r="AH92" s="192"/>
      <c r="AI92" s="36"/>
      <c r="AJ92" s="467">
        <f>ROUND(SUM(+AD92-AG92),1)</f>
        <v>-129.9</v>
      </c>
      <c r="AK92" s="467"/>
      <c r="AL92" s="1133">
        <f>ROUND(IF(AG92=0,0,AJ92/ABS(AG92)),3)</f>
        <v>-0.55900000000000005</v>
      </c>
      <c r="AM92" s="567"/>
    </row>
    <row r="93" spans="1:39" ht="15" customHeight="1">
      <c r="A93" s="100"/>
      <c r="B93" s="499" t="s">
        <v>1130</v>
      </c>
      <c r="C93" s="21"/>
      <c r="D93" s="647" t="s">
        <v>14</v>
      </c>
      <c r="E93" s="467"/>
      <c r="F93" s="647"/>
      <c r="G93" s="647"/>
      <c r="H93" s="647"/>
      <c r="I93" s="467"/>
      <c r="J93" s="647"/>
      <c r="K93" s="1004"/>
      <c r="L93" s="647"/>
      <c r="M93" s="1004"/>
      <c r="N93" s="647"/>
      <c r="O93" s="1004"/>
      <c r="P93" s="647"/>
      <c r="Q93" s="1004"/>
      <c r="R93" s="647"/>
      <c r="S93" s="1004"/>
      <c r="T93" s="647"/>
      <c r="U93" s="1004"/>
      <c r="V93" s="647"/>
      <c r="W93" s="1004"/>
      <c r="X93" s="647"/>
      <c r="Y93" s="1004"/>
      <c r="Z93" s="647"/>
      <c r="AA93" s="496"/>
      <c r="AB93" s="467"/>
      <c r="AC93" s="933"/>
      <c r="AE93" s="493"/>
      <c r="AF93" s="720"/>
      <c r="AG93" s="912"/>
      <c r="AH93" s="192"/>
      <c r="AI93" s="36"/>
      <c r="AJ93" s="467"/>
      <c r="AK93" s="472"/>
      <c r="AL93" s="488"/>
      <c r="AM93" s="567"/>
    </row>
    <row r="94" spans="1:39" ht="15" customHeight="1">
      <c r="A94" s="100"/>
      <c r="B94" s="1128" t="s">
        <v>28</v>
      </c>
      <c r="C94" s="21"/>
      <c r="D94" s="647">
        <v>422.9</v>
      </c>
      <c r="E94" s="467"/>
      <c r="F94" s="647">
        <v>473</v>
      </c>
      <c r="G94" s="647"/>
      <c r="H94" s="647">
        <v>524.69999999999993</v>
      </c>
      <c r="I94" s="467"/>
      <c r="J94" s="647">
        <v>474.70000000000016</v>
      </c>
      <c r="K94" s="1004"/>
      <c r="L94" s="647">
        <v>524.90000000000009</v>
      </c>
      <c r="M94" s="1004"/>
      <c r="N94" s="647">
        <f t="shared" si="21"/>
        <v>653.39999999999964</v>
      </c>
      <c r="O94" s="1004"/>
      <c r="P94" s="647"/>
      <c r="Q94" s="1004"/>
      <c r="R94" s="647"/>
      <c r="S94" s="1004"/>
      <c r="T94" s="647"/>
      <c r="U94" s="1004"/>
      <c r="V94" s="647"/>
      <c r="W94" s="1004"/>
      <c r="X94" s="647"/>
      <c r="Y94" s="1004"/>
      <c r="Z94" s="647"/>
      <c r="AA94" s="496"/>
      <c r="AB94" s="467"/>
      <c r="AC94" s="933"/>
      <c r="AD94" s="912">
        <v>3073.6</v>
      </c>
      <c r="AE94" s="493"/>
      <c r="AF94" s="720"/>
      <c r="AG94" s="912">
        <v>2991.4</v>
      </c>
      <c r="AH94" s="192"/>
      <c r="AI94" s="36"/>
      <c r="AJ94" s="467">
        <f t="shared" ref="AJ94:AJ99" si="22">ROUND(SUM(+AD94-AG94),1)</f>
        <v>82.2</v>
      </c>
      <c r="AK94" s="467"/>
      <c r="AL94" s="1133">
        <f t="shared" ref="AL94:AL99" si="23">ROUND(IF(AG94=0,0,AJ94/ABS(AG94)),3)</f>
        <v>2.7E-2</v>
      </c>
      <c r="AM94" s="567"/>
    </row>
    <row r="95" spans="1:39" ht="15" customHeight="1">
      <c r="A95" s="100"/>
      <c r="B95" s="120" t="s">
        <v>29</v>
      </c>
      <c r="C95" s="21"/>
      <c r="D95" s="647">
        <v>60.9</v>
      </c>
      <c r="E95" s="467"/>
      <c r="F95" s="647">
        <v>66</v>
      </c>
      <c r="G95" s="647"/>
      <c r="H95" s="647">
        <v>148.1</v>
      </c>
      <c r="I95" s="467"/>
      <c r="J95" s="647">
        <v>67.099999999999994</v>
      </c>
      <c r="K95" s="1004"/>
      <c r="L95" s="647">
        <v>54.000000000000057</v>
      </c>
      <c r="M95" s="1004"/>
      <c r="N95" s="647">
        <f t="shared" si="21"/>
        <v>209.39999999999992</v>
      </c>
      <c r="O95" s="1004"/>
      <c r="P95" s="647"/>
      <c r="Q95" s="1004"/>
      <c r="R95" s="647"/>
      <c r="S95" s="1004"/>
      <c r="T95" s="647"/>
      <c r="U95" s="1004"/>
      <c r="V95" s="647"/>
      <c r="W95" s="1004"/>
      <c r="X95" s="647"/>
      <c r="Y95" s="1004"/>
      <c r="Z95" s="647"/>
      <c r="AA95" s="496"/>
      <c r="AB95" s="467"/>
      <c r="AC95" s="933"/>
      <c r="AD95" s="912">
        <v>605.5</v>
      </c>
      <c r="AE95" s="493"/>
      <c r="AF95" s="720"/>
      <c r="AG95" s="912">
        <v>580.1</v>
      </c>
      <c r="AH95" s="192"/>
      <c r="AI95" s="36"/>
      <c r="AJ95" s="467">
        <f t="shared" si="22"/>
        <v>25.4</v>
      </c>
      <c r="AK95" s="467"/>
      <c r="AL95" s="488">
        <f t="shared" si="23"/>
        <v>4.3999999999999997E-2</v>
      </c>
      <c r="AM95" s="567"/>
    </row>
    <row r="96" spans="1:39" ht="15" customHeight="1">
      <c r="A96" s="100"/>
      <c r="B96" s="120" t="s">
        <v>30</v>
      </c>
      <c r="C96" s="21"/>
      <c r="D96" s="647">
        <v>10.3</v>
      </c>
      <c r="E96" s="467"/>
      <c r="F96" s="647">
        <v>24.8</v>
      </c>
      <c r="G96" s="647"/>
      <c r="H96" s="647">
        <v>23.100000000000005</v>
      </c>
      <c r="I96" s="467"/>
      <c r="J96" s="647">
        <v>20.8</v>
      </c>
      <c r="K96" s="1004"/>
      <c r="L96" s="647">
        <v>27.2</v>
      </c>
      <c r="M96" s="1004"/>
      <c r="N96" s="647">
        <f t="shared" si="21"/>
        <v>39.499999999999972</v>
      </c>
      <c r="O96" s="1004"/>
      <c r="P96" s="647"/>
      <c r="Q96" s="1004"/>
      <c r="R96" s="647"/>
      <c r="S96" s="1004"/>
      <c r="T96" s="647"/>
      <c r="U96" s="1004"/>
      <c r="V96" s="647"/>
      <c r="W96" s="1004"/>
      <c r="X96" s="647"/>
      <c r="Y96" s="1004"/>
      <c r="Z96" s="647"/>
      <c r="AA96" s="496"/>
      <c r="AB96" s="467"/>
      <c r="AC96" s="933"/>
      <c r="AD96" s="912">
        <v>145.69999999999999</v>
      </c>
      <c r="AE96" s="493"/>
      <c r="AF96" s="720"/>
      <c r="AG96" s="912">
        <v>108.5</v>
      </c>
      <c r="AH96" s="192"/>
      <c r="AI96" s="36"/>
      <c r="AJ96" s="467">
        <f t="shared" si="22"/>
        <v>37.200000000000003</v>
      </c>
      <c r="AK96" s="467"/>
      <c r="AL96" s="488">
        <f t="shared" si="23"/>
        <v>0.34300000000000003</v>
      </c>
      <c r="AM96" s="567"/>
    </row>
    <row r="97" spans="1:40" ht="15" customHeight="1">
      <c r="A97" s="100"/>
      <c r="B97" s="120" t="s">
        <v>31</v>
      </c>
      <c r="C97" s="21"/>
      <c r="D97" s="647">
        <v>0.7</v>
      </c>
      <c r="E97" s="467"/>
      <c r="F97" s="647">
        <v>0.8</v>
      </c>
      <c r="G97" s="647"/>
      <c r="H97" s="647">
        <v>0.5</v>
      </c>
      <c r="I97" s="467"/>
      <c r="J97" s="647">
        <v>0.39999999999999991</v>
      </c>
      <c r="K97" s="1004"/>
      <c r="L97" s="647">
        <v>0.30000000000000004</v>
      </c>
      <c r="M97" s="1004"/>
      <c r="N97" s="647">
        <f t="shared" si="21"/>
        <v>1.5999999999999999</v>
      </c>
      <c r="O97" s="1004"/>
      <c r="P97" s="647"/>
      <c r="Q97" s="1004"/>
      <c r="R97" s="647"/>
      <c r="S97" s="1004"/>
      <c r="T97" s="647"/>
      <c r="U97" s="1004"/>
      <c r="V97" s="647"/>
      <c r="W97" s="1004"/>
      <c r="X97" s="647"/>
      <c r="Y97" s="1004"/>
      <c r="Z97" s="647"/>
      <c r="AA97" s="496"/>
      <c r="AB97" s="467"/>
      <c r="AC97" s="933"/>
      <c r="AD97" s="912">
        <v>4.3</v>
      </c>
      <c r="AE97" s="493"/>
      <c r="AF97" s="720"/>
      <c r="AG97" s="912">
        <v>3</v>
      </c>
      <c r="AH97" s="192"/>
      <c r="AI97" s="36"/>
      <c r="AJ97" s="467">
        <f t="shared" si="22"/>
        <v>1.3</v>
      </c>
      <c r="AK97" s="467"/>
      <c r="AL97" s="488">
        <f t="shared" si="23"/>
        <v>0.433</v>
      </c>
      <c r="AM97" s="567"/>
    </row>
    <row r="98" spans="1:40" ht="15" customHeight="1">
      <c r="A98" s="100"/>
      <c r="B98" s="120" t="s">
        <v>32</v>
      </c>
      <c r="C98" s="21"/>
      <c r="D98" s="647">
        <v>0.4</v>
      </c>
      <c r="E98" s="467"/>
      <c r="F98" s="647">
        <v>2.8000000000000003</v>
      </c>
      <c r="G98" s="647"/>
      <c r="H98" s="647">
        <v>0.59999999999999964</v>
      </c>
      <c r="I98" s="467"/>
      <c r="J98" s="647">
        <v>10.5</v>
      </c>
      <c r="K98" s="1004"/>
      <c r="L98" s="647">
        <v>4.2000000000000011</v>
      </c>
      <c r="M98" s="1004"/>
      <c r="N98" s="647">
        <f t="shared" si="21"/>
        <v>5.9</v>
      </c>
      <c r="O98" s="1004"/>
      <c r="P98" s="647"/>
      <c r="Q98" s="1004"/>
      <c r="R98" s="647"/>
      <c r="S98" s="1004"/>
      <c r="T98" s="647"/>
      <c r="U98" s="1004"/>
      <c r="V98" s="647"/>
      <c r="W98" s="1004"/>
      <c r="X98" s="647"/>
      <c r="Y98" s="1004"/>
      <c r="Z98" s="647"/>
      <c r="AA98" s="496"/>
      <c r="AB98" s="467"/>
      <c r="AC98" s="933"/>
      <c r="AD98" s="912">
        <v>24.4</v>
      </c>
      <c r="AE98" s="493"/>
      <c r="AF98" s="720"/>
      <c r="AG98" s="912">
        <v>13.5</v>
      </c>
      <c r="AH98" s="192"/>
      <c r="AI98" s="36"/>
      <c r="AJ98" s="467">
        <f t="shared" si="22"/>
        <v>10.9</v>
      </c>
      <c r="AK98" s="467"/>
      <c r="AL98" s="1133">
        <f>ROUND(IF(AG98=0,1,AJ98/ABS(AG98)),3)</f>
        <v>0.80700000000000005</v>
      </c>
      <c r="AM98" s="567"/>
    </row>
    <row r="99" spans="1:40" ht="15" customHeight="1">
      <c r="A99" s="100"/>
      <c r="B99" s="120" t="s">
        <v>33</v>
      </c>
      <c r="C99" s="21"/>
      <c r="D99" s="647">
        <v>84.2</v>
      </c>
      <c r="E99" s="467"/>
      <c r="F99" s="647">
        <v>580.19999999999993</v>
      </c>
      <c r="G99" s="647"/>
      <c r="H99" s="647">
        <v>342.80000000000007</v>
      </c>
      <c r="I99" s="467"/>
      <c r="J99" s="647">
        <v>379.29999999999995</v>
      </c>
      <c r="K99" s="1004"/>
      <c r="L99" s="647">
        <v>532.0999999999998</v>
      </c>
      <c r="M99" s="1004"/>
      <c r="N99" s="647">
        <f t="shared" si="21"/>
        <v>359.90000000000043</v>
      </c>
      <c r="O99" s="1004"/>
      <c r="P99" s="647"/>
      <c r="Q99" s="1004"/>
      <c r="R99" s="647"/>
      <c r="S99" s="1004"/>
      <c r="T99" s="647"/>
      <c r="U99" s="1004"/>
      <c r="V99" s="647"/>
      <c r="W99" s="1004"/>
      <c r="X99" s="647"/>
      <c r="Y99" s="1004"/>
      <c r="Z99" s="647"/>
      <c r="AA99" s="496"/>
      <c r="AB99" s="467"/>
      <c r="AC99" s="933"/>
      <c r="AD99" s="912">
        <v>2278.5</v>
      </c>
      <c r="AE99" s="493"/>
      <c r="AF99" s="720"/>
      <c r="AG99" s="912">
        <v>2124</v>
      </c>
      <c r="AH99" s="192"/>
      <c r="AI99" s="36"/>
      <c r="AJ99" s="467">
        <f t="shared" si="22"/>
        <v>154.5</v>
      </c>
      <c r="AK99" s="467"/>
      <c r="AL99" s="488">
        <f t="shared" si="23"/>
        <v>7.2999999999999995E-2</v>
      </c>
      <c r="AM99" s="567"/>
    </row>
    <row r="100" spans="1:40" ht="15" customHeight="1">
      <c r="A100" s="100"/>
      <c r="B100" s="19" t="s">
        <v>1041</v>
      </c>
      <c r="C100" s="21"/>
      <c r="D100" s="207">
        <f>ROUND(SUM(D90:D99),1)</f>
        <v>581.4</v>
      </c>
      <c r="E100" s="42"/>
      <c r="F100" s="207">
        <f>ROUND(SUM(F90:F99),1)</f>
        <v>1191.0999999999999</v>
      </c>
      <c r="G100" s="42"/>
      <c r="H100" s="207">
        <f>ROUND(SUM(H90:H99),1)</f>
        <v>1361.7</v>
      </c>
      <c r="I100" s="42"/>
      <c r="J100" s="207">
        <f>ROUND(SUM(J90:J99),1)</f>
        <v>968</v>
      </c>
      <c r="K100" s="42"/>
      <c r="L100" s="207">
        <f>ROUND(SUM(L90:L99),1)</f>
        <v>1178.2</v>
      </c>
      <c r="M100" s="42"/>
      <c r="N100" s="207">
        <f>ROUND(SUM(N90:N99),1)</f>
        <v>4429.8999999999996</v>
      </c>
      <c r="O100" s="42"/>
      <c r="P100" s="207">
        <f>ROUND(SUM(P90:P99),1)</f>
        <v>0</v>
      </c>
      <c r="Q100" s="42"/>
      <c r="R100" s="207">
        <f>ROUND(SUM(R90:R99),1)</f>
        <v>0</v>
      </c>
      <c r="S100" s="207"/>
      <c r="T100" s="207">
        <f t="shared" ref="T100" si="24">ROUND(SUM(T90:T99),1)</f>
        <v>0</v>
      </c>
      <c r="U100" s="42"/>
      <c r="V100" s="207">
        <f>ROUND(SUM(V90:V99),1)</f>
        <v>0</v>
      </c>
      <c r="W100" s="42"/>
      <c r="X100" s="207">
        <f>ROUND(SUM(X90:X99),1)</f>
        <v>0</v>
      </c>
      <c r="Y100" s="42"/>
      <c r="Z100" s="207">
        <f>ROUND(SUM(Z90:Z99),1)</f>
        <v>0</v>
      </c>
      <c r="AA100" s="42"/>
      <c r="AB100" s="42"/>
      <c r="AC100" s="44"/>
      <c r="AD100" s="41">
        <f>ROUND(SUM(AD90:AD99),1)</f>
        <v>9710.2999999999993</v>
      </c>
      <c r="AE100" s="42"/>
      <c r="AF100" s="1234"/>
      <c r="AG100" s="41">
        <f>ROUND(SUM(AG90:AG99),1)</f>
        <v>9447.2999999999993</v>
      </c>
      <c r="AH100" s="198"/>
      <c r="AI100" s="42"/>
      <c r="AJ100" s="41">
        <f>ROUND(SUM(AD100-AG100),1)</f>
        <v>263</v>
      </c>
      <c r="AK100" s="112"/>
      <c r="AL100" s="200">
        <f>ROUND(SUM((AD100-AG100)/ABS(AG100)),3)</f>
        <v>2.8000000000000001E-2</v>
      </c>
      <c r="AM100" s="567"/>
    </row>
    <row r="101" spans="1:40" ht="15" customHeight="1">
      <c r="A101" s="100"/>
      <c r="B101" s="21" t="s">
        <v>166</v>
      </c>
      <c r="C101" s="21"/>
      <c r="D101" s="467"/>
      <c r="E101" s="467"/>
      <c r="F101" s="467"/>
      <c r="G101" s="467"/>
      <c r="H101" s="467"/>
      <c r="I101" s="467"/>
      <c r="J101" s="467"/>
      <c r="K101" s="36"/>
      <c r="L101" s="36"/>
      <c r="M101" s="36"/>
      <c r="N101" s="36"/>
      <c r="O101" s="36"/>
      <c r="P101" s="36"/>
      <c r="Q101" s="36"/>
      <c r="R101" s="36"/>
      <c r="S101" s="36"/>
      <c r="T101" s="36"/>
      <c r="U101" s="36"/>
      <c r="V101" s="36"/>
      <c r="W101" s="36"/>
      <c r="X101" s="647"/>
      <c r="Y101" s="36"/>
      <c r="Z101" s="36"/>
      <c r="AA101" s="36"/>
      <c r="AB101" s="36"/>
      <c r="AC101" s="37"/>
      <c r="AD101" s="36"/>
      <c r="AE101" s="36"/>
      <c r="AF101" s="750"/>
      <c r="AG101" s="36"/>
      <c r="AH101" s="192"/>
      <c r="AI101" s="36"/>
      <c r="AJ101" s="467"/>
      <c r="AK101" s="644"/>
      <c r="AL101" s="488"/>
      <c r="AM101" s="567"/>
    </row>
    <row r="102" spans="1:40" ht="15" customHeight="1">
      <c r="A102" s="100"/>
      <c r="B102" s="21" t="s">
        <v>150</v>
      </c>
      <c r="C102" s="21"/>
      <c r="D102" s="647">
        <v>464.6</v>
      </c>
      <c r="E102" s="467"/>
      <c r="F102" s="647">
        <v>441.6</v>
      </c>
      <c r="G102" s="647"/>
      <c r="H102" s="647">
        <v>396.20000000000005</v>
      </c>
      <c r="I102" s="467"/>
      <c r="J102" s="647">
        <v>413.19999999999993</v>
      </c>
      <c r="K102" s="1004"/>
      <c r="L102" s="647">
        <v>632.1</v>
      </c>
      <c r="M102" s="1004"/>
      <c r="N102" s="647">
        <f t="shared" ref="N102:N105" si="25">$AD102-$D102-$F102-$H102-$J102-$L102</f>
        <v>402.80000000000007</v>
      </c>
      <c r="O102" s="1004"/>
      <c r="P102" s="647"/>
      <c r="Q102" s="1004"/>
      <c r="R102" s="647"/>
      <c r="S102" s="1004"/>
      <c r="T102" s="647"/>
      <c r="U102" s="1004"/>
      <c r="V102" s="647"/>
      <c r="W102" s="1004"/>
      <c r="X102" s="647"/>
      <c r="Y102" s="1004"/>
      <c r="Z102" s="647"/>
      <c r="AA102" s="496"/>
      <c r="AB102" s="467"/>
      <c r="AC102" s="933"/>
      <c r="AD102" s="912">
        <v>2750.5</v>
      </c>
      <c r="AE102" s="493"/>
      <c r="AF102" s="720"/>
      <c r="AG102" s="912">
        <v>2591.1999999999998</v>
      </c>
      <c r="AH102" s="192"/>
      <c r="AI102" s="36"/>
      <c r="AJ102" s="467">
        <f>ROUND(SUM(+AD102-AG102),1)</f>
        <v>159.30000000000001</v>
      </c>
      <c r="AK102" s="467"/>
      <c r="AL102" s="488">
        <f>ROUND(IF(AG102=0,0,AJ102/ABS(AG102)),3)</f>
        <v>6.0999999999999999E-2</v>
      </c>
      <c r="AM102" s="567"/>
    </row>
    <row r="103" spans="1:40" ht="15" customHeight="1">
      <c r="A103" s="100"/>
      <c r="B103" s="21" t="s">
        <v>167</v>
      </c>
      <c r="C103" s="21"/>
      <c r="D103" s="647">
        <v>255.4</v>
      </c>
      <c r="E103" s="467"/>
      <c r="F103" s="647">
        <v>276.10000000000002</v>
      </c>
      <c r="G103" s="647"/>
      <c r="H103" s="647">
        <v>278</v>
      </c>
      <c r="I103" s="467"/>
      <c r="J103" s="647">
        <v>260.5</v>
      </c>
      <c r="K103" s="1004"/>
      <c r="L103" s="647">
        <v>304.89999999999998</v>
      </c>
      <c r="M103" s="1004"/>
      <c r="N103" s="647">
        <f t="shared" si="25"/>
        <v>278.00000000000011</v>
      </c>
      <c r="O103" s="1004"/>
      <c r="P103" s="647"/>
      <c r="Q103" s="1004"/>
      <c r="R103" s="647"/>
      <c r="S103" s="1004"/>
      <c r="T103" s="647"/>
      <c r="U103" s="1004"/>
      <c r="V103" s="647"/>
      <c r="W103" s="1004"/>
      <c r="X103" s="647"/>
      <c r="Y103" s="1004"/>
      <c r="Z103" s="647"/>
      <c r="AA103" s="496"/>
      <c r="AB103" s="467"/>
      <c r="AC103" s="933"/>
      <c r="AD103" s="912">
        <v>1652.9</v>
      </c>
      <c r="AE103" s="493"/>
      <c r="AF103" s="720"/>
      <c r="AG103" s="912">
        <v>1485.5</v>
      </c>
      <c r="AH103" s="192"/>
      <c r="AI103" s="36"/>
      <c r="AJ103" s="467">
        <f>ROUND(SUM(+AD103-AG103),1)</f>
        <v>167.4</v>
      </c>
      <c r="AK103" s="467"/>
      <c r="AL103" s="488">
        <f>ROUND(IF(AG103=0,0,AJ103/ABS(AG103)),3)</f>
        <v>0.113</v>
      </c>
      <c r="AN103" s="2115"/>
    </row>
    <row r="104" spans="1:40" ht="15" customHeight="1">
      <c r="A104" s="100"/>
      <c r="B104" s="21" t="s">
        <v>168</v>
      </c>
      <c r="C104" s="21"/>
      <c r="D104" s="647">
        <v>29.9</v>
      </c>
      <c r="E104" s="467"/>
      <c r="F104" s="647">
        <v>112.4</v>
      </c>
      <c r="G104" s="647"/>
      <c r="H104" s="647">
        <v>83.299999999999983</v>
      </c>
      <c r="I104" s="467"/>
      <c r="J104" s="647">
        <v>56.000000000000028</v>
      </c>
      <c r="K104" s="1004"/>
      <c r="L104" s="647">
        <v>126.19999999999999</v>
      </c>
      <c r="M104" s="1004"/>
      <c r="N104" s="647">
        <f t="shared" si="25"/>
        <v>66.300000000000068</v>
      </c>
      <c r="O104" s="1004"/>
      <c r="P104" s="647"/>
      <c r="Q104" s="1004"/>
      <c r="R104" s="647"/>
      <c r="S104" s="1004"/>
      <c r="T104" s="647"/>
      <c r="U104" s="1004"/>
      <c r="V104" s="647"/>
      <c r="W104" s="1004"/>
      <c r="X104" s="647"/>
      <c r="Y104" s="1004"/>
      <c r="Z104" s="647"/>
      <c r="AA104" s="496"/>
      <c r="AB104" s="467"/>
      <c r="AC104" s="933"/>
      <c r="AD104" s="912">
        <v>474.1</v>
      </c>
      <c r="AE104" s="493"/>
      <c r="AF104" s="720"/>
      <c r="AG104" s="912">
        <v>503.9</v>
      </c>
      <c r="AH104" s="192"/>
      <c r="AI104" s="36"/>
      <c r="AJ104" s="467">
        <f>ROUND(SUM(+AD104-AG104),1)</f>
        <v>-29.8</v>
      </c>
      <c r="AK104" s="467"/>
      <c r="AL104" s="488">
        <f>ROUND(IF(AG104=0,0,AJ104/ABS(AG104)),3)</f>
        <v>-5.8999999999999997E-2</v>
      </c>
      <c r="AM104" s="567"/>
    </row>
    <row r="105" spans="1:40" ht="15" customHeight="1">
      <c r="A105" s="100"/>
      <c r="B105" s="21" t="s">
        <v>169</v>
      </c>
      <c r="C105" s="21"/>
      <c r="D105" s="647">
        <v>0</v>
      </c>
      <c r="E105" s="467"/>
      <c r="F105" s="647">
        <v>0</v>
      </c>
      <c r="G105" s="647"/>
      <c r="H105" s="647">
        <v>0</v>
      </c>
      <c r="I105" s="467"/>
      <c r="J105" s="647">
        <v>0</v>
      </c>
      <c r="K105" s="1004"/>
      <c r="L105" s="647">
        <v>0</v>
      </c>
      <c r="M105" s="1004"/>
      <c r="N105" s="647">
        <f t="shared" si="25"/>
        <v>0</v>
      </c>
      <c r="O105" s="1004"/>
      <c r="P105" s="647"/>
      <c r="Q105" s="1004"/>
      <c r="R105" s="647"/>
      <c r="S105" s="1004"/>
      <c r="T105" s="647"/>
      <c r="U105" s="1004"/>
      <c r="V105" s="647"/>
      <c r="W105" s="1004"/>
      <c r="X105" s="2112"/>
      <c r="Y105" s="1004"/>
      <c r="Z105" s="647"/>
      <c r="AA105" s="496"/>
      <c r="AB105" s="467"/>
      <c r="AC105" s="933"/>
      <c r="AD105" s="912">
        <v>0</v>
      </c>
      <c r="AE105" s="493"/>
      <c r="AF105" s="720"/>
      <c r="AG105" s="912">
        <v>0</v>
      </c>
      <c r="AH105" s="192"/>
      <c r="AI105" s="36"/>
      <c r="AJ105" s="467">
        <f>ROUND(SUM(+AD105-AG105),1)</f>
        <v>0</v>
      </c>
      <c r="AK105" s="467"/>
      <c r="AL105" s="469">
        <f>ROUND(IF(AG105=0,0,AJ105/ABS(AG105)),3)</f>
        <v>0</v>
      </c>
      <c r="AM105" s="567"/>
    </row>
    <row r="106" spans="1:40" ht="15" customHeight="1">
      <c r="A106" s="100"/>
      <c r="B106" s="21"/>
      <c r="C106" s="21"/>
      <c r="D106" s="497"/>
      <c r="E106" s="467"/>
      <c r="F106" s="497"/>
      <c r="G106" s="467"/>
      <c r="H106" s="497"/>
      <c r="I106" s="467"/>
      <c r="J106" s="497"/>
      <c r="K106" s="36"/>
      <c r="L106" s="61"/>
      <c r="M106" s="36"/>
      <c r="N106" s="61"/>
      <c r="O106" s="36"/>
      <c r="P106" s="61"/>
      <c r="Q106" s="36"/>
      <c r="R106" s="61"/>
      <c r="S106" s="36"/>
      <c r="T106" s="61"/>
      <c r="U106" s="36"/>
      <c r="V106" s="61"/>
      <c r="W106" s="36"/>
      <c r="X106" s="647"/>
      <c r="Y106" s="36"/>
      <c r="Z106" s="61"/>
      <c r="AA106" s="36"/>
      <c r="AB106" s="36"/>
      <c r="AC106" s="37"/>
      <c r="AD106" s="61"/>
      <c r="AE106" s="36"/>
      <c r="AF106" s="750"/>
      <c r="AG106" s="61"/>
      <c r="AH106" s="192"/>
      <c r="AI106" s="36"/>
      <c r="AJ106" s="941"/>
      <c r="AK106" s="644"/>
      <c r="AL106" s="956"/>
      <c r="AM106" s="567"/>
    </row>
    <row r="107" spans="1:40" ht="15" customHeight="1">
      <c r="A107" s="100"/>
      <c r="B107" s="19" t="s">
        <v>153</v>
      </c>
      <c r="C107" s="21"/>
      <c r="D107" s="42">
        <f>ROUND(SUM(D100:D105),1)</f>
        <v>1331.3</v>
      </c>
      <c r="E107" s="42"/>
      <c r="F107" s="42">
        <f>ROUND(SUM(F100:F105),1)</f>
        <v>2021.2</v>
      </c>
      <c r="G107" s="42"/>
      <c r="H107" s="42">
        <f>ROUND(SUM(H100:H105),1)</f>
        <v>2119.1999999999998</v>
      </c>
      <c r="I107" s="42"/>
      <c r="J107" s="42">
        <f>ROUND(SUM(J100:J105),1)</f>
        <v>1697.7</v>
      </c>
      <c r="K107" s="42"/>
      <c r="L107" s="42">
        <f>ROUND(SUM(L100:L105),1)</f>
        <v>2241.4</v>
      </c>
      <c r="M107" s="42"/>
      <c r="N107" s="42">
        <f>ROUND(SUM(N100:N105),1)</f>
        <v>5177</v>
      </c>
      <c r="O107" s="42"/>
      <c r="P107" s="42">
        <f>ROUND(SUM(P100:P105),1)</f>
        <v>0</v>
      </c>
      <c r="Q107" s="42"/>
      <c r="R107" s="42">
        <f>ROUND(SUM(R100:R105),1)</f>
        <v>0</v>
      </c>
      <c r="S107" s="42"/>
      <c r="T107" s="42">
        <f t="shared" ref="T107" si="26">ROUND(SUM(T100:T105),1)</f>
        <v>0</v>
      </c>
      <c r="U107" s="42"/>
      <c r="V107" s="42">
        <f>ROUND(SUM(V100:V105),1)</f>
        <v>0</v>
      </c>
      <c r="W107" s="42"/>
      <c r="X107" s="50">
        <f>ROUND(SUM(X100:X105),1)</f>
        <v>0</v>
      </c>
      <c r="Y107" s="42"/>
      <c r="Z107" s="42">
        <f>ROUND(SUM(Z100:Z105),1)</f>
        <v>0</v>
      </c>
      <c r="AA107" s="42"/>
      <c r="AB107" s="42"/>
      <c r="AC107" s="44"/>
      <c r="AD107" s="42">
        <f>ROUND(SUM(AD100:AD105),1)</f>
        <v>14587.8</v>
      </c>
      <c r="AE107" s="42"/>
      <c r="AF107" s="1234"/>
      <c r="AG107" s="42">
        <f>ROUND(SUM(AG100:AG105),1)</f>
        <v>14027.9</v>
      </c>
      <c r="AH107" s="198"/>
      <c r="AI107" s="42"/>
      <c r="AJ107" s="50">
        <f>ROUND(SUM(AD107-AG107),1)</f>
        <v>559.9</v>
      </c>
      <c r="AK107" s="139"/>
      <c r="AL107" s="211">
        <f>ROUND(SUM((AD107-AG107)/ABS(AG107)),3)</f>
        <v>0.04</v>
      </c>
      <c r="AM107" s="567"/>
    </row>
    <row r="108" spans="1:40" ht="15" customHeight="1">
      <c r="A108" s="100"/>
      <c r="B108" s="21"/>
      <c r="C108" s="21"/>
      <c r="D108" s="497"/>
      <c r="E108" s="467"/>
      <c r="F108" s="497"/>
      <c r="G108" s="467"/>
      <c r="H108" s="497"/>
      <c r="I108" s="467"/>
      <c r="J108" s="497"/>
      <c r="K108" s="36"/>
      <c r="L108" s="61"/>
      <c r="M108" s="36"/>
      <c r="N108" s="61"/>
      <c r="O108" s="36"/>
      <c r="P108" s="61"/>
      <c r="Q108" s="36"/>
      <c r="R108" s="61"/>
      <c r="S108" s="36"/>
      <c r="T108" s="61"/>
      <c r="U108" s="36"/>
      <c r="V108" s="61"/>
      <c r="W108" s="36"/>
      <c r="X108" s="647"/>
      <c r="Y108" s="36"/>
      <c r="Z108" s="61"/>
      <c r="AA108" s="36"/>
      <c r="AB108" s="36"/>
      <c r="AC108" s="37"/>
      <c r="AD108" s="61"/>
      <c r="AE108" s="36"/>
      <c r="AF108" s="750"/>
      <c r="AG108" s="61"/>
      <c r="AH108" s="192"/>
      <c r="AI108" s="36"/>
      <c r="AJ108" s="467"/>
      <c r="AK108" s="644"/>
      <c r="AL108" s="488"/>
      <c r="AM108" s="567"/>
    </row>
    <row r="109" spans="1:40" ht="15" customHeight="1">
      <c r="A109" s="100"/>
      <c r="B109" s="19" t="s">
        <v>154</v>
      </c>
      <c r="C109" s="21"/>
      <c r="D109" s="467"/>
      <c r="E109" s="467"/>
      <c r="F109" s="467"/>
      <c r="G109" s="467"/>
      <c r="H109" s="467"/>
      <c r="I109" s="467"/>
      <c r="J109" s="467"/>
      <c r="K109" s="36"/>
      <c r="L109" s="36"/>
      <c r="M109" s="36"/>
      <c r="N109" s="36"/>
      <c r="O109" s="36"/>
      <c r="P109" s="36"/>
      <c r="Q109" s="36"/>
      <c r="R109" s="36"/>
      <c r="S109" s="36"/>
      <c r="T109" s="36"/>
      <c r="U109" s="36"/>
      <c r="V109" s="36"/>
      <c r="W109" s="36"/>
      <c r="X109" s="647"/>
      <c r="Y109" s="36"/>
      <c r="Z109" s="36"/>
      <c r="AA109" s="36"/>
      <c r="AB109" s="36"/>
      <c r="AC109" s="37"/>
      <c r="AD109" s="36"/>
      <c r="AE109" s="36"/>
      <c r="AF109" s="750"/>
      <c r="AG109" s="36"/>
      <c r="AH109" s="192"/>
      <c r="AI109" s="36"/>
      <c r="AJ109" s="467"/>
      <c r="AK109" s="644"/>
      <c r="AL109" s="488"/>
      <c r="AM109" s="567"/>
    </row>
    <row r="110" spans="1:40" ht="15" customHeight="1">
      <c r="A110" s="100"/>
      <c r="B110" s="19" t="s">
        <v>44</v>
      </c>
      <c r="C110" s="21"/>
      <c r="D110" s="42">
        <f>ROUND(SUM(D86-D107),1)</f>
        <v>778.9</v>
      </c>
      <c r="E110" s="42"/>
      <c r="F110" s="42">
        <f>ROUND(SUM(F86-F107),1)</f>
        <v>-837.3</v>
      </c>
      <c r="G110" s="42"/>
      <c r="H110" s="42">
        <f>ROUND(SUM(H86-H107),1)</f>
        <v>703.9</v>
      </c>
      <c r="I110" s="42"/>
      <c r="J110" s="42">
        <f>ROUND(SUM(J86-J107),1)</f>
        <v>254.1</v>
      </c>
      <c r="K110" s="42"/>
      <c r="L110" s="42">
        <f>ROUND(SUM(L86-L107),1)</f>
        <v>56.5</v>
      </c>
      <c r="M110" s="42"/>
      <c r="N110" s="42">
        <f>ROUND(SUM(N86-N107),1)</f>
        <v>-2439.5</v>
      </c>
      <c r="O110" s="42"/>
      <c r="P110" s="42">
        <f>ROUND(SUM(P86-P107),1)</f>
        <v>0</v>
      </c>
      <c r="Q110" s="42"/>
      <c r="R110" s="42">
        <f>ROUND(SUM(R86-R107),1)</f>
        <v>0</v>
      </c>
      <c r="S110" s="42"/>
      <c r="T110" s="42">
        <f t="shared" ref="T110" si="27">ROUND(SUM(T86-T107),1)</f>
        <v>0</v>
      </c>
      <c r="U110" s="42"/>
      <c r="V110" s="42">
        <f>ROUND(SUM(V86-V107),1)</f>
        <v>0</v>
      </c>
      <c r="W110" s="42"/>
      <c r="X110" s="50">
        <f>ROUND(SUM(X86-X107),1)</f>
        <v>0</v>
      </c>
      <c r="Y110" s="42"/>
      <c r="Z110" s="42">
        <f>ROUND(SUM(Z86-Z107),1)</f>
        <v>0</v>
      </c>
      <c r="AA110" s="42"/>
      <c r="AB110" s="42"/>
      <c r="AC110" s="44"/>
      <c r="AD110" s="42">
        <f>ROUND(SUM(AD86-AD107),1)</f>
        <v>-1483.4</v>
      </c>
      <c r="AE110" s="42"/>
      <c r="AF110" s="1234"/>
      <c r="AG110" s="42">
        <f>ROUND(SUM(AG86-AG107),1)</f>
        <v>-1979.7</v>
      </c>
      <c r="AH110" s="198"/>
      <c r="AI110" s="42"/>
      <c r="AJ110" s="50">
        <f>ROUND(SUM(AD110-AG110),1)</f>
        <v>496.3</v>
      </c>
      <c r="AK110" s="139"/>
      <c r="AL110" s="1930">
        <f>ROUND(IF(AG110=0,0,AJ110/ABS(AG110)),3)</f>
        <v>0.251</v>
      </c>
      <c r="AM110" s="567"/>
    </row>
    <row r="111" spans="1:40" ht="15" customHeight="1">
      <c r="A111" s="100"/>
      <c r="B111" s="21"/>
      <c r="C111" s="21"/>
      <c r="D111" s="497"/>
      <c r="E111" s="467"/>
      <c r="F111" s="497"/>
      <c r="G111" s="467"/>
      <c r="H111" s="497"/>
      <c r="I111" s="467"/>
      <c r="J111" s="497"/>
      <c r="K111" s="36"/>
      <c r="L111" s="61"/>
      <c r="M111" s="36"/>
      <c r="N111" s="61"/>
      <c r="O111" s="36"/>
      <c r="P111" s="61"/>
      <c r="Q111" s="36"/>
      <c r="R111" s="61"/>
      <c r="S111" s="36"/>
      <c r="T111" s="61"/>
      <c r="U111" s="36"/>
      <c r="V111" s="61"/>
      <c r="W111" s="36"/>
      <c r="X111" s="647"/>
      <c r="Y111" s="36"/>
      <c r="Z111" s="61"/>
      <c r="AA111" s="36"/>
      <c r="AB111" s="36"/>
      <c r="AC111" s="37"/>
      <c r="AD111" s="61"/>
      <c r="AE111" s="36"/>
      <c r="AF111" s="750"/>
      <c r="AG111" s="61"/>
      <c r="AH111" s="192"/>
      <c r="AI111" s="36"/>
      <c r="AJ111" s="467"/>
      <c r="AK111" s="644"/>
      <c r="AL111" s="488"/>
      <c r="AM111" s="567"/>
    </row>
    <row r="112" spans="1:40" ht="15" customHeight="1">
      <c r="A112" s="100"/>
      <c r="B112" s="19" t="s">
        <v>45</v>
      </c>
      <c r="C112" s="21"/>
      <c r="D112" s="467"/>
      <c r="E112" s="467"/>
      <c r="F112" s="467"/>
      <c r="G112" s="467"/>
      <c r="H112" s="467"/>
      <c r="I112" s="467"/>
      <c r="J112" s="467"/>
      <c r="K112" s="36"/>
      <c r="L112" s="36"/>
      <c r="M112" s="36"/>
      <c r="N112" s="36"/>
      <c r="O112" s="36"/>
      <c r="P112" s="36"/>
      <c r="Q112" s="36"/>
      <c r="R112" s="36"/>
      <c r="S112" s="36"/>
      <c r="T112" s="36"/>
      <c r="U112" s="36"/>
      <c r="V112" s="36"/>
      <c r="W112" s="36"/>
      <c r="X112" s="647"/>
      <c r="Y112" s="36"/>
      <c r="Z112" s="36"/>
      <c r="AA112" s="36"/>
      <c r="AB112" s="36"/>
      <c r="AC112" s="37"/>
      <c r="AD112" s="36"/>
      <c r="AE112" s="36"/>
      <c r="AF112" s="750"/>
      <c r="AG112" s="36"/>
      <c r="AH112" s="192"/>
      <c r="AI112" s="36"/>
      <c r="AJ112" s="467"/>
      <c r="AK112" s="644"/>
      <c r="AL112" s="488"/>
      <c r="AM112" s="567"/>
    </row>
    <row r="113" spans="1:49" ht="15" customHeight="1">
      <c r="A113" s="100"/>
      <c r="B113" s="21" t="s">
        <v>173</v>
      </c>
      <c r="C113" s="21"/>
      <c r="D113" s="647">
        <v>310</v>
      </c>
      <c r="E113" s="467"/>
      <c r="F113" s="647">
        <v>859.09999999999991</v>
      </c>
      <c r="G113" s="647"/>
      <c r="H113" s="647">
        <v>441.20000000000005</v>
      </c>
      <c r="I113" s="467"/>
      <c r="J113" s="647">
        <v>342</v>
      </c>
      <c r="K113" s="1004"/>
      <c r="L113" s="647">
        <v>144.20000000000005</v>
      </c>
      <c r="M113" s="1004"/>
      <c r="N113" s="647">
        <f t="shared" ref="N113:N114" si="28">$AD113-$D113-$F113-$H113-$J113-$L113</f>
        <v>94.5</v>
      </c>
      <c r="O113" s="1004"/>
      <c r="P113" s="647"/>
      <c r="Q113" s="1004"/>
      <c r="R113" s="647"/>
      <c r="S113" s="1004"/>
      <c r="T113" s="647"/>
      <c r="U113" s="1004"/>
      <c r="V113" s="647"/>
      <c r="W113" s="1004"/>
      <c r="X113" s="647"/>
      <c r="Y113" s="1004"/>
      <c r="Z113" s="647"/>
      <c r="AA113" s="496"/>
      <c r="AB113" s="467"/>
      <c r="AC113" s="933"/>
      <c r="AD113" s="912">
        <v>2191</v>
      </c>
      <c r="AE113" s="493"/>
      <c r="AF113" s="720"/>
      <c r="AG113" s="912">
        <v>2349</v>
      </c>
      <c r="AH113" s="192"/>
      <c r="AI113" s="36"/>
      <c r="AJ113" s="467">
        <f>ROUND(SUM(+AD113-AG113),1)</f>
        <v>-158</v>
      </c>
      <c r="AK113" s="467"/>
      <c r="AL113" s="488">
        <f>ROUND(IF(AG113=0,0,AJ113/ABS(AG113)),3)</f>
        <v>-6.7000000000000004E-2</v>
      </c>
      <c r="AM113" s="567"/>
    </row>
    <row r="114" spans="1:49" ht="15" customHeight="1">
      <c r="A114" s="100"/>
      <c r="B114" s="21" t="s">
        <v>171</v>
      </c>
      <c r="C114" s="21"/>
      <c r="D114" s="647">
        <v>-0.7</v>
      </c>
      <c r="E114" s="467"/>
      <c r="F114" s="647">
        <v>-33.799999999999997</v>
      </c>
      <c r="G114" s="647"/>
      <c r="H114" s="647">
        <v>-12.5</v>
      </c>
      <c r="I114" s="467"/>
      <c r="J114" s="647">
        <v>-4</v>
      </c>
      <c r="K114" s="1004"/>
      <c r="L114" s="647">
        <v>-33.799999999999997</v>
      </c>
      <c r="M114" s="1004"/>
      <c r="N114" s="647">
        <f t="shared" si="28"/>
        <v>-6.4000000000000057</v>
      </c>
      <c r="O114" s="1004"/>
      <c r="P114" s="647"/>
      <c r="Q114" s="1004"/>
      <c r="R114" s="647"/>
      <c r="S114" s="1004"/>
      <c r="T114" s="647"/>
      <c r="U114" s="1004"/>
      <c r="V114" s="647"/>
      <c r="W114" s="1004"/>
      <c r="X114" s="647"/>
      <c r="Y114" s="1004"/>
      <c r="Z114" s="647"/>
      <c r="AA114" s="496"/>
      <c r="AB114" s="467"/>
      <c r="AC114" s="933"/>
      <c r="AD114" s="912">
        <v>-91.2</v>
      </c>
      <c r="AE114" s="493"/>
      <c r="AF114" s="720"/>
      <c r="AG114" s="1839">
        <v>-105.9</v>
      </c>
      <c r="AH114" s="192"/>
      <c r="AI114" s="36"/>
      <c r="AJ114" s="467">
        <f>ROUND(SUM(+AD114-AG114)*-1,1)</f>
        <v>-14.7</v>
      </c>
      <c r="AK114" s="467"/>
      <c r="AL114" s="971">
        <f>ROUND(IF(AG114=0,0,AJ114/ABS(AG114)),3)</f>
        <v>-0.13900000000000001</v>
      </c>
      <c r="AM114" s="567"/>
    </row>
    <row r="115" spans="1:49" ht="15" customHeight="1">
      <c r="A115" s="100"/>
      <c r="B115" s="21"/>
      <c r="C115" s="21"/>
      <c r="D115" s="61"/>
      <c r="E115" s="36"/>
      <c r="F115" s="61"/>
      <c r="G115" s="36"/>
      <c r="H115" s="61"/>
      <c r="I115" s="36"/>
      <c r="J115" s="61"/>
      <c r="K115" s="36"/>
      <c r="L115" s="61"/>
      <c r="M115" s="36"/>
      <c r="N115" s="61"/>
      <c r="O115" s="36"/>
      <c r="P115" s="61"/>
      <c r="Q115" s="36"/>
      <c r="R115" s="61"/>
      <c r="S115" s="36"/>
      <c r="T115" s="61"/>
      <c r="U115" s="36"/>
      <c r="V115" s="61"/>
      <c r="W115" s="36"/>
      <c r="X115" s="61"/>
      <c r="Y115" s="36"/>
      <c r="Z115" s="61"/>
      <c r="AA115" s="36"/>
      <c r="AB115" s="36"/>
      <c r="AC115" s="37"/>
      <c r="AD115" s="61"/>
      <c r="AE115" s="36"/>
      <c r="AF115" s="750"/>
      <c r="AG115" s="36"/>
      <c r="AH115" s="192"/>
      <c r="AI115" s="36"/>
      <c r="AJ115" s="941"/>
      <c r="AK115" s="644"/>
      <c r="AL115" s="956"/>
      <c r="AM115" s="567"/>
    </row>
    <row r="116" spans="1:49" ht="15" customHeight="1">
      <c r="A116" s="100"/>
      <c r="B116" s="19" t="s">
        <v>1042</v>
      </c>
      <c r="C116" s="21"/>
      <c r="D116" s="42">
        <f>ROUND(SUM(D113:D115),1)</f>
        <v>309.3</v>
      </c>
      <c r="E116" s="42"/>
      <c r="F116" s="42">
        <f>ROUND(SUM(F113:F115),1)</f>
        <v>825.3</v>
      </c>
      <c r="G116" s="42"/>
      <c r="H116" s="42">
        <f>ROUND(SUM(H113:H115),1)</f>
        <v>428.7</v>
      </c>
      <c r="I116" s="42"/>
      <c r="J116" s="42">
        <f>ROUND(SUM(J113:J115),1)</f>
        <v>338</v>
      </c>
      <c r="K116" s="42"/>
      <c r="L116" s="42">
        <f>ROUND(SUM(L113:L115),1)</f>
        <v>110.4</v>
      </c>
      <c r="M116" s="42"/>
      <c r="N116" s="42">
        <f>ROUND(SUM(N113:N115),1)</f>
        <v>88.1</v>
      </c>
      <c r="O116" s="42"/>
      <c r="P116" s="42">
        <f>ROUND(SUM(P113:P115),1)</f>
        <v>0</v>
      </c>
      <c r="Q116" s="42"/>
      <c r="R116" s="42">
        <f>ROUND(SUM(R113:R115),1)</f>
        <v>0</v>
      </c>
      <c r="S116" s="42"/>
      <c r="T116" s="42">
        <f>ROUND(SUM(T113:T115),1)</f>
        <v>0</v>
      </c>
      <c r="U116" s="42"/>
      <c r="V116" s="42">
        <f>ROUND(SUM(V113:V115),1)</f>
        <v>0</v>
      </c>
      <c r="W116" s="42"/>
      <c r="X116" s="42">
        <f>ROUND(SUM(X113:X115),1)</f>
        <v>0</v>
      </c>
      <c r="Y116" s="42"/>
      <c r="Z116" s="42">
        <f>ROUND(SUM(Z113:Z115),1)</f>
        <v>0</v>
      </c>
      <c r="AA116" s="42"/>
      <c r="AB116" s="42"/>
      <c r="AC116" s="44"/>
      <c r="AD116" s="42">
        <f>ROUND(SUM(AD113:AD115),1)</f>
        <v>2099.8000000000002</v>
      </c>
      <c r="AE116" s="42"/>
      <c r="AF116" s="1234"/>
      <c r="AG116" s="42">
        <f>ROUND(SUM(AG113:AG115),1)</f>
        <v>2243.1</v>
      </c>
      <c r="AH116" s="198"/>
      <c r="AI116" s="42"/>
      <c r="AJ116" s="50">
        <f>ROUND(SUM(AD116-AG116),1)</f>
        <v>-143.30000000000001</v>
      </c>
      <c r="AK116" s="112"/>
      <c r="AL116" s="211">
        <f>ROUND(SUM((AD116-AG116)/ABS(AG116)),3)</f>
        <v>-6.4000000000000001E-2</v>
      </c>
      <c r="AM116" s="916"/>
    </row>
    <row r="117" spans="1:49" ht="15" customHeight="1">
      <c r="A117" s="100"/>
      <c r="B117" s="21"/>
      <c r="C117" s="21"/>
      <c r="D117" s="61"/>
      <c r="E117" s="36"/>
      <c r="F117" s="61"/>
      <c r="G117" s="36"/>
      <c r="H117" s="61"/>
      <c r="I117" s="36"/>
      <c r="J117" s="61"/>
      <c r="K117" s="36"/>
      <c r="L117" s="61"/>
      <c r="M117" s="36"/>
      <c r="N117" s="61"/>
      <c r="O117" s="36"/>
      <c r="P117" s="61"/>
      <c r="Q117" s="36"/>
      <c r="R117" s="61"/>
      <c r="S117" s="36"/>
      <c r="T117" s="61"/>
      <c r="U117" s="36"/>
      <c r="V117" s="61"/>
      <c r="W117" s="36"/>
      <c r="X117" s="61"/>
      <c r="Y117" s="36"/>
      <c r="Z117" s="61"/>
      <c r="AA117" s="36"/>
      <c r="AB117" s="36"/>
      <c r="AC117" s="37"/>
      <c r="AD117" s="61"/>
      <c r="AE117" s="36"/>
      <c r="AF117" s="750"/>
      <c r="AG117" s="61"/>
      <c r="AH117" s="192"/>
      <c r="AI117" s="36"/>
      <c r="AJ117" s="467"/>
      <c r="AK117" s="644"/>
      <c r="AL117" s="488"/>
      <c r="AM117" s="567"/>
    </row>
    <row r="118" spans="1:49" ht="15" customHeight="1">
      <c r="A118" s="100"/>
      <c r="B118" s="19" t="s">
        <v>162</v>
      </c>
      <c r="C118" s="21"/>
      <c r="D118" s="36"/>
      <c r="E118" s="36"/>
      <c r="F118" s="36"/>
      <c r="G118" s="36"/>
      <c r="H118" s="36"/>
      <c r="I118" s="36"/>
      <c r="J118" s="36"/>
      <c r="K118" s="36"/>
      <c r="L118" s="36"/>
      <c r="M118" s="36"/>
      <c r="N118" s="36"/>
      <c r="O118" s="36"/>
      <c r="P118" s="36"/>
      <c r="Q118" s="36"/>
      <c r="R118" s="36"/>
      <c r="S118" s="36"/>
      <c r="T118" s="36"/>
      <c r="U118" s="36"/>
      <c r="V118" s="36"/>
      <c r="W118" s="36"/>
      <c r="X118" s="36"/>
      <c r="Y118" s="36"/>
      <c r="Z118" s="36"/>
      <c r="AA118" s="36"/>
      <c r="AB118" s="36"/>
      <c r="AC118" s="37"/>
      <c r="AD118" s="36"/>
      <c r="AE118" s="36"/>
      <c r="AF118" s="750"/>
      <c r="AG118" s="36"/>
      <c r="AH118" s="192"/>
      <c r="AI118" s="36"/>
      <c r="AJ118" s="467"/>
      <c r="AK118" s="644"/>
      <c r="AL118" s="488"/>
      <c r="AM118" s="567"/>
    </row>
    <row r="119" spans="1:49" ht="15" customHeight="1">
      <c r="A119" s="100"/>
      <c r="B119" s="19" t="s">
        <v>1085</v>
      </c>
      <c r="C119" s="21"/>
      <c r="D119" s="36"/>
      <c r="E119" s="36"/>
      <c r="F119" s="36"/>
      <c r="G119" s="36"/>
      <c r="H119" s="36"/>
      <c r="I119" s="36"/>
      <c r="J119" s="36"/>
      <c r="K119" s="36"/>
      <c r="L119" s="36"/>
      <c r="M119" s="36"/>
      <c r="N119" s="36"/>
      <c r="O119" s="36"/>
      <c r="P119" s="36"/>
      <c r="Q119" s="36"/>
      <c r="R119" s="36"/>
      <c r="S119" s="36"/>
      <c r="T119" s="36"/>
      <c r="U119" s="36"/>
      <c r="V119" s="36"/>
      <c r="W119" s="36"/>
      <c r="X119" s="36"/>
      <c r="Y119" s="36"/>
      <c r="Z119" s="36"/>
      <c r="AA119" s="36"/>
      <c r="AB119" s="36"/>
      <c r="AC119" s="37"/>
      <c r="AD119" s="36"/>
      <c r="AE119" s="36"/>
      <c r="AF119" s="750"/>
      <c r="AG119" s="65"/>
      <c r="AH119" s="192"/>
      <c r="AI119" s="36"/>
      <c r="AJ119" s="467"/>
      <c r="AK119" s="644"/>
      <c r="AL119" s="488"/>
      <c r="AM119" s="567"/>
    </row>
    <row r="120" spans="1:49" ht="15" customHeight="1">
      <c r="A120" s="100"/>
      <c r="B120" s="19" t="s">
        <v>1038</v>
      </c>
      <c r="C120" s="21"/>
      <c r="D120" s="601">
        <f>ROUND(SUM(D110+D116),1)</f>
        <v>1088.2</v>
      </c>
      <c r="E120" s="42"/>
      <c r="F120" s="601">
        <f>ROUND(SUM(F110+F116),1)</f>
        <v>-12</v>
      </c>
      <c r="G120" s="42"/>
      <c r="H120" s="601">
        <f>ROUND(SUM(H110+H116),1)</f>
        <v>1132.5999999999999</v>
      </c>
      <c r="I120" s="42"/>
      <c r="J120" s="601">
        <f>ROUND(SUM(J110+J116),1)</f>
        <v>592.1</v>
      </c>
      <c r="K120" s="42"/>
      <c r="L120" s="601">
        <f>ROUND(SUM(L110+L116),1)</f>
        <v>166.9</v>
      </c>
      <c r="M120" s="42"/>
      <c r="N120" s="601">
        <f>ROUND(SUM(N110+N116),1)</f>
        <v>-2351.4</v>
      </c>
      <c r="O120" s="42"/>
      <c r="P120" s="601">
        <f>ROUND(SUM(P110+P116),1)</f>
        <v>0</v>
      </c>
      <c r="Q120" s="42"/>
      <c r="R120" s="601">
        <f>ROUND(SUM(R110+R116),1)</f>
        <v>0</v>
      </c>
      <c r="S120" s="42"/>
      <c r="T120" s="601">
        <f>ROUND(SUM(T110+T116),1)</f>
        <v>0</v>
      </c>
      <c r="U120" s="42"/>
      <c r="V120" s="601">
        <f>ROUND(SUM(V110+V116),1)</f>
        <v>0</v>
      </c>
      <c r="W120" s="42"/>
      <c r="X120" s="601">
        <f>ROUND(SUM(X110+X116),1)</f>
        <v>0</v>
      </c>
      <c r="Y120" s="42"/>
      <c r="Z120" s="601">
        <f>ROUND(SUM(Z110+Z116),1)</f>
        <v>0</v>
      </c>
      <c r="AA120" s="42"/>
      <c r="AB120" s="1152"/>
      <c r="AC120" s="42"/>
      <c r="AD120" s="601">
        <f>ROUND(SUM(AD110+AD116),1)</f>
        <v>616.4</v>
      </c>
      <c r="AE120" s="1753"/>
      <c r="AF120" s="42"/>
      <c r="AG120" s="601">
        <f>ROUND(SUM(AG110+AG116),1)</f>
        <v>263.39999999999998</v>
      </c>
      <c r="AH120" s="192"/>
      <c r="AI120" s="42"/>
      <c r="AJ120" s="601">
        <f>ROUND(SUM(AJ110+AJ116),1)</f>
        <v>353</v>
      </c>
      <c r="AK120" s="42"/>
      <c r="AL120" s="1151">
        <f>ROUND(IF(AG120=0,0,AJ120/ABS(AG120)),3)</f>
        <v>1.34</v>
      </c>
      <c r="AM120" s="567"/>
    </row>
    <row r="121" spans="1:49" ht="15" customHeight="1">
      <c r="A121" s="100"/>
      <c r="B121" s="19"/>
      <c r="C121" s="21"/>
      <c r="D121" s="39"/>
      <c r="E121" s="39"/>
      <c r="F121" s="39"/>
      <c r="G121" s="39"/>
      <c r="H121" s="39"/>
      <c r="I121" s="39"/>
      <c r="J121" s="39"/>
      <c r="K121" s="39"/>
      <c r="L121" s="39"/>
      <c r="M121" s="39"/>
      <c r="N121" s="39"/>
      <c r="O121" s="39"/>
      <c r="P121" s="39"/>
      <c r="Q121" s="39"/>
      <c r="R121" s="39"/>
      <c r="S121" s="39"/>
      <c r="T121" s="65"/>
      <c r="U121" s="39"/>
      <c r="V121" s="39"/>
      <c r="W121" s="39"/>
      <c r="X121" s="39"/>
      <c r="Y121" s="39"/>
      <c r="Z121" s="39"/>
      <c r="AA121" s="39"/>
      <c r="AB121" s="39"/>
      <c r="AC121" s="1225"/>
      <c r="AD121" s="39"/>
      <c r="AE121" s="39"/>
      <c r="AF121" s="1225"/>
      <c r="AG121" s="39"/>
      <c r="AH121" s="39"/>
      <c r="AI121" s="188"/>
      <c r="AJ121" s="644"/>
      <c r="AK121" s="644"/>
      <c r="AL121" s="488"/>
      <c r="AM121" s="567"/>
    </row>
    <row r="122" spans="1:49" ht="17.25" customHeight="1" thickBot="1">
      <c r="A122" s="100"/>
      <c r="B122" s="19" t="s">
        <v>1048</v>
      </c>
      <c r="C122" s="21"/>
      <c r="D122" s="182">
        <f>ROUND(SUM(+D120+D13),1)</f>
        <v>10202</v>
      </c>
      <c r="E122" s="39"/>
      <c r="F122" s="182">
        <f>ROUND(SUM(+F120+F13),1)</f>
        <v>10190</v>
      </c>
      <c r="G122" s="39"/>
      <c r="H122" s="182">
        <f>ROUND(SUM(+H120+H13),1)</f>
        <v>11322.6</v>
      </c>
      <c r="I122" s="39"/>
      <c r="J122" s="182">
        <f>ROUND(SUM(+J120+J13),1)</f>
        <v>11914.7</v>
      </c>
      <c r="K122" s="39"/>
      <c r="L122" s="182">
        <f>ROUND(SUM(+L120+L13),1)</f>
        <v>12081.6</v>
      </c>
      <c r="M122" s="39"/>
      <c r="N122" s="182">
        <f>ROUND(SUM(+N120+N13),1)</f>
        <v>9730.2000000000007</v>
      </c>
      <c r="O122" s="39"/>
      <c r="P122" s="182">
        <f>ROUND(SUM(+P120+P13),1)</f>
        <v>0</v>
      </c>
      <c r="Q122" s="39"/>
      <c r="R122" s="182">
        <f>ROUND(SUM(+R120+R13),1)</f>
        <v>0</v>
      </c>
      <c r="S122" s="39"/>
      <c r="T122" s="182">
        <f>ROUND(SUM(+T120+T13),1)</f>
        <v>0</v>
      </c>
      <c r="U122" s="39"/>
      <c r="V122" s="182">
        <f>ROUND(SUM(+V120+V13),1)</f>
        <v>0</v>
      </c>
      <c r="W122" s="39"/>
      <c r="X122" s="182">
        <f>ROUND(SUM(+X120+X13),1)</f>
        <v>0</v>
      </c>
      <c r="Y122" s="39"/>
      <c r="Z122" s="182">
        <f>ROUND(SUM(+Z120+Z13),1)</f>
        <v>0</v>
      </c>
      <c r="AA122" s="39"/>
      <c r="AB122" s="39"/>
      <c r="AC122" s="1225"/>
      <c r="AD122" s="182">
        <f>ROUND(SUM(+AD120+AD13),1)</f>
        <v>9730.2000000000007</v>
      </c>
      <c r="AE122" s="39"/>
      <c r="AF122" s="1225"/>
      <c r="AG122" s="182">
        <f>ROUND(SUM(+AG120+AG13),1)</f>
        <v>7875.9</v>
      </c>
      <c r="AH122" s="39"/>
      <c r="AI122" s="188"/>
      <c r="AJ122" s="182">
        <f>ROUND(SUM(+AJ120+AJ13),1)</f>
        <v>1854.3</v>
      </c>
      <c r="AK122" s="644"/>
      <c r="AL122" s="1149">
        <f>ROUND(IF(AG122=0,0,AJ122/ABS(AG122)),3)</f>
        <v>0.23499999999999999</v>
      </c>
      <c r="AM122" s="567"/>
    </row>
    <row r="123" spans="1:49" ht="15" customHeight="1" thickTop="1">
      <c r="A123" s="100"/>
      <c r="B123" s="19"/>
      <c r="C123" s="21"/>
      <c r="D123" s="39"/>
      <c r="E123" s="39"/>
      <c r="F123" s="39"/>
      <c r="G123" s="39"/>
      <c r="H123" s="39"/>
      <c r="I123" s="39"/>
      <c r="J123" s="39"/>
      <c r="K123" s="39"/>
      <c r="L123" s="39"/>
      <c r="M123" s="39"/>
      <c r="N123" s="39"/>
      <c r="O123" s="39"/>
      <c r="P123" s="65"/>
      <c r="Q123" s="39"/>
      <c r="R123" s="39"/>
      <c r="S123" s="39"/>
      <c r="T123" s="39"/>
      <c r="U123" s="39"/>
      <c r="V123" s="39"/>
      <c r="W123" s="39"/>
      <c r="X123" s="39"/>
      <c r="Y123" s="39"/>
      <c r="Z123" s="39"/>
      <c r="AA123" s="39"/>
      <c r="AB123" s="39"/>
      <c r="AC123" s="39"/>
      <c r="AD123" s="39"/>
      <c r="AE123" s="39"/>
      <c r="AF123" s="39"/>
      <c r="AG123" s="39"/>
      <c r="AH123" s="39"/>
      <c r="AI123" s="20"/>
      <c r="AJ123" s="644"/>
      <c r="AK123" s="644"/>
      <c r="AL123" s="488"/>
      <c r="AM123" s="567"/>
    </row>
    <row r="124" spans="1:49" ht="15" customHeight="1">
      <c r="B124" s="142"/>
      <c r="C124" s="20"/>
      <c r="D124" s="186"/>
      <c r="E124" s="186"/>
      <c r="F124" s="186"/>
      <c r="G124" s="186"/>
      <c r="H124" s="186"/>
      <c r="I124" s="186"/>
      <c r="J124" s="186"/>
      <c r="K124" s="186"/>
      <c r="L124" s="186"/>
      <c r="M124" s="186"/>
      <c r="N124" s="186"/>
      <c r="O124" s="186"/>
      <c r="P124" s="186"/>
      <c r="Q124" s="186"/>
      <c r="R124" s="186"/>
      <c r="S124" s="186"/>
      <c r="T124" s="186"/>
      <c r="U124" s="186"/>
      <c r="V124" s="186"/>
      <c r="W124" s="186"/>
      <c r="X124" s="186"/>
      <c r="Y124" s="186"/>
      <c r="Z124" s="186"/>
      <c r="AA124" s="186"/>
      <c r="AB124" s="186"/>
      <c r="AC124" s="186"/>
      <c r="AD124" s="186"/>
      <c r="AE124" s="186"/>
      <c r="AF124" s="186"/>
      <c r="AG124" s="714" t="s">
        <v>14</v>
      </c>
      <c r="AH124" s="186"/>
      <c r="AI124" s="186"/>
      <c r="AJ124" s="714"/>
      <c r="AK124" s="714"/>
      <c r="AL124" s="488"/>
      <c r="AM124" s="567"/>
      <c r="AN124" s="208"/>
      <c r="AO124" s="208"/>
      <c r="AP124" s="208"/>
      <c r="AQ124" s="208"/>
      <c r="AR124" s="208"/>
      <c r="AS124" s="208"/>
      <c r="AT124" s="208"/>
      <c r="AU124" s="208"/>
      <c r="AV124" s="208"/>
      <c r="AW124" s="208"/>
    </row>
    <row r="125" spans="1:49" ht="15" customHeight="1">
      <c r="B125" s="20"/>
      <c r="AL125" s="567"/>
      <c r="AM125" s="567"/>
    </row>
    <row r="126" spans="1:49" ht="15" customHeight="1">
      <c r="B126" s="20"/>
      <c r="AL126" s="567"/>
      <c r="AM126" s="567"/>
    </row>
    <row r="127" spans="1:49">
      <c r="AL127" s="567"/>
      <c r="AM127" s="567"/>
    </row>
    <row r="128" spans="1:49" ht="15" customHeight="1">
      <c r="AL128" s="567"/>
      <c r="AM128" s="567"/>
    </row>
    <row r="129" spans="4:39" ht="15" customHeight="1">
      <c r="D129" s="644"/>
      <c r="F129" s="644"/>
      <c r="H129" s="644"/>
      <c r="AJ129" s="1150"/>
      <c r="AL129" s="567"/>
      <c r="AM129" s="567"/>
    </row>
    <row r="130" spans="4:39" ht="15" customHeight="1">
      <c r="AL130" s="567"/>
      <c r="AM130" s="567"/>
    </row>
    <row r="131" spans="4:39" ht="15" customHeight="1">
      <c r="AL131" s="567"/>
      <c r="AM131" s="567"/>
    </row>
    <row r="132" spans="4:39" ht="15" customHeight="1">
      <c r="AL132" s="567"/>
      <c r="AM132" s="567"/>
    </row>
    <row r="133" spans="4:39" ht="15" customHeight="1">
      <c r="AL133" s="567"/>
      <c r="AM133" s="567"/>
    </row>
    <row r="134" spans="4:39" ht="15" customHeight="1">
      <c r="AL134" s="567"/>
      <c r="AM134" s="567"/>
    </row>
    <row r="135" spans="4:39" ht="15" customHeight="1">
      <c r="AL135" s="567"/>
      <c r="AM135" s="567"/>
    </row>
    <row r="136" spans="4:39" ht="15" customHeight="1">
      <c r="AL136" s="567"/>
      <c r="AM136" s="567"/>
    </row>
    <row r="137" spans="4:39" ht="15" customHeight="1">
      <c r="AL137" s="567"/>
      <c r="AM137" s="567"/>
    </row>
    <row r="138" spans="4:39" ht="15" customHeight="1">
      <c r="AL138" s="567"/>
      <c r="AM138" s="567"/>
    </row>
    <row r="139" spans="4:39" ht="15" customHeight="1">
      <c r="AL139" s="567"/>
      <c r="AM139" s="567"/>
    </row>
    <row r="140" spans="4:39" ht="15" customHeight="1">
      <c r="AL140" s="567"/>
      <c r="AM140" s="567"/>
    </row>
    <row r="141" spans="4:39" ht="15" customHeight="1">
      <c r="AL141" s="567"/>
      <c r="AM141" s="567"/>
    </row>
    <row r="142" spans="4:39" ht="15" customHeight="1">
      <c r="AL142" s="567"/>
      <c r="AM142" s="567"/>
    </row>
    <row r="143" spans="4:39" ht="15" customHeight="1">
      <c r="AL143" s="567"/>
      <c r="AM143" s="567"/>
    </row>
    <row r="144" spans="4:39" ht="15" customHeight="1">
      <c r="AL144" s="567"/>
      <c r="AM144" s="567"/>
    </row>
    <row r="145" spans="38:39" ht="15" customHeight="1">
      <c r="AL145" s="567"/>
      <c r="AM145" s="567"/>
    </row>
    <row r="146" spans="38:39" ht="15" customHeight="1">
      <c r="AL146" s="567"/>
      <c r="AM146" s="567"/>
    </row>
    <row r="147" spans="38:39" ht="15" customHeight="1">
      <c r="AL147" s="567"/>
      <c r="AM147" s="567"/>
    </row>
    <row r="148" spans="38:39" ht="15" customHeight="1">
      <c r="AL148" s="567"/>
      <c r="AM148" s="567"/>
    </row>
    <row r="149" spans="38:39" ht="15" customHeight="1">
      <c r="AL149" s="567"/>
      <c r="AM149" s="567"/>
    </row>
    <row r="150" spans="38:39" ht="15" customHeight="1">
      <c r="AL150" s="567"/>
      <c r="AM150" s="567"/>
    </row>
    <row r="151" spans="38:39" ht="15" customHeight="1">
      <c r="AL151" s="567"/>
      <c r="AM151" s="567"/>
    </row>
    <row r="152" spans="38:39" ht="15" customHeight="1">
      <c r="AL152" s="567"/>
      <c r="AM152" s="567"/>
    </row>
    <row r="153" spans="38:39" ht="15" customHeight="1">
      <c r="AL153" s="567"/>
      <c r="AM153" s="567"/>
    </row>
    <row r="154" spans="38:39" ht="15" customHeight="1">
      <c r="AL154" s="567"/>
      <c r="AM154" s="567"/>
    </row>
    <row r="155" spans="38:39" ht="15" customHeight="1">
      <c r="AL155" s="567"/>
      <c r="AM155" s="567"/>
    </row>
    <row r="156" spans="38:39" ht="11.25" customHeight="1">
      <c r="AL156" s="567"/>
      <c r="AM156" s="567"/>
    </row>
    <row r="157" spans="38:39" ht="15" customHeight="1">
      <c r="AL157" s="567"/>
      <c r="AM157" s="567"/>
    </row>
    <row r="158" spans="38:39" ht="15" customHeight="1">
      <c r="AL158" s="567"/>
      <c r="AM158" s="567"/>
    </row>
    <row r="159" spans="38:39" ht="15" customHeight="1"/>
    <row r="160" spans="38:39"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sheetData>
  <mergeCells count="1">
    <mergeCell ref="AC9:AL9"/>
  </mergeCells>
  <pageMargins left="0.25" right="0.25" top="0.5" bottom="0.25" header="0" footer="0.25"/>
  <pageSetup scale="40" firstPageNumber="24" orientation="landscape" useFirstPageNumber="1" r:id="rId1"/>
  <headerFooter scaleWithDoc="0" alignWithMargins="0">
    <oddFooter>&amp;C&amp;8&amp;P</oddFooter>
  </headerFooter>
  <rowBreaks count="1" manualBreakCount="1">
    <brk id="87" min="1" max="37" man="1"/>
  </rowBreaks>
  <customProperties>
    <customPr name="SheetOptions" r:id="rId2"/>
  </customProperties>
  <ignoredErrors>
    <ignoredError sqref="AL20" unlocked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dimension ref="A1:AY142"/>
  <sheetViews>
    <sheetView showGridLines="0" zoomScale="80" zoomScaleNormal="80" workbookViewId="0"/>
  </sheetViews>
  <sheetFormatPr defaultColWidth="8.88671875" defaultRowHeight="12.75"/>
  <cols>
    <col min="1" max="1" width="1.88671875" style="170" customWidth="1"/>
    <col min="2" max="2" width="44.88671875" style="170" customWidth="1"/>
    <col min="3" max="3" width="1.88671875" style="170" customWidth="1"/>
    <col min="4" max="4" width="15.109375" style="170" bestFit="1" customWidth="1"/>
    <col min="5" max="5" width="1.88671875" style="170" customWidth="1"/>
    <col min="6" max="6" width="12" style="170" customWidth="1"/>
    <col min="7" max="7" width="1.88671875" style="170" customWidth="1"/>
    <col min="8" max="8" width="12.109375" style="170" bestFit="1" customWidth="1"/>
    <col min="9" max="9" width="1.88671875" style="170" customWidth="1"/>
    <col min="10" max="10" width="12.109375" style="170" bestFit="1" customWidth="1"/>
    <col min="11" max="11" width="1.88671875" style="170" customWidth="1"/>
    <col min="12" max="12" width="11.109375" style="170" customWidth="1"/>
    <col min="13" max="13" width="1.88671875" style="170" customWidth="1"/>
    <col min="14" max="14" width="12.109375" style="170" customWidth="1"/>
    <col min="15" max="15" width="1.88671875" style="170" customWidth="1"/>
    <col min="16" max="16" width="11" style="170" bestFit="1" customWidth="1"/>
    <col min="17" max="17" width="1.88671875" style="170" customWidth="1"/>
    <col min="18" max="18" width="11.5546875" style="170" bestFit="1" customWidth="1"/>
    <col min="19" max="19" width="1.88671875" style="170" customWidth="1"/>
    <col min="20" max="20" width="11.44140625" style="170" customWidth="1"/>
    <col min="21" max="21" width="1.88671875" style="170" customWidth="1"/>
    <col min="22" max="22" width="11.109375" style="170" customWidth="1"/>
    <col min="23" max="23" width="1.88671875" style="170" customWidth="1"/>
    <col min="24" max="24" width="11.109375" style="170" bestFit="1" customWidth="1"/>
    <col min="25" max="25" width="1.88671875" style="170" customWidth="1"/>
    <col min="26" max="26" width="10.88671875" style="170" bestFit="1" customWidth="1"/>
    <col min="27" max="27" width="1" style="170" customWidth="1"/>
    <col min="28" max="29" width="1.88671875" style="170" customWidth="1"/>
    <col min="30" max="30" width="12.109375" style="170" customWidth="1"/>
    <col min="31" max="32" width="1.109375" style="170" customWidth="1"/>
    <col min="33" max="33" width="11.88671875" style="170" customWidth="1"/>
    <col min="34" max="34" width="1.44140625" style="170" customWidth="1"/>
    <col min="35" max="35" width="0.88671875" style="170" customWidth="1"/>
    <col min="36" max="36" width="13.109375" style="170" bestFit="1" customWidth="1"/>
    <col min="37" max="37" width="0.88671875" style="170" customWidth="1"/>
    <col min="38" max="38" width="13.88671875" style="567" bestFit="1" customWidth="1"/>
    <col min="39" max="16384" width="8.88671875" style="170"/>
  </cols>
  <sheetData>
    <row r="1" spans="1:41" ht="15">
      <c r="B1" s="468" t="s">
        <v>841</v>
      </c>
    </row>
    <row r="2" spans="1:41" ht="15.75">
      <c r="M2" s="19"/>
      <c r="N2" s="19"/>
      <c r="O2" s="184"/>
    </row>
    <row r="3" spans="1:41" ht="18">
      <c r="B3" s="172" t="s">
        <v>0</v>
      </c>
      <c r="M3" s="19"/>
      <c r="N3" s="19"/>
      <c r="O3" s="184"/>
      <c r="AF3" s="71"/>
      <c r="AG3" s="71"/>
      <c r="AH3" s="71"/>
      <c r="AI3" s="71"/>
      <c r="AJ3" s="71"/>
      <c r="AK3" s="71"/>
      <c r="AL3" s="173" t="s">
        <v>165</v>
      </c>
    </row>
    <row r="4" spans="1:41" ht="18">
      <c r="B4" s="172" t="s">
        <v>174</v>
      </c>
      <c r="L4" s="19"/>
      <c r="M4" s="19"/>
      <c r="O4" s="184"/>
    </row>
    <row r="5" spans="1:41" ht="18">
      <c r="B5" s="967" t="s">
        <v>145</v>
      </c>
      <c r="L5" s="184"/>
      <c r="M5" s="184"/>
      <c r="O5" s="184"/>
      <c r="X5" s="202"/>
    </row>
    <row r="6" spans="1:41" ht="20.25">
      <c r="B6" s="967" t="str">
        <f>'Cashflow Governmental'!A6</f>
        <v xml:space="preserve">FISCAL YEAR 2023-2024   </v>
      </c>
      <c r="L6" s="184"/>
      <c r="M6" s="184"/>
      <c r="O6" s="184"/>
      <c r="AL6" s="568"/>
    </row>
    <row r="7" spans="1:41" ht="18">
      <c r="B7" s="172" t="s">
        <v>1202</v>
      </c>
      <c r="AI7" s="100"/>
      <c r="AJ7" s="100"/>
      <c r="AK7" s="100"/>
      <c r="AL7" s="569"/>
    </row>
    <row r="8" spans="1:41" ht="13.5" customHeight="1">
      <c r="B8" s="209"/>
      <c r="AI8" s="100"/>
      <c r="AJ8" s="100"/>
      <c r="AK8" s="100"/>
      <c r="AL8" s="569"/>
    </row>
    <row r="9" spans="1:41" ht="15.75">
      <c r="L9" s="184"/>
      <c r="M9" s="184"/>
      <c r="N9" s="184"/>
      <c r="O9" s="184"/>
      <c r="AC9" s="2333" t="str">
        <f>'Exhibit G'!AC9:AL9</f>
        <v>6 Months Ended September 30</v>
      </c>
      <c r="AD9" s="2333"/>
      <c r="AE9" s="2333"/>
      <c r="AF9" s="2333"/>
      <c r="AG9" s="2333"/>
      <c r="AH9" s="2333"/>
      <c r="AI9" s="2333"/>
      <c r="AJ9" s="2333"/>
      <c r="AK9" s="2333"/>
      <c r="AL9" s="2333"/>
    </row>
    <row r="10" spans="1:41" ht="15.75">
      <c r="B10" s="20"/>
      <c r="C10" s="20"/>
      <c r="D10" s="537" t="str">
        <f>'Cashflow Governmental'!C13</f>
        <v>2023</v>
      </c>
      <c r="E10" s="19"/>
      <c r="F10" s="19"/>
      <c r="G10" s="19"/>
      <c r="H10" s="19"/>
      <c r="I10" s="19"/>
      <c r="J10" s="19"/>
      <c r="K10" s="19"/>
      <c r="L10" s="19"/>
      <c r="M10" s="19"/>
      <c r="N10" s="19"/>
      <c r="O10" s="19"/>
      <c r="P10" s="19"/>
      <c r="Q10" s="19"/>
      <c r="R10" s="19"/>
      <c r="S10" s="19"/>
      <c r="T10" s="19"/>
      <c r="U10" s="19"/>
      <c r="V10" s="537">
        <f>'Cashflow Governmental'!U13</f>
        <v>2024</v>
      </c>
      <c r="W10" s="19"/>
      <c r="X10" s="19"/>
      <c r="Y10" s="19"/>
      <c r="Z10" s="19"/>
      <c r="AA10" s="19"/>
      <c r="AB10" s="19"/>
      <c r="AC10" s="19"/>
      <c r="AD10" s="139"/>
      <c r="AE10" s="139"/>
      <c r="AF10" s="139"/>
      <c r="AG10" s="139"/>
      <c r="AH10" s="139"/>
      <c r="AI10" s="139"/>
      <c r="AJ10" s="545" t="s">
        <v>7</v>
      </c>
      <c r="AK10" s="545"/>
      <c r="AL10" s="570" t="s">
        <v>8</v>
      </c>
      <c r="AM10" s="548"/>
      <c r="AN10" s="548"/>
      <c r="AO10" s="548"/>
    </row>
    <row r="11" spans="1:41" ht="15.75">
      <c r="B11" s="20"/>
      <c r="C11" s="20"/>
      <c r="D11" s="133" t="s">
        <v>122</v>
      </c>
      <c r="E11" s="19"/>
      <c r="F11" s="133" t="s">
        <v>123</v>
      </c>
      <c r="G11" s="19"/>
      <c r="H11" s="133" t="s">
        <v>124</v>
      </c>
      <c r="I11" s="19"/>
      <c r="J11" s="133" t="s">
        <v>125</v>
      </c>
      <c r="K11" s="19"/>
      <c r="L11" s="133" t="s">
        <v>126</v>
      </c>
      <c r="M11" s="19"/>
      <c r="N11" s="133" t="s">
        <v>141</v>
      </c>
      <c r="O11" s="19"/>
      <c r="P11" s="133" t="s">
        <v>142</v>
      </c>
      <c r="Q11" s="19"/>
      <c r="R11" s="133" t="s">
        <v>129</v>
      </c>
      <c r="S11" s="19"/>
      <c r="T11" s="133" t="s">
        <v>130</v>
      </c>
      <c r="U11" s="19"/>
      <c r="V11" s="133" t="s">
        <v>131</v>
      </c>
      <c r="W11" s="19"/>
      <c r="X11" s="133" t="s">
        <v>132</v>
      </c>
      <c r="Y11" s="19"/>
      <c r="Z11" s="133" t="s">
        <v>182</v>
      </c>
      <c r="AA11" s="133"/>
      <c r="AB11" s="19"/>
      <c r="AC11" s="19"/>
      <c r="AD11" s="537">
        <f>'Cashflow Governmental'!AB14</f>
        <v>2023</v>
      </c>
      <c r="AE11" s="537"/>
      <c r="AF11" s="19" t="s">
        <v>14</v>
      </c>
      <c r="AG11" s="537">
        <f>'Cashflow Governmental'!AE14</f>
        <v>2022</v>
      </c>
      <c r="AH11" s="537"/>
      <c r="AI11" s="139"/>
      <c r="AJ11" s="549" t="s">
        <v>11</v>
      </c>
      <c r="AK11" s="545"/>
      <c r="AL11" s="571" t="s">
        <v>12</v>
      </c>
      <c r="AM11" s="548"/>
      <c r="AN11" s="548"/>
      <c r="AO11" s="548"/>
    </row>
    <row r="12" spans="1:41" ht="6.75" customHeight="1">
      <c r="B12" s="20"/>
      <c r="C12" s="20"/>
      <c r="D12" s="29"/>
      <c r="E12" s="20"/>
      <c r="F12" s="29"/>
      <c r="G12" s="20"/>
      <c r="H12" s="29"/>
      <c r="I12" s="20"/>
      <c r="J12" s="29"/>
      <c r="K12" s="20"/>
      <c r="L12" s="29"/>
      <c r="M12" s="20"/>
      <c r="N12" s="29"/>
      <c r="O12" s="20"/>
      <c r="P12" s="29"/>
      <c r="Q12" s="20"/>
      <c r="R12" s="29"/>
      <c r="S12" s="20"/>
      <c r="T12" s="29"/>
      <c r="U12" s="20"/>
      <c r="V12" s="29"/>
      <c r="W12" s="20"/>
      <c r="X12" s="29"/>
      <c r="Y12" s="20"/>
      <c r="Z12" s="29"/>
      <c r="AA12" s="20"/>
      <c r="AB12" s="20"/>
      <c r="AC12" s="744"/>
      <c r="AD12" s="29"/>
      <c r="AE12" s="29"/>
      <c r="AF12" s="744"/>
      <c r="AG12" s="29"/>
      <c r="AH12" s="20"/>
      <c r="AI12" s="188"/>
      <c r="AJ12" s="20"/>
      <c r="AK12" s="20"/>
      <c r="AL12" s="183"/>
    </row>
    <row r="13" spans="1:41" ht="15.75">
      <c r="B13" s="19" t="s">
        <v>1107</v>
      </c>
      <c r="C13" s="20"/>
      <c r="D13" s="217">
        <v>14826.4</v>
      </c>
      <c r="E13" s="20"/>
      <c r="F13" s="65">
        <f>D94</f>
        <v>16113.1</v>
      </c>
      <c r="G13" s="65"/>
      <c r="H13" s="65">
        <f t="shared" ref="H13:N13" si="0">F94</f>
        <v>13545.7</v>
      </c>
      <c r="I13" s="20"/>
      <c r="J13" s="65">
        <f t="shared" si="0"/>
        <v>16830.3</v>
      </c>
      <c r="K13" s="20"/>
      <c r="L13" s="65">
        <f t="shared" si="0"/>
        <v>16933.599999999999</v>
      </c>
      <c r="M13" s="20"/>
      <c r="N13" s="65">
        <f t="shared" si="0"/>
        <v>16071.2</v>
      </c>
      <c r="O13" s="20"/>
      <c r="P13" s="65"/>
      <c r="Q13" s="20"/>
      <c r="R13" s="65"/>
      <c r="S13" s="65"/>
      <c r="T13" s="65"/>
      <c r="U13" s="65"/>
      <c r="V13" s="65"/>
      <c r="W13" s="65"/>
      <c r="X13" s="65"/>
      <c r="Y13" s="65"/>
      <c r="Z13" s="65"/>
      <c r="AA13" s="20"/>
      <c r="AB13" s="20"/>
      <c r="AC13" s="744"/>
      <c r="AD13" s="65">
        <f>D13</f>
        <v>14826.4</v>
      </c>
      <c r="AE13" s="20"/>
      <c r="AF13" s="744"/>
      <c r="AG13" s="65">
        <v>14325.7</v>
      </c>
      <c r="AH13" s="20"/>
      <c r="AI13" s="188"/>
      <c r="AJ13" s="65">
        <f>+AD13-AG13</f>
        <v>500.69999999999891</v>
      </c>
      <c r="AK13" s="20"/>
      <c r="AL13" s="190">
        <f>AJ13/AG13</f>
        <v>3.4951171670494212E-2</v>
      </c>
    </row>
    <row r="14" spans="1:41" ht="15.75">
      <c r="B14" s="19"/>
      <c r="C14" s="20"/>
      <c r="D14" s="20"/>
      <c r="E14" s="20"/>
      <c r="F14" s="20"/>
      <c r="G14" s="20"/>
      <c r="H14" s="20"/>
      <c r="I14" s="20"/>
      <c r="J14" s="20"/>
      <c r="K14" s="20"/>
      <c r="L14" s="20"/>
      <c r="M14" s="20"/>
      <c r="N14" s="20"/>
      <c r="O14" s="20"/>
      <c r="P14" s="20"/>
      <c r="Q14" s="20"/>
      <c r="R14" s="20"/>
      <c r="S14" s="20"/>
      <c r="T14" s="20"/>
      <c r="U14" s="20"/>
      <c r="V14" s="20"/>
      <c r="W14" s="20"/>
      <c r="X14" s="20"/>
      <c r="Y14" s="20"/>
      <c r="Z14" s="20"/>
      <c r="AA14" s="20"/>
      <c r="AB14" s="1153"/>
      <c r="AC14" s="20"/>
      <c r="AD14" s="20"/>
      <c r="AE14" s="20"/>
      <c r="AF14" s="744"/>
      <c r="AG14" s="20"/>
      <c r="AH14" s="191"/>
      <c r="AI14" s="20"/>
      <c r="AJ14" s="20"/>
      <c r="AK14" s="20"/>
      <c r="AL14" s="183"/>
    </row>
    <row r="15" spans="1:41" ht="15" customHeight="1">
      <c r="A15" s="100"/>
      <c r="B15" s="19" t="s">
        <v>13</v>
      </c>
      <c r="C15" s="21"/>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141"/>
      <c r="AD15" s="20"/>
      <c r="AE15" s="20"/>
      <c r="AF15" s="204"/>
      <c r="AG15" s="20"/>
      <c r="AH15" s="206"/>
      <c r="AI15" s="20"/>
      <c r="AJ15" s="205"/>
      <c r="AK15" s="205"/>
      <c r="AL15" s="210"/>
    </row>
    <row r="16" spans="1:41" ht="7.5" customHeight="1">
      <c r="A16" s="100"/>
      <c r="B16" s="21"/>
      <c r="C16" s="21"/>
      <c r="D16" s="116"/>
      <c r="E16" s="39"/>
      <c r="F16" s="116"/>
      <c r="G16" s="116"/>
      <c r="H16" s="116"/>
      <c r="I16" s="39"/>
      <c r="J16" s="116"/>
      <c r="K16" s="39"/>
      <c r="L16" s="116"/>
      <c r="M16" s="39"/>
      <c r="N16" s="116"/>
      <c r="O16" s="39"/>
      <c r="P16" s="116"/>
      <c r="Q16" s="39"/>
      <c r="R16" s="116"/>
      <c r="S16" s="39"/>
      <c r="T16" s="116"/>
      <c r="U16" s="39"/>
      <c r="V16" s="116"/>
      <c r="W16" s="36"/>
      <c r="X16" s="116"/>
      <c r="Y16" s="36"/>
      <c r="Z16" s="116"/>
      <c r="AA16" s="116"/>
      <c r="AB16" s="39"/>
      <c r="AC16" s="175"/>
      <c r="AD16" s="36"/>
      <c r="AE16" s="1758"/>
      <c r="AF16" s="1761"/>
      <c r="AG16" s="116"/>
      <c r="AH16" s="206"/>
      <c r="AI16" s="20"/>
      <c r="AJ16" s="467"/>
      <c r="AK16" s="467"/>
      <c r="AL16" s="661"/>
    </row>
    <row r="17" spans="1:39" ht="15" customHeight="1">
      <c r="A17" s="100"/>
      <c r="B17" s="118" t="s">
        <v>886</v>
      </c>
      <c r="C17" s="21"/>
      <c r="D17" s="46"/>
      <c r="E17" s="39"/>
      <c r="F17" s="116"/>
      <c r="G17" s="116"/>
      <c r="H17" s="116"/>
      <c r="I17" s="39"/>
      <c r="J17" s="39"/>
      <c r="K17" s="39"/>
      <c r="L17" s="39"/>
      <c r="M17" s="39"/>
      <c r="N17" s="39"/>
      <c r="O17" s="39"/>
      <c r="P17" s="142"/>
      <c r="Q17" s="39"/>
      <c r="R17" s="115"/>
      <c r="S17" s="39"/>
      <c r="T17" s="116"/>
      <c r="U17" s="39"/>
      <c r="V17" s="46"/>
      <c r="W17" s="36"/>
      <c r="X17" s="46"/>
      <c r="Y17" s="36"/>
      <c r="Z17" s="46"/>
      <c r="AA17" s="46"/>
      <c r="AB17" s="39"/>
      <c r="AC17" s="175"/>
      <c r="AD17" s="36"/>
      <c r="AE17" s="36"/>
      <c r="AF17" s="750"/>
      <c r="AG17" s="36"/>
      <c r="AH17" s="192"/>
      <c r="AI17" s="36"/>
      <c r="AJ17" s="467"/>
      <c r="AK17" s="467"/>
      <c r="AL17" s="488"/>
    </row>
    <row r="18" spans="1:39" ht="15" customHeight="1">
      <c r="A18" s="100"/>
      <c r="B18" s="594" t="s">
        <v>1000</v>
      </c>
      <c r="C18" s="21"/>
      <c r="D18" s="493" t="s">
        <v>14</v>
      </c>
      <c r="E18" s="39"/>
      <c r="F18" s="116"/>
      <c r="G18" s="116"/>
      <c r="H18" s="116"/>
      <c r="I18" s="39"/>
      <c r="J18" s="39"/>
      <c r="K18" s="39"/>
      <c r="L18" s="39"/>
      <c r="M18" s="39"/>
      <c r="N18" s="39"/>
      <c r="O18" s="39"/>
      <c r="P18" s="142"/>
      <c r="Q18" s="39"/>
      <c r="R18" s="115"/>
      <c r="S18" s="39"/>
      <c r="T18" s="116"/>
      <c r="U18" s="39"/>
      <c r="V18" s="46"/>
      <c r="W18" s="36"/>
      <c r="X18" s="46"/>
      <c r="Y18" s="36"/>
      <c r="Z18" s="46"/>
      <c r="AA18" s="46"/>
      <c r="AB18" s="39"/>
      <c r="AC18" s="175"/>
      <c r="AD18" s="36"/>
      <c r="AE18" s="36"/>
      <c r="AF18" s="750"/>
      <c r="AG18" s="36"/>
      <c r="AH18" s="192"/>
      <c r="AI18" s="36"/>
      <c r="AJ18" s="467"/>
      <c r="AK18" s="467"/>
      <c r="AL18" s="488"/>
    </row>
    <row r="19" spans="1:39" ht="15" customHeight="1">
      <c r="A19" s="100"/>
      <c r="B19" s="594" t="s">
        <v>918</v>
      </c>
      <c r="C19" s="21"/>
      <c r="D19" s="493">
        <v>0</v>
      </c>
      <c r="E19" s="493"/>
      <c r="F19" s="493">
        <v>0</v>
      </c>
      <c r="G19" s="493"/>
      <c r="H19" s="493">
        <v>0</v>
      </c>
      <c r="I19" s="467"/>
      <c r="J19" s="493">
        <v>0</v>
      </c>
      <c r="K19" s="1004"/>
      <c r="L19" s="493">
        <v>0</v>
      </c>
      <c r="M19" s="1004"/>
      <c r="N19" s="493">
        <f>$AD19-$D19-$F19-$H19-$J19-$L19</f>
        <v>0</v>
      </c>
      <c r="O19" s="1119"/>
      <c r="P19" s="493"/>
      <c r="Q19" s="1119"/>
      <c r="R19" s="493"/>
      <c r="S19" s="493"/>
      <c r="T19" s="493"/>
      <c r="U19" s="493"/>
      <c r="V19" s="493"/>
      <c r="W19" s="1119"/>
      <c r="X19" s="493"/>
      <c r="Y19" s="493"/>
      <c r="Z19" s="493"/>
      <c r="AA19" s="683"/>
      <c r="AB19" s="472"/>
      <c r="AC19" s="1232"/>
      <c r="AD19" s="912">
        <v>0</v>
      </c>
      <c r="AE19" s="467"/>
      <c r="AF19" s="933"/>
      <c r="AG19" s="912">
        <v>0</v>
      </c>
      <c r="AH19" s="923"/>
      <c r="AI19" s="467"/>
      <c r="AJ19" s="467">
        <f>ROUND(SUM(+AD19-AG19),1)</f>
        <v>0</v>
      </c>
      <c r="AK19" s="467"/>
      <c r="AL19" s="469">
        <f>ROUND(IF(AG19=0,0,AJ19/ABS(AG19)),3)</f>
        <v>0</v>
      </c>
    </row>
    <row r="20" spans="1:39" ht="15" customHeight="1">
      <c r="A20" s="100"/>
      <c r="B20" s="594" t="s">
        <v>1001</v>
      </c>
      <c r="C20" s="21"/>
      <c r="D20" s="493" t="s">
        <v>14</v>
      </c>
      <c r="E20" s="472"/>
      <c r="F20" s="493"/>
      <c r="G20" s="493"/>
      <c r="H20" s="493"/>
      <c r="I20" s="472"/>
      <c r="J20" s="493"/>
      <c r="K20" s="39"/>
      <c r="L20" s="493"/>
      <c r="M20" s="39"/>
      <c r="N20" s="493"/>
      <c r="O20" s="39"/>
      <c r="P20" s="493"/>
      <c r="Q20" s="39"/>
      <c r="R20" s="493"/>
      <c r="S20" s="39"/>
      <c r="T20" s="493"/>
      <c r="U20" s="39"/>
      <c r="V20" s="493"/>
      <c r="W20" s="36"/>
      <c r="X20" s="493"/>
      <c r="Y20" s="36"/>
      <c r="Z20" s="493"/>
      <c r="AA20" s="46"/>
      <c r="AB20" s="39"/>
      <c r="AC20" s="175"/>
      <c r="AD20" s="36"/>
      <c r="AE20" s="36"/>
      <c r="AF20" s="750"/>
      <c r="AG20" s="36"/>
      <c r="AH20" s="192"/>
      <c r="AI20" s="36"/>
      <c r="AJ20" s="467"/>
      <c r="AK20" s="467"/>
      <c r="AL20" s="488"/>
    </row>
    <row r="21" spans="1:39" ht="15" customHeight="1">
      <c r="A21" s="100"/>
      <c r="B21" s="594" t="s">
        <v>920</v>
      </c>
      <c r="C21" s="21"/>
      <c r="D21" s="493">
        <v>5.4</v>
      </c>
      <c r="E21" s="472"/>
      <c r="F21" s="493">
        <v>44.6</v>
      </c>
      <c r="G21" s="493"/>
      <c r="H21" s="493">
        <v>0.10000000000000142</v>
      </c>
      <c r="I21" s="472"/>
      <c r="J21" s="493">
        <v>2.7999999999999972</v>
      </c>
      <c r="K21" s="1004"/>
      <c r="L21" s="493">
        <v>11</v>
      </c>
      <c r="M21" s="1004"/>
      <c r="N21" s="493">
        <f t="shared" ref="N21:N51" si="1">$AD21-$D21-$F21-$H21-$J21-$L21</f>
        <v>0.10000000000000142</v>
      </c>
      <c r="O21" s="1004"/>
      <c r="P21" s="493"/>
      <c r="Q21" s="1004"/>
      <c r="R21" s="493"/>
      <c r="S21" s="1004"/>
      <c r="T21" s="493"/>
      <c r="U21" s="1004"/>
      <c r="V21" s="493"/>
      <c r="W21" s="1004"/>
      <c r="X21" s="493"/>
      <c r="Y21" s="1004"/>
      <c r="Z21" s="493"/>
      <c r="AA21" s="496"/>
      <c r="AB21" s="467"/>
      <c r="AC21" s="932"/>
      <c r="AD21" s="912">
        <v>64</v>
      </c>
      <c r="AE21" s="467"/>
      <c r="AF21" s="933"/>
      <c r="AG21" s="912">
        <v>60.5</v>
      </c>
      <c r="AH21" s="192"/>
      <c r="AI21" s="36"/>
      <c r="AJ21" s="467">
        <f>ROUND(SUM(+AD21-AG21),1)</f>
        <v>3.5</v>
      </c>
      <c r="AK21" s="467"/>
      <c r="AL21" s="469">
        <f>ROUND(IF(AG21=0,0,AJ21/ABS(AG21)),3)</f>
        <v>5.8000000000000003E-2</v>
      </c>
      <c r="AM21" s="1126"/>
    </row>
    <row r="22" spans="1:39" ht="15" customHeight="1">
      <c r="A22" s="100"/>
      <c r="B22" s="594" t="s">
        <v>921</v>
      </c>
      <c r="C22" s="21"/>
      <c r="D22" s="493">
        <v>0</v>
      </c>
      <c r="E22" s="472"/>
      <c r="F22" s="493">
        <v>0</v>
      </c>
      <c r="G22" s="493"/>
      <c r="H22" s="493">
        <v>0</v>
      </c>
      <c r="I22" s="472"/>
      <c r="J22" s="493">
        <v>0</v>
      </c>
      <c r="K22" s="1004"/>
      <c r="L22" s="493">
        <v>0</v>
      </c>
      <c r="M22" s="1004"/>
      <c r="N22" s="493">
        <f t="shared" si="1"/>
        <v>0</v>
      </c>
      <c r="O22" s="1004"/>
      <c r="P22" s="493"/>
      <c r="Q22" s="1004"/>
      <c r="R22" s="493"/>
      <c r="S22" s="1004"/>
      <c r="T22" s="493"/>
      <c r="U22" s="1004"/>
      <c r="V22" s="493"/>
      <c r="W22" s="1004"/>
      <c r="X22" s="493"/>
      <c r="Y22" s="1004"/>
      <c r="Z22" s="493"/>
      <c r="AA22" s="496"/>
      <c r="AB22" s="467"/>
      <c r="AC22" s="932"/>
      <c r="AD22" s="912">
        <v>0</v>
      </c>
      <c r="AE22" s="467"/>
      <c r="AF22" s="933"/>
      <c r="AG22" s="912">
        <v>0</v>
      </c>
      <c r="AH22" s="192"/>
      <c r="AI22" s="36"/>
      <c r="AJ22" s="467">
        <f t="shared" ref="AJ22:AJ51" si="2">ROUND(SUM(+AD22-AG22),1)</f>
        <v>0</v>
      </c>
      <c r="AK22" s="467"/>
      <c r="AL22" s="469">
        <f>ROUND(IF(AG22=0,0,AJ22/ABS(AG22)),3)</f>
        <v>0</v>
      </c>
    </row>
    <row r="23" spans="1:39" ht="15" customHeight="1">
      <c r="A23" s="100"/>
      <c r="B23" s="594" t="s">
        <v>922</v>
      </c>
      <c r="C23" s="21"/>
      <c r="D23" s="493">
        <v>0</v>
      </c>
      <c r="E23" s="472"/>
      <c r="F23" s="493">
        <v>0</v>
      </c>
      <c r="G23" s="493"/>
      <c r="H23" s="493">
        <v>0</v>
      </c>
      <c r="I23" s="472"/>
      <c r="J23" s="493">
        <v>0</v>
      </c>
      <c r="K23" s="1004"/>
      <c r="L23" s="493">
        <v>0</v>
      </c>
      <c r="M23" s="1004"/>
      <c r="N23" s="493">
        <f t="shared" si="1"/>
        <v>0</v>
      </c>
      <c r="O23" s="1004"/>
      <c r="P23" s="493"/>
      <c r="Q23" s="1004"/>
      <c r="R23" s="493"/>
      <c r="S23" s="1004"/>
      <c r="T23" s="493"/>
      <c r="U23" s="1004"/>
      <c r="V23" s="493"/>
      <c r="W23" s="1004"/>
      <c r="X23" s="493"/>
      <c r="Y23" s="1004"/>
      <c r="Z23" s="493"/>
      <c r="AA23" s="496"/>
      <c r="AB23" s="467"/>
      <c r="AC23" s="932"/>
      <c r="AD23" s="912">
        <v>0</v>
      </c>
      <c r="AE23" s="467"/>
      <c r="AF23" s="933"/>
      <c r="AG23" s="912">
        <v>0</v>
      </c>
      <c r="AH23" s="192"/>
      <c r="AI23" s="36"/>
      <c r="AJ23" s="467">
        <f t="shared" si="2"/>
        <v>0</v>
      </c>
      <c r="AK23" s="467"/>
      <c r="AL23" s="469">
        <f>ROUND(IF(AG23=0,0,AJ23/ABS(AG23)),3)</f>
        <v>0</v>
      </c>
    </row>
    <row r="24" spans="1:39" ht="15" customHeight="1">
      <c r="A24" s="100"/>
      <c r="B24" s="594" t="s">
        <v>923</v>
      </c>
      <c r="C24" s="21"/>
      <c r="D24" s="493">
        <v>0</v>
      </c>
      <c r="E24" s="472"/>
      <c r="F24" s="493">
        <v>0</v>
      </c>
      <c r="G24" s="493"/>
      <c r="H24" s="493">
        <v>0</v>
      </c>
      <c r="I24" s="472"/>
      <c r="J24" s="493">
        <v>0</v>
      </c>
      <c r="K24" s="1004"/>
      <c r="L24" s="493">
        <v>0</v>
      </c>
      <c r="M24" s="1004"/>
      <c r="N24" s="493">
        <f t="shared" si="1"/>
        <v>0</v>
      </c>
      <c r="O24" s="1004"/>
      <c r="P24" s="493"/>
      <c r="Q24" s="1004"/>
      <c r="R24" s="493"/>
      <c r="S24" s="1004"/>
      <c r="T24" s="493"/>
      <c r="U24" s="1004"/>
      <c r="V24" s="493"/>
      <c r="W24" s="1004"/>
      <c r="X24" s="493"/>
      <c r="Y24" s="1004"/>
      <c r="Z24" s="493"/>
      <c r="AA24" s="496"/>
      <c r="AB24" s="467"/>
      <c r="AC24" s="932"/>
      <c r="AD24" s="912">
        <v>0</v>
      </c>
      <c r="AE24" s="467"/>
      <c r="AF24" s="933"/>
      <c r="AG24" s="912">
        <v>0</v>
      </c>
      <c r="AH24" s="192"/>
      <c r="AI24" s="36"/>
      <c r="AJ24" s="467">
        <f t="shared" si="2"/>
        <v>0</v>
      </c>
      <c r="AK24" s="467"/>
      <c r="AL24" s="469">
        <f>ROUND(IF(AG24=0,0,AJ24/ABS(AG24)),3)</f>
        <v>0</v>
      </c>
    </row>
    <row r="25" spans="1:39" ht="15" customHeight="1">
      <c r="A25" s="100"/>
      <c r="B25" s="594" t="s">
        <v>1005</v>
      </c>
      <c r="C25" s="21"/>
      <c r="D25" s="493" t="s">
        <v>14</v>
      </c>
      <c r="E25" s="472"/>
      <c r="F25" s="493"/>
      <c r="G25" s="493"/>
      <c r="H25" s="493"/>
      <c r="I25" s="472"/>
      <c r="J25" s="493"/>
      <c r="K25" s="39"/>
      <c r="L25" s="493"/>
      <c r="M25" s="39"/>
      <c r="N25" s="493"/>
      <c r="O25" s="39"/>
      <c r="P25" s="493"/>
      <c r="Q25" s="39"/>
      <c r="R25" s="493"/>
      <c r="S25" s="39"/>
      <c r="T25" s="493"/>
      <c r="U25" s="39"/>
      <c r="V25" s="493"/>
      <c r="W25" s="36"/>
      <c r="X25" s="493"/>
      <c r="Y25" s="36"/>
      <c r="Z25" s="493"/>
      <c r="AA25" s="46"/>
      <c r="AB25" s="39"/>
      <c r="AC25" s="175"/>
      <c r="AD25" s="36"/>
      <c r="AE25" s="36"/>
      <c r="AF25" s="750"/>
      <c r="AG25" s="36"/>
      <c r="AH25" s="192"/>
      <c r="AI25" s="36"/>
      <c r="AJ25" s="467"/>
      <c r="AK25" s="467"/>
      <c r="AL25" s="469"/>
    </row>
    <row r="26" spans="1:39" ht="15" customHeight="1">
      <c r="A26" s="100"/>
      <c r="B26" s="594" t="s">
        <v>924</v>
      </c>
      <c r="C26" s="21"/>
      <c r="D26" s="493">
        <v>0</v>
      </c>
      <c r="E26" s="472"/>
      <c r="F26" s="493">
        <v>0</v>
      </c>
      <c r="G26" s="493"/>
      <c r="H26" s="493">
        <v>0</v>
      </c>
      <c r="I26" s="472"/>
      <c r="J26" s="493">
        <v>0</v>
      </c>
      <c r="K26" s="1004"/>
      <c r="L26" s="493">
        <v>0</v>
      </c>
      <c r="M26" s="1004"/>
      <c r="N26" s="493">
        <f t="shared" si="1"/>
        <v>0</v>
      </c>
      <c r="O26" s="1004"/>
      <c r="P26" s="493"/>
      <c r="Q26" s="1004"/>
      <c r="R26" s="493"/>
      <c r="S26" s="1004"/>
      <c r="T26" s="493"/>
      <c r="U26" s="1004"/>
      <c r="V26" s="493"/>
      <c r="W26" s="1004"/>
      <c r="X26" s="493"/>
      <c r="Y26" s="1004"/>
      <c r="Z26" s="493"/>
      <c r="AA26" s="496"/>
      <c r="AB26" s="467"/>
      <c r="AC26" s="932"/>
      <c r="AD26" s="912">
        <v>0</v>
      </c>
      <c r="AE26" s="467"/>
      <c r="AF26" s="933"/>
      <c r="AG26" s="912">
        <v>0</v>
      </c>
      <c r="AH26" s="192"/>
      <c r="AI26" s="36"/>
      <c r="AJ26" s="467">
        <f t="shared" si="2"/>
        <v>0</v>
      </c>
      <c r="AK26" s="467"/>
      <c r="AL26" s="469">
        <f t="shared" ref="AL26:AL31" si="3">ROUND(IF(AG26=0,0,AJ26/ABS(AG26)),3)</f>
        <v>0</v>
      </c>
    </row>
    <row r="27" spans="1:39" ht="15" customHeight="1">
      <c r="A27" s="100"/>
      <c r="B27" s="594" t="s">
        <v>925</v>
      </c>
      <c r="C27" s="21"/>
      <c r="D27" s="493">
        <v>0</v>
      </c>
      <c r="E27" s="472"/>
      <c r="F27" s="493">
        <v>0</v>
      </c>
      <c r="G27" s="493"/>
      <c r="H27" s="493">
        <v>0</v>
      </c>
      <c r="I27" s="472"/>
      <c r="J27" s="493">
        <v>0</v>
      </c>
      <c r="K27" s="1004"/>
      <c r="L27" s="493">
        <v>0</v>
      </c>
      <c r="M27" s="1004"/>
      <c r="N27" s="493">
        <f t="shared" si="1"/>
        <v>0</v>
      </c>
      <c r="O27" s="1004"/>
      <c r="P27" s="493"/>
      <c r="Q27" s="1004"/>
      <c r="R27" s="493"/>
      <c r="S27" s="1004"/>
      <c r="T27" s="493"/>
      <c r="U27" s="1004"/>
      <c r="V27" s="493"/>
      <c r="W27" s="1004"/>
      <c r="X27" s="493"/>
      <c r="Y27" s="1004"/>
      <c r="Z27" s="493"/>
      <c r="AA27" s="496"/>
      <c r="AB27" s="467"/>
      <c r="AC27" s="932"/>
      <c r="AD27" s="912">
        <v>0</v>
      </c>
      <c r="AE27" s="467"/>
      <c r="AF27" s="933"/>
      <c r="AG27" s="912">
        <v>0</v>
      </c>
      <c r="AH27" s="192"/>
      <c r="AI27" s="36"/>
      <c r="AJ27" s="467">
        <f t="shared" si="2"/>
        <v>0</v>
      </c>
      <c r="AK27" s="467"/>
      <c r="AL27" s="469">
        <f t="shared" si="3"/>
        <v>0</v>
      </c>
    </row>
    <row r="28" spans="1:39" ht="15" customHeight="1">
      <c r="A28" s="100"/>
      <c r="B28" s="594" t="s">
        <v>926</v>
      </c>
      <c r="C28" s="21"/>
      <c r="D28" s="493">
        <v>0</v>
      </c>
      <c r="E28" s="472"/>
      <c r="F28" s="493">
        <v>0</v>
      </c>
      <c r="G28" s="493"/>
      <c r="H28" s="493">
        <v>0</v>
      </c>
      <c r="I28" s="472"/>
      <c r="J28" s="493">
        <v>0</v>
      </c>
      <c r="K28" s="1004"/>
      <c r="L28" s="493">
        <v>0</v>
      </c>
      <c r="M28" s="1004"/>
      <c r="N28" s="493">
        <f t="shared" si="1"/>
        <v>0</v>
      </c>
      <c r="O28" s="1004"/>
      <c r="P28" s="493"/>
      <c r="Q28" s="1004"/>
      <c r="R28" s="493"/>
      <c r="S28" s="1004"/>
      <c r="T28" s="493"/>
      <c r="U28" s="1004"/>
      <c r="V28" s="493"/>
      <c r="W28" s="1004"/>
      <c r="X28" s="493"/>
      <c r="Y28" s="1004"/>
      <c r="Z28" s="493"/>
      <c r="AA28" s="496"/>
      <c r="AB28" s="467"/>
      <c r="AC28" s="932"/>
      <c r="AD28" s="912">
        <v>0</v>
      </c>
      <c r="AE28" s="467"/>
      <c r="AF28" s="933"/>
      <c r="AG28" s="912">
        <v>0</v>
      </c>
      <c r="AH28" s="192"/>
      <c r="AI28" s="36"/>
      <c r="AJ28" s="467">
        <f t="shared" si="2"/>
        <v>0</v>
      </c>
      <c r="AK28" s="467"/>
      <c r="AL28" s="469">
        <f t="shared" si="3"/>
        <v>0</v>
      </c>
    </row>
    <row r="29" spans="1:39" ht="15" customHeight="1">
      <c r="A29" s="100"/>
      <c r="B29" s="594" t="s">
        <v>927</v>
      </c>
      <c r="C29" s="21"/>
      <c r="D29" s="493">
        <v>0</v>
      </c>
      <c r="E29" s="472"/>
      <c r="F29" s="493">
        <v>0</v>
      </c>
      <c r="G29" s="493"/>
      <c r="H29" s="493">
        <v>0</v>
      </c>
      <c r="I29" s="472"/>
      <c r="J29" s="493">
        <v>0</v>
      </c>
      <c r="K29" s="1004"/>
      <c r="L29" s="493">
        <v>0</v>
      </c>
      <c r="M29" s="1004"/>
      <c r="N29" s="493">
        <f t="shared" si="1"/>
        <v>0</v>
      </c>
      <c r="O29" s="1004"/>
      <c r="P29" s="493"/>
      <c r="Q29" s="1004"/>
      <c r="R29" s="493"/>
      <c r="S29" s="1004"/>
      <c r="T29" s="493"/>
      <c r="U29" s="1004"/>
      <c r="V29" s="493"/>
      <c r="W29" s="1004"/>
      <c r="X29" s="493"/>
      <c r="Y29" s="1004"/>
      <c r="Z29" s="493"/>
      <c r="AA29" s="496"/>
      <c r="AB29" s="467"/>
      <c r="AC29" s="932"/>
      <c r="AD29" s="912">
        <v>0</v>
      </c>
      <c r="AE29" s="467"/>
      <c r="AF29" s="933"/>
      <c r="AG29" s="912">
        <v>0</v>
      </c>
      <c r="AH29" s="192"/>
      <c r="AI29" s="36"/>
      <c r="AJ29" s="467">
        <f t="shared" si="2"/>
        <v>0</v>
      </c>
      <c r="AK29" s="467"/>
      <c r="AL29" s="469">
        <f t="shared" si="3"/>
        <v>0</v>
      </c>
    </row>
    <row r="30" spans="1:39" ht="15" customHeight="1">
      <c r="A30" s="100"/>
      <c r="B30" s="594" t="s">
        <v>928</v>
      </c>
      <c r="C30" s="21"/>
      <c r="D30" s="493">
        <v>0</v>
      </c>
      <c r="E30" s="472"/>
      <c r="F30" s="493">
        <v>0</v>
      </c>
      <c r="G30" s="493"/>
      <c r="H30" s="493">
        <v>0</v>
      </c>
      <c r="I30" s="472"/>
      <c r="J30" s="493">
        <v>0</v>
      </c>
      <c r="K30" s="1004"/>
      <c r="L30" s="493">
        <v>0</v>
      </c>
      <c r="M30" s="1004"/>
      <c r="N30" s="493">
        <f t="shared" si="1"/>
        <v>0</v>
      </c>
      <c r="O30" s="1004"/>
      <c r="P30" s="493"/>
      <c r="Q30" s="1004"/>
      <c r="R30" s="493"/>
      <c r="S30" s="1004"/>
      <c r="T30" s="493"/>
      <c r="U30" s="1004"/>
      <c r="V30" s="493"/>
      <c r="W30" s="1004"/>
      <c r="X30" s="493"/>
      <c r="Y30" s="1004"/>
      <c r="Z30" s="493"/>
      <c r="AA30" s="496"/>
      <c r="AB30" s="467"/>
      <c r="AC30" s="932"/>
      <c r="AD30" s="912">
        <v>0</v>
      </c>
      <c r="AE30" s="467"/>
      <c r="AF30" s="933"/>
      <c r="AG30" s="912">
        <v>0</v>
      </c>
      <c r="AH30" s="192"/>
      <c r="AI30" s="36"/>
      <c r="AJ30" s="467">
        <f t="shared" si="2"/>
        <v>0</v>
      </c>
      <c r="AK30" s="467"/>
      <c r="AL30" s="469">
        <f t="shared" si="3"/>
        <v>0</v>
      </c>
    </row>
    <row r="31" spans="1:39" ht="15" customHeight="1">
      <c r="A31" s="100"/>
      <c r="B31" s="594" t="s">
        <v>887</v>
      </c>
      <c r="C31" s="21"/>
      <c r="D31" s="493">
        <v>0.7</v>
      </c>
      <c r="E31" s="472"/>
      <c r="F31" s="493">
        <v>0.5</v>
      </c>
      <c r="G31" s="493"/>
      <c r="H31" s="493">
        <v>0.5</v>
      </c>
      <c r="I31" s="472"/>
      <c r="J31" s="493">
        <v>0.50000000000000022</v>
      </c>
      <c r="K31" s="1004"/>
      <c r="L31" s="493">
        <v>0.49999999999999978</v>
      </c>
      <c r="M31" s="1004"/>
      <c r="N31" s="493">
        <f t="shared" si="1"/>
        <v>0.70000000000000018</v>
      </c>
      <c r="O31" s="1004"/>
      <c r="P31" s="493"/>
      <c r="Q31" s="1004"/>
      <c r="R31" s="493"/>
      <c r="S31" s="1004"/>
      <c r="T31" s="493"/>
      <c r="U31" s="1004"/>
      <c r="V31" s="493"/>
      <c r="W31" s="1004"/>
      <c r="X31" s="493"/>
      <c r="Y31" s="1004"/>
      <c r="Z31" s="493"/>
      <c r="AA31" s="496"/>
      <c r="AB31" s="467"/>
      <c r="AC31" s="932"/>
      <c r="AD31" s="912">
        <v>3.4</v>
      </c>
      <c r="AE31" s="467"/>
      <c r="AF31" s="933"/>
      <c r="AG31" s="912">
        <v>3.6</v>
      </c>
      <c r="AH31" s="192"/>
      <c r="AI31" s="36"/>
      <c r="AJ31" s="467">
        <f>ROUND(SUM(+AD31-AG31),1)</f>
        <v>-0.2</v>
      </c>
      <c r="AK31" s="467"/>
      <c r="AL31" s="469">
        <f t="shared" si="3"/>
        <v>-5.6000000000000001E-2</v>
      </c>
    </row>
    <row r="32" spans="1:39" ht="15" customHeight="1">
      <c r="A32" s="100"/>
      <c r="B32" s="594" t="s">
        <v>888</v>
      </c>
      <c r="C32" s="21"/>
      <c r="D32" s="493">
        <v>72.400000000000006</v>
      </c>
      <c r="E32" s="472"/>
      <c r="F32" s="493">
        <v>69.099999999999994</v>
      </c>
      <c r="G32" s="493"/>
      <c r="H32" s="493">
        <v>70.699999999999989</v>
      </c>
      <c r="I32" s="472"/>
      <c r="J32" s="493">
        <v>71.300000000000011</v>
      </c>
      <c r="K32" s="1004"/>
      <c r="L32" s="493">
        <v>80.600000000000051</v>
      </c>
      <c r="M32" s="1004"/>
      <c r="N32" s="493">
        <f t="shared" si="1"/>
        <v>77.999999999999972</v>
      </c>
      <c r="O32" s="1004"/>
      <c r="P32" s="493"/>
      <c r="Q32" s="1004"/>
      <c r="R32" s="493"/>
      <c r="S32" s="1004"/>
      <c r="T32" s="493"/>
      <c r="U32" s="1004"/>
      <c r="V32" s="493"/>
      <c r="W32" s="1004"/>
      <c r="X32" s="493"/>
      <c r="Y32" s="1004"/>
      <c r="Z32" s="493"/>
      <c r="AA32" s="496"/>
      <c r="AB32" s="467"/>
      <c r="AC32" s="932"/>
      <c r="AD32" s="912">
        <v>442.1</v>
      </c>
      <c r="AE32" s="467"/>
      <c r="AF32" s="933"/>
      <c r="AG32" s="912">
        <v>80.2</v>
      </c>
      <c r="AH32" s="192"/>
      <c r="AI32" s="36"/>
      <c r="AJ32" s="467">
        <f t="shared" si="2"/>
        <v>361.9</v>
      </c>
      <c r="AK32" s="467"/>
      <c r="AL32" s="2026">
        <f>ROUND(IF(AG32=0,1,AJ32/ABS(AG32)),3)</f>
        <v>4.5119999999999996</v>
      </c>
    </row>
    <row r="33" spans="1:38" ht="15" customHeight="1">
      <c r="A33" s="100"/>
      <c r="B33" s="594" t="s">
        <v>905</v>
      </c>
      <c r="C33" s="21"/>
      <c r="D33" s="493">
        <v>0</v>
      </c>
      <c r="E33" s="472"/>
      <c r="F33" s="493">
        <v>0</v>
      </c>
      <c r="G33" s="493"/>
      <c r="H33" s="493">
        <v>0</v>
      </c>
      <c r="I33" s="472"/>
      <c r="J33" s="493">
        <v>0</v>
      </c>
      <c r="K33" s="1004"/>
      <c r="L33" s="493">
        <v>0</v>
      </c>
      <c r="M33" s="1004"/>
      <c r="N33" s="493">
        <f t="shared" si="1"/>
        <v>0</v>
      </c>
      <c r="O33" s="1004"/>
      <c r="P33" s="493"/>
      <c r="Q33" s="1004"/>
      <c r="R33" s="493"/>
      <c r="S33" s="1004"/>
      <c r="T33" s="493"/>
      <c r="U33" s="1004"/>
      <c r="V33" s="493"/>
      <c r="W33" s="1004"/>
      <c r="X33" s="493"/>
      <c r="Y33" s="1004"/>
      <c r="Z33" s="493"/>
      <c r="AA33" s="496"/>
      <c r="AB33" s="467"/>
      <c r="AC33" s="932"/>
      <c r="AD33" s="912">
        <v>0</v>
      </c>
      <c r="AE33" s="467"/>
      <c r="AF33" s="933"/>
      <c r="AG33" s="912">
        <v>0</v>
      </c>
      <c r="AH33" s="192"/>
      <c r="AI33" s="36"/>
      <c r="AJ33" s="467">
        <f>ROUND(SUM(+AD33-AG33),1)</f>
        <v>0</v>
      </c>
      <c r="AK33" s="467"/>
      <c r="AL33" s="469">
        <f>ROUND(IF(AG33=0,0,AJ33/ABS(AG33)),3)</f>
        <v>0</v>
      </c>
    </row>
    <row r="34" spans="1:38" ht="15" customHeight="1">
      <c r="A34" s="100"/>
      <c r="B34" s="594" t="s">
        <v>1003</v>
      </c>
      <c r="C34" s="21"/>
      <c r="D34" s="493" t="s">
        <v>14</v>
      </c>
      <c r="E34" s="472"/>
      <c r="F34" s="493"/>
      <c r="G34" s="493"/>
      <c r="H34" s="493"/>
      <c r="I34" s="472"/>
      <c r="J34" s="493"/>
      <c r="K34" s="39"/>
      <c r="L34" s="493"/>
      <c r="M34" s="39"/>
      <c r="N34" s="493"/>
      <c r="O34" s="39"/>
      <c r="P34" s="493"/>
      <c r="Q34" s="39"/>
      <c r="R34" s="493"/>
      <c r="S34" s="39"/>
      <c r="T34" s="493"/>
      <c r="U34" s="39"/>
      <c r="V34" s="493"/>
      <c r="W34" s="36"/>
      <c r="X34" s="493"/>
      <c r="Y34" s="36"/>
      <c r="Z34" s="493"/>
      <c r="AA34" s="46"/>
      <c r="AB34" s="39"/>
      <c r="AC34" s="175"/>
      <c r="AD34" s="36"/>
      <c r="AE34" s="36"/>
      <c r="AF34" s="750"/>
      <c r="AG34" s="36"/>
      <c r="AH34" s="192"/>
      <c r="AI34" s="36"/>
      <c r="AJ34" s="467"/>
      <c r="AK34" s="467"/>
      <c r="AL34" s="488"/>
    </row>
    <row r="35" spans="1:38" ht="15" customHeight="1">
      <c r="A35" s="100"/>
      <c r="B35" s="594" t="s">
        <v>931</v>
      </c>
      <c r="C35" s="21"/>
      <c r="D35" s="493">
        <v>0</v>
      </c>
      <c r="E35" s="472"/>
      <c r="F35" s="493">
        <v>0</v>
      </c>
      <c r="G35" s="493"/>
      <c r="H35" s="493">
        <v>0</v>
      </c>
      <c r="I35" s="472"/>
      <c r="J35" s="493">
        <v>0</v>
      </c>
      <c r="K35" s="1004"/>
      <c r="L35" s="493">
        <v>0</v>
      </c>
      <c r="M35" s="1004"/>
      <c r="N35" s="493">
        <f t="shared" si="1"/>
        <v>0</v>
      </c>
      <c r="O35" s="1004"/>
      <c r="P35" s="493"/>
      <c r="Q35" s="1004"/>
      <c r="R35" s="493"/>
      <c r="S35" s="1004"/>
      <c r="T35" s="493"/>
      <c r="U35" s="1004"/>
      <c r="V35" s="493"/>
      <c r="W35" s="1004"/>
      <c r="X35" s="493"/>
      <c r="Y35" s="1004"/>
      <c r="Z35" s="493"/>
      <c r="AA35" s="496"/>
      <c r="AB35" s="467"/>
      <c r="AC35" s="932"/>
      <c r="AD35" s="912">
        <v>0</v>
      </c>
      <c r="AE35" s="467"/>
      <c r="AF35" s="933"/>
      <c r="AG35" s="912">
        <v>0</v>
      </c>
      <c r="AH35" s="192"/>
      <c r="AI35" s="36"/>
      <c r="AJ35" s="467">
        <f t="shared" si="2"/>
        <v>0</v>
      </c>
      <c r="AK35" s="467"/>
      <c r="AL35" s="469">
        <f t="shared" ref="AL35:AL39" si="4">ROUND(IF(AG35=0,0,AJ35/ABS(AG35)),3)</f>
        <v>0</v>
      </c>
    </row>
    <row r="36" spans="1:38" ht="15" customHeight="1">
      <c r="A36" s="100"/>
      <c r="B36" s="594" t="s">
        <v>932</v>
      </c>
      <c r="C36" s="21"/>
      <c r="D36" s="493">
        <v>0</v>
      </c>
      <c r="E36" s="472"/>
      <c r="F36" s="493">
        <v>0</v>
      </c>
      <c r="G36" s="493"/>
      <c r="H36" s="493">
        <v>0</v>
      </c>
      <c r="I36" s="472"/>
      <c r="J36" s="493">
        <v>0</v>
      </c>
      <c r="K36" s="1004"/>
      <c r="L36" s="493">
        <v>0</v>
      </c>
      <c r="M36" s="1004"/>
      <c r="N36" s="493">
        <f t="shared" si="1"/>
        <v>0</v>
      </c>
      <c r="O36" s="1004"/>
      <c r="P36" s="493"/>
      <c r="Q36" s="1004"/>
      <c r="R36" s="493"/>
      <c r="S36" s="1004"/>
      <c r="T36" s="493"/>
      <c r="U36" s="1004"/>
      <c r="V36" s="493"/>
      <c r="W36" s="1004"/>
      <c r="X36" s="493"/>
      <c r="Y36" s="1004"/>
      <c r="Z36" s="493"/>
      <c r="AA36" s="496"/>
      <c r="AB36" s="467"/>
      <c r="AC36" s="932"/>
      <c r="AD36" s="912">
        <v>0</v>
      </c>
      <c r="AE36" s="467"/>
      <c r="AF36" s="933"/>
      <c r="AG36" s="912">
        <v>0</v>
      </c>
      <c r="AH36" s="192"/>
      <c r="AI36" s="36"/>
      <c r="AJ36" s="467">
        <f t="shared" si="2"/>
        <v>0</v>
      </c>
      <c r="AK36" s="467"/>
      <c r="AL36" s="469">
        <f t="shared" si="4"/>
        <v>0</v>
      </c>
    </row>
    <row r="37" spans="1:38" ht="15" customHeight="1">
      <c r="A37" s="100"/>
      <c r="B37" s="594" t="s">
        <v>933</v>
      </c>
      <c r="C37" s="21"/>
      <c r="D37" s="493">
        <v>0</v>
      </c>
      <c r="E37" s="472"/>
      <c r="F37" s="493">
        <v>0</v>
      </c>
      <c r="G37" s="493"/>
      <c r="H37" s="493">
        <v>0</v>
      </c>
      <c r="I37" s="472"/>
      <c r="J37" s="493">
        <v>0</v>
      </c>
      <c r="K37" s="1004"/>
      <c r="L37" s="493">
        <v>0</v>
      </c>
      <c r="M37" s="1004"/>
      <c r="N37" s="493">
        <f t="shared" si="1"/>
        <v>0</v>
      </c>
      <c r="O37" s="1004"/>
      <c r="P37" s="493"/>
      <c r="Q37" s="1004"/>
      <c r="R37" s="493"/>
      <c r="S37" s="1004"/>
      <c r="T37" s="493"/>
      <c r="U37" s="1004"/>
      <c r="V37" s="493"/>
      <c r="W37" s="1004"/>
      <c r="X37" s="493"/>
      <c r="Y37" s="1004"/>
      <c r="Z37" s="493"/>
      <c r="AA37" s="496"/>
      <c r="AB37" s="467"/>
      <c r="AC37" s="932"/>
      <c r="AD37" s="912">
        <v>0</v>
      </c>
      <c r="AE37" s="467"/>
      <c r="AF37" s="933"/>
      <c r="AG37" s="912">
        <v>0</v>
      </c>
      <c r="AH37" s="192"/>
      <c r="AI37" s="36"/>
      <c r="AJ37" s="467">
        <f t="shared" si="2"/>
        <v>0</v>
      </c>
      <c r="AK37" s="467"/>
      <c r="AL37" s="469">
        <f t="shared" si="4"/>
        <v>0</v>
      </c>
    </row>
    <row r="38" spans="1:38" ht="15" customHeight="1">
      <c r="A38" s="100"/>
      <c r="B38" s="594" t="s">
        <v>934</v>
      </c>
      <c r="C38" s="21"/>
      <c r="D38" s="493">
        <v>0</v>
      </c>
      <c r="E38" s="472"/>
      <c r="F38" s="493">
        <v>0</v>
      </c>
      <c r="G38" s="493"/>
      <c r="H38" s="493">
        <v>0</v>
      </c>
      <c r="I38" s="472"/>
      <c r="J38" s="493">
        <v>0</v>
      </c>
      <c r="K38" s="1004"/>
      <c r="L38" s="493">
        <v>0</v>
      </c>
      <c r="M38" s="1004"/>
      <c r="N38" s="493">
        <f t="shared" si="1"/>
        <v>0</v>
      </c>
      <c r="O38" s="1004"/>
      <c r="P38" s="493"/>
      <c r="Q38" s="1004"/>
      <c r="R38" s="493"/>
      <c r="S38" s="1004"/>
      <c r="T38" s="493"/>
      <c r="U38" s="1004"/>
      <c r="V38" s="493"/>
      <c r="W38" s="1004"/>
      <c r="X38" s="493"/>
      <c r="Y38" s="1004"/>
      <c r="Z38" s="493"/>
      <c r="AA38" s="496"/>
      <c r="AB38" s="467"/>
      <c r="AC38" s="932"/>
      <c r="AD38" s="912">
        <v>0</v>
      </c>
      <c r="AE38" s="467"/>
      <c r="AF38" s="933"/>
      <c r="AG38" s="912">
        <v>0</v>
      </c>
      <c r="AH38" s="192"/>
      <c r="AI38" s="36"/>
      <c r="AJ38" s="467">
        <f t="shared" si="2"/>
        <v>0</v>
      </c>
      <c r="AK38" s="467"/>
      <c r="AL38" s="469">
        <f t="shared" si="4"/>
        <v>0</v>
      </c>
    </row>
    <row r="39" spans="1:38" ht="15" customHeight="1">
      <c r="A39" s="100"/>
      <c r="B39" s="594" t="s">
        <v>906</v>
      </c>
      <c r="C39" s="21"/>
      <c r="D39" s="493">
        <v>0</v>
      </c>
      <c r="E39" s="472"/>
      <c r="F39" s="493">
        <v>0</v>
      </c>
      <c r="G39" s="493"/>
      <c r="H39" s="493">
        <v>0</v>
      </c>
      <c r="I39" s="472"/>
      <c r="J39" s="493">
        <v>0</v>
      </c>
      <c r="K39" s="1004"/>
      <c r="L39" s="493">
        <v>0</v>
      </c>
      <c r="M39" s="1004"/>
      <c r="N39" s="493">
        <f t="shared" si="1"/>
        <v>0</v>
      </c>
      <c r="O39" s="1004"/>
      <c r="P39" s="493"/>
      <c r="Q39" s="1004"/>
      <c r="R39" s="493"/>
      <c r="S39" s="1004"/>
      <c r="T39" s="493"/>
      <c r="U39" s="1004"/>
      <c r="V39" s="493"/>
      <c r="W39" s="1004"/>
      <c r="X39" s="493"/>
      <c r="Y39" s="1004"/>
      <c r="Z39" s="493"/>
      <c r="AA39" s="496"/>
      <c r="AB39" s="467"/>
      <c r="AC39" s="932"/>
      <c r="AD39" s="912">
        <v>0</v>
      </c>
      <c r="AE39" s="467"/>
      <c r="AF39" s="933"/>
      <c r="AG39" s="912">
        <v>0</v>
      </c>
      <c r="AH39" s="192"/>
      <c r="AI39" s="36"/>
      <c r="AJ39" s="467">
        <f t="shared" si="2"/>
        <v>0</v>
      </c>
      <c r="AK39" s="467"/>
      <c r="AL39" s="469">
        <f t="shared" si="4"/>
        <v>0</v>
      </c>
    </row>
    <row r="40" spans="1:38" ht="15" customHeight="1">
      <c r="A40" s="100"/>
      <c r="B40" s="594" t="s">
        <v>1004</v>
      </c>
      <c r="C40" s="21"/>
      <c r="D40" s="493" t="s">
        <v>14</v>
      </c>
      <c r="E40" s="472"/>
      <c r="F40" s="493"/>
      <c r="G40" s="493"/>
      <c r="H40" s="493"/>
      <c r="I40" s="472"/>
      <c r="J40" s="493"/>
      <c r="K40" s="39"/>
      <c r="L40" s="493"/>
      <c r="M40" s="39"/>
      <c r="N40" s="493"/>
      <c r="O40" s="39"/>
      <c r="P40" s="493"/>
      <c r="Q40" s="39"/>
      <c r="R40" s="493"/>
      <c r="S40" s="39"/>
      <c r="T40" s="493"/>
      <c r="U40" s="39"/>
      <c r="V40" s="493"/>
      <c r="W40" s="36"/>
      <c r="X40" s="493"/>
      <c r="Y40" s="36"/>
      <c r="Z40" s="493"/>
      <c r="AA40" s="46"/>
      <c r="AB40" s="39"/>
      <c r="AC40" s="175"/>
      <c r="AD40" s="36"/>
      <c r="AE40" s="36"/>
      <c r="AF40" s="750"/>
      <c r="AG40" s="36"/>
      <c r="AH40" s="192"/>
      <c r="AI40" s="36"/>
      <c r="AJ40" s="467"/>
      <c r="AK40" s="467"/>
      <c r="AL40" s="488"/>
    </row>
    <row r="41" spans="1:38" ht="15" customHeight="1">
      <c r="A41" s="100"/>
      <c r="B41" s="594" t="s">
        <v>935</v>
      </c>
      <c r="C41" s="21"/>
      <c r="D41" s="493">
        <v>0</v>
      </c>
      <c r="E41" s="472"/>
      <c r="F41" s="493">
        <v>0</v>
      </c>
      <c r="G41" s="493"/>
      <c r="H41" s="493">
        <v>0</v>
      </c>
      <c r="I41" s="472"/>
      <c r="J41" s="493">
        <v>0</v>
      </c>
      <c r="K41" s="1004"/>
      <c r="L41" s="493">
        <v>0</v>
      </c>
      <c r="M41" s="1004"/>
      <c r="N41" s="493">
        <f t="shared" si="1"/>
        <v>0</v>
      </c>
      <c r="O41" s="1004"/>
      <c r="P41" s="493"/>
      <c r="Q41" s="1004"/>
      <c r="R41" s="493"/>
      <c r="S41" s="1004"/>
      <c r="T41" s="493"/>
      <c r="U41" s="1004"/>
      <c r="V41" s="493"/>
      <c r="W41" s="1004"/>
      <c r="X41" s="493"/>
      <c r="Y41" s="1004"/>
      <c r="Z41" s="493"/>
      <c r="AA41" s="496"/>
      <c r="AB41" s="467"/>
      <c r="AC41" s="932"/>
      <c r="AD41" s="912">
        <v>0</v>
      </c>
      <c r="AE41" s="467"/>
      <c r="AF41" s="933"/>
      <c r="AG41" s="912">
        <v>0</v>
      </c>
      <c r="AH41" s="192"/>
      <c r="AI41" s="36"/>
      <c r="AJ41" s="467">
        <f t="shared" si="2"/>
        <v>0</v>
      </c>
      <c r="AK41" s="467"/>
      <c r="AL41" s="469">
        <f>ROUND(IF(AG41=0,0,AJ41/ABS(AG41)),3)</f>
        <v>0</v>
      </c>
    </row>
    <row r="42" spans="1:38" ht="15" customHeight="1">
      <c r="A42" s="100"/>
      <c r="B42" s="594" t="s">
        <v>936</v>
      </c>
      <c r="C42" s="21"/>
      <c r="D42" s="493">
        <v>0</v>
      </c>
      <c r="E42" s="472"/>
      <c r="F42" s="493">
        <v>0</v>
      </c>
      <c r="G42" s="493"/>
      <c r="H42" s="493">
        <v>0</v>
      </c>
      <c r="I42" s="472"/>
      <c r="J42" s="493">
        <v>0</v>
      </c>
      <c r="K42" s="1004"/>
      <c r="L42" s="493">
        <v>0</v>
      </c>
      <c r="M42" s="1004"/>
      <c r="N42" s="493">
        <f t="shared" si="1"/>
        <v>0</v>
      </c>
      <c r="O42" s="1004"/>
      <c r="P42" s="493"/>
      <c r="Q42" s="1004"/>
      <c r="R42" s="493"/>
      <c r="S42" s="1004"/>
      <c r="T42" s="493"/>
      <c r="U42" s="1004"/>
      <c r="V42" s="493"/>
      <c r="W42" s="1004"/>
      <c r="X42" s="493"/>
      <c r="Y42" s="1004"/>
      <c r="Z42" s="493"/>
      <c r="AA42" s="496"/>
      <c r="AB42" s="467"/>
      <c r="AC42" s="932"/>
      <c r="AD42" s="912">
        <v>0</v>
      </c>
      <c r="AE42" s="467"/>
      <c r="AF42" s="933"/>
      <c r="AG42" s="912">
        <v>0</v>
      </c>
      <c r="AH42" s="192"/>
      <c r="AI42" s="36"/>
      <c r="AJ42" s="467">
        <f t="shared" si="2"/>
        <v>0</v>
      </c>
      <c r="AK42" s="467"/>
      <c r="AL42" s="469">
        <f t="shared" ref="AL42:AL48" si="5">ROUND(IF(AG42=0,0,AJ42/ABS(AG42)),3)</f>
        <v>0</v>
      </c>
    </row>
    <row r="43" spans="1:38" ht="15" customHeight="1">
      <c r="A43" s="100"/>
      <c r="B43" s="594" t="s">
        <v>937</v>
      </c>
      <c r="C43" s="21"/>
      <c r="D43" s="493">
        <v>0.4</v>
      </c>
      <c r="E43" s="472"/>
      <c r="F43" s="493">
        <v>0</v>
      </c>
      <c r="G43" s="493"/>
      <c r="H43" s="493">
        <v>0.29999999999999993</v>
      </c>
      <c r="I43" s="472"/>
      <c r="J43" s="493">
        <v>0</v>
      </c>
      <c r="K43" s="1004"/>
      <c r="L43" s="493">
        <v>0.7</v>
      </c>
      <c r="M43" s="1004"/>
      <c r="N43" s="493">
        <f t="shared" si="1"/>
        <v>0</v>
      </c>
      <c r="O43" s="1004"/>
      <c r="P43" s="493"/>
      <c r="Q43" s="1004"/>
      <c r="R43" s="493"/>
      <c r="S43" s="1004"/>
      <c r="T43" s="493"/>
      <c r="U43" s="1004"/>
      <c r="V43" s="493"/>
      <c r="W43" s="1004"/>
      <c r="X43" s="493"/>
      <c r="Y43" s="1004"/>
      <c r="Z43" s="493"/>
      <c r="AA43" s="496"/>
      <c r="AB43" s="467"/>
      <c r="AC43" s="932"/>
      <c r="AD43" s="912">
        <v>1.4</v>
      </c>
      <c r="AE43" s="467"/>
      <c r="AF43" s="933"/>
      <c r="AG43" s="912">
        <v>0.2</v>
      </c>
      <c r="AH43" s="192"/>
      <c r="AI43" s="36"/>
      <c r="AJ43" s="467">
        <f t="shared" si="2"/>
        <v>1.2</v>
      </c>
      <c r="AK43" s="467"/>
      <c r="AL43" s="469">
        <f>ROUND(IF(AG43=0,1,AJ43/ABS(AG43)),3)</f>
        <v>6</v>
      </c>
    </row>
    <row r="44" spans="1:38" ht="15" customHeight="1">
      <c r="A44" s="100"/>
      <c r="B44" s="594" t="s">
        <v>938</v>
      </c>
      <c r="C44" s="21"/>
      <c r="D44" s="493">
        <v>0</v>
      </c>
      <c r="E44" s="472"/>
      <c r="F44" s="493">
        <v>0</v>
      </c>
      <c r="G44" s="493"/>
      <c r="H44" s="493">
        <v>0</v>
      </c>
      <c r="I44" s="472"/>
      <c r="J44" s="493">
        <v>0</v>
      </c>
      <c r="K44" s="1004"/>
      <c r="L44" s="493">
        <v>0</v>
      </c>
      <c r="M44" s="1004"/>
      <c r="N44" s="493">
        <f t="shared" si="1"/>
        <v>0</v>
      </c>
      <c r="O44" s="1004"/>
      <c r="P44" s="493"/>
      <c r="Q44" s="1004"/>
      <c r="R44" s="493"/>
      <c r="S44" s="1004"/>
      <c r="T44" s="493"/>
      <c r="U44" s="1004"/>
      <c r="V44" s="493"/>
      <c r="W44" s="1004"/>
      <c r="X44" s="493"/>
      <c r="Y44" s="1004"/>
      <c r="Z44" s="493"/>
      <c r="AA44" s="496"/>
      <c r="AB44" s="467"/>
      <c r="AC44" s="932"/>
      <c r="AD44" s="912">
        <v>0</v>
      </c>
      <c r="AE44" s="467"/>
      <c r="AF44" s="933"/>
      <c r="AG44" s="912">
        <v>0</v>
      </c>
      <c r="AH44" s="192"/>
      <c r="AI44" s="36"/>
      <c r="AJ44" s="467">
        <f t="shared" si="2"/>
        <v>0</v>
      </c>
      <c r="AK44" s="467"/>
      <c r="AL44" s="469">
        <f t="shared" si="5"/>
        <v>0</v>
      </c>
    </row>
    <row r="45" spans="1:38" ht="15" customHeight="1">
      <c r="A45" s="100"/>
      <c r="B45" s="594" t="s">
        <v>939</v>
      </c>
      <c r="C45" s="21"/>
      <c r="D45" s="493">
        <v>0</v>
      </c>
      <c r="E45" s="472"/>
      <c r="F45" s="493">
        <v>0</v>
      </c>
      <c r="G45" s="493"/>
      <c r="H45" s="493">
        <v>0</v>
      </c>
      <c r="I45" s="472"/>
      <c r="J45" s="493">
        <v>0</v>
      </c>
      <c r="K45" s="1004"/>
      <c r="L45" s="493">
        <v>0</v>
      </c>
      <c r="M45" s="1004"/>
      <c r="N45" s="493">
        <f t="shared" si="1"/>
        <v>0</v>
      </c>
      <c r="O45" s="1004"/>
      <c r="P45" s="493"/>
      <c r="Q45" s="1004"/>
      <c r="R45" s="493"/>
      <c r="S45" s="1004"/>
      <c r="T45" s="493"/>
      <c r="U45" s="1004"/>
      <c r="V45" s="493"/>
      <c r="W45" s="1004"/>
      <c r="X45" s="493"/>
      <c r="Y45" s="1004"/>
      <c r="Z45" s="493"/>
      <c r="AA45" s="496"/>
      <c r="AB45" s="467"/>
      <c r="AC45" s="932"/>
      <c r="AD45" s="912">
        <v>0</v>
      </c>
      <c r="AE45" s="467"/>
      <c r="AF45" s="933"/>
      <c r="AG45" s="912">
        <v>0</v>
      </c>
      <c r="AH45" s="192"/>
      <c r="AI45" s="36"/>
      <c r="AJ45" s="467">
        <f t="shared" si="2"/>
        <v>0</v>
      </c>
      <c r="AK45" s="467"/>
      <c r="AL45" s="469">
        <f t="shared" si="5"/>
        <v>0</v>
      </c>
    </row>
    <row r="46" spans="1:38" ht="15" customHeight="1">
      <c r="A46" s="100"/>
      <c r="B46" s="594" t="s">
        <v>940</v>
      </c>
      <c r="C46" s="21"/>
      <c r="D46" s="493">
        <v>7.1</v>
      </c>
      <c r="E46" s="472"/>
      <c r="F46" s="493">
        <v>9.1</v>
      </c>
      <c r="G46" s="493"/>
      <c r="H46" s="493">
        <v>8.5000000000000018</v>
      </c>
      <c r="I46" s="472"/>
      <c r="J46" s="493">
        <v>8.9999999999999982</v>
      </c>
      <c r="K46" s="1004"/>
      <c r="L46" s="493">
        <v>8.6999999999999975</v>
      </c>
      <c r="M46" s="1004"/>
      <c r="N46" s="493">
        <f t="shared" si="1"/>
        <v>8.6</v>
      </c>
      <c r="O46" s="1004"/>
      <c r="P46" s="493"/>
      <c r="Q46" s="1004"/>
      <c r="R46" s="493"/>
      <c r="S46" s="1004"/>
      <c r="T46" s="493"/>
      <c r="U46" s="1004"/>
      <c r="V46" s="493"/>
      <c r="W46" s="1004"/>
      <c r="X46" s="493"/>
      <c r="Y46" s="1004"/>
      <c r="Z46" s="493"/>
      <c r="AA46" s="496"/>
      <c r="AB46" s="467"/>
      <c r="AC46" s="932"/>
      <c r="AD46" s="912">
        <v>51</v>
      </c>
      <c r="AE46" s="467"/>
      <c r="AF46" s="933"/>
      <c r="AG46" s="912">
        <v>45.2</v>
      </c>
      <c r="AH46" s="192"/>
      <c r="AI46" s="36"/>
      <c r="AJ46" s="467">
        <f t="shared" si="2"/>
        <v>5.8</v>
      </c>
      <c r="AK46" s="467"/>
      <c r="AL46" s="469">
        <f t="shared" si="5"/>
        <v>0.128</v>
      </c>
    </row>
    <row r="47" spans="1:38" ht="15" customHeight="1">
      <c r="A47" s="100"/>
      <c r="B47" s="594" t="s">
        <v>941</v>
      </c>
      <c r="C47" s="21"/>
      <c r="D47" s="493">
        <v>0</v>
      </c>
      <c r="E47" s="472"/>
      <c r="F47" s="493">
        <v>0</v>
      </c>
      <c r="G47" s="493"/>
      <c r="H47" s="493">
        <v>0</v>
      </c>
      <c r="I47" s="472"/>
      <c r="J47" s="493">
        <v>0</v>
      </c>
      <c r="K47" s="1004"/>
      <c r="L47" s="493">
        <v>0</v>
      </c>
      <c r="M47" s="1004"/>
      <c r="N47" s="493">
        <f t="shared" si="1"/>
        <v>0</v>
      </c>
      <c r="O47" s="1004"/>
      <c r="P47" s="493"/>
      <c r="Q47" s="1004"/>
      <c r="R47" s="493"/>
      <c r="S47" s="1004"/>
      <c r="T47" s="493"/>
      <c r="U47" s="1004"/>
      <c r="V47" s="493"/>
      <c r="W47" s="1004"/>
      <c r="X47" s="493"/>
      <c r="Y47" s="1004"/>
      <c r="Z47" s="493"/>
      <c r="AA47" s="496"/>
      <c r="AB47" s="467"/>
      <c r="AC47" s="932"/>
      <c r="AD47" s="912">
        <v>0</v>
      </c>
      <c r="AE47" s="467"/>
      <c r="AF47" s="933"/>
      <c r="AG47" s="912">
        <v>0</v>
      </c>
      <c r="AH47" s="192"/>
      <c r="AI47" s="36"/>
      <c r="AJ47" s="467">
        <f t="shared" si="2"/>
        <v>0</v>
      </c>
      <c r="AK47" s="467"/>
      <c r="AL47" s="469">
        <f t="shared" si="5"/>
        <v>0</v>
      </c>
    </row>
    <row r="48" spans="1:38" ht="15" customHeight="1">
      <c r="A48" s="100"/>
      <c r="B48" s="594" t="s">
        <v>942</v>
      </c>
      <c r="C48" s="21"/>
      <c r="D48" s="493">
        <v>0</v>
      </c>
      <c r="E48" s="472"/>
      <c r="F48" s="493">
        <v>0</v>
      </c>
      <c r="G48" s="493"/>
      <c r="H48" s="493">
        <v>0</v>
      </c>
      <c r="I48" s="472"/>
      <c r="J48" s="493">
        <v>0</v>
      </c>
      <c r="K48" s="1004"/>
      <c r="L48" s="493">
        <v>0</v>
      </c>
      <c r="M48" s="1004"/>
      <c r="N48" s="493">
        <f t="shared" si="1"/>
        <v>0</v>
      </c>
      <c r="O48" s="1004"/>
      <c r="P48" s="493"/>
      <c r="Q48" s="1004"/>
      <c r="R48" s="493"/>
      <c r="S48" s="1004"/>
      <c r="T48" s="493"/>
      <c r="U48" s="1004"/>
      <c r="V48" s="493"/>
      <c r="W48" s="1004"/>
      <c r="X48" s="493"/>
      <c r="Y48" s="1004"/>
      <c r="Z48" s="493"/>
      <c r="AA48" s="496"/>
      <c r="AB48" s="467"/>
      <c r="AC48" s="932"/>
      <c r="AD48" s="912">
        <v>0</v>
      </c>
      <c r="AE48" s="467"/>
      <c r="AF48" s="933"/>
      <c r="AG48" s="912">
        <v>0</v>
      </c>
      <c r="AH48" s="192"/>
      <c r="AI48" s="36"/>
      <c r="AJ48" s="467">
        <f t="shared" si="2"/>
        <v>0</v>
      </c>
      <c r="AK48" s="467"/>
      <c r="AL48" s="469">
        <f t="shared" si="5"/>
        <v>0</v>
      </c>
    </row>
    <row r="49" spans="1:38" ht="15" customHeight="1">
      <c r="A49" s="100"/>
      <c r="B49" s="594" t="s">
        <v>943</v>
      </c>
      <c r="C49" s="21"/>
      <c r="D49" s="493">
        <v>0.3</v>
      </c>
      <c r="E49" s="472"/>
      <c r="F49" s="493">
        <v>0</v>
      </c>
      <c r="G49" s="493"/>
      <c r="H49" s="493">
        <v>0.3</v>
      </c>
      <c r="I49" s="472"/>
      <c r="J49" s="493">
        <v>9.9999999999999978E-2</v>
      </c>
      <c r="K49" s="1004"/>
      <c r="L49" s="493">
        <v>0.49999999999999989</v>
      </c>
      <c r="M49" s="1004"/>
      <c r="N49" s="493">
        <f t="shared" si="1"/>
        <v>0.10000000000000009</v>
      </c>
      <c r="O49" s="1004"/>
      <c r="P49" s="493"/>
      <c r="Q49" s="1004"/>
      <c r="R49" s="493"/>
      <c r="S49" s="1004"/>
      <c r="T49" s="493"/>
      <c r="U49" s="1004"/>
      <c r="V49" s="493"/>
      <c r="W49" s="1004"/>
      <c r="X49" s="493"/>
      <c r="Y49" s="1004"/>
      <c r="Z49" s="493"/>
      <c r="AA49" s="496"/>
      <c r="AB49" s="467"/>
      <c r="AC49" s="932"/>
      <c r="AD49" s="912">
        <v>1.3</v>
      </c>
      <c r="AE49" s="467"/>
      <c r="AF49" s="933"/>
      <c r="AG49" s="912">
        <v>0.8</v>
      </c>
      <c r="AH49" s="192"/>
      <c r="AI49" s="36"/>
      <c r="AJ49" s="467">
        <f t="shared" si="2"/>
        <v>0.5</v>
      </c>
      <c r="AK49" s="467"/>
      <c r="AL49" s="469">
        <f>ROUND(IF(AG49=0,1,AJ49/ABS(AG49)),3)</f>
        <v>0.625</v>
      </c>
    </row>
    <row r="50" spans="1:38" ht="15" customHeight="1">
      <c r="A50" s="100"/>
      <c r="B50" s="594" t="s">
        <v>916</v>
      </c>
      <c r="C50" s="21"/>
      <c r="D50" s="493">
        <v>0</v>
      </c>
      <c r="E50" s="472"/>
      <c r="F50" s="493">
        <v>0</v>
      </c>
      <c r="G50" s="493"/>
      <c r="H50" s="493">
        <v>0</v>
      </c>
      <c r="I50" s="472"/>
      <c r="J50" s="493">
        <v>0</v>
      </c>
      <c r="K50" s="1004"/>
      <c r="L50" s="493">
        <v>0</v>
      </c>
      <c r="M50" s="1004"/>
      <c r="N50" s="493">
        <f t="shared" si="1"/>
        <v>0</v>
      </c>
      <c r="O50" s="1004"/>
      <c r="P50" s="493"/>
      <c r="Q50" s="1004"/>
      <c r="R50" s="493"/>
      <c r="S50" s="1004"/>
      <c r="T50" s="493"/>
      <c r="U50" s="1004"/>
      <c r="V50" s="493"/>
      <c r="W50" s="1004"/>
      <c r="X50" s="493"/>
      <c r="Y50" s="1004"/>
      <c r="Z50" s="493"/>
      <c r="AA50" s="496"/>
      <c r="AB50" s="467"/>
      <c r="AC50" s="932"/>
      <c r="AD50" s="912">
        <v>0</v>
      </c>
      <c r="AE50" s="467"/>
      <c r="AF50" s="933"/>
      <c r="AG50" s="912">
        <v>0</v>
      </c>
      <c r="AH50" s="192"/>
      <c r="AI50" s="36"/>
      <c r="AJ50" s="467">
        <f t="shared" si="2"/>
        <v>0</v>
      </c>
      <c r="AK50" s="467"/>
      <c r="AL50" s="469">
        <f>ROUND(IF(AG50=0,0,AJ50/ABS(AG50)),3)</f>
        <v>0</v>
      </c>
    </row>
    <row r="51" spans="1:38" ht="15" customHeight="1">
      <c r="A51" s="100"/>
      <c r="B51" s="594" t="s">
        <v>917</v>
      </c>
      <c r="C51" s="21"/>
      <c r="D51" s="493">
        <v>0</v>
      </c>
      <c r="E51" s="472"/>
      <c r="F51" s="493">
        <v>0</v>
      </c>
      <c r="G51" s="493"/>
      <c r="H51" s="493">
        <v>0</v>
      </c>
      <c r="I51" s="472"/>
      <c r="J51" s="493">
        <v>0</v>
      </c>
      <c r="K51" s="1004"/>
      <c r="L51" s="493">
        <v>0</v>
      </c>
      <c r="M51" s="1004"/>
      <c r="N51" s="493">
        <f t="shared" si="1"/>
        <v>0</v>
      </c>
      <c r="O51" s="1004"/>
      <c r="P51" s="493"/>
      <c r="Q51" s="1004"/>
      <c r="R51" s="493"/>
      <c r="S51" s="1004"/>
      <c r="T51" s="493"/>
      <c r="U51" s="1004"/>
      <c r="V51" s="493"/>
      <c r="W51" s="1004"/>
      <c r="X51" s="493"/>
      <c r="Y51" s="1004"/>
      <c r="Z51" s="493"/>
      <c r="AA51" s="496"/>
      <c r="AB51" s="467"/>
      <c r="AC51" s="932"/>
      <c r="AD51" s="912">
        <v>0</v>
      </c>
      <c r="AE51" s="467"/>
      <c r="AF51" s="933"/>
      <c r="AG51" s="912">
        <v>0</v>
      </c>
      <c r="AH51" s="192"/>
      <c r="AI51" s="36"/>
      <c r="AJ51" s="467">
        <f t="shared" si="2"/>
        <v>0</v>
      </c>
      <c r="AK51" s="467"/>
      <c r="AL51" s="469">
        <f>ROUND(IF(AG51=0,0,AJ51/ABS(AG51)),3)</f>
        <v>0</v>
      </c>
    </row>
    <row r="52" spans="1:38" ht="15" customHeight="1">
      <c r="A52" s="100"/>
      <c r="B52" s="218" t="s">
        <v>1040</v>
      </c>
      <c r="C52" s="21"/>
      <c r="D52" s="751">
        <f>ROUND(SUM(D19:D51),1)</f>
        <v>86.3</v>
      </c>
      <c r="E52" s="472"/>
      <c r="F52" s="751">
        <f>ROUND(SUM(F19:F51),1)</f>
        <v>123.3</v>
      </c>
      <c r="G52" s="472"/>
      <c r="H52" s="751">
        <f>ROUND(SUM(H19:H51),1)</f>
        <v>80.400000000000006</v>
      </c>
      <c r="I52" s="472"/>
      <c r="J52" s="751">
        <f>ROUND(SUM(J19:J51),1)</f>
        <v>83.7</v>
      </c>
      <c r="K52" s="39"/>
      <c r="L52" s="751">
        <f>ROUND(SUM(L19:L51),1)</f>
        <v>102</v>
      </c>
      <c r="M52" s="39"/>
      <c r="N52" s="751">
        <f>ROUND(SUM(N19:N51),1)</f>
        <v>87.5</v>
      </c>
      <c r="O52" s="39"/>
      <c r="P52" s="751">
        <f>ROUND(SUM(P19:P51),1)</f>
        <v>0</v>
      </c>
      <c r="Q52" s="39"/>
      <c r="R52" s="751">
        <f>ROUND(SUM(R19:R51),1)</f>
        <v>0</v>
      </c>
      <c r="S52" s="57"/>
      <c r="T52" s="751">
        <f t="shared" ref="T52" si="6">ROUND(SUM(T19:T51),1)</f>
        <v>0</v>
      </c>
      <c r="U52" s="39"/>
      <c r="V52" s="751">
        <f>ROUND(SUM(V19:V51),1)</f>
        <v>0</v>
      </c>
      <c r="W52" s="36"/>
      <c r="X52" s="751">
        <f>ROUND(SUM(X19:X51),1)</f>
        <v>0</v>
      </c>
      <c r="Y52" s="36"/>
      <c r="Z52" s="751">
        <f>ROUND(SUM(Z19:Z51),1)</f>
        <v>0</v>
      </c>
      <c r="AA52" s="57"/>
      <c r="AB52" s="39"/>
      <c r="AC52" s="175"/>
      <c r="AD52" s="751">
        <f>ROUND(SUM(AD19:AD51),1)</f>
        <v>563.20000000000005</v>
      </c>
      <c r="AE52" s="36"/>
      <c r="AF52" s="750"/>
      <c r="AG52" s="751">
        <f>ROUND(SUM(AG19:AG51),1)</f>
        <v>190.5</v>
      </c>
      <c r="AH52" s="192"/>
      <c r="AI52" s="36"/>
      <c r="AJ52" s="751">
        <f>ROUND(SUM(AJ19:AJ51),1)</f>
        <v>372.7</v>
      </c>
      <c r="AK52" s="467"/>
      <c r="AL52" s="957">
        <f>ROUND(SUM((AD52-AG52)/ABS(AG52)),3)</f>
        <v>1.956</v>
      </c>
    </row>
    <row r="53" spans="1:38" ht="15" customHeight="1">
      <c r="A53" s="100"/>
      <c r="B53" s="594"/>
      <c r="C53" s="21"/>
      <c r="D53" s="493"/>
      <c r="E53" s="472"/>
      <c r="F53" s="480"/>
      <c r="G53" s="472"/>
      <c r="H53" s="467"/>
      <c r="I53" s="472"/>
      <c r="J53" s="467"/>
      <c r="K53" s="39"/>
      <c r="L53" s="467"/>
      <c r="M53" s="39"/>
      <c r="N53" s="36"/>
      <c r="O53" s="39"/>
      <c r="P53" s="142"/>
      <c r="Q53" s="39"/>
      <c r="R53" s="115"/>
      <c r="S53" s="39"/>
      <c r="T53" s="116"/>
      <c r="U53" s="39"/>
      <c r="V53" s="46"/>
      <c r="W53" s="36"/>
      <c r="X53" s="46"/>
      <c r="Y53" s="36"/>
      <c r="Z53" s="46"/>
      <c r="AA53" s="46"/>
      <c r="AB53" s="39"/>
      <c r="AC53" s="175"/>
      <c r="AD53" s="36"/>
      <c r="AE53" s="36"/>
      <c r="AF53" s="750"/>
      <c r="AG53" s="36"/>
      <c r="AH53" s="192"/>
      <c r="AI53" s="36"/>
      <c r="AJ53" s="467"/>
      <c r="AK53" s="467"/>
      <c r="AL53" s="488"/>
    </row>
    <row r="54" spans="1:38" ht="15" customHeight="1">
      <c r="A54" s="100"/>
      <c r="B54" s="196" t="s">
        <v>146</v>
      </c>
      <c r="C54" s="21"/>
      <c r="D54" s="493">
        <v>8716.1</v>
      </c>
      <c r="E54" s="472"/>
      <c r="F54" s="493">
        <v>7415.7999999999993</v>
      </c>
      <c r="G54" s="493"/>
      <c r="H54" s="493">
        <v>11399.2</v>
      </c>
      <c r="I54" s="472"/>
      <c r="J54" s="493">
        <v>7065.6000000000058</v>
      </c>
      <c r="K54" s="1004"/>
      <c r="L54" s="493">
        <v>7073.4999999999927</v>
      </c>
      <c r="M54" s="1004"/>
      <c r="N54" s="493">
        <f t="shared" ref="N54" si="7">$AD54-$D54-$F54-$H54-$J54-$L54</f>
        <v>5991.9000000000015</v>
      </c>
      <c r="O54" s="1004"/>
      <c r="P54" s="493"/>
      <c r="Q54" s="1004"/>
      <c r="R54" s="493"/>
      <c r="S54" s="1004"/>
      <c r="T54" s="493"/>
      <c r="U54" s="1004"/>
      <c r="V54" s="493"/>
      <c r="W54" s="1004"/>
      <c r="X54" s="493"/>
      <c r="Y54" s="1004"/>
      <c r="Z54" s="493"/>
      <c r="AA54" s="496"/>
      <c r="AB54" s="467"/>
      <c r="AC54" s="932"/>
      <c r="AD54" s="912">
        <v>47662.1</v>
      </c>
      <c r="AE54" s="467"/>
      <c r="AF54" s="933"/>
      <c r="AG54" s="912">
        <v>41967.1</v>
      </c>
      <c r="AH54" s="192"/>
      <c r="AI54" s="36"/>
      <c r="AJ54" s="467">
        <f>ROUND(SUM(+AD54-AG54),1)</f>
        <v>5695</v>
      </c>
      <c r="AK54" s="467"/>
      <c r="AL54" s="958">
        <f>ROUND(SUM((AD54-AG54)/ABS(AG54)),3)</f>
        <v>0.13600000000000001</v>
      </c>
    </row>
    <row r="55" spans="1:38" ht="15" customHeight="1">
      <c r="A55" s="100"/>
      <c r="B55" s="21"/>
      <c r="C55" s="21"/>
      <c r="D55" s="1140"/>
      <c r="E55" s="472"/>
      <c r="F55" s="1140"/>
      <c r="G55" s="472"/>
      <c r="H55" s="1140"/>
      <c r="I55" s="472"/>
      <c r="J55" s="1140"/>
      <c r="K55" s="39"/>
      <c r="L55" s="1140"/>
      <c r="M55" s="39"/>
      <c r="N55" s="114"/>
      <c r="O55" s="39"/>
      <c r="P55" s="114"/>
      <c r="Q55" s="39"/>
      <c r="R55" s="114"/>
      <c r="S55" s="39"/>
      <c r="T55" s="61"/>
      <c r="U55" s="39"/>
      <c r="V55" s="61"/>
      <c r="W55" s="36"/>
      <c r="X55" s="61"/>
      <c r="Y55" s="36"/>
      <c r="Z55" s="61"/>
      <c r="AA55" s="36"/>
      <c r="AB55" s="39"/>
      <c r="AC55" s="175"/>
      <c r="AD55" s="61"/>
      <c r="AE55" s="36"/>
      <c r="AF55" s="750"/>
      <c r="AG55" s="61"/>
      <c r="AH55" s="192"/>
      <c r="AI55" s="36"/>
      <c r="AJ55" s="942"/>
      <c r="AK55" s="943"/>
      <c r="AL55" s="959"/>
    </row>
    <row r="56" spans="1:38" ht="15" customHeight="1">
      <c r="A56" s="100"/>
      <c r="B56" s="19" t="s">
        <v>147</v>
      </c>
      <c r="C56" s="21"/>
      <c r="D56" s="42">
        <f>ROUND(SUM(+D52+D54),2)</f>
        <v>8802.4</v>
      </c>
      <c r="E56" s="112"/>
      <c r="F56" s="42">
        <f>ROUND(SUM(+F52+F54),2)</f>
        <v>7539.1</v>
      </c>
      <c r="G56" s="112"/>
      <c r="H56" s="42">
        <f>ROUND(SUM(+H52+H54),2)</f>
        <v>11479.6</v>
      </c>
      <c r="I56" s="112"/>
      <c r="J56" s="42">
        <f>ROUND(SUM(+J52+J54),2)</f>
        <v>7149.3</v>
      </c>
      <c r="K56" s="112"/>
      <c r="L56" s="42">
        <f>ROUND(SUM(+L52+L54),2)</f>
        <v>7175.5</v>
      </c>
      <c r="M56" s="112"/>
      <c r="N56" s="42">
        <f>ROUND(SUM(+N52+N54),2)</f>
        <v>6079.4</v>
      </c>
      <c r="O56" s="112"/>
      <c r="P56" s="42">
        <f>ROUND(SUM(+P52+P54),2)</f>
        <v>0</v>
      </c>
      <c r="Q56" s="112"/>
      <c r="R56" s="42">
        <f>ROUND(SUM(+R52+R54),2)</f>
        <v>0</v>
      </c>
      <c r="S56" s="42"/>
      <c r="T56" s="42">
        <f t="shared" ref="T56" si="8">ROUND(SUM(+T52+T54),2)</f>
        <v>0</v>
      </c>
      <c r="U56" s="112"/>
      <c r="V56" s="42">
        <f>ROUND(SUM(+V52+V54),2)</f>
        <v>0</v>
      </c>
      <c r="W56" s="42"/>
      <c r="X56" s="42">
        <f>ROUND(SUM(+X52+X54),2)</f>
        <v>0</v>
      </c>
      <c r="Y56" s="42"/>
      <c r="Z56" s="42">
        <f>ROUND(SUM(+Z52+Z54),2)</f>
        <v>0</v>
      </c>
      <c r="AA56" s="42"/>
      <c r="AB56" s="112"/>
      <c r="AC56" s="1233"/>
      <c r="AD56" s="42">
        <f>ROUND(SUM(+AD52+AD54),1)</f>
        <v>48225.3</v>
      </c>
      <c r="AE56" s="42"/>
      <c r="AF56" s="1234"/>
      <c r="AG56" s="42">
        <f>ROUND(SUM(+AG52+AG54),1)</f>
        <v>42157.599999999999</v>
      </c>
      <c r="AH56" s="198"/>
      <c r="AI56" s="42"/>
      <c r="AJ56" s="601">
        <f>ROUND(SUM(+AJ52+AJ54),1)</f>
        <v>6067.7</v>
      </c>
      <c r="AK56" s="199"/>
      <c r="AL56" s="960">
        <f>ROUND(SUM((AD56-AG56)/ABS(AG56)),3)</f>
        <v>0.14399999999999999</v>
      </c>
    </row>
    <row r="57" spans="1:38" ht="15" customHeight="1">
      <c r="A57" s="100"/>
      <c r="B57" s="21"/>
      <c r="C57" s="21"/>
      <c r="D57" s="1140"/>
      <c r="E57" s="472"/>
      <c r="F57" s="497"/>
      <c r="G57" s="472"/>
      <c r="H57" s="497"/>
      <c r="I57" s="472"/>
      <c r="J57" s="497"/>
      <c r="K57" s="39"/>
      <c r="L57" s="497"/>
      <c r="M57" s="39"/>
      <c r="N57" s="61"/>
      <c r="O57" s="39"/>
      <c r="P57" s="61"/>
      <c r="Q57" s="39"/>
      <c r="R57" s="61"/>
      <c r="S57" s="39"/>
      <c r="T57" s="61"/>
      <c r="U57" s="39"/>
      <c r="V57" s="61"/>
      <c r="W57" s="36"/>
      <c r="X57" s="61"/>
      <c r="Y57" s="36"/>
      <c r="Z57" s="61"/>
      <c r="AA57" s="36"/>
      <c r="AB57" s="39"/>
      <c r="AC57" s="175"/>
      <c r="AD57" s="114"/>
      <c r="AE57" s="39"/>
      <c r="AF57" s="1761"/>
      <c r="AG57" s="114"/>
      <c r="AH57" s="1127"/>
      <c r="AI57" s="20"/>
      <c r="AJ57" s="943"/>
      <c r="AK57" s="943"/>
      <c r="AL57" s="959"/>
    </row>
    <row r="58" spans="1:38" ht="15" customHeight="1">
      <c r="A58" s="100"/>
      <c r="B58" s="118" t="s">
        <v>22</v>
      </c>
      <c r="C58" s="21"/>
      <c r="D58" s="472"/>
      <c r="E58" s="472"/>
      <c r="F58" s="467"/>
      <c r="G58" s="472"/>
      <c r="H58" s="467"/>
      <c r="I58" s="472"/>
      <c r="J58" s="467"/>
      <c r="K58" s="39"/>
      <c r="L58" s="467"/>
      <c r="M58" s="39"/>
      <c r="N58" s="36"/>
      <c r="O58" s="39"/>
      <c r="P58" s="36"/>
      <c r="Q58" s="39"/>
      <c r="R58" s="36"/>
      <c r="S58" s="39"/>
      <c r="T58" s="36"/>
      <c r="U58" s="39"/>
      <c r="V58" s="36"/>
      <c r="W58" s="36"/>
      <c r="X58" s="36"/>
      <c r="Y58" s="36"/>
      <c r="Z58" s="36"/>
      <c r="AA58" s="36"/>
      <c r="AB58" s="39"/>
      <c r="AC58" s="175"/>
      <c r="AD58" s="39"/>
      <c r="AE58" s="39"/>
      <c r="AF58" s="1761"/>
      <c r="AG58" s="39"/>
      <c r="AH58" s="1127"/>
      <c r="AI58" s="20"/>
      <c r="AJ58" s="943"/>
      <c r="AK58" s="943"/>
      <c r="AL58" s="959"/>
    </row>
    <row r="59" spans="1:38" ht="15" customHeight="1">
      <c r="A59" s="100"/>
      <c r="B59" s="499" t="s">
        <v>148</v>
      </c>
      <c r="C59" s="21"/>
      <c r="D59" s="493"/>
      <c r="E59" s="472"/>
      <c r="F59" s="493"/>
      <c r="G59" s="472"/>
      <c r="H59" s="493"/>
      <c r="I59" s="472"/>
      <c r="J59" s="493"/>
      <c r="K59" s="39"/>
      <c r="L59" s="493"/>
      <c r="M59" s="39"/>
      <c r="N59" s="46"/>
      <c r="O59" s="39"/>
      <c r="P59" s="1235"/>
      <c r="Q59" s="39"/>
      <c r="R59" s="46"/>
      <c r="S59" s="39"/>
      <c r="T59" s="46"/>
      <c r="U59" s="39"/>
      <c r="V59" s="36"/>
      <c r="W59" s="36"/>
      <c r="X59" s="36"/>
      <c r="Y59" s="36"/>
      <c r="Z59" s="36"/>
      <c r="AA59" s="36"/>
      <c r="AB59" s="39"/>
      <c r="AC59" s="175"/>
      <c r="AD59" s="39"/>
      <c r="AE59" s="39"/>
      <c r="AF59" s="1761"/>
      <c r="AG59" s="39"/>
      <c r="AH59" s="1127"/>
      <c r="AI59" s="20"/>
      <c r="AJ59" s="672"/>
      <c r="AK59" s="943"/>
      <c r="AL59" s="959"/>
    </row>
    <row r="60" spans="1:38" ht="15" customHeight="1">
      <c r="A60" s="100"/>
      <c r="B60" s="120" t="s">
        <v>24</v>
      </c>
      <c r="C60" s="21"/>
      <c r="D60" s="493">
        <v>690.7</v>
      </c>
      <c r="E60" s="472"/>
      <c r="F60" s="493">
        <v>455.89999999999986</v>
      </c>
      <c r="G60" s="493"/>
      <c r="H60" s="493">
        <v>857.90000000000009</v>
      </c>
      <c r="I60" s="472"/>
      <c r="J60" s="493">
        <v>534.69999999999982</v>
      </c>
      <c r="K60" s="1004"/>
      <c r="L60" s="493">
        <v>471.39999999999986</v>
      </c>
      <c r="M60" s="1004"/>
      <c r="N60" s="493">
        <f t="shared" ref="N60:N69" si="9">$AD60-$D60-$F60-$H60-$J60-$L60</f>
        <v>360.90000000000077</v>
      </c>
      <c r="O60" s="493"/>
      <c r="P60" s="493"/>
      <c r="Q60" s="1004"/>
      <c r="R60" s="493"/>
      <c r="S60" s="1004"/>
      <c r="T60" s="493"/>
      <c r="U60" s="1004"/>
      <c r="V60" s="493"/>
      <c r="W60" s="1004"/>
      <c r="X60" s="493"/>
      <c r="Y60" s="1004"/>
      <c r="Z60" s="493"/>
      <c r="AA60" s="496"/>
      <c r="AB60" s="467"/>
      <c r="AC60" s="932"/>
      <c r="AD60" s="912">
        <v>3371.5</v>
      </c>
      <c r="AE60" s="467"/>
      <c r="AF60" s="933"/>
      <c r="AG60" s="912">
        <v>2997.6</v>
      </c>
      <c r="AH60" s="192"/>
      <c r="AI60" s="36"/>
      <c r="AJ60" s="467">
        <f>ROUND(SUM(+AD60-AG60),1)</f>
        <v>373.9</v>
      </c>
      <c r="AK60" s="467"/>
      <c r="AL60" s="469">
        <f>ROUND(IF(AG60=0,0,AJ60/ABS(AG60)),3)</f>
        <v>0.125</v>
      </c>
    </row>
    <row r="61" spans="1:38" ht="15" customHeight="1">
      <c r="A61" s="100"/>
      <c r="B61" s="120" t="s">
        <v>25</v>
      </c>
      <c r="C61" s="21"/>
      <c r="D61" s="493">
        <v>0</v>
      </c>
      <c r="E61" s="472"/>
      <c r="F61" s="493">
        <v>0</v>
      </c>
      <c r="G61" s="493"/>
      <c r="H61" s="493">
        <v>0</v>
      </c>
      <c r="I61" s="472"/>
      <c r="J61" s="493">
        <v>0.1</v>
      </c>
      <c r="K61" s="1004"/>
      <c r="L61" s="493">
        <v>0</v>
      </c>
      <c r="M61" s="1004"/>
      <c r="N61" s="493">
        <f t="shared" si="9"/>
        <v>0</v>
      </c>
      <c r="O61" s="1004"/>
      <c r="P61" s="493"/>
      <c r="Q61" s="1004"/>
      <c r="R61" s="493"/>
      <c r="S61" s="1004"/>
      <c r="T61" s="493"/>
      <c r="U61" s="1004"/>
      <c r="V61" s="493"/>
      <c r="W61" s="1004"/>
      <c r="X61" s="493"/>
      <c r="Y61" s="1004"/>
      <c r="Z61" s="493"/>
      <c r="AA61" s="496"/>
      <c r="AB61" s="467"/>
      <c r="AC61" s="932"/>
      <c r="AD61" s="912">
        <v>0.1</v>
      </c>
      <c r="AE61" s="467"/>
      <c r="AF61" s="933"/>
      <c r="AG61" s="912">
        <v>0.4</v>
      </c>
      <c r="AH61" s="192"/>
      <c r="AI61" s="36"/>
      <c r="AJ61" s="467">
        <f>ROUND(SUM(+AD61-AG61),1)</f>
        <v>-0.3</v>
      </c>
      <c r="AK61" s="467"/>
      <c r="AL61" s="1133">
        <f>ROUND(IF(AG61=0,0,AJ61/ABS(AG61)),3)</f>
        <v>-0.75</v>
      </c>
    </row>
    <row r="62" spans="1:38" ht="15" customHeight="1">
      <c r="A62" s="100"/>
      <c r="B62" s="120" t="s">
        <v>26</v>
      </c>
      <c r="C62" s="21"/>
      <c r="D62" s="493">
        <v>1.7</v>
      </c>
      <c r="E62" s="472"/>
      <c r="F62" s="493">
        <v>3.2</v>
      </c>
      <c r="G62" s="493"/>
      <c r="H62" s="493">
        <v>0.39999999999999947</v>
      </c>
      <c r="I62" s="472"/>
      <c r="J62" s="493">
        <v>10.900000000000002</v>
      </c>
      <c r="K62" s="1004"/>
      <c r="L62" s="493">
        <v>2.9000000000000021</v>
      </c>
      <c r="M62" s="1004"/>
      <c r="N62" s="493">
        <f t="shared" si="9"/>
        <v>2.8999999999999986</v>
      </c>
      <c r="O62" s="1004"/>
      <c r="P62" s="493"/>
      <c r="Q62" s="1004"/>
      <c r="R62" s="493"/>
      <c r="S62" s="1004"/>
      <c r="T62" s="493"/>
      <c r="U62" s="1004"/>
      <c r="V62" s="493"/>
      <c r="W62" s="1004"/>
      <c r="X62" s="493"/>
      <c r="Y62" s="1004"/>
      <c r="Z62" s="493"/>
      <c r="AA62" s="496"/>
      <c r="AB62" s="467"/>
      <c r="AC62" s="932"/>
      <c r="AD62" s="912">
        <v>22</v>
      </c>
      <c r="AE62" s="467"/>
      <c r="AF62" s="933"/>
      <c r="AG62" s="912">
        <v>457.9</v>
      </c>
      <c r="AH62" s="192"/>
      <c r="AI62" s="36"/>
      <c r="AJ62" s="467">
        <f>ROUND(SUM(+AD62-AG62),1)</f>
        <v>-435.9</v>
      </c>
      <c r="AK62" s="467"/>
      <c r="AL62" s="469">
        <f>ROUND(IF(AG62=0,0,AJ62/ABS(AG62)),3)</f>
        <v>-0.95199999999999996</v>
      </c>
    </row>
    <row r="63" spans="1:38" ht="15" customHeight="1">
      <c r="A63" s="100"/>
      <c r="B63" s="120" t="s">
        <v>27</v>
      </c>
      <c r="C63" s="21"/>
      <c r="D63" s="493" t="s">
        <v>14</v>
      </c>
      <c r="E63" s="472"/>
      <c r="F63" s="493"/>
      <c r="G63" s="493"/>
      <c r="H63" s="493"/>
      <c r="I63" s="472"/>
      <c r="J63" s="493"/>
      <c r="K63" s="1004"/>
      <c r="L63" s="493"/>
      <c r="M63" s="1004"/>
      <c r="N63" s="493"/>
      <c r="O63" s="1004"/>
      <c r="P63" s="493"/>
      <c r="Q63" s="1004"/>
      <c r="R63" s="493"/>
      <c r="S63" s="1004"/>
      <c r="T63" s="493"/>
      <c r="U63" s="1004"/>
      <c r="V63" s="493"/>
      <c r="W63" s="1004"/>
      <c r="X63" s="493"/>
      <c r="Y63" s="1004"/>
      <c r="Z63" s="493"/>
      <c r="AA63" s="496"/>
      <c r="AB63" s="467"/>
      <c r="AC63" s="932"/>
      <c r="AD63" s="912"/>
      <c r="AE63" s="467"/>
      <c r="AF63" s="933"/>
      <c r="AG63" s="912"/>
      <c r="AH63" s="192"/>
      <c r="AI63" s="36"/>
      <c r="AJ63" s="493"/>
      <c r="AK63" s="672"/>
      <c r="AL63" s="959"/>
    </row>
    <row r="64" spans="1:38" ht="15" customHeight="1">
      <c r="A64" s="100"/>
      <c r="B64" s="1128" t="s">
        <v>28</v>
      </c>
      <c r="C64" s="21"/>
      <c r="D64" s="493">
        <v>4166.8</v>
      </c>
      <c r="E64" s="472"/>
      <c r="F64" s="493">
        <v>7475.5999999999995</v>
      </c>
      <c r="G64" s="493"/>
      <c r="H64" s="493">
        <v>4208.7</v>
      </c>
      <c r="I64" s="472"/>
      <c r="J64" s="493">
        <v>4696.0000000000009</v>
      </c>
      <c r="K64" s="1004"/>
      <c r="L64" s="493">
        <v>5467.7</v>
      </c>
      <c r="M64" s="1004"/>
      <c r="N64" s="493">
        <f t="shared" si="9"/>
        <v>1770.7000000000007</v>
      </c>
      <c r="O64" s="1004"/>
      <c r="P64" s="493"/>
      <c r="Q64" s="1004"/>
      <c r="R64" s="493"/>
      <c r="S64" s="1004"/>
      <c r="T64" s="493"/>
      <c r="U64" s="1004"/>
      <c r="V64" s="493"/>
      <c r="W64" s="1004"/>
      <c r="X64" s="493"/>
      <c r="Y64" s="1004"/>
      <c r="Z64" s="493"/>
      <c r="AA64" s="496"/>
      <c r="AB64" s="467"/>
      <c r="AC64" s="932"/>
      <c r="AD64" s="912">
        <v>27785.5</v>
      </c>
      <c r="AE64" s="467"/>
      <c r="AF64" s="933"/>
      <c r="AG64" s="912">
        <v>25093.7</v>
      </c>
      <c r="AH64" s="192"/>
      <c r="AI64" s="36"/>
      <c r="AJ64" s="467">
        <f t="shared" ref="AJ64:AJ69" si="10">ROUND(SUM(+AD64-AG64),1)</f>
        <v>2691.8</v>
      </c>
      <c r="AK64" s="467"/>
      <c r="AL64" s="469">
        <f t="shared" ref="AL64:AL69" si="11">ROUND(IF(AG64=0,0,AJ64/ABS(AG64)),3)</f>
        <v>0.107</v>
      </c>
    </row>
    <row r="65" spans="1:38" ht="15" customHeight="1">
      <c r="A65" s="100"/>
      <c r="B65" s="120" t="s">
        <v>29</v>
      </c>
      <c r="C65" s="21"/>
      <c r="D65" s="493">
        <v>773.3</v>
      </c>
      <c r="E65" s="472"/>
      <c r="F65" s="493">
        <v>809.3</v>
      </c>
      <c r="G65" s="493"/>
      <c r="H65" s="493">
        <v>940.59999999999991</v>
      </c>
      <c r="I65" s="472"/>
      <c r="J65" s="493">
        <v>988.7000000000005</v>
      </c>
      <c r="K65" s="1004"/>
      <c r="L65" s="493">
        <v>1016.799999999999</v>
      </c>
      <c r="M65" s="1004"/>
      <c r="N65" s="493">
        <f t="shared" si="9"/>
        <v>1357.5000000000002</v>
      </c>
      <c r="O65" s="1004"/>
      <c r="P65" s="493"/>
      <c r="Q65" s="1004"/>
      <c r="R65" s="493"/>
      <c r="S65" s="1004"/>
      <c r="T65" s="493"/>
      <c r="U65" s="1004"/>
      <c r="V65" s="493"/>
      <c r="W65" s="1004"/>
      <c r="X65" s="493"/>
      <c r="Y65" s="1004"/>
      <c r="Z65" s="493"/>
      <c r="AA65" s="496"/>
      <c r="AB65" s="467"/>
      <c r="AC65" s="932"/>
      <c r="AD65" s="912">
        <v>5886.2</v>
      </c>
      <c r="AE65" s="467"/>
      <c r="AF65" s="933"/>
      <c r="AG65" s="912">
        <v>4037.7999999999997</v>
      </c>
      <c r="AH65" s="192"/>
      <c r="AI65" s="36"/>
      <c r="AJ65" s="467">
        <f t="shared" si="10"/>
        <v>1848.4</v>
      </c>
      <c r="AK65" s="467"/>
      <c r="AL65" s="469">
        <f t="shared" si="11"/>
        <v>0.45800000000000002</v>
      </c>
    </row>
    <row r="66" spans="1:38" ht="15" customHeight="1">
      <c r="A66" s="100"/>
      <c r="B66" s="120" t="s">
        <v>30</v>
      </c>
      <c r="C66" s="21"/>
      <c r="D66" s="493">
        <v>1068.2</v>
      </c>
      <c r="E66" s="472"/>
      <c r="F66" s="493">
        <v>171.59999999999991</v>
      </c>
      <c r="G66" s="493"/>
      <c r="H66" s="493">
        <v>826.2</v>
      </c>
      <c r="I66" s="472"/>
      <c r="J66" s="493">
        <v>349.90000000000009</v>
      </c>
      <c r="K66" s="1004"/>
      <c r="L66" s="493">
        <v>247.40000000000009</v>
      </c>
      <c r="M66" s="1004"/>
      <c r="N66" s="493">
        <f t="shared" si="9"/>
        <v>149.5</v>
      </c>
      <c r="O66" s="1004"/>
      <c r="P66" s="493"/>
      <c r="Q66" s="1004"/>
      <c r="R66" s="493"/>
      <c r="S66" s="1004"/>
      <c r="T66" s="493"/>
      <c r="U66" s="1004"/>
      <c r="V66" s="493"/>
      <c r="W66" s="1004"/>
      <c r="X66" s="493"/>
      <c r="Y66" s="1004"/>
      <c r="Z66" s="493"/>
      <c r="AA66" s="496"/>
      <c r="AB66" s="467"/>
      <c r="AC66" s="932"/>
      <c r="AD66" s="912">
        <v>2812.8</v>
      </c>
      <c r="AE66" s="467"/>
      <c r="AF66" s="933"/>
      <c r="AG66" s="912">
        <v>741.1</v>
      </c>
      <c r="AH66" s="192"/>
      <c r="AI66" s="36"/>
      <c r="AJ66" s="467">
        <f t="shared" si="10"/>
        <v>2071.6999999999998</v>
      </c>
      <c r="AK66" s="467"/>
      <c r="AL66" s="2026">
        <f t="shared" si="11"/>
        <v>2.7949999999999999</v>
      </c>
    </row>
    <row r="67" spans="1:38" ht="15" customHeight="1">
      <c r="A67" s="100"/>
      <c r="B67" s="120" t="s">
        <v>31</v>
      </c>
      <c r="C67" s="21"/>
      <c r="D67" s="493">
        <v>611.79999999999995</v>
      </c>
      <c r="E67" s="472"/>
      <c r="F67" s="493">
        <v>409.80000000000007</v>
      </c>
      <c r="G67" s="493"/>
      <c r="H67" s="493">
        <v>287.80000000000007</v>
      </c>
      <c r="I67" s="472"/>
      <c r="J67" s="493">
        <v>269.59999999999991</v>
      </c>
      <c r="K67" s="1004"/>
      <c r="L67" s="493">
        <v>389.40000000000009</v>
      </c>
      <c r="M67" s="1004"/>
      <c r="N67" s="493">
        <f t="shared" si="9"/>
        <v>610.19999999999982</v>
      </c>
      <c r="O67" s="1004"/>
      <c r="P67" s="493"/>
      <c r="Q67" s="1004"/>
      <c r="R67" s="493"/>
      <c r="S67" s="1004"/>
      <c r="T67" s="493"/>
      <c r="U67" s="1004"/>
      <c r="V67" s="493"/>
      <c r="W67" s="1004"/>
      <c r="X67" s="493"/>
      <c r="Y67" s="1004"/>
      <c r="Z67" s="493"/>
      <c r="AA67" s="496"/>
      <c r="AB67" s="467"/>
      <c r="AC67" s="932"/>
      <c r="AD67" s="912">
        <v>2578.6</v>
      </c>
      <c r="AE67" s="467"/>
      <c r="AF67" s="933"/>
      <c r="AG67" s="912">
        <v>3230.4</v>
      </c>
      <c r="AH67" s="192"/>
      <c r="AI67" s="36"/>
      <c r="AJ67" s="467">
        <f t="shared" si="10"/>
        <v>-651.79999999999995</v>
      </c>
      <c r="AK67" s="467"/>
      <c r="AL67" s="469">
        <f t="shared" si="11"/>
        <v>-0.20200000000000001</v>
      </c>
    </row>
    <row r="68" spans="1:38" ht="15" customHeight="1">
      <c r="A68" s="100"/>
      <c r="B68" s="120" t="s">
        <v>32</v>
      </c>
      <c r="C68" s="21"/>
      <c r="D68" s="493">
        <v>0.1</v>
      </c>
      <c r="E68" s="472"/>
      <c r="F68" s="493">
        <v>151.5</v>
      </c>
      <c r="G68" s="493"/>
      <c r="H68" s="493">
        <v>2</v>
      </c>
      <c r="I68" s="472"/>
      <c r="J68" s="493">
        <v>0.59999999999999432</v>
      </c>
      <c r="K68" s="1004"/>
      <c r="L68" s="493">
        <v>1.8000000000000114</v>
      </c>
      <c r="M68" s="1004"/>
      <c r="N68" s="493">
        <f t="shared" si="9"/>
        <v>9.9999999999994316E-2</v>
      </c>
      <c r="O68" s="1004"/>
      <c r="P68" s="493"/>
      <c r="Q68" s="1004"/>
      <c r="R68" s="493"/>
      <c r="S68" s="1004"/>
      <c r="T68" s="493"/>
      <c r="U68" s="1004"/>
      <c r="V68" s="493"/>
      <c r="W68" s="1004"/>
      <c r="X68" s="493"/>
      <c r="Y68" s="1004"/>
      <c r="Z68" s="493"/>
      <c r="AA68" s="496"/>
      <c r="AB68" s="467"/>
      <c r="AC68" s="932"/>
      <c r="AD68" s="452">
        <v>156.1</v>
      </c>
      <c r="AE68" s="467"/>
      <c r="AF68" s="933"/>
      <c r="AG68" s="912">
        <v>3.9</v>
      </c>
      <c r="AH68" s="192"/>
      <c r="AI68" s="36"/>
      <c r="AJ68" s="467">
        <f t="shared" si="10"/>
        <v>152.19999999999999</v>
      </c>
      <c r="AK68" s="467"/>
      <c r="AL68" s="2026">
        <f>ROUND(IF(AG68=0,1,AJ68/ABS(AG68)),3)</f>
        <v>39.026000000000003</v>
      </c>
    </row>
    <row r="69" spans="1:38" ht="15" customHeight="1">
      <c r="A69" s="100"/>
      <c r="B69" s="120" t="s">
        <v>33</v>
      </c>
      <c r="C69" s="21"/>
      <c r="D69" s="493">
        <v>4.3</v>
      </c>
      <c r="E69" s="472"/>
      <c r="F69" s="493">
        <v>4.1000000000000005</v>
      </c>
      <c r="G69" s="493"/>
      <c r="H69" s="493">
        <v>7.2</v>
      </c>
      <c r="I69" s="472"/>
      <c r="J69" s="493">
        <v>1.599999999999997</v>
      </c>
      <c r="K69" s="1004"/>
      <c r="L69" s="493">
        <v>4.1000000000000014</v>
      </c>
      <c r="M69" s="1004"/>
      <c r="N69" s="493">
        <f t="shared" si="9"/>
        <v>4.8000000000000007</v>
      </c>
      <c r="O69" s="1004"/>
      <c r="P69" s="493"/>
      <c r="Q69" s="1004"/>
      <c r="R69" s="493"/>
      <c r="S69" s="1004"/>
      <c r="T69" s="493"/>
      <c r="U69" s="1004"/>
      <c r="V69" s="493"/>
      <c r="W69" s="1004"/>
      <c r="X69" s="493"/>
      <c r="Y69" s="1004"/>
      <c r="Z69" s="493"/>
      <c r="AA69" s="496"/>
      <c r="AB69" s="467"/>
      <c r="AC69" s="932"/>
      <c r="AD69" s="912">
        <v>26.1</v>
      </c>
      <c r="AE69" s="467"/>
      <c r="AF69" s="933"/>
      <c r="AG69" s="912">
        <v>21</v>
      </c>
      <c r="AH69" s="192"/>
      <c r="AI69" s="36"/>
      <c r="AJ69" s="467">
        <f t="shared" si="10"/>
        <v>5.0999999999999996</v>
      </c>
      <c r="AK69" s="467"/>
      <c r="AL69" s="954">
        <f t="shared" si="11"/>
        <v>0.24299999999999999</v>
      </c>
    </row>
    <row r="70" spans="1:38" ht="15" customHeight="1">
      <c r="A70" s="100"/>
      <c r="B70" s="19" t="s">
        <v>1043</v>
      </c>
      <c r="C70" s="21"/>
      <c r="D70" s="207">
        <f>ROUND(SUM(D60:D69),2)</f>
        <v>7316.9</v>
      </c>
      <c r="E70" s="112"/>
      <c r="F70" s="207">
        <f>ROUND(SUM(F60:F69),2)</f>
        <v>9481</v>
      </c>
      <c r="G70" s="112"/>
      <c r="H70" s="207">
        <f>ROUND(SUM(H60:H69),2)</f>
        <v>7130.8</v>
      </c>
      <c r="I70" s="112"/>
      <c r="J70" s="207">
        <f>ROUND(SUM(J60:J69),2)</f>
        <v>6852.1</v>
      </c>
      <c r="K70" s="112"/>
      <c r="L70" s="207">
        <f>ROUND(SUM(L60:L69),2)</f>
        <v>7601.5</v>
      </c>
      <c r="M70" s="112"/>
      <c r="N70" s="207">
        <f>ROUND(SUM(N60:N69),2)</f>
        <v>4256.6000000000004</v>
      </c>
      <c r="O70" s="112"/>
      <c r="P70" s="207">
        <f>ROUND(SUM(P60:P69),2)</f>
        <v>0</v>
      </c>
      <c r="Q70" s="112"/>
      <c r="R70" s="207">
        <f>ROUND(SUM(R60:R69),2)</f>
        <v>0</v>
      </c>
      <c r="S70" s="42"/>
      <c r="T70" s="207">
        <f t="shared" ref="T70" si="12">ROUND(SUM(T60:T69),2)</f>
        <v>0</v>
      </c>
      <c r="U70" s="112"/>
      <c r="V70" s="207">
        <f>ROUND(SUM(V60:V69),2)</f>
        <v>0</v>
      </c>
      <c r="W70" s="42"/>
      <c r="X70" s="207">
        <f>ROUND(SUM(X60:X69),2)</f>
        <v>0</v>
      </c>
      <c r="Y70" s="42"/>
      <c r="Z70" s="207">
        <f>ROUND(SUM(Z60:Z69),2)</f>
        <v>0</v>
      </c>
      <c r="AA70" s="42"/>
      <c r="AB70" s="112"/>
      <c r="AC70" s="1233"/>
      <c r="AD70" s="41">
        <f>ROUND(SUM(AD60:AD69),1)</f>
        <v>42638.9</v>
      </c>
      <c r="AE70" s="42"/>
      <c r="AF70" s="1234"/>
      <c r="AG70" s="41">
        <f>ROUND(SUM(AG60:AG69),1)</f>
        <v>36583.800000000003</v>
      </c>
      <c r="AH70" s="198"/>
      <c r="AI70" s="42"/>
      <c r="AJ70" s="74">
        <f>ROUND(SUM(AD70-AG70),1)</f>
        <v>6055.1</v>
      </c>
      <c r="AK70" s="199"/>
      <c r="AL70" s="957">
        <f>ROUND(SUM((AD70-AG70)/ABS(AG70)),3)</f>
        <v>0.16600000000000001</v>
      </c>
    </row>
    <row r="71" spans="1:38" ht="15" customHeight="1">
      <c r="A71" s="100"/>
      <c r="B71" s="21" t="s">
        <v>149</v>
      </c>
      <c r="C71" s="21"/>
      <c r="D71" s="472"/>
      <c r="E71" s="472"/>
      <c r="F71" s="467"/>
      <c r="G71" s="472"/>
      <c r="H71" s="467"/>
      <c r="I71" s="472"/>
      <c r="J71" s="467"/>
      <c r="K71" s="39"/>
      <c r="L71" s="467"/>
      <c r="M71" s="39"/>
      <c r="N71" s="36"/>
      <c r="O71" s="39"/>
      <c r="P71" s="36"/>
      <c r="Q71" s="39"/>
      <c r="R71" s="36"/>
      <c r="S71" s="39"/>
      <c r="T71" s="36"/>
      <c r="U71" s="39"/>
      <c r="V71" s="36"/>
      <c r="W71" s="36"/>
      <c r="X71" s="36"/>
      <c r="Y71" s="36"/>
      <c r="Z71" s="36"/>
      <c r="AA71" s="36"/>
      <c r="AB71" s="39"/>
      <c r="AC71" s="175"/>
      <c r="AD71" s="39"/>
      <c r="AE71" s="39"/>
      <c r="AF71" s="1761"/>
      <c r="AG71" s="39"/>
      <c r="AH71" s="1127"/>
      <c r="AI71" s="20"/>
      <c r="AJ71" s="943"/>
      <c r="AK71" s="943"/>
      <c r="AL71" s="959"/>
    </row>
    <row r="72" spans="1:38" ht="15" customHeight="1">
      <c r="A72" s="100"/>
      <c r="B72" s="21" t="s">
        <v>150</v>
      </c>
      <c r="C72" s="21"/>
      <c r="D72" s="493">
        <v>62.8</v>
      </c>
      <c r="E72" s="472"/>
      <c r="F72" s="493">
        <v>53.7</v>
      </c>
      <c r="G72" s="472"/>
      <c r="H72" s="493">
        <v>55.400000000000006</v>
      </c>
      <c r="I72" s="472"/>
      <c r="J72" s="493">
        <v>51.899999999999991</v>
      </c>
      <c r="K72" s="1004"/>
      <c r="L72" s="493">
        <v>91.09999999999998</v>
      </c>
      <c r="M72" s="1004"/>
      <c r="N72" s="493">
        <f t="shared" ref="N72:N77" si="13">$AD72-$D72-$F72-$H72-$J72-$L72</f>
        <v>56.40000000000002</v>
      </c>
      <c r="O72" s="1004"/>
      <c r="P72" s="493"/>
      <c r="Q72" s="1004"/>
      <c r="R72" s="493"/>
      <c r="S72" s="1004"/>
      <c r="T72" s="493"/>
      <c r="U72" s="1004"/>
      <c r="V72" s="493"/>
      <c r="W72" s="1004"/>
      <c r="X72" s="493"/>
      <c r="Y72" s="1004"/>
      <c r="Z72" s="493"/>
      <c r="AA72" s="496"/>
      <c r="AB72" s="467"/>
      <c r="AC72" s="932"/>
      <c r="AD72" s="912">
        <v>371.3</v>
      </c>
      <c r="AE72" s="467"/>
      <c r="AF72" s="933"/>
      <c r="AG72" s="912">
        <v>351.9</v>
      </c>
      <c r="AH72" s="192"/>
      <c r="AI72" s="36"/>
      <c r="AJ72" s="467">
        <f>ROUND(SUM(+AD72-AG72),1)</f>
        <v>19.399999999999999</v>
      </c>
      <c r="AK72" s="467"/>
      <c r="AL72" s="469">
        <f>ROUND(IF(AG72=0,0,AJ72/ABS(AG72)),3)</f>
        <v>5.5E-2</v>
      </c>
    </row>
    <row r="73" spans="1:38" ht="15" customHeight="1">
      <c r="A73" s="100"/>
      <c r="B73" s="21" t="s">
        <v>176</v>
      </c>
      <c r="C73" s="21"/>
      <c r="D73" s="493">
        <v>37</v>
      </c>
      <c r="E73" s="472"/>
      <c r="F73" s="493">
        <v>128.69999999999999</v>
      </c>
      <c r="G73" s="472"/>
      <c r="H73" s="493">
        <v>796.59999999999991</v>
      </c>
      <c r="I73" s="472"/>
      <c r="J73" s="493">
        <v>65.100000000000136</v>
      </c>
      <c r="K73" s="1004"/>
      <c r="L73" s="493">
        <v>151.89999999999986</v>
      </c>
      <c r="M73" s="1004"/>
      <c r="N73" s="493">
        <f t="shared" si="13"/>
        <v>415</v>
      </c>
      <c r="O73" s="1004"/>
      <c r="P73" s="493"/>
      <c r="Q73" s="1004"/>
      <c r="R73" s="493"/>
      <c r="S73" s="1004"/>
      <c r="T73" s="493"/>
      <c r="U73" s="1004"/>
      <c r="V73" s="493"/>
      <c r="W73" s="1004"/>
      <c r="X73" s="493"/>
      <c r="Y73" s="1004"/>
      <c r="Z73" s="493"/>
      <c r="AA73" s="496"/>
      <c r="AB73" s="467"/>
      <c r="AC73" s="932"/>
      <c r="AD73" s="912">
        <v>1594.3</v>
      </c>
      <c r="AE73" s="467"/>
      <c r="AF73" s="933"/>
      <c r="AG73" s="912">
        <v>807.8</v>
      </c>
      <c r="AH73" s="192"/>
      <c r="AI73" s="36"/>
      <c r="AJ73" s="467">
        <f>ROUND(SUM(+AD73-AG73),1)</f>
        <v>786.5</v>
      </c>
      <c r="AK73" s="467"/>
      <c r="AL73" s="469">
        <f>ROUND(IF(AG73=0,0,AJ73/ABS(AG73)),3)</f>
        <v>0.97399999999999998</v>
      </c>
    </row>
    <row r="74" spans="1:38" ht="15" customHeight="1">
      <c r="A74" s="100"/>
      <c r="B74" s="21" t="s">
        <v>152</v>
      </c>
      <c r="C74" s="21"/>
      <c r="D74" s="493">
        <v>0</v>
      </c>
      <c r="E74" s="472"/>
      <c r="F74" s="493">
        <v>57.8</v>
      </c>
      <c r="G74" s="472"/>
      <c r="H74" s="493">
        <v>47.400000000000006</v>
      </c>
      <c r="I74" s="472"/>
      <c r="J74" s="493">
        <v>28.499999999999986</v>
      </c>
      <c r="K74" s="1004"/>
      <c r="L74" s="493">
        <v>34.400000000000006</v>
      </c>
      <c r="M74" s="1004"/>
      <c r="N74" s="493">
        <f t="shared" si="13"/>
        <v>31.300000000000026</v>
      </c>
      <c r="O74" s="1004"/>
      <c r="P74" s="493"/>
      <c r="Q74" s="1004"/>
      <c r="R74" s="493"/>
      <c r="S74" s="1004"/>
      <c r="T74" s="493"/>
      <c r="U74" s="1004"/>
      <c r="V74" s="493"/>
      <c r="W74" s="1004"/>
      <c r="X74" s="493"/>
      <c r="Y74" s="1004"/>
      <c r="Z74" s="493"/>
      <c r="AA74" s="496"/>
      <c r="AB74" s="467"/>
      <c r="AC74" s="932"/>
      <c r="AD74" s="912">
        <v>199.4</v>
      </c>
      <c r="AE74" s="467"/>
      <c r="AF74" s="933"/>
      <c r="AG74" s="912">
        <v>193.2</v>
      </c>
      <c r="AH74" s="192"/>
      <c r="AI74" s="36"/>
      <c r="AJ74" s="467">
        <f>ROUND(SUM(+AD74-AG74),1)</f>
        <v>6.2</v>
      </c>
      <c r="AK74" s="467"/>
      <c r="AL74" s="469">
        <f>ROUND(IF(AG74=0,0,AJ74/ABS(AG74)),3)</f>
        <v>3.2000000000000001E-2</v>
      </c>
    </row>
    <row r="75" spans="1:38" ht="15" customHeight="1">
      <c r="A75" s="100"/>
      <c r="B75" s="152" t="s">
        <v>1214</v>
      </c>
      <c r="C75" s="21"/>
      <c r="D75" s="493" t="s">
        <v>14</v>
      </c>
      <c r="E75" s="472"/>
      <c r="F75" s="493"/>
      <c r="G75" s="472"/>
      <c r="H75" s="493"/>
      <c r="I75" s="472"/>
      <c r="J75" s="493"/>
      <c r="K75" s="1004"/>
      <c r="L75" s="493"/>
      <c r="M75" s="1004"/>
      <c r="N75" s="493"/>
      <c r="O75" s="1004"/>
      <c r="P75" s="493"/>
      <c r="Q75" s="1004"/>
      <c r="R75" s="493"/>
      <c r="S75" s="1004"/>
      <c r="T75" s="493"/>
      <c r="U75" s="1004"/>
      <c r="V75" s="493"/>
      <c r="W75" s="1004"/>
      <c r="X75" s="493"/>
      <c r="Y75" s="1004"/>
      <c r="Z75" s="493"/>
      <c r="AA75" s="496"/>
      <c r="AB75" s="467"/>
      <c r="AC75" s="932"/>
      <c r="AD75" s="912"/>
      <c r="AE75" s="467"/>
      <c r="AF75" s="933"/>
      <c r="AG75" s="912"/>
      <c r="AH75" s="192"/>
      <c r="AI75" s="36"/>
      <c r="AJ75" s="467"/>
      <c r="AK75" s="467"/>
      <c r="AL75" s="469"/>
    </row>
    <row r="76" spans="1:38" ht="15" customHeight="1">
      <c r="A76" s="100"/>
      <c r="B76" s="152" t="s">
        <v>1302</v>
      </c>
      <c r="C76" s="21"/>
      <c r="D76" s="493">
        <v>0</v>
      </c>
      <c r="E76" s="472"/>
      <c r="F76" s="493">
        <v>0</v>
      </c>
      <c r="G76" s="472"/>
      <c r="H76" s="493">
        <v>0</v>
      </c>
      <c r="I76" s="472"/>
      <c r="J76" s="493">
        <v>0</v>
      </c>
      <c r="K76" s="1004"/>
      <c r="L76" s="493">
        <v>0</v>
      </c>
      <c r="M76" s="1004"/>
      <c r="N76" s="493">
        <f t="shared" si="13"/>
        <v>0</v>
      </c>
      <c r="O76" s="1004"/>
      <c r="P76" s="493"/>
      <c r="Q76" s="1004"/>
      <c r="R76" s="493"/>
      <c r="S76" s="1004"/>
      <c r="T76" s="493"/>
      <c r="U76" s="1004"/>
      <c r="V76" s="493"/>
      <c r="W76" s="1004"/>
      <c r="X76" s="493"/>
      <c r="Y76" s="1004"/>
      <c r="Z76" s="493"/>
      <c r="AA76" s="496"/>
      <c r="AB76" s="467"/>
      <c r="AC76" s="932"/>
      <c r="AD76" s="912">
        <v>0</v>
      </c>
      <c r="AE76" s="467"/>
      <c r="AF76" s="933"/>
      <c r="AG76" s="912">
        <v>0</v>
      </c>
      <c r="AH76" s="192"/>
      <c r="AI76" s="36"/>
      <c r="AJ76" s="467">
        <f>ROUND(SUM(+AD76-AG76),1)</f>
        <v>0</v>
      </c>
      <c r="AK76" s="467"/>
      <c r="AL76" s="469">
        <f>ROUND(IF(AG76=0,0,AJ76/ABS(AG76)),3)</f>
        <v>0</v>
      </c>
    </row>
    <row r="77" spans="1:38" ht="15" customHeight="1">
      <c r="A77" s="100"/>
      <c r="B77" s="21" t="s">
        <v>177</v>
      </c>
      <c r="C77" s="21"/>
      <c r="D77" s="493">
        <v>0</v>
      </c>
      <c r="E77" s="472"/>
      <c r="F77" s="493">
        <v>0</v>
      </c>
      <c r="G77" s="472"/>
      <c r="H77" s="493">
        <v>0</v>
      </c>
      <c r="I77" s="472"/>
      <c r="J77" s="493">
        <v>0</v>
      </c>
      <c r="K77" s="1004"/>
      <c r="L77" s="493">
        <v>0</v>
      </c>
      <c r="M77" s="1004"/>
      <c r="N77" s="493">
        <f t="shared" si="13"/>
        <v>0</v>
      </c>
      <c r="O77" s="1004"/>
      <c r="P77" s="493"/>
      <c r="Q77" s="1004"/>
      <c r="R77" s="493"/>
      <c r="S77" s="1004"/>
      <c r="T77" s="493"/>
      <c r="U77" s="1004"/>
      <c r="V77" s="493"/>
      <c r="W77" s="1004"/>
      <c r="X77" s="493"/>
      <c r="Y77" s="1004"/>
      <c r="Z77" s="493"/>
      <c r="AA77" s="496"/>
      <c r="AB77" s="467"/>
      <c r="AC77" s="932"/>
      <c r="AD77" s="912">
        <v>0</v>
      </c>
      <c r="AE77" s="467"/>
      <c r="AF77" s="933"/>
      <c r="AG77" s="912">
        <v>0</v>
      </c>
      <c r="AH77" s="192"/>
      <c r="AI77" s="36"/>
      <c r="AJ77" s="467">
        <f>ROUND(SUM(+AD77-AG77),1)</f>
        <v>0</v>
      </c>
      <c r="AK77" s="467"/>
      <c r="AL77" s="954">
        <f>ROUND(IF(AG77=0,0,AJ77/ABS(AG77)),3)</f>
        <v>0</v>
      </c>
    </row>
    <row r="78" spans="1:38" ht="15" customHeight="1">
      <c r="A78" s="100"/>
      <c r="B78" s="21"/>
      <c r="C78" s="21"/>
      <c r="D78" s="1140"/>
      <c r="E78" s="472"/>
      <c r="F78" s="497"/>
      <c r="G78" s="472"/>
      <c r="H78" s="497"/>
      <c r="I78" s="472"/>
      <c r="J78" s="497"/>
      <c r="K78" s="39"/>
      <c r="L78" s="497"/>
      <c r="M78" s="39"/>
      <c r="N78" s="61"/>
      <c r="O78" s="39"/>
      <c r="P78" s="61"/>
      <c r="Q78" s="39"/>
      <c r="R78" s="61"/>
      <c r="S78" s="39"/>
      <c r="T78" s="61"/>
      <c r="U78" s="39"/>
      <c r="V78" s="61"/>
      <c r="W78" s="36"/>
      <c r="X78" s="61"/>
      <c r="Y78" s="36"/>
      <c r="Z78" s="61"/>
      <c r="AA78" s="36"/>
      <c r="AB78" s="39"/>
      <c r="AC78" s="175"/>
      <c r="AD78" s="61"/>
      <c r="AE78" s="36"/>
      <c r="AF78" s="750"/>
      <c r="AG78" s="61"/>
      <c r="AH78" s="192"/>
      <c r="AI78" s="36"/>
      <c r="AJ78" s="497"/>
      <c r="AK78" s="943"/>
      <c r="AL78" s="488"/>
    </row>
    <row r="79" spans="1:38" ht="15" customHeight="1">
      <c r="A79" s="100"/>
      <c r="B79" s="19" t="s">
        <v>153</v>
      </c>
      <c r="C79" s="21"/>
      <c r="D79" s="42">
        <f>ROUND(SUM(D70:D77),1)</f>
        <v>7416.7</v>
      </c>
      <c r="E79" s="112"/>
      <c r="F79" s="42">
        <f>ROUND(SUM(F70:F77),1)</f>
        <v>9721.2000000000007</v>
      </c>
      <c r="G79" s="112"/>
      <c r="H79" s="42">
        <f>ROUND(SUM(H70:H77),1)</f>
        <v>8030.2</v>
      </c>
      <c r="I79" s="112"/>
      <c r="J79" s="42">
        <f>ROUND(SUM(J70:J77),1)</f>
        <v>6997.6</v>
      </c>
      <c r="K79" s="112"/>
      <c r="L79" s="42">
        <f>ROUND(SUM(L70:L77),1)</f>
        <v>7878.9</v>
      </c>
      <c r="M79" s="112"/>
      <c r="N79" s="42">
        <f>ROUND(SUM(N70:N77),1)</f>
        <v>4759.3</v>
      </c>
      <c r="O79" s="112"/>
      <c r="P79" s="42">
        <f>ROUND(SUM(P70:P77),1)</f>
        <v>0</v>
      </c>
      <c r="Q79" s="112"/>
      <c r="R79" s="42">
        <f>ROUND(SUM(R70:R77),1)</f>
        <v>0</v>
      </c>
      <c r="S79" s="42"/>
      <c r="T79" s="42">
        <f t="shared" ref="T79" si="14">ROUND(SUM(T70:T77),1)</f>
        <v>0</v>
      </c>
      <c r="U79" s="112"/>
      <c r="V79" s="42">
        <f>ROUND(SUM(V70:V77),1)</f>
        <v>0</v>
      </c>
      <c r="W79" s="42"/>
      <c r="X79" s="42">
        <f>ROUND(SUM(X70:X77),1)</f>
        <v>0</v>
      </c>
      <c r="Y79" s="42"/>
      <c r="Z79" s="42">
        <f>ROUND(SUM(Z70:Z77),1)</f>
        <v>0</v>
      </c>
      <c r="AA79" s="42"/>
      <c r="AB79" s="112"/>
      <c r="AC79" s="1233"/>
      <c r="AD79" s="42">
        <f>ROUND(SUM(AD70:AD77),1)</f>
        <v>44803.9</v>
      </c>
      <c r="AE79" s="42"/>
      <c r="AF79" s="1234"/>
      <c r="AG79" s="42">
        <f>ROUND(SUM(AG70:AG77),1)</f>
        <v>37936.699999999997</v>
      </c>
      <c r="AH79" s="198"/>
      <c r="AI79" s="42"/>
      <c r="AJ79" s="77">
        <f>ROUND(SUM(AD79-AG79),1)</f>
        <v>6867.2</v>
      </c>
      <c r="AK79" s="1321"/>
      <c r="AL79" s="1322">
        <f>ROUND(SUM((AD79-AG79)/ABS(AG79)),3)</f>
        <v>0.18099999999999999</v>
      </c>
    </row>
    <row r="80" spans="1:38" ht="15" customHeight="1">
      <c r="A80" s="100"/>
      <c r="B80" s="21"/>
      <c r="C80" s="21"/>
      <c r="D80" s="1140"/>
      <c r="E80" s="472"/>
      <c r="F80" s="497"/>
      <c r="G80" s="472"/>
      <c r="H80" s="497"/>
      <c r="I80" s="472"/>
      <c r="J80" s="497"/>
      <c r="K80" s="39"/>
      <c r="L80" s="497"/>
      <c r="M80" s="39"/>
      <c r="N80" s="61"/>
      <c r="O80" s="39"/>
      <c r="P80" s="61"/>
      <c r="Q80" s="39"/>
      <c r="R80" s="61"/>
      <c r="S80" s="39"/>
      <c r="T80" s="61"/>
      <c r="U80" s="39"/>
      <c r="V80" s="61"/>
      <c r="W80" s="36"/>
      <c r="X80" s="61"/>
      <c r="Y80" s="36"/>
      <c r="Z80" s="61"/>
      <c r="AA80" s="36"/>
      <c r="AB80" s="39"/>
      <c r="AC80" s="175"/>
      <c r="AD80" s="61"/>
      <c r="AE80" s="36"/>
      <c r="AF80" s="750"/>
      <c r="AG80" s="61"/>
      <c r="AH80" s="192"/>
      <c r="AI80" s="756"/>
      <c r="AJ80" s="493"/>
      <c r="AK80" s="943"/>
      <c r="AL80" s="959"/>
    </row>
    <row r="81" spans="1:51" ht="15" customHeight="1">
      <c r="A81" s="100"/>
      <c r="B81" s="19" t="s">
        <v>154</v>
      </c>
      <c r="C81" s="21"/>
      <c r="D81" s="472"/>
      <c r="E81" s="472"/>
      <c r="F81" s="467"/>
      <c r="G81" s="472"/>
      <c r="H81" s="467"/>
      <c r="I81" s="472"/>
      <c r="J81" s="467"/>
      <c r="K81" s="39"/>
      <c r="L81" s="467"/>
      <c r="M81" s="39"/>
      <c r="N81" s="36"/>
      <c r="O81" s="39"/>
      <c r="P81" s="36"/>
      <c r="Q81" s="39"/>
      <c r="R81" s="36"/>
      <c r="S81" s="39"/>
      <c r="T81" s="36"/>
      <c r="U81" s="39"/>
      <c r="V81" s="36"/>
      <c r="W81" s="36"/>
      <c r="X81" s="36"/>
      <c r="Y81" s="36"/>
      <c r="Z81" s="36"/>
      <c r="AA81" s="36"/>
      <c r="AB81" s="39"/>
      <c r="AC81" s="175"/>
      <c r="AD81" s="36"/>
      <c r="AE81" s="1759"/>
      <c r="AF81" s="1762"/>
      <c r="AG81" s="36"/>
      <c r="AH81" s="192"/>
      <c r="AI81" s="756"/>
      <c r="AJ81" s="493"/>
      <c r="AK81" s="943"/>
      <c r="AL81" s="959"/>
    </row>
    <row r="82" spans="1:51" ht="15" customHeight="1">
      <c r="A82" s="100"/>
      <c r="B82" s="19" t="s">
        <v>44</v>
      </c>
      <c r="C82" s="21"/>
      <c r="D82" s="42">
        <f>ROUND(SUM(D56-D79),1)</f>
        <v>1385.7</v>
      </c>
      <c r="E82" s="112"/>
      <c r="F82" s="42">
        <f>ROUND(SUM(F56-F79),1)</f>
        <v>-2182.1</v>
      </c>
      <c r="G82" s="112"/>
      <c r="H82" s="42">
        <f>ROUND(SUM(H56-H79),1)</f>
        <v>3449.4</v>
      </c>
      <c r="I82" s="112"/>
      <c r="J82" s="42">
        <f>ROUND(SUM(J56-J79),1)</f>
        <v>151.69999999999999</v>
      </c>
      <c r="K82" s="112"/>
      <c r="L82" s="42">
        <f>ROUND(SUM(L56-L79),1)</f>
        <v>-703.4</v>
      </c>
      <c r="M82" s="112"/>
      <c r="N82" s="42">
        <f>ROUND(SUM(N56-N79),1)</f>
        <v>1320.1</v>
      </c>
      <c r="O82" s="112"/>
      <c r="P82" s="42">
        <f>ROUND(SUM(P56-P79),1)</f>
        <v>0</v>
      </c>
      <c r="Q82" s="112"/>
      <c r="R82" s="42">
        <f>ROUND(SUM(R56-R79),1)</f>
        <v>0</v>
      </c>
      <c r="S82" s="42"/>
      <c r="T82" s="42">
        <f t="shared" ref="T82" si="15">ROUND(SUM(T56-T79),1)</f>
        <v>0</v>
      </c>
      <c r="U82" s="112"/>
      <c r="V82" s="42">
        <f>ROUND(SUM(V56-V79),1)</f>
        <v>0</v>
      </c>
      <c r="W82" s="42"/>
      <c r="X82" s="42">
        <f>ROUND(SUM(X56-X79),1)</f>
        <v>0</v>
      </c>
      <c r="Y82" s="42"/>
      <c r="Z82" s="42">
        <f>ROUND(AD82-D82-F82-H82-J82-L82-N82-P82-R82-T82-V82-X82,1)</f>
        <v>0</v>
      </c>
      <c r="AA82" s="42"/>
      <c r="AB82" s="112"/>
      <c r="AC82" s="1233"/>
      <c r="AD82" s="42">
        <f>ROUND(SUM(AD56-AD79),1)</f>
        <v>3421.4</v>
      </c>
      <c r="AE82" s="42"/>
      <c r="AF82" s="1234"/>
      <c r="AG82" s="42">
        <f>ROUND(SUM(AG56-AG79),1)</f>
        <v>4220.8999999999996</v>
      </c>
      <c r="AH82" s="198"/>
      <c r="AI82" s="42"/>
      <c r="AJ82" s="77">
        <f>ROUND(SUM(AD82-AG82),1)</f>
        <v>-799.5</v>
      </c>
      <c r="AK82" s="1321"/>
      <c r="AL82" s="1915">
        <f>ROUND(SUM((AD82-AG82)/ABS(AG82)),3)</f>
        <v>-0.189</v>
      </c>
    </row>
    <row r="83" spans="1:51" ht="15" customHeight="1">
      <c r="A83" s="100"/>
      <c r="B83" s="21"/>
      <c r="C83" s="21"/>
      <c r="D83" s="1140"/>
      <c r="E83" s="472"/>
      <c r="F83" s="497"/>
      <c r="G83" s="472"/>
      <c r="H83" s="497"/>
      <c r="I83" s="472"/>
      <c r="J83" s="497"/>
      <c r="K83" s="39"/>
      <c r="L83" s="497"/>
      <c r="M83" s="39"/>
      <c r="N83" s="61"/>
      <c r="O83" s="39"/>
      <c r="P83" s="61"/>
      <c r="Q83" s="39"/>
      <c r="R83" s="61"/>
      <c r="S83" s="39"/>
      <c r="T83" s="61"/>
      <c r="U83" s="39"/>
      <c r="V83" s="61"/>
      <c r="W83" s="36"/>
      <c r="X83" s="61"/>
      <c r="Y83" s="36"/>
      <c r="Z83" s="61"/>
      <c r="AA83" s="36"/>
      <c r="AB83" s="39"/>
      <c r="AC83" s="175"/>
      <c r="AD83" s="61"/>
      <c r="AE83" s="36"/>
      <c r="AF83" s="750"/>
      <c r="AG83" s="61"/>
      <c r="AH83" s="192"/>
      <c r="AI83" s="36"/>
      <c r="AJ83" s="493"/>
      <c r="AK83" s="943"/>
      <c r="AL83" s="959"/>
    </row>
    <row r="84" spans="1:51" ht="15" customHeight="1">
      <c r="A84" s="100"/>
      <c r="B84" s="19" t="s">
        <v>45</v>
      </c>
      <c r="C84" s="21"/>
      <c r="D84" s="472"/>
      <c r="E84" s="472"/>
      <c r="F84" s="467"/>
      <c r="G84" s="472"/>
      <c r="H84" s="467"/>
      <c r="I84" s="472"/>
      <c r="J84" s="467"/>
      <c r="K84" s="39"/>
      <c r="L84" s="467"/>
      <c r="M84" s="39"/>
      <c r="N84" s="36"/>
      <c r="O84" s="39"/>
      <c r="P84" s="36"/>
      <c r="Q84" s="39"/>
      <c r="R84" s="36"/>
      <c r="S84" s="39"/>
      <c r="T84" s="36"/>
      <c r="U84" s="39"/>
      <c r="V84" s="36"/>
      <c r="W84" s="36"/>
      <c r="X84" s="36"/>
      <c r="Y84" s="36"/>
      <c r="Z84" s="36"/>
      <c r="AA84" s="36"/>
      <c r="AB84" s="39"/>
      <c r="AC84" s="175"/>
      <c r="AD84" s="36"/>
      <c r="AE84" s="36"/>
      <c r="AF84" s="750"/>
      <c r="AG84" s="36"/>
      <c r="AH84" s="192"/>
      <c r="AI84" s="36"/>
      <c r="AJ84" s="493"/>
      <c r="AK84" s="943"/>
      <c r="AL84" s="959"/>
    </row>
    <row r="85" spans="1:51" ht="15" customHeight="1">
      <c r="A85" s="100"/>
      <c r="B85" s="21" t="s">
        <v>178</v>
      </c>
      <c r="C85" s="21"/>
      <c r="D85" s="493">
        <v>0</v>
      </c>
      <c r="E85" s="472"/>
      <c r="F85" s="493">
        <v>0</v>
      </c>
      <c r="G85" s="472"/>
      <c r="H85" s="493">
        <v>0</v>
      </c>
      <c r="I85" s="472"/>
      <c r="J85" s="493">
        <v>0</v>
      </c>
      <c r="K85" s="1004"/>
      <c r="L85" s="493">
        <v>0</v>
      </c>
      <c r="M85" s="1004"/>
      <c r="N85" s="493">
        <f t="shared" ref="N85:N86" si="16">$AD85-$D85-$F85-$H85-$J85-$L85</f>
        <v>0</v>
      </c>
      <c r="O85" s="1004"/>
      <c r="P85" s="493"/>
      <c r="Q85" s="1004"/>
      <c r="R85" s="493"/>
      <c r="S85" s="1004"/>
      <c r="T85" s="493"/>
      <c r="U85" s="1004"/>
      <c r="V85" s="493"/>
      <c r="W85" s="1004"/>
      <c r="X85" s="493"/>
      <c r="Y85" s="1004"/>
      <c r="Z85" s="493"/>
      <c r="AA85" s="496"/>
      <c r="AB85" s="467"/>
      <c r="AC85" s="932"/>
      <c r="AD85" s="912">
        <v>0</v>
      </c>
      <c r="AE85" s="467"/>
      <c r="AF85" s="933"/>
      <c r="AG85" s="912">
        <v>0</v>
      </c>
      <c r="AH85" s="192"/>
      <c r="AI85" s="36"/>
      <c r="AJ85" s="496">
        <f>ROUND(SUM(+AD85-AG85),1)</f>
        <v>0</v>
      </c>
      <c r="AK85" s="467"/>
      <c r="AL85" s="469">
        <f>-ROUND(IF(AG85=0,0,AJ85/ABS(AG85)),3)</f>
        <v>0</v>
      </c>
    </row>
    <row r="86" spans="1:51" ht="15" customHeight="1">
      <c r="A86" s="100"/>
      <c r="B86" s="21" t="s">
        <v>179</v>
      </c>
      <c r="C86" s="21"/>
      <c r="D86" s="493">
        <v>-99</v>
      </c>
      <c r="E86" s="472"/>
      <c r="F86" s="493">
        <v>-385.3</v>
      </c>
      <c r="G86" s="472"/>
      <c r="H86" s="493">
        <v>-164.8</v>
      </c>
      <c r="I86" s="472"/>
      <c r="J86" s="493">
        <v>-48.399999999999977</v>
      </c>
      <c r="K86" s="1004"/>
      <c r="L86" s="493">
        <v>-159</v>
      </c>
      <c r="M86" s="1004"/>
      <c r="N86" s="493">
        <f t="shared" si="16"/>
        <v>-111.89999999999998</v>
      </c>
      <c r="O86" s="1004"/>
      <c r="P86" s="493"/>
      <c r="Q86" s="1004"/>
      <c r="R86" s="493"/>
      <c r="S86" s="1004"/>
      <c r="T86" s="493"/>
      <c r="U86" s="1004"/>
      <c r="V86" s="493"/>
      <c r="W86" s="1004"/>
      <c r="X86" s="493"/>
      <c r="Y86" s="1004"/>
      <c r="Z86" s="493"/>
      <c r="AA86" s="496"/>
      <c r="AB86" s="467"/>
      <c r="AC86" s="932"/>
      <c r="AD86" s="912">
        <v>-968.4</v>
      </c>
      <c r="AE86" s="467"/>
      <c r="AF86" s="933"/>
      <c r="AG86" s="1839">
        <v>-1108.0999999999999</v>
      </c>
      <c r="AH86" s="192"/>
      <c r="AI86" s="36"/>
      <c r="AJ86" s="467">
        <f>ROUND(SUM(+AD86-AG86)*-1,1)</f>
        <v>-139.69999999999999</v>
      </c>
      <c r="AK86" s="467"/>
      <c r="AL86" s="469">
        <f>ROUND(IF(AG86=0,0,AJ86/ABS(AG86)),3)</f>
        <v>-0.126</v>
      </c>
    </row>
    <row r="87" spans="1:51" ht="15" customHeight="1">
      <c r="A87" s="100"/>
      <c r="B87" s="21"/>
      <c r="C87" s="21"/>
      <c r="D87" s="114"/>
      <c r="E87" s="39"/>
      <c r="F87" s="61"/>
      <c r="G87" s="39"/>
      <c r="H87" s="61"/>
      <c r="I87" s="39"/>
      <c r="J87" s="61"/>
      <c r="K87" s="39"/>
      <c r="L87" s="61"/>
      <c r="M87" s="39"/>
      <c r="N87" s="61"/>
      <c r="O87" s="39"/>
      <c r="P87" s="61"/>
      <c r="Q87" s="39"/>
      <c r="R87" s="61"/>
      <c r="S87" s="39"/>
      <c r="T87" s="61"/>
      <c r="U87" s="39"/>
      <c r="V87" s="61"/>
      <c r="W87" s="36"/>
      <c r="X87" s="61"/>
      <c r="Y87" s="36"/>
      <c r="Z87" s="61"/>
      <c r="AA87" s="36"/>
      <c r="AB87" s="39"/>
      <c r="AC87" s="175"/>
      <c r="AD87" s="61"/>
      <c r="AE87" s="36"/>
      <c r="AF87" s="750"/>
      <c r="AG87" s="36"/>
      <c r="AH87" s="192"/>
      <c r="AI87" s="36"/>
      <c r="AJ87" s="942"/>
      <c r="AK87" s="943"/>
      <c r="AL87" s="1323"/>
    </row>
    <row r="88" spans="1:51" ht="15" customHeight="1">
      <c r="A88" s="100"/>
      <c r="B88" s="19" t="s">
        <v>1037</v>
      </c>
      <c r="C88" s="21"/>
      <c r="D88" s="42">
        <f>ROUND(SUM(D85:D87),1)</f>
        <v>-99</v>
      </c>
      <c r="E88" s="112"/>
      <c r="F88" s="42">
        <f>ROUND(SUM(F85:F87),1)</f>
        <v>-385.3</v>
      </c>
      <c r="G88" s="112"/>
      <c r="H88" s="42">
        <f>ROUND(SUM(H85:H87),1)</f>
        <v>-164.8</v>
      </c>
      <c r="I88" s="112"/>
      <c r="J88" s="42">
        <f>ROUND(SUM(J85:J87),1)</f>
        <v>-48.4</v>
      </c>
      <c r="K88" s="112"/>
      <c r="L88" s="42">
        <f>ROUND(SUM(L85:L87),1)</f>
        <v>-159</v>
      </c>
      <c r="M88" s="112"/>
      <c r="N88" s="42">
        <f>ROUND(SUM(N85:N87),1)</f>
        <v>-111.9</v>
      </c>
      <c r="O88" s="112"/>
      <c r="P88" s="42">
        <f>ROUND(SUM(P85:P87),1)</f>
        <v>0</v>
      </c>
      <c r="Q88" s="112"/>
      <c r="R88" s="42">
        <f>ROUND(SUM(R85:R87),1)</f>
        <v>0</v>
      </c>
      <c r="S88" s="42"/>
      <c r="T88" s="42">
        <f>ROUND(SUM(T85:T87),1)</f>
        <v>0</v>
      </c>
      <c r="U88" s="112"/>
      <c r="V88" s="42">
        <f>ROUND(SUM(V85:V87),1)</f>
        <v>0</v>
      </c>
      <c r="W88" s="42"/>
      <c r="X88" s="42">
        <f>ROUND(SUM(X85:X87),1)</f>
        <v>0</v>
      </c>
      <c r="Y88" s="42"/>
      <c r="Z88" s="42">
        <f>ROUND(SUM(Z85:Z87),1)</f>
        <v>0</v>
      </c>
      <c r="AA88" s="42"/>
      <c r="AB88" s="112"/>
      <c r="AC88" s="1233"/>
      <c r="AD88" s="42">
        <f>ROUND(SUM(AD85:AD87),1)</f>
        <v>-968.4</v>
      </c>
      <c r="AE88" s="42"/>
      <c r="AF88" s="1234"/>
      <c r="AG88" s="42">
        <f>ROUND(SUM(AG85:AG86),1)</f>
        <v>-1108.0999999999999</v>
      </c>
      <c r="AH88" s="198"/>
      <c r="AI88" s="42"/>
      <c r="AJ88" s="77">
        <f>-ROUND(SUM(AD88-AG88),1)</f>
        <v>-139.69999999999999</v>
      </c>
      <c r="AK88" s="199"/>
      <c r="AL88" s="1322">
        <f>ROUND(SUM((AD88-AG88)/(AG88)),3)</f>
        <v>-0.126</v>
      </c>
    </row>
    <row r="89" spans="1:51" ht="15" customHeight="1">
      <c r="A89" s="100"/>
      <c r="B89" s="21"/>
      <c r="C89" s="21"/>
      <c r="D89" s="114"/>
      <c r="E89" s="39"/>
      <c r="F89" s="114"/>
      <c r="G89" s="39"/>
      <c r="H89" s="114"/>
      <c r="I89" s="39"/>
      <c r="J89" s="114"/>
      <c r="K89" s="39"/>
      <c r="L89" s="114"/>
      <c r="M89" s="39"/>
      <c r="N89" s="114"/>
      <c r="O89" s="39"/>
      <c r="P89" s="114"/>
      <c r="Q89" s="39"/>
      <c r="R89" s="114"/>
      <c r="S89" s="39"/>
      <c r="T89" s="114"/>
      <c r="U89" s="39"/>
      <c r="V89" s="61"/>
      <c r="W89" s="36"/>
      <c r="X89" s="61"/>
      <c r="Y89" s="36"/>
      <c r="Z89" s="61"/>
      <c r="AA89" s="36"/>
      <c r="AB89" s="39"/>
      <c r="AC89" s="175"/>
      <c r="AD89" s="61"/>
      <c r="AE89" s="36"/>
      <c r="AF89" s="750"/>
      <c r="AG89" s="61"/>
      <c r="AH89" s="192"/>
      <c r="AI89" s="36"/>
      <c r="AJ89" s="493"/>
      <c r="AK89" s="943"/>
      <c r="AL89" s="959"/>
    </row>
    <row r="90" spans="1:51" ht="15" customHeight="1">
      <c r="A90" s="100"/>
      <c r="B90" s="19" t="s">
        <v>162</v>
      </c>
      <c r="C90" s="21"/>
      <c r="D90" s="39"/>
      <c r="E90" s="39"/>
      <c r="F90" s="39"/>
      <c r="G90" s="39"/>
      <c r="H90" s="39"/>
      <c r="I90" s="39"/>
      <c r="J90" s="39"/>
      <c r="K90" s="39"/>
      <c r="L90" s="39"/>
      <c r="M90" s="39"/>
      <c r="N90" s="39"/>
      <c r="O90" s="39"/>
      <c r="P90" s="39"/>
      <c r="Q90" s="39"/>
      <c r="R90" s="39"/>
      <c r="S90" s="39"/>
      <c r="T90" s="39"/>
      <c r="U90" s="39"/>
      <c r="V90" s="39"/>
      <c r="W90" s="39"/>
      <c r="X90" s="39"/>
      <c r="Y90" s="39"/>
      <c r="Z90" s="39"/>
      <c r="AA90" s="39"/>
      <c r="AB90" s="39"/>
      <c r="AC90" s="175"/>
      <c r="AD90" s="39"/>
      <c r="AE90" s="39"/>
      <c r="AF90" s="1761"/>
      <c r="AG90" s="39"/>
      <c r="AH90" s="1127"/>
      <c r="AI90" s="20"/>
      <c r="AJ90" s="943"/>
      <c r="AK90" s="943"/>
      <c r="AL90" s="959"/>
    </row>
    <row r="91" spans="1:51" ht="15" customHeight="1">
      <c r="A91" s="100"/>
      <c r="B91" s="19" t="s">
        <v>163</v>
      </c>
      <c r="C91" s="21"/>
      <c r="D91" s="39"/>
      <c r="E91" s="39"/>
      <c r="F91" s="39"/>
      <c r="G91" s="39"/>
      <c r="H91" s="39"/>
      <c r="I91" s="39"/>
      <c r="J91" s="39"/>
      <c r="K91" s="39"/>
      <c r="L91" s="39"/>
      <c r="M91" s="39"/>
      <c r="N91" s="39"/>
      <c r="O91" s="39"/>
      <c r="P91" s="39"/>
      <c r="Q91" s="39"/>
      <c r="R91" s="39"/>
      <c r="S91" s="39"/>
      <c r="T91" s="39"/>
      <c r="U91" s="39"/>
      <c r="V91" s="39"/>
      <c r="W91" s="39"/>
      <c r="X91" s="39"/>
      <c r="Y91" s="39"/>
      <c r="Z91" s="39"/>
      <c r="AA91" s="39"/>
      <c r="AB91" s="39"/>
      <c r="AC91" s="175"/>
      <c r="AD91" s="39"/>
      <c r="AE91" s="39"/>
      <c r="AF91" s="1761"/>
      <c r="AG91" s="65"/>
      <c r="AH91" s="1127"/>
      <c r="AI91" s="20"/>
      <c r="AJ91" s="943"/>
      <c r="AK91" s="943"/>
      <c r="AL91" s="959"/>
    </row>
    <row r="92" spans="1:51" ht="15" customHeight="1">
      <c r="A92" s="100"/>
      <c r="B92" s="19" t="s">
        <v>1038</v>
      </c>
      <c r="C92" s="21"/>
      <c r="D92" s="601">
        <f>ROUND(SUM(D82+D88),1)</f>
        <v>1286.7</v>
      </c>
      <c r="E92" s="39"/>
      <c r="F92" s="601">
        <f>ROUND(SUM(F82+F88),1)</f>
        <v>-2567.4</v>
      </c>
      <c r="G92" s="39"/>
      <c r="H92" s="601">
        <f>ROUND(SUM(H82+H88),1)</f>
        <v>3284.6</v>
      </c>
      <c r="I92" s="36"/>
      <c r="J92" s="601">
        <f>ROUND(SUM(J82+J88),1)</f>
        <v>103.3</v>
      </c>
      <c r="K92" s="36"/>
      <c r="L92" s="601">
        <f>ROUND(SUM(L82+L88),1)</f>
        <v>-862.4</v>
      </c>
      <c r="M92" s="36"/>
      <c r="N92" s="601">
        <f>ROUND(SUM(N82+N88),1)</f>
        <v>1208.2</v>
      </c>
      <c r="O92" s="36"/>
      <c r="P92" s="601">
        <f>ROUND(SUM(P82+P88),1)</f>
        <v>0</v>
      </c>
      <c r="Q92" s="36"/>
      <c r="R92" s="601">
        <f>ROUND(SUM(R82+R88),1)</f>
        <v>0</v>
      </c>
      <c r="S92" s="36"/>
      <c r="T92" s="601">
        <f>ROUND(SUM(T82+T88),1)</f>
        <v>0</v>
      </c>
      <c r="U92" s="36"/>
      <c r="V92" s="601">
        <f>ROUND(SUM(V82+V88),1)</f>
        <v>0</v>
      </c>
      <c r="W92" s="36"/>
      <c r="X92" s="601">
        <f>ROUND(SUM(X82+X88),1)</f>
        <v>0</v>
      </c>
      <c r="Y92" s="36"/>
      <c r="Z92" s="601">
        <f>ROUND(SUM(Z82+Z88),1)</f>
        <v>0</v>
      </c>
      <c r="AA92" s="36"/>
      <c r="AB92" s="1152"/>
      <c r="AC92" s="36"/>
      <c r="AD92" s="601">
        <f>ROUND(SUM(AD82+AD88),1)</f>
        <v>2453</v>
      </c>
      <c r="AE92" s="1760"/>
      <c r="AF92" s="36"/>
      <c r="AG92" s="601">
        <f>ROUND(SUM(AG82+AG88),1)</f>
        <v>3112.8</v>
      </c>
      <c r="AH92" s="1127"/>
      <c r="AI92" s="36"/>
      <c r="AJ92" s="601">
        <f>ROUND(SUM(AJ82-AJ88),1)</f>
        <v>-659.8</v>
      </c>
      <c r="AK92" s="493"/>
      <c r="AL92" s="1151">
        <f>ROUND(SUM((AD92-AG92)/ABS(AG92)),3)</f>
        <v>-0.21199999999999999</v>
      </c>
    </row>
    <row r="93" spans="1:51" ht="15" customHeight="1">
      <c r="A93" s="100"/>
      <c r="B93" s="21"/>
      <c r="C93" s="21"/>
      <c r="D93" s="20"/>
      <c r="E93" s="20"/>
      <c r="F93" s="20"/>
      <c r="G93" s="20"/>
      <c r="H93" s="20"/>
      <c r="I93" s="20"/>
      <c r="J93" s="20"/>
      <c r="K93" s="20"/>
      <c r="L93" s="20"/>
      <c r="M93" s="20"/>
      <c r="N93" s="20"/>
      <c r="O93" s="20"/>
      <c r="P93" s="20"/>
      <c r="Q93" s="20"/>
      <c r="R93" s="20"/>
      <c r="S93" s="20"/>
      <c r="T93" s="65"/>
      <c r="U93" s="20"/>
      <c r="V93" s="20"/>
      <c r="W93" s="20"/>
      <c r="X93" s="20"/>
      <c r="Y93" s="20"/>
      <c r="Z93" s="20"/>
      <c r="AA93" s="20"/>
      <c r="AB93" s="20"/>
      <c r="AC93" s="1225"/>
      <c r="AD93" s="20"/>
      <c r="AE93" s="20"/>
      <c r="AF93" s="1225"/>
      <c r="AG93" s="20"/>
      <c r="AH93" s="20"/>
      <c r="AI93" s="188"/>
      <c r="AJ93" s="943"/>
      <c r="AK93" s="943"/>
      <c r="AL93" s="959" t="s">
        <v>14</v>
      </c>
    </row>
    <row r="94" spans="1:51" ht="20.25" customHeight="1" thickBot="1">
      <c r="A94" s="100"/>
      <c r="B94" s="19" t="s">
        <v>1048</v>
      </c>
      <c r="C94" s="21"/>
      <c r="D94" s="1147">
        <f>ROUND(SUM(+D13+D92),1)</f>
        <v>16113.1</v>
      </c>
      <c r="E94" s="20"/>
      <c r="F94" s="1147">
        <f>ROUND(SUM(+F13+F92),1)</f>
        <v>13545.7</v>
      </c>
      <c r="G94" s="20"/>
      <c r="H94" s="1147">
        <f>ROUND(SUM(+H13+H92),1)</f>
        <v>16830.3</v>
      </c>
      <c r="I94" s="20"/>
      <c r="J94" s="1147">
        <f>ROUND(SUM(+J13+J92),1)</f>
        <v>16933.599999999999</v>
      </c>
      <c r="K94" s="20"/>
      <c r="L94" s="1147">
        <f>ROUND(SUM(+L13+L92),1)</f>
        <v>16071.2</v>
      </c>
      <c r="M94" s="20"/>
      <c r="N94" s="1147">
        <f>ROUND(SUM(+N13+N92),1)</f>
        <v>17279.400000000001</v>
      </c>
      <c r="O94" s="20"/>
      <c r="P94" s="1147">
        <f>ROUND(SUM(+P13+P92),1)</f>
        <v>0</v>
      </c>
      <c r="Q94" s="20"/>
      <c r="R94" s="1147">
        <f>ROUND(SUM(+R13+R92),1)</f>
        <v>0</v>
      </c>
      <c r="S94" s="20"/>
      <c r="T94" s="1147">
        <f>ROUND(SUM(+T13+T92),1)</f>
        <v>0</v>
      </c>
      <c r="U94" s="20"/>
      <c r="V94" s="1147">
        <f>ROUND(SUM(+V13+V92),1)</f>
        <v>0</v>
      </c>
      <c r="W94" s="20"/>
      <c r="X94" s="1147">
        <f>ROUND(SUM(+X13+X92),1)</f>
        <v>0</v>
      </c>
      <c r="Y94" s="20"/>
      <c r="Z94" s="1147">
        <f>ROUND(SUM(+Z13+Z92),1)</f>
        <v>0</v>
      </c>
      <c r="AA94" s="20"/>
      <c r="AB94" s="20"/>
      <c r="AC94" s="1225"/>
      <c r="AD94" s="1147">
        <f>ROUND(SUM(+AD13+AD92),1)</f>
        <v>17279.400000000001</v>
      </c>
      <c r="AE94" s="20"/>
      <c r="AF94" s="1225"/>
      <c r="AG94" s="1147">
        <f>ROUND(SUM(+AG13+AG92),1)</f>
        <v>17438.5</v>
      </c>
      <c r="AH94" s="20"/>
      <c r="AI94" s="188"/>
      <c r="AJ94" s="1147">
        <f>ROUND(SUM(+AJ13+AJ92),1)</f>
        <v>-159.1</v>
      </c>
      <c r="AK94" s="943"/>
      <c r="AL94" s="1324">
        <f>ROUND(+AJ94/ABS(AG94),3)</f>
        <v>-8.9999999999999993E-3</v>
      </c>
    </row>
    <row r="95" spans="1:51" ht="15" customHeight="1" thickTop="1">
      <c r="B95" s="20"/>
      <c r="C95" s="20"/>
      <c r="D95" s="186"/>
      <c r="E95" s="186"/>
      <c r="F95" s="186"/>
      <c r="G95" s="186"/>
      <c r="H95" s="186"/>
      <c r="I95" s="186"/>
      <c r="J95" s="186"/>
      <c r="K95" s="186"/>
      <c r="L95" s="186"/>
      <c r="M95" s="186"/>
      <c r="N95" s="186"/>
      <c r="O95" s="186"/>
      <c r="P95" s="186"/>
      <c r="Q95" s="186"/>
      <c r="R95" s="186"/>
      <c r="S95" s="186"/>
      <c r="T95" s="186"/>
      <c r="U95" s="186"/>
      <c r="V95" s="186"/>
      <c r="W95" s="186"/>
      <c r="X95" s="186"/>
      <c r="Y95" s="186"/>
      <c r="Z95" s="186"/>
      <c r="AA95" s="186"/>
      <c r="AB95" s="186"/>
      <c r="AC95" s="186"/>
      <c r="AD95" s="186"/>
      <c r="AE95" s="186"/>
      <c r="AF95" s="186"/>
      <c r="AG95" s="186"/>
      <c r="AH95" s="186"/>
      <c r="AI95" s="186"/>
      <c r="AJ95" s="714"/>
      <c r="AK95" s="714"/>
      <c r="AL95" s="488"/>
      <c r="AM95" s="208"/>
      <c r="AN95" s="208"/>
      <c r="AO95" s="208"/>
      <c r="AP95" s="208"/>
      <c r="AQ95" s="208"/>
      <c r="AR95" s="208"/>
      <c r="AS95" s="208"/>
      <c r="AT95" s="208"/>
      <c r="AU95" s="208"/>
      <c r="AV95" s="208"/>
      <c r="AW95" s="208"/>
      <c r="AX95" s="208"/>
      <c r="AY95" s="208"/>
    </row>
    <row r="96" spans="1:51" ht="15" customHeight="1">
      <c r="B96" s="644"/>
      <c r="C96" s="20"/>
      <c r="D96" s="20"/>
      <c r="E96" s="20"/>
      <c r="F96" s="20"/>
      <c r="G96" s="20"/>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644"/>
      <c r="AK96" s="644"/>
      <c r="AL96" s="488"/>
    </row>
    <row r="97" spans="2:2" ht="15" customHeight="1">
      <c r="B97" s="20"/>
    </row>
    <row r="98" spans="2:2" ht="15" customHeight="1">
      <c r="B98" s="20"/>
    </row>
    <row r="99" spans="2:2" ht="15" customHeight="1"/>
    <row r="100" spans="2:2" ht="15" customHeight="1"/>
    <row r="101" spans="2:2" ht="15" customHeight="1"/>
    <row r="102" spans="2:2" ht="15" customHeight="1"/>
    <row r="103" spans="2:2" ht="15" customHeight="1"/>
    <row r="104" spans="2:2" ht="15" customHeight="1"/>
    <row r="105" spans="2:2" ht="15" customHeight="1"/>
    <row r="106" spans="2:2" ht="15" customHeight="1"/>
    <row r="107" spans="2:2" ht="15" customHeight="1"/>
    <row r="108" spans="2:2" ht="15" customHeight="1"/>
    <row r="109" spans="2:2" ht="15" customHeight="1"/>
    <row r="110" spans="2:2" ht="15" customHeight="1"/>
    <row r="111" spans="2:2" ht="15" customHeight="1"/>
    <row r="112" spans="2: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sheetData>
  <mergeCells count="1">
    <mergeCell ref="AC9:AL9"/>
  </mergeCells>
  <pageMargins left="0.25" right="0.25" top="0.5" bottom="0.25" header="0" footer="0.25"/>
  <pageSetup scale="41" firstPageNumber="26" fitToHeight="2" orientation="landscape" useFirstPageNumber="1" r:id="rId1"/>
  <headerFooter scaleWithDoc="0" alignWithMargins="0">
    <oddFooter>&amp;C&amp;8&amp;P</oddFooter>
  </headerFooter>
  <rowBreaks count="1" manualBreakCount="1">
    <brk id="57" min="1" max="37" man="1"/>
  </rowBreaks>
  <customProperties>
    <customPr name="SheetOptions" r:id="rId2"/>
  </customProperties>
  <ignoredErrors>
    <ignoredError sqref="AL16:AL18 AL20" unlockedFormula="1"/>
    <ignoredError sqref="AL32:AL33 AL35:AL39 AL41:AL52 AL54 AL58:AL132 AL56" formula="1"/>
    <ignoredError sqref="AL55 AL57 AL53 AL40 AL34" formula="1" unlockedFormula="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dimension ref="A1:AL261"/>
  <sheetViews>
    <sheetView showGridLines="0" zoomScale="90" zoomScaleNormal="80" workbookViewId="0"/>
  </sheetViews>
  <sheetFormatPr defaultRowHeight="12.75"/>
  <cols>
    <col min="1" max="1" width="40.44140625" style="212" customWidth="1"/>
    <col min="2" max="2" width="10.44140625" style="212" customWidth="1"/>
    <col min="3" max="3" width="1.109375" style="212" customWidth="1"/>
    <col min="4" max="4" width="10" style="212" customWidth="1"/>
    <col min="5" max="5" width="1.109375" style="212" customWidth="1"/>
    <col min="6" max="6" width="9.88671875" style="1480" bestFit="1" customWidth="1"/>
    <col min="7" max="7" width="1.109375" style="212" customWidth="1"/>
    <col min="8" max="8" width="10" style="212" customWidth="1"/>
    <col min="9" max="9" width="1.109375" style="212" customWidth="1"/>
    <col min="10" max="10" width="10" style="212" bestFit="1" customWidth="1"/>
    <col min="11" max="11" width="1.109375" style="212" customWidth="1"/>
    <col min="12" max="12" width="11.109375" style="212" customWidth="1"/>
    <col min="13" max="13" width="1.109375" style="212" customWidth="1"/>
    <col min="14" max="14" width="10.88671875" style="212" customWidth="1"/>
    <col min="15" max="15" width="1.88671875" style="212" customWidth="1"/>
    <col min="16" max="16" width="11" style="212" customWidth="1"/>
    <col min="17" max="17" width="1.109375" style="212" customWidth="1"/>
    <col min="18" max="18" width="10.88671875" style="212" customWidth="1"/>
    <col min="19" max="19" width="1.109375" style="212" customWidth="1"/>
    <col min="20" max="20" width="10" style="212" customWidth="1"/>
    <col min="21" max="21" width="1.109375" style="212" customWidth="1"/>
    <col min="22" max="22" width="12.88671875" style="212" customWidth="1"/>
    <col min="23" max="23" width="1.109375" style="212" customWidth="1"/>
    <col min="24" max="24" width="11.109375" style="212" bestFit="1" customWidth="1"/>
    <col min="25" max="25" width="1.109375" style="212" customWidth="1"/>
    <col min="26" max="26" width="0.88671875" style="212" customWidth="1"/>
    <col min="27" max="27" width="10.5546875" style="212" customWidth="1"/>
    <col min="28" max="28" width="2.109375" style="212" customWidth="1"/>
    <col min="29" max="29" width="0.88671875" style="212" customWidth="1"/>
    <col min="30" max="30" width="11" style="212" bestFit="1" customWidth="1"/>
    <col min="31" max="32" width="0.88671875" style="212" customWidth="1"/>
    <col min="33" max="33" width="10.88671875" style="212" bestFit="1" customWidth="1"/>
    <col min="34" max="34" width="1.109375" style="212" customWidth="1"/>
    <col min="35" max="35" width="11" style="212" customWidth="1"/>
    <col min="36" max="36" width="14.5546875" style="1481" customWidth="1"/>
    <col min="37" max="252" width="8.88671875" style="212"/>
    <col min="253" max="253" width="38.44140625" style="212" customWidth="1"/>
    <col min="254" max="254" width="8.5546875" style="212" customWidth="1"/>
    <col min="255" max="255" width="1.109375" style="212" customWidth="1"/>
    <col min="256" max="256" width="8.88671875" style="212" customWidth="1"/>
    <col min="257" max="257" width="1.109375" style="212" customWidth="1"/>
    <col min="258" max="258" width="9.109375" style="212" customWidth="1"/>
    <col min="259" max="259" width="1.109375" style="212" customWidth="1"/>
    <col min="260" max="260" width="10" style="212" customWidth="1"/>
    <col min="261" max="261" width="1.109375" style="212" customWidth="1"/>
    <col min="262" max="262" width="9.109375" style="212" customWidth="1"/>
    <col min="263" max="263" width="1.109375" style="212" customWidth="1"/>
    <col min="264" max="264" width="11.109375" style="212" customWidth="1"/>
    <col min="265" max="265" width="1.109375" style="212" customWidth="1"/>
    <col min="266" max="266" width="9.109375" style="212" customWidth="1"/>
    <col min="267" max="267" width="1.88671875" style="212" customWidth="1"/>
    <col min="268" max="268" width="11" style="212" customWidth="1"/>
    <col min="269" max="269" width="1.109375" style="212" customWidth="1"/>
    <col min="270" max="270" width="10.88671875" style="212" customWidth="1"/>
    <col min="271" max="271" width="1.109375" style="212" customWidth="1"/>
    <col min="272" max="272" width="10" style="212" customWidth="1"/>
    <col min="273" max="273" width="1.109375" style="212" customWidth="1"/>
    <col min="274" max="274" width="9.109375" style="212" customWidth="1"/>
    <col min="275" max="275" width="1.109375" style="212" customWidth="1"/>
    <col min="276" max="276" width="7.88671875" style="212" customWidth="1"/>
    <col min="277" max="277" width="1.109375" style="212" customWidth="1"/>
    <col min="278" max="278" width="0.88671875" style="212" customWidth="1"/>
    <col min="279" max="279" width="9.109375" style="212" customWidth="1"/>
    <col min="280" max="280" width="1.109375" style="212" customWidth="1"/>
    <col min="281" max="281" width="0.88671875" style="212" customWidth="1"/>
    <col min="282" max="282" width="9.5546875" style="212" bestFit="1" customWidth="1"/>
    <col min="283" max="284" width="0.88671875" style="212" customWidth="1"/>
    <col min="285" max="285" width="9.88671875" style="212" customWidth="1"/>
    <col min="286" max="286" width="1.109375" style="212" customWidth="1"/>
    <col min="287" max="287" width="8.5546875" style="212" customWidth="1"/>
    <col min="288" max="288" width="14.5546875" style="212" customWidth="1"/>
    <col min="289" max="289" width="10" style="212" customWidth="1"/>
    <col min="290" max="290" width="7.88671875" style="212" bestFit="1" customWidth="1"/>
    <col min="291" max="291" width="9.88671875" style="212" customWidth="1"/>
    <col min="292" max="508" width="8.88671875" style="212"/>
    <col min="509" max="509" width="38.44140625" style="212" customWidth="1"/>
    <col min="510" max="510" width="8.5546875" style="212" customWidth="1"/>
    <col min="511" max="511" width="1.109375" style="212" customWidth="1"/>
    <col min="512" max="512" width="8.88671875" style="212" customWidth="1"/>
    <col min="513" max="513" width="1.109375" style="212" customWidth="1"/>
    <col min="514" max="514" width="9.109375" style="212" customWidth="1"/>
    <col min="515" max="515" width="1.109375" style="212" customWidth="1"/>
    <col min="516" max="516" width="10" style="212" customWidth="1"/>
    <col min="517" max="517" width="1.109375" style="212" customWidth="1"/>
    <col min="518" max="518" width="9.109375" style="212" customWidth="1"/>
    <col min="519" max="519" width="1.109375" style="212" customWidth="1"/>
    <col min="520" max="520" width="11.109375" style="212" customWidth="1"/>
    <col min="521" max="521" width="1.109375" style="212" customWidth="1"/>
    <col min="522" max="522" width="9.109375" style="212" customWidth="1"/>
    <col min="523" max="523" width="1.88671875" style="212" customWidth="1"/>
    <col min="524" max="524" width="11" style="212" customWidth="1"/>
    <col min="525" max="525" width="1.109375" style="212" customWidth="1"/>
    <col min="526" max="526" width="10.88671875" style="212" customWidth="1"/>
    <col min="527" max="527" width="1.109375" style="212" customWidth="1"/>
    <col min="528" max="528" width="10" style="212" customWidth="1"/>
    <col min="529" max="529" width="1.109375" style="212" customWidth="1"/>
    <col min="530" max="530" width="9.109375" style="212" customWidth="1"/>
    <col min="531" max="531" width="1.109375" style="212" customWidth="1"/>
    <col min="532" max="532" width="7.88671875" style="212" customWidth="1"/>
    <col min="533" max="533" width="1.109375" style="212" customWidth="1"/>
    <col min="534" max="534" width="0.88671875" style="212" customWidth="1"/>
    <col min="535" max="535" width="9.109375" style="212" customWidth="1"/>
    <col min="536" max="536" width="1.109375" style="212" customWidth="1"/>
    <col min="537" max="537" width="0.88671875" style="212" customWidth="1"/>
    <col min="538" max="538" width="9.5546875" style="212" bestFit="1" customWidth="1"/>
    <col min="539" max="540" width="0.88671875" style="212" customWidth="1"/>
    <col min="541" max="541" width="9.88671875" style="212" customWidth="1"/>
    <col min="542" max="542" width="1.109375" style="212" customWidth="1"/>
    <col min="543" max="543" width="8.5546875" style="212" customWidth="1"/>
    <col min="544" max="544" width="14.5546875" style="212" customWidth="1"/>
    <col min="545" max="545" width="10" style="212" customWidth="1"/>
    <col min="546" max="546" width="7.88671875" style="212" bestFit="1" customWidth="1"/>
    <col min="547" max="547" width="9.88671875" style="212" customWidth="1"/>
    <col min="548" max="764" width="8.88671875" style="212"/>
    <col min="765" max="765" width="38.44140625" style="212" customWidth="1"/>
    <col min="766" max="766" width="8.5546875" style="212" customWidth="1"/>
    <col min="767" max="767" width="1.109375" style="212" customWidth="1"/>
    <col min="768" max="768" width="8.88671875" style="212" customWidth="1"/>
    <col min="769" max="769" width="1.109375" style="212" customWidth="1"/>
    <col min="770" max="770" width="9.109375" style="212" customWidth="1"/>
    <col min="771" max="771" width="1.109375" style="212" customWidth="1"/>
    <col min="772" max="772" width="10" style="212" customWidth="1"/>
    <col min="773" max="773" width="1.109375" style="212" customWidth="1"/>
    <col min="774" max="774" width="9.109375" style="212" customWidth="1"/>
    <col min="775" max="775" width="1.109375" style="212" customWidth="1"/>
    <col min="776" max="776" width="11.109375" style="212" customWidth="1"/>
    <col min="777" max="777" width="1.109375" style="212" customWidth="1"/>
    <col min="778" max="778" width="9.109375" style="212" customWidth="1"/>
    <col min="779" max="779" width="1.88671875" style="212" customWidth="1"/>
    <col min="780" max="780" width="11" style="212" customWidth="1"/>
    <col min="781" max="781" width="1.109375" style="212" customWidth="1"/>
    <col min="782" max="782" width="10.88671875" style="212" customWidth="1"/>
    <col min="783" max="783" width="1.109375" style="212" customWidth="1"/>
    <col min="784" max="784" width="10" style="212" customWidth="1"/>
    <col min="785" max="785" width="1.109375" style="212" customWidth="1"/>
    <col min="786" max="786" width="9.109375" style="212" customWidth="1"/>
    <col min="787" max="787" width="1.109375" style="212" customWidth="1"/>
    <col min="788" max="788" width="7.88671875" style="212" customWidth="1"/>
    <col min="789" max="789" width="1.109375" style="212" customWidth="1"/>
    <col min="790" max="790" width="0.88671875" style="212" customWidth="1"/>
    <col min="791" max="791" width="9.109375" style="212" customWidth="1"/>
    <col min="792" max="792" width="1.109375" style="212" customWidth="1"/>
    <col min="793" max="793" width="0.88671875" style="212" customWidth="1"/>
    <col min="794" max="794" width="9.5546875" style="212" bestFit="1" customWidth="1"/>
    <col min="795" max="796" width="0.88671875" style="212" customWidth="1"/>
    <col min="797" max="797" width="9.88671875" style="212" customWidth="1"/>
    <col min="798" max="798" width="1.109375" style="212" customWidth="1"/>
    <col min="799" max="799" width="8.5546875" style="212" customWidth="1"/>
    <col min="800" max="800" width="14.5546875" style="212" customWidth="1"/>
    <col min="801" max="801" width="10" style="212" customWidth="1"/>
    <col min="802" max="802" width="7.88671875" style="212" bestFit="1" customWidth="1"/>
    <col min="803" max="803" width="9.88671875" style="212" customWidth="1"/>
    <col min="804" max="1020" width="8.88671875" style="212"/>
    <col min="1021" max="1021" width="38.44140625" style="212" customWidth="1"/>
    <col min="1022" max="1022" width="8.5546875" style="212" customWidth="1"/>
    <col min="1023" max="1023" width="1.109375" style="212" customWidth="1"/>
    <col min="1024" max="1024" width="8.88671875" style="212" customWidth="1"/>
    <col min="1025" max="1025" width="1.109375" style="212" customWidth="1"/>
    <col min="1026" max="1026" width="9.109375" style="212" customWidth="1"/>
    <col min="1027" max="1027" width="1.109375" style="212" customWidth="1"/>
    <col min="1028" max="1028" width="10" style="212" customWidth="1"/>
    <col min="1029" max="1029" width="1.109375" style="212" customWidth="1"/>
    <col min="1030" max="1030" width="9.109375" style="212" customWidth="1"/>
    <col min="1031" max="1031" width="1.109375" style="212" customWidth="1"/>
    <col min="1032" max="1032" width="11.109375" style="212" customWidth="1"/>
    <col min="1033" max="1033" width="1.109375" style="212" customWidth="1"/>
    <col min="1034" max="1034" width="9.109375" style="212" customWidth="1"/>
    <col min="1035" max="1035" width="1.88671875" style="212" customWidth="1"/>
    <col min="1036" max="1036" width="11" style="212" customWidth="1"/>
    <col min="1037" max="1037" width="1.109375" style="212" customWidth="1"/>
    <col min="1038" max="1038" width="10.88671875" style="212" customWidth="1"/>
    <col min="1039" max="1039" width="1.109375" style="212" customWidth="1"/>
    <col min="1040" max="1040" width="10" style="212" customWidth="1"/>
    <col min="1041" max="1041" width="1.109375" style="212" customWidth="1"/>
    <col min="1042" max="1042" width="9.109375" style="212" customWidth="1"/>
    <col min="1043" max="1043" width="1.109375" style="212" customWidth="1"/>
    <col min="1044" max="1044" width="7.88671875" style="212" customWidth="1"/>
    <col min="1045" max="1045" width="1.109375" style="212" customWidth="1"/>
    <col min="1046" max="1046" width="0.88671875" style="212" customWidth="1"/>
    <col min="1047" max="1047" width="9.109375" style="212" customWidth="1"/>
    <col min="1048" max="1048" width="1.109375" style="212" customWidth="1"/>
    <col min="1049" max="1049" width="0.88671875" style="212" customWidth="1"/>
    <col min="1050" max="1050" width="9.5546875" style="212" bestFit="1" customWidth="1"/>
    <col min="1051" max="1052" width="0.88671875" style="212" customWidth="1"/>
    <col min="1053" max="1053" width="9.88671875" style="212" customWidth="1"/>
    <col min="1054" max="1054" width="1.109375" style="212" customWidth="1"/>
    <col min="1055" max="1055" width="8.5546875" style="212" customWidth="1"/>
    <col min="1056" max="1056" width="14.5546875" style="212" customWidth="1"/>
    <col min="1057" max="1057" width="10" style="212" customWidth="1"/>
    <col min="1058" max="1058" width="7.88671875" style="212" bestFit="1" customWidth="1"/>
    <col min="1059" max="1059" width="9.88671875" style="212" customWidth="1"/>
    <col min="1060" max="1276" width="8.88671875" style="212"/>
    <col min="1277" max="1277" width="38.44140625" style="212" customWidth="1"/>
    <col min="1278" max="1278" width="8.5546875" style="212" customWidth="1"/>
    <col min="1279" max="1279" width="1.109375" style="212" customWidth="1"/>
    <col min="1280" max="1280" width="8.88671875" style="212" customWidth="1"/>
    <col min="1281" max="1281" width="1.109375" style="212" customWidth="1"/>
    <col min="1282" max="1282" width="9.109375" style="212" customWidth="1"/>
    <col min="1283" max="1283" width="1.109375" style="212" customWidth="1"/>
    <col min="1284" max="1284" width="10" style="212" customWidth="1"/>
    <col min="1285" max="1285" width="1.109375" style="212" customWidth="1"/>
    <col min="1286" max="1286" width="9.109375" style="212" customWidth="1"/>
    <col min="1287" max="1287" width="1.109375" style="212" customWidth="1"/>
    <col min="1288" max="1288" width="11.109375" style="212" customWidth="1"/>
    <col min="1289" max="1289" width="1.109375" style="212" customWidth="1"/>
    <col min="1290" max="1290" width="9.109375" style="212" customWidth="1"/>
    <col min="1291" max="1291" width="1.88671875" style="212" customWidth="1"/>
    <col min="1292" max="1292" width="11" style="212" customWidth="1"/>
    <col min="1293" max="1293" width="1.109375" style="212" customWidth="1"/>
    <col min="1294" max="1294" width="10.88671875" style="212" customWidth="1"/>
    <col min="1295" max="1295" width="1.109375" style="212" customWidth="1"/>
    <col min="1296" max="1296" width="10" style="212" customWidth="1"/>
    <col min="1297" max="1297" width="1.109375" style="212" customWidth="1"/>
    <col min="1298" max="1298" width="9.109375" style="212" customWidth="1"/>
    <col min="1299" max="1299" width="1.109375" style="212" customWidth="1"/>
    <col min="1300" max="1300" width="7.88671875" style="212" customWidth="1"/>
    <col min="1301" max="1301" width="1.109375" style="212" customWidth="1"/>
    <col min="1302" max="1302" width="0.88671875" style="212" customWidth="1"/>
    <col min="1303" max="1303" width="9.109375" style="212" customWidth="1"/>
    <col min="1304" max="1304" width="1.109375" style="212" customWidth="1"/>
    <col min="1305" max="1305" width="0.88671875" style="212" customWidth="1"/>
    <col min="1306" max="1306" width="9.5546875" style="212" bestFit="1" customWidth="1"/>
    <col min="1307" max="1308" width="0.88671875" style="212" customWidth="1"/>
    <col min="1309" max="1309" width="9.88671875" style="212" customWidth="1"/>
    <col min="1310" max="1310" width="1.109375" style="212" customWidth="1"/>
    <col min="1311" max="1311" width="8.5546875" style="212" customWidth="1"/>
    <col min="1312" max="1312" width="14.5546875" style="212" customWidth="1"/>
    <col min="1313" max="1313" width="10" style="212" customWidth="1"/>
    <col min="1314" max="1314" width="7.88671875" style="212" bestFit="1" customWidth="1"/>
    <col min="1315" max="1315" width="9.88671875" style="212" customWidth="1"/>
    <col min="1316" max="1532" width="8.88671875" style="212"/>
    <col min="1533" max="1533" width="38.44140625" style="212" customWidth="1"/>
    <col min="1534" max="1534" width="8.5546875" style="212" customWidth="1"/>
    <col min="1535" max="1535" width="1.109375" style="212" customWidth="1"/>
    <col min="1536" max="1536" width="8.88671875" style="212" customWidth="1"/>
    <col min="1537" max="1537" width="1.109375" style="212" customWidth="1"/>
    <col min="1538" max="1538" width="9.109375" style="212" customWidth="1"/>
    <col min="1539" max="1539" width="1.109375" style="212" customWidth="1"/>
    <col min="1540" max="1540" width="10" style="212" customWidth="1"/>
    <col min="1541" max="1541" width="1.109375" style="212" customWidth="1"/>
    <col min="1542" max="1542" width="9.109375" style="212" customWidth="1"/>
    <col min="1543" max="1543" width="1.109375" style="212" customWidth="1"/>
    <col min="1544" max="1544" width="11.109375" style="212" customWidth="1"/>
    <col min="1545" max="1545" width="1.109375" style="212" customWidth="1"/>
    <col min="1546" max="1546" width="9.109375" style="212" customWidth="1"/>
    <col min="1547" max="1547" width="1.88671875" style="212" customWidth="1"/>
    <col min="1548" max="1548" width="11" style="212" customWidth="1"/>
    <col min="1549" max="1549" width="1.109375" style="212" customWidth="1"/>
    <col min="1550" max="1550" width="10.88671875" style="212" customWidth="1"/>
    <col min="1551" max="1551" width="1.109375" style="212" customWidth="1"/>
    <col min="1552" max="1552" width="10" style="212" customWidth="1"/>
    <col min="1553" max="1553" width="1.109375" style="212" customWidth="1"/>
    <col min="1554" max="1554" width="9.109375" style="212" customWidth="1"/>
    <col min="1555" max="1555" width="1.109375" style="212" customWidth="1"/>
    <col min="1556" max="1556" width="7.88671875" style="212" customWidth="1"/>
    <col min="1557" max="1557" width="1.109375" style="212" customWidth="1"/>
    <col min="1558" max="1558" width="0.88671875" style="212" customWidth="1"/>
    <col min="1559" max="1559" width="9.109375" style="212" customWidth="1"/>
    <col min="1560" max="1560" width="1.109375" style="212" customWidth="1"/>
    <col min="1561" max="1561" width="0.88671875" style="212" customWidth="1"/>
    <col min="1562" max="1562" width="9.5546875" style="212" bestFit="1" customWidth="1"/>
    <col min="1563" max="1564" width="0.88671875" style="212" customWidth="1"/>
    <col min="1565" max="1565" width="9.88671875" style="212" customWidth="1"/>
    <col min="1566" max="1566" width="1.109375" style="212" customWidth="1"/>
    <col min="1567" max="1567" width="8.5546875" style="212" customWidth="1"/>
    <col min="1568" max="1568" width="14.5546875" style="212" customWidth="1"/>
    <col min="1569" max="1569" width="10" style="212" customWidth="1"/>
    <col min="1570" max="1570" width="7.88671875" style="212" bestFit="1" customWidth="1"/>
    <col min="1571" max="1571" width="9.88671875" style="212" customWidth="1"/>
    <col min="1572" max="1788" width="8.88671875" style="212"/>
    <col min="1789" max="1789" width="38.44140625" style="212" customWidth="1"/>
    <col min="1790" max="1790" width="8.5546875" style="212" customWidth="1"/>
    <col min="1791" max="1791" width="1.109375" style="212" customWidth="1"/>
    <col min="1792" max="1792" width="8.88671875" style="212" customWidth="1"/>
    <col min="1793" max="1793" width="1.109375" style="212" customWidth="1"/>
    <col min="1794" max="1794" width="9.109375" style="212" customWidth="1"/>
    <col min="1795" max="1795" width="1.109375" style="212" customWidth="1"/>
    <col min="1796" max="1796" width="10" style="212" customWidth="1"/>
    <col min="1797" max="1797" width="1.109375" style="212" customWidth="1"/>
    <col min="1798" max="1798" width="9.109375" style="212" customWidth="1"/>
    <col min="1799" max="1799" width="1.109375" style="212" customWidth="1"/>
    <col min="1800" max="1800" width="11.109375" style="212" customWidth="1"/>
    <col min="1801" max="1801" width="1.109375" style="212" customWidth="1"/>
    <col min="1802" max="1802" width="9.109375" style="212" customWidth="1"/>
    <col min="1803" max="1803" width="1.88671875" style="212" customWidth="1"/>
    <col min="1804" max="1804" width="11" style="212" customWidth="1"/>
    <col min="1805" max="1805" width="1.109375" style="212" customWidth="1"/>
    <col min="1806" max="1806" width="10.88671875" style="212" customWidth="1"/>
    <col min="1807" max="1807" width="1.109375" style="212" customWidth="1"/>
    <col min="1808" max="1808" width="10" style="212" customWidth="1"/>
    <col min="1809" max="1809" width="1.109375" style="212" customWidth="1"/>
    <col min="1810" max="1810" width="9.109375" style="212" customWidth="1"/>
    <col min="1811" max="1811" width="1.109375" style="212" customWidth="1"/>
    <col min="1812" max="1812" width="7.88671875" style="212" customWidth="1"/>
    <col min="1813" max="1813" width="1.109375" style="212" customWidth="1"/>
    <col min="1814" max="1814" width="0.88671875" style="212" customWidth="1"/>
    <col min="1815" max="1815" width="9.109375" style="212" customWidth="1"/>
    <col min="1816" max="1816" width="1.109375" style="212" customWidth="1"/>
    <col min="1817" max="1817" width="0.88671875" style="212" customWidth="1"/>
    <col min="1818" max="1818" width="9.5546875" style="212" bestFit="1" customWidth="1"/>
    <col min="1819" max="1820" width="0.88671875" style="212" customWidth="1"/>
    <col min="1821" max="1821" width="9.88671875" style="212" customWidth="1"/>
    <col min="1822" max="1822" width="1.109375" style="212" customWidth="1"/>
    <col min="1823" max="1823" width="8.5546875" style="212" customWidth="1"/>
    <col min="1824" max="1824" width="14.5546875" style="212" customWidth="1"/>
    <col min="1825" max="1825" width="10" style="212" customWidth="1"/>
    <col min="1826" max="1826" width="7.88671875" style="212" bestFit="1" customWidth="1"/>
    <col min="1827" max="1827" width="9.88671875" style="212" customWidth="1"/>
    <col min="1828" max="2044" width="8.88671875" style="212"/>
    <col min="2045" max="2045" width="38.44140625" style="212" customWidth="1"/>
    <col min="2046" max="2046" width="8.5546875" style="212" customWidth="1"/>
    <col min="2047" max="2047" width="1.109375" style="212" customWidth="1"/>
    <col min="2048" max="2048" width="8.88671875" style="212" customWidth="1"/>
    <col min="2049" max="2049" width="1.109375" style="212" customWidth="1"/>
    <col min="2050" max="2050" width="9.109375" style="212" customWidth="1"/>
    <col min="2051" max="2051" width="1.109375" style="212" customWidth="1"/>
    <col min="2052" max="2052" width="10" style="212" customWidth="1"/>
    <col min="2053" max="2053" width="1.109375" style="212" customWidth="1"/>
    <col min="2054" max="2054" width="9.109375" style="212" customWidth="1"/>
    <col min="2055" max="2055" width="1.109375" style="212" customWidth="1"/>
    <col min="2056" max="2056" width="11.109375" style="212" customWidth="1"/>
    <col min="2057" max="2057" width="1.109375" style="212" customWidth="1"/>
    <col min="2058" max="2058" width="9.109375" style="212" customWidth="1"/>
    <col min="2059" max="2059" width="1.88671875" style="212" customWidth="1"/>
    <col min="2060" max="2060" width="11" style="212" customWidth="1"/>
    <col min="2061" max="2061" width="1.109375" style="212" customWidth="1"/>
    <col min="2062" max="2062" width="10.88671875" style="212" customWidth="1"/>
    <col min="2063" max="2063" width="1.109375" style="212" customWidth="1"/>
    <col min="2064" max="2064" width="10" style="212" customWidth="1"/>
    <col min="2065" max="2065" width="1.109375" style="212" customWidth="1"/>
    <col min="2066" max="2066" width="9.109375" style="212" customWidth="1"/>
    <col min="2067" max="2067" width="1.109375" style="212" customWidth="1"/>
    <col min="2068" max="2068" width="7.88671875" style="212" customWidth="1"/>
    <col min="2069" max="2069" width="1.109375" style="212" customWidth="1"/>
    <col min="2070" max="2070" width="0.88671875" style="212" customWidth="1"/>
    <col min="2071" max="2071" width="9.109375" style="212" customWidth="1"/>
    <col min="2072" max="2072" width="1.109375" style="212" customWidth="1"/>
    <col min="2073" max="2073" width="0.88671875" style="212" customWidth="1"/>
    <col min="2074" max="2074" width="9.5546875" style="212" bestFit="1" customWidth="1"/>
    <col min="2075" max="2076" width="0.88671875" style="212" customWidth="1"/>
    <col min="2077" max="2077" width="9.88671875" style="212" customWidth="1"/>
    <col min="2078" max="2078" width="1.109375" style="212" customWidth="1"/>
    <col min="2079" max="2079" width="8.5546875" style="212" customWidth="1"/>
    <col min="2080" max="2080" width="14.5546875" style="212" customWidth="1"/>
    <col min="2081" max="2081" width="10" style="212" customWidth="1"/>
    <col min="2082" max="2082" width="7.88671875" style="212" bestFit="1" customWidth="1"/>
    <col min="2083" max="2083" width="9.88671875" style="212" customWidth="1"/>
    <col min="2084" max="2300" width="8.88671875" style="212"/>
    <col min="2301" max="2301" width="38.44140625" style="212" customWidth="1"/>
    <col min="2302" max="2302" width="8.5546875" style="212" customWidth="1"/>
    <col min="2303" max="2303" width="1.109375" style="212" customWidth="1"/>
    <col min="2304" max="2304" width="8.88671875" style="212" customWidth="1"/>
    <col min="2305" max="2305" width="1.109375" style="212" customWidth="1"/>
    <col min="2306" max="2306" width="9.109375" style="212" customWidth="1"/>
    <col min="2307" max="2307" width="1.109375" style="212" customWidth="1"/>
    <col min="2308" max="2308" width="10" style="212" customWidth="1"/>
    <col min="2309" max="2309" width="1.109375" style="212" customWidth="1"/>
    <col min="2310" max="2310" width="9.109375" style="212" customWidth="1"/>
    <col min="2311" max="2311" width="1.109375" style="212" customWidth="1"/>
    <col min="2312" max="2312" width="11.109375" style="212" customWidth="1"/>
    <col min="2313" max="2313" width="1.109375" style="212" customWidth="1"/>
    <col min="2314" max="2314" width="9.109375" style="212" customWidth="1"/>
    <col min="2315" max="2315" width="1.88671875" style="212" customWidth="1"/>
    <col min="2316" max="2316" width="11" style="212" customWidth="1"/>
    <col min="2317" max="2317" width="1.109375" style="212" customWidth="1"/>
    <col min="2318" max="2318" width="10.88671875" style="212" customWidth="1"/>
    <col min="2319" max="2319" width="1.109375" style="212" customWidth="1"/>
    <col min="2320" max="2320" width="10" style="212" customWidth="1"/>
    <col min="2321" max="2321" width="1.109375" style="212" customWidth="1"/>
    <col min="2322" max="2322" width="9.109375" style="212" customWidth="1"/>
    <col min="2323" max="2323" width="1.109375" style="212" customWidth="1"/>
    <col min="2324" max="2324" width="7.88671875" style="212" customWidth="1"/>
    <col min="2325" max="2325" width="1.109375" style="212" customWidth="1"/>
    <col min="2326" max="2326" width="0.88671875" style="212" customWidth="1"/>
    <col min="2327" max="2327" width="9.109375" style="212" customWidth="1"/>
    <col min="2328" max="2328" width="1.109375" style="212" customWidth="1"/>
    <col min="2329" max="2329" width="0.88671875" style="212" customWidth="1"/>
    <col min="2330" max="2330" width="9.5546875" style="212" bestFit="1" customWidth="1"/>
    <col min="2331" max="2332" width="0.88671875" style="212" customWidth="1"/>
    <col min="2333" max="2333" width="9.88671875" style="212" customWidth="1"/>
    <col min="2334" max="2334" width="1.109375" style="212" customWidth="1"/>
    <col min="2335" max="2335" width="8.5546875" style="212" customWidth="1"/>
    <col min="2336" max="2336" width="14.5546875" style="212" customWidth="1"/>
    <col min="2337" max="2337" width="10" style="212" customWidth="1"/>
    <col min="2338" max="2338" width="7.88671875" style="212" bestFit="1" customWidth="1"/>
    <col min="2339" max="2339" width="9.88671875" style="212" customWidth="1"/>
    <col min="2340" max="2556" width="8.88671875" style="212"/>
    <col min="2557" max="2557" width="38.44140625" style="212" customWidth="1"/>
    <col min="2558" max="2558" width="8.5546875" style="212" customWidth="1"/>
    <col min="2559" max="2559" width="1.109375" style="212" customWidth="1"/>
    <col min="2560" max="2560" width="8.88671875" style="212" customWidth="1"/>
    <col min="2561" max="2561" width="1.109375" style="212" customWidth="1"/>
    <col min="2562" max="2562" width="9.109375" style="212" customWidth="1"/>
    <col min="2563" max="2563" width="1.109375" style="212" customWidth="1"/>
    <col min="2564" max="2564" width="10" style="212" customWidth="1"/>
    <col min="2565" max="2565" width="1.109375" style="212" customWidth="1"/>
    <col min="2566" max="2566" width="9.109375" style="212" customWidth="1"/>
    <col min="2567" max="2567" width="1.109375" style="212" customWidth="1"/>
    <col min="2568" max="2568" width="11.109375" style="212" customWidth="1"/>
    <col min="2569" max="2569" width="1.109375" style="212" customWidth="1"/>
    <col min="2570" max="2570" width="9.109375" style="212" customWidth="1"/>
    <col min="2571" max="2571" width="1.88671875" style="212" customWidth="1"/>
    <col min="2572" max="2572" width="11" style="212" customWidth="1"/>
    <col min="2573" max="2573" width="1.109375" style="212" customWidth="1"/>
    <col min="2574" max="2574" width="10.88671875" style="212" customWidth="1"/>
    <col min="2575" max="2575" width="1.109375" style="212" customWidth="1"/>
    <col min="2576" max="2576" width="10" style="212" customWidth="1"/>
    <col min="2577" max="2577" width="1.109375" style="212" customWidth="1"/>
    <col min="2578" max="2578" width="9.109375" style="212" customWidth="1"/>
    <col min="2579" max="2579" width="1.109375" style="212" customWidth="1"/>
    <col min="2580" max="2580" width="7.88671875" style="212" customWidth="1"/>
    <col min="2581" max="2581" width="1.109375" style="212" customWidth="1"/>
    <col min="2582" max="2582" width="0.88671875" style="212" customWidth="1"/>
    <col min="2583" max="2583" width="9.109375" style="212" customWidth="1"/>
    <col min="2584" max="2584" width="1.109375" style="212" customWidth="1"/>
    <col min="2585" max="2585" width="0.88671875" style="212" customWidth="1"/>
    <col min="2586" max="2586" width="9.5546875" style="212" bestFit="1" customWidth="1"/>
    <col min="2587" max="2588" width="0.88671875" style="212" customWidth="1"/>
    <col min="2589" max="2589" width="9.88671875" style="212" customWidth="1"/>
    <col min="2590" max="2590" width="1.109375" style="212" customWidth="1"/>
    <col min="2591" max="2591" width="8.5546875" style="212" customWidth="1"/>
    <col min="2592" max="2592" width="14.5546875" style="212" customWidth="1"/>
    <col min="2593" max="2593" width="10" style="212" customWidth="1"/>
    <col min="2594" max="2594" width="7.88671875" style="212" bestFit="1" customWidth="1"/>
    <col min="2595" max="2595" width="9.88671875" style="212" customWidth="1"/>
    <col min="2596" max="2812" width="8.88671875" style="212"/>
    <col min="2813" max="2813" width="38.44140625" style="212" customWidth="1"/>
    <col min="2814" max="2814" width="8.5546875" style="212" customWidth="1"/>
    <col min="2815" max="2815" width="1.109375" style="212" customWidth="1"/>
    <col min="2816" max="2816" width="8.88671875" style="212" customWidth="1"/>
    <col min="2817" max="2817" width="1.109375" style="212" customWidth="1"/>
    <col min="2818" max="2818" width="9.109375" style="212" customWidth="1"/>
    <col min="2819" max="2819" width="1.109375" style="212" customWidth="1"/>
    <col min="2820" max="2820" width="10" style="212" customWidth="1"/>
    <col min="2821" max="2821" width="1.109375" style="212" customWidth="1"/>
    <col min="2822" max="2822" width="9.109375" style="212" customWidth="1"/>
    <col min="2823" max="2823" width="1.109375" style="212" customWidth="1"/>
    <col min="2824" max="2824" width="11.109375" style="212" customWidth="1"/>
    <col min="2825" max="2825" width="1.109375" style="212" customWidth="1"/>
    <col min="2826" max="2826" width="9.109375" style="212" customWidth="1"/>
    <col min="2827" max="2827" width="1.88671875" style="212" customWidth="1"/>
    <col min="2828" max="2828" width="11" style="212" customWidth="1"/>
    <col min="2829" max="2829" width="1.109375" style="212" customWidth="1"/>
    <col min="2830" max="2830" width="10.88671875" style="212" customWidth="1"/>
    <col min="2831" max="2831" width="1.109375" style="212" customWidth="1"/>
    <col min="2832" max="2832" width="10" style="212" customWidth="1"/>
    <col min="2833" max="2833" width="1.109375" style="212" customWidth="1"/>
    <col min="2834" max="2834" width="9.109375" style="212" customWidth="1"/>
    <col min="2835" max="2835" width="1.109375" style="212" customWidth="1"/>
    <col min="2836" max="2836" width="7.88671875" style="212" customWidth="1"/>
    <col min="2837" max="2837" width="1.109375" style="212" customWidth="1"/>
    <col min="2838" max="2838" width="0.88671875" style="212" customWidth="1"/>
    <col min="2839" max="2839" width="9.109375" style="212" customWidth="1"/>
    <col min="2840" max="2840" width="1.109375" style="212" customWidth="1"/>
    <col min="2841" max="2841" width="0.88671875" style="212" customWidth="1"/>
    <col min="2842" max="2842" width="9.5546875" style="212" bestFit="1" customWidth="1"/>
    <col min="2843" max="2844" width="0.88671875" style="212" customWidth="1"/>
    <col min="2845" max="2845" width="9.88671875" style="212" customWidth="1"/>
    <col min="2846" max="2846" width="1.109375" style="212" customWidth="1"/>
    <col min="2847" max="2847" width="8.5546875" style="212" customWidth="1"/>
    <col min="2848" max="2848" width="14.5546875" style="212" customWidth="1"/>
    <col min="2849" max="2849" width="10" style="212" customWidth="1"/>
    <col min="2850" max="2850" width="7.88671875" style="212" bestFit="1" customWidth="1"/>
    <col min="2851" max="2851" width="9.88671875" style="212" customWidth="1"/>
    <col min="2852" max="3068" width="8.88671875" style="212"/>
    <col min="3069" max="3069" width="38.44140625" style="212" customWidth="1"/>
    <col min="3070" max="3070" width="8.5546875" style="212" customWidth="1"/>
    <col min="3071" max="3071" width="1.109375" style="212" customWidth="1"/>
    <col min="3072" max="3072" width="8.88671875" style="212" customWidth="1"/>
    <col min="3073" max="3073" width="1.109375" style="212" customWidth="1"/>
    <col min="3074" max="3074" width="9.109375" style="212" customWidth="1"/>
    <col min="3075" max="3075" width="1.109375" style="212" customWidth="1"/>
    <col min="3076" max="3076" width="10" style="212" customWidth="1"/>
    <col min="3077" max="3077" width="1.109375" style="212" customWidth="1"/>
    <col min="3078" max="3078" width="9.109375" style="212" customWidth="1"/>
    <col min="3079" max="3079" width="1.109375" style="212" customWidth="1"/>
    <col min="3080" max="3080" width="11.109375" style="212" customWidth="1"/>
    <col min="3081" max="3081" width="1.109375" style="212" customWidth="1"/>
    <col min="3082" max="3082" width="9.109375" style="212" customWidth="1"/>
    <col min="3083" max="3083" width="1.88671875" style="212" customWidth="1"/>
    <col min="3084" max="3084" width="11" style="212" customWidth="1"/>
    <col min="3085" max="3085" width="1.109375" style="212" customWidth="1"/>
    <col min="3086" max="3086" width="10.88671875" style="212" customWidth="1"/>
    <col min="3087" max="3087" width="1.109375" style="212" customWidth="1"/>
    <col min="3088" max="3088" width="10" style="212" customWidth="1"/>
    <col min="3089" max="3089" width="1.109375" style="212" customWidth="1"/>
    <col min="3090" max="3090" width="9.109375" style="212" customWidth="1"/>
    <col min="3091" max="3091" width="1.109375" style="212" customWidth="1"/>
    <col min="3092" max="3092" width="7.88671875" style="212" customWidth="1"/>
    <col min="3093" max="3093" width="1.109375" style="212" customWidth="1"/>
    <col min="3094" max="3094" width="0.88671875" style="212" customWidth="1"/>
    <col min="3095" max="3095" width="9.109375" style="212" customWidth="1"/>
    <col min="3096" max="3096" width="1.109375" style="212" customWidth="1"/>
    <col min="3097" max="3097" width="0.88671875" style="212" customWidth="1"/>
    <col min="3098" max="3098" width="9.5546875" style="212" bestFit="1" customWidth="1"/>
    <col min="3099" max="3100" width="0.88671875" style="212" customWidth="1"/>
    <col min="3101" max="3101" width="9.88671875" style="212" customWidth="1"/>
    <col min="3102" max="3102" width="1.109375" style="212" customWidth="1"/>
    <col min="3103" max="3103" width="8.5546875" style="212" customWidth="1"/>
    <col min="3104" max="3104" width="14.5546875" style="212" customWidth="1"/>
    <col min="3105" max="3105" width="10" style="212" customWidth="1"/>
    <col min="3106" max="3106" width="7.88671875" style="212" bestFit="1" customWidth="1"/>
    <col min="3107" max="3107" width="9.88671875" style="212" customWidth="1"/>
    <col min="3108" max="3324" width="8.88671875" style="212"/>
    <col min="3325" max="3325" width="38.44140625" style="212" customWidth="1"/>
    <col min="3326" max="3326" width="8.5546875" style="212" customWidth="1"/>
    <col min="3327" max="3327" width="1.109375" style="212" customWidth="1"/>
    <col min="3328" max="3328" width="8.88671875" style="212" customWidth="1"/>
    <col min="3329" max="3329" width="1.109375" style="212" customWidth="1"/>
    <col min="3330" max="3330" width="9.109375" style="212" customWidth="1"/>
    <col min="3331" max="3331" width="1.109375" style="212" customWidth="1"/>
    <col min="3332" max="3332" width="10" style="212" customWidth="1"/>
    <col min="3333" max="3333" width="1.109375" style="212" customWidth="1"/>
    <col min="3334" max="3334" width="9.109375" style="212" customWidth="1"/>
    <col min="3335" max="3335" width="1.109375" style="212" customWidth="1"/>
    <col min="3336" max="3336" width="11.109375" style="212" customWidth="1"/>
    <col min="3337" max="3337" width="1.109375" style="212" customWidth="1"/>
    <col min="3338" max="3338" width="9.109375" style="212" customWidth="1"/>
    <col min="3339" max="3339" width="1.88671875" style="212" customWidth="1"/>
    <col min="3340" max="3340" width="11" style="212" customWidth="1"/>
    <col min="3341" max="3341" width="1.109375" style="212" customWidth="1"/>
    <col min="3342" max="3342" width="10.88671875" style="212" customWidth="1"/>
    <col min="3343" max="3343" width="1.109375" style="212" customWidth="1"/>
    <col min="3344" max="3344" width="10" style="212" customWidth="1"/>
    <col min="3345" max="3345" width="1.109375" style="212" customWidth="1"/>
    <col min="3346" max="3346" width="9.109375" style="212" customWidth="1"/>
    <col min="3347" max="3347" width="1.109375" style="212" customWidth="1"/>
    <col min="3348" max="3348" width="7.88671875" style="212" customWidth="1"/>
    <col min="3349" max="3349" width="1.109375" style="212" customWidth="1"/>
    <col min="3350" max="3350" width="0.88671875" style="212" customWidth="1"/>
    <col min="3351" max="3351" width="9.109375" style="212" customWidth="1"/>
    <col min="3352" max="3352" width="1.109375" style="212" customWidth="1"/>
    <col min="3353" max="3353" width="0.88671875" style="212" customWidth="1"/>
    <col min="3354" max="3354" width="9.5546875" style="212" bestFit="1" customWidth="1"/>
    <col min="3355" max="3356" width="0.88671875" style="212" customWidth="1"/>
    <col min="3357" max="3357" width="9.88671875" style="212" customWidth="1"/>
    <col min="3358" max="3358" width="1.109375" style="212" customWidth="1"/>
    <col min="3359" max="3359" width="8.5546875" style="212" customWidth="1"/>
    <col min="3360" max="3360" width="14.5546875" style="212" customWidth="1"/>
    <col min="3361" max="3361" width="10" style="212" customWidth="1"/>
    <col min="3362" max="3362" width="7.88671875" style="212" bestFit="1" customWidth="1"/>
    <col min="3363" max="3363" width="9.88671875" style="212" customWidth="1"/>
    <col min="3364" max="3580" width="8.88671875" style="212"/>
    <col min="3581" max="3581" width="38.44140625" style="212" customWidth="1"/>
    <col min="3582" max="3582" width="8.5546875" style="212" customWidth="1"/>
    <col min="3583" max="3583" width="1.109375" style="212" customWidth="1"/>
    <col min="3584" max="3584" width="8.88671875" style="212" customWidth="1"/>
    <col min="3585" max="3585" width="1.109375" style="212" customWidth="1"/>
    <col min="3586" max="3586" width="9.109375" style="212" customWidth="1"/>
    <col min="3587" max="3587" width="1.109375" style="212" customWidth="1"/>
    <col min="3588" max="3588" width="10" style="212" customWidth="1"/>
    <col min="3589" max="3589" width="1.109375" style="212" customWidth="1"/>
    <col min="3590" max="3590" width="9.109375" style="212" customWidth="1"/>
    <col min="3591" max="3591" width="1.109375" style="212" customWidth="1"/>
    <col min="3592" max="3592" width="11.109375" style="212" customWidth="1"/>
    <col min="3593" max="3593" width="1.109375" style="212" customWidth="1"/>
    <col min="3594" max="3594" width="9.109375" style="212" customWidth="1"/>
    <col min="3595" max="3595" width="1.88671875" style="212" customWidth="1"/>
    <col min="3596" max="3596" width="11" style="212" customWidth="1"/>
    <col min="3597" max="3597" width="1.109375" style="212" customWidth="1"/>
    <col min="3598" max="3598" width="10.88671875" style="212" customWidth="1"/>
    <col min="3599" max="3599" width="1.109375" style="212" customWidth="1"/>
    <col min="3600" max="3600" width="10" style="212" customWidth="1"/>
    <col min="3601" max="3601" width="1.109375" style="212" customWidth="1"/>
    <col min="3602" max="3602" width="9.109375" style="212" customWidth="1"/>
    <col min="3603" max="3603" width="1.109375" style="212" customWidth="1"/>
    <col min="3604" max="3604" width="7.88671875" style="212" customWidth="1"/>
    <col min="3605" max="3605" width="1.109375" style="212" customWidth="1"/>
    <col min="3606" max="3606" width="0.88671875" style="212" customWidth="1"/>
    <col min="3607" max="3607" width="9.109375" style="212" customWidth="1"/>
    <col min="3608" max="3608" width="1.109375" style="212" customWidth="1"/>
    <col min="3609" max="3609" width="0.88671875" style="212" customWidth="1"/>
    <col min="3610" max="3610" width="9.5546875" style="212" bestFit="1" customWidth="1"/>
    <col min="3611" max="3612" width="0.88671875" style="212" customWidth="1"/>
    <col min="3613" max="3613" width="9.88671875" style="212" customWidth="1"/>
    <col min="3614" max="3614" width="1.109375" style="212" customWidth="1"/>
    <col min="3615" max="3615" width="8.5546875" style="212" customWidth="1"/>
    <col min="3616" max="3616" width="14.5546875" style="212" customWidth="1"/>
    <col min="3617" max="3617" width="10" style="212" customWidth="1"/>
    <col min="3618" max="3618" width="7.88671875" style="212" bestFit="1" customWidth="1"/>
    <col min="3619" max="3619" width="9.88671875" style="212" customWidth="1"/>
    <col min="3620" max="3836" width="8.88671875" style="212"/>
    <col min="3837" max="3837" width="38.44140625" style="212" customWidth="1"/>
    <col min="3838" max="3838" width="8.5546875" style="212" customWidth="1"/>
    <col min="3839" max="3839" width="1.109375" style="212" customWidth="1"/>
    <col min="3840" max="3840" width="8.88671875" style="212" customWidth="1"/>
    <col min="3841" max="3841" width="1.109375" style="212" customWidth="1"/>
    <col min="3842" max="3842" width="9.109375" style="212" customWidth="1"/>
    <col min="3843" max="3843" width="1.109375" style="212" customWidth="1"/>
    <col min="3844" max="3844" width="10" style="212" customWidth="1"/>
    <col min="3845" max="3845" width="1.109375" style="212" customWidth="1"/>
    <col min="3846" max="3846" width="9.109375" style="212" customWidth="1"/>
    <col min="3847" max="3847" width="1.109375" style="212" customWidth="1"/>
    <col min="3848" max="3848" width="11.109375" style="212" customWidth="1"/>
    <col min="3849" max="3849" width="1.109375" style="212" customWidth="1"/>
    <col min="3850" max="3850" width="9.109375" style="212" customWidth="1"/>
    <col min="3851" max="3851" width="1.88671875" style="212" customWidth="1"/>
    <col min="3852" max="3852" width="11" style="212" customWidth="1"/>
    <col min="3853" max="3853" width="1.109375" style="212" customWidth="1"/>
    <col min="3854" max="3854" width="10.88671875" style="212" customWidth="1"/>
    <col min="3855" max="3855" width="1.109375" style="212" customWidth="1"/>
    <col min="3856" max="3856" width="10" style="212" customWidth="1"/>
    <col min="3857" max="3857" width="1.109375" style="212" customWidth="1"/>
    <col min="3858" max="3858" width="9.109375" style="212" customWidth="1"/>
    <col min="3859" max="3859" width="1.109375" style="212" customWidth="1"/>
    <col min="3860" max="3860" width="7.88671875" style="212" customWidth="1"/>
    <col min="3861" max="3861" width="1.109375" style="212" customWidth="1"/>
    <col min="3862" max="3862" width="0.88671875" style="212" customWidth="1"/>
    <col min="3863" max="3863" width="9.109375" style="212" customWidth="1"/>
    <col min="3864" max="3864" width="1.109375" style="212" customWidth="1"/>
    <col min="3865" max="3865" width="0.88671875" style="212" customWidth="1"/>
    <col min="3866" max="3866" width="9.5546875" style="212" bestFit="1" customWidth="1"/>
    <col min="3867" max="3868" width="0.88671875" style="212" customWidth="1"/>
    <col min="3869" max="3869" width="9.88671875" style="212" customWidth="1"/>
    <col min="3870" max="3870" width="1.109375" style="212" customWidth="1"/>
    <col min="3871" max="3871" width="8.5546875" style="212" customWidth="1"/>
    <col min="3872" max="3872" width="14.5546875" style="212" customWidth="1"/>
    <col min="3873" max="3873" width="10" style="212" customWidth="1"/>
    <col min="3874" max="3874" width="7.88671875" style="212" bestFit="1" customWidth="1"/>
    <col min="3875" max="3875" width="9.88671875" style="212" customWidth="1"/>
    <col min="3876" max="4092" width="8.88671875" style="212"/>
    <col min="4093" max="4093" width="38.44140625" style="212" customWidth="1"/>
    <col min="4094" max="4094" width="8.5546875" style="212" customWidth="1"/>
    <col min="4095" max="4095" width="1.109375" style="212" customWidth="1"/>
    <col min="4096" max="4096" width="8.88671875" style="212" customWidth="1"/>
    <col min="4097" max="4097" width="1.109375" style="212" customWidth="1"/>
    <col min="4098" max="4098" width="9.109375" style="212" customWidth="1"/>
    <col min="4099" max="4099" width="1.109375" style="212" customWidth="1"/>
    <col min="4100" max="4100" width="10" style="212" customWidth="1"/>
    <col min="4101" max="4101" width="1.109375" style="212" customWidth="1"/>
    <col min="4102" max="4102" width="9.109375" style="212" customWidth="1"/>
    <col min="4103" max="4103" width="1.109375" style="212" customWidth="1"/>
    <col min="4104" max="4104" width="11.109375" style="212" customWidth="1"/>
    <col min="4105" max="4105" width="1.109375" style="212" customWidth="1"/>
    <col min="4106" max="4106" width="9.109375" style="212" customWidth="1"/>
    <col min="4107" max="4107" width="1.88671875" style="212" customWidth="1"/>
    <col min="4108" max="4108" width="11" style="212" customWidth="1"/>
    <col min="4109" max="4109" width="1.109375" style="212" customWidth="1"/>
    <col min="4110" max="4110" width="10.88671875" style="212" customWidth="1"/>
    <col min="4111" max="4111" width="1.109375" style="212" customWidth="1"/>
    <col min="4112" max="4112" width="10" style="212" customWidth="1"/>
    <col min="4113" max="4113" width="1.109375" style="212" customWidth="1"/>
    <col min="4114" max="4114" width="9.109375" style="212" customWidth="1"/>
    <col min="4115" max="4115" width="1.109375" style="212" customWidth="1"/>
    <col min="4116" max="4116" width="7.88671875" style="212" customWidth="1"/>
    <col min="4117" max="4117" width="1.109375" style="212" customWidth="1"/>
    <col min="4118" max="4118" width="0.88671875" style="212" customWidth="1"/>
    <col min="4119" max="4119" width="9.109375" style="212" customWidth="1"/>
    <col min="4120" max="4120" width="1.109375" style="212" customWidth="1"/>
    <col min="4121" max="4121" width="0.88671875" style="212" customWidth="1"/>
    <col min="4122" max="4122" width="9.5546875" style="212" bestFit="1" customWidth="1"/>
    <col min="4123" max="4124" width="0.88671875" style="212" customWidth="1"/>
    <col min="4125" max="4125" width="9.88671875" style="212" customWidth="1"/>
    <col min="4126" max="4126" width="1.109375" style="212" customWidth="1"/>
    <col min="4127" max="4127" width="8.5546875" style="212" customWidth="1"/>
    <col min="4128" max="4128" width="14.5546875" style="212" customWidth="1"/>
    <col min="4129" max="4129" width="10" style="212" customWidth="1"/>
    <col min="4130" max="4130" width="7.88671875" style="212" bestFit="1" customWidth="1"/>
    <col min="4131" max="4131" width="9.88671875" style="212" customWidth="1"/>
    <col min="4132" max="4348" width="8.88671875" style="212"/>
    <col min="4349" max="4349" width="38.44140625" style="212" customWidth="1"/>
    <col min="4350" max="4350" width="8.5546875" style="212" customWidth="1"/>
    <col min="4351" max="4351" width="1.109375" style="212" customWidth="1"/>
    <col min="4352" max="4352" width="8.88671875" style="212" customWidth="1"/>
    <col min="4353" max="4353" width="1.109375" style="212" customWidth="1"/>
    <col min="4354" max="4354" width="9.109375" style="212" customWidth="1"/>
    <col min="4355" max="4355" width="1.109375" style="212" customWidth="1"/>
    <col min="4356" max="4356" width="10" style="212" customWidth="1"/>
    <col min="4357" max="4357" width="1.109375" style="212" customWidth="1"/>
    <col min="4358" max="4358" width="9.109375" style="212" customWidth="1"/>
    <col min="4359" max="4359" width="1.109375" style="212" customWidth="1"/>
    <col min="4360" max="4360" width="11.109375" style="212" customWidth="1"/>
    <col min="4361" max="4361" width="1.109375" style="212" customWidth="1"/>
    <col min="4362" max="4362" width="9.109375" style="212" customWidth="1"/>
    <col min="4363" max="4363" width="1.88671875" style="212" customWidth="1"/>
    <col min="4364" max="4364" width="11" style="212" customWidth="1"/>
    <col min="4365" max="4365" width="1.109375" style="212" customWidth="1"/>
    <col min="4366" max="4366" width="10.88671875" style="212" customWidth="1"/>
    <col min="4367" max="4367" width="1.109375" style="212" customWidth="1"/>
    <col min="4368" max="4368" width="10" style="212" customWidth="1"/>
    <col min="4369" max="4369" width="1.109375" style="212" customWidth="1"/>
    <col min="4370" max="4370" width="9.109375" style="212" customWidth="1"/>
    <col min="4371" max="4371" width="1.109375" style="212" customWidth="1"/>
    <col min="4372" max="4372" width="7.88671875" style="212" customWidth="1"/>
    <col min="4373" max="4373" width="1.109375" style="212" customWidth="1"/>
    <col min="4374" max="4374" width="0.88671875" style="212" customWidth="1"/>
    <col min="4375" max="4375" width="9.109375" style="212" customWidth="1"/>
    <col min="4376" max="4376" width="1.109375" style="212" customWidth="1"/>
    <col min="4377" max="4377" width="0.88671875" style="212" customWidth="1"/>
    <col min="4378" max="4378" width="9.5546875" style="212" bestFit="1" customWidth="1"/>
    <col min="4379" max="4380" width="0.88671875" style="212" customWidth="1"/>
    <col min="4381" max="4381" width="9.88671875" style="212" customWidth="1"/>
    <col min="4382" max="4382" width="1.109375" style="212" customWidth="1"/>
    <col min="4383" max="4383" width="8.5546875" style="212" customWidth="1"/>
    <col min="4384" max="4384" width="14.5546875" style="212" customWidth="1"/>
    <col min="4385" max="4385" width="10" style="212" customWidth="1"/>
    <col min="4386" max="4386" width="7.88671875" style="212" bestFit="1" customWidth="1"/>
    <col min="4387" max="4387" width="9.88671875" style="212" customWidth="1"/>
    <col min="4388" max="4604" width="8.88671875" style="212"/>
    <col min="4605" max="4605" width="38.44140625" style="212" customWidth="1"/>
    <col min="4606" max="4606" width="8.5546875" style="212" customWidth="1"/>
    <col min="4607" max="4607" width="1.109375" style="212" customWidth="1"/>
    <col min="4608" max="4608" width="8.88671875" style="212" customWidth="1"/>
    <col min="4609" max="4609" width="1.109375" style="212" customWidth="1"/>
    <col min="4610" max="4610" width="9.109375" style="212" customWidth="1"/>
    <col min="4611" max="4611" width="1.109375" style="212" customWidth="1"/>
    <col min="4612" max="4612" width="10" style="212" customWidth="1"/>
    <col min="4613" max="4613" width="1.109375" style="212" customWidth="1"/>
    <col min="4614" max="4614" width="9.109375" style="212" customWidth="1"/>
    <col min="4615" max="4615" width="1.109375" style="212" customWidth="1"/>
    <col min="4616" max="4616" width="11.109375" style="212" customWidth="1"/>
    <col min="4617" max="4617" width="1.109375" style="212" customWidth="1"/>
    <col min="4618" max="4618" width="9.109375" style="212" customWidth="1"/>
    <col min="4619" max="4619" width="1.88671875" style="212" customWidth="1"/>
    <col min="4620" max="4620" width="11" style="212" customWidth="1"/>
    <col min="4621" max="4621" width="1.109375" style="212" customWidth="1"/>
    <col min="4622" max="4622" width="10.88671875" style="212" customWidth="1"/>
    <col min="4623" max="4623" width="1.109375" style="212" customWidth="1"/>
    <col min="4624" max="4624" width="10" style="212" customWidth="1"/>
    <col min="4625" max="4625" width="1.109375" style="212" customWidth="1"/>
    <col min="4626" max="4626" width="9.109375" style="212" customWidth="1"/>
    <col min="4627" max="4627" width="1.109375" style="212" customWidth="1"/>
    <col min="4628" max="4628" width="7.88671875" style="212" customWidth="1"/>
    <col min="4629" max="4629" width="1.109375" style="212" customWidth="1"/>
    <col min="4630" max="4630" width="0.88671875" style="212" customWidth="1"/>
    <col min="4631" max="4631" width="9.109375" style="212" customWidth="1"/>
    <col min="4632" max="4632" width="1.109375" style="212" customWidth="1"/>
    <col min="4633" max="4633" width="0.88671875" style="212" customWidth="1"/>
    <col min="4634" max="4634" width="9.5546875" style="212" bestFit="1" customWidth="1"/>
    <col min="4635" max="4636" width="0.88671875" style="212" customWidth="1"/>
    <col min="4637" max="4637" width="9.88671875" style="212" customWidth="1"/>
    <col min="4638" max="4638" width="1.109375" style="212" customWidth="1"/>
    <col min="4639" max="4639" width="8.5546875" style="212" customWidth="1"/>
    <col min="4640" max="4640" width="14.5546875" style="212" customWidth="1"/>
    <col min="4641" max="4641" width="10" style="212" customWidth="1"/>
    <col min="4642" max="4642" width="7.88671875" style="212" bestFit="1" customWidth="1"/>
    <col min="4643" max="4643" width="9.88671875" style="212" customWidth="1"/>
    <col min="4644" max="4860" width="8.88671875" style="212"/>
    <col min="4861" max="4861" width="38.44140625" style="212" customWidth="1"/>
    <col min="4862" max="4862" width="8.5546875" style="212" customWidth="1"/>
    <col min="4863" max="4863" width="1.109375" style="212" customWidth="1"/>
    <col min="4864" max="4864" width="8.88671875" style="212" customWidth="1"/>
    <col min="4865" max="4865" width="1.109375" style="212" customWidth="1"/>
    <col min="4866" max="4866" width="9.109375" style="212" customWidth="1"/>
    <col min="4867" max="4867" width="1.109375" style="212" customWidth="1"/>
    <col min="4868" max="4868" width="10" style="212" customWidth="1"/>
    <col min="4869" max="4869" width="1.109375" style="212" customWidth="1"/>
    <col min="4870" max="4870" width="9.109375" style="212" customWidth="1"/>
    <col min="4871" max="4871" width="1.109375" style="212" customWidth="1"/>
    <col min="4872" max="4872" width="11.109375" style="212" customWidth="1"/>
    <col min="4873" max="4873" width="1.109375" style="212" customWidth="1"/>
    <col min="4874" max="4874" width="9.109375" style="212" customWidth="1"/>
    <col min="4875" max="4875" width="1.88671875" style="212" customWidth="1"/>
    <col min="4876" max="4876" width="11" style="212" customWidth="1"/>
    <col min="4877" max="4877" width="1.109375" style="212" customWidth="1"/>
    <col min="4878" max="4878" width="10.88671875" style="212" customWidth="1"/>
    <col min="4879" max="4879" width="1.109375" style="212" customWidth="1"/>
    <col min="4880" max="4880" width="10" style="212" customWidth="1"/>
    <col min="4881" max="4881" width="1.109375" style="212" customWidth="1"/>
    <col min="4882" max="4882" width="9.109375" style="212" customWidth="1"/>
    <col min="4883" max="4883" width="1.109375" style="212" customWidth="1"/>
    <col min="4884" max="4884" width="7.88671875" style="212" customWidth="1"/>
    <col min="4885" max="4885" width="1.109375" style="212" customWidth="1"/>
    <col min="4886" max="4886" width="0.88671875" style="212" customWidth="1"/>
    <col min="4887" max="4887" width="9.109375" style="212" customWidth="1"/>
    <col min="4888" max="4888" width="1.109375" style="212" customWidth="1"/>
    <col min="4889" max="4889" width="0.88671875" style="212" customWidth="1"/>
    <col min="4890" max="4890" width="9.5546875" style="212" bestFit="1" customWidth="1"/>
    <col min="4891" max="4892" width="0.88671875" style="212" customWidth="1"/>
    <col min="4893" max="4893" width="9.88671875" style="212" customWidth="1"/>
    <col min="4894" max="4894" width="1.109375" style="212" customWidth="1"/>
    <col min="4895" max="4895" width="8.5546875" style="212" customWidth="1"/>
    <col min="4896" max="4896" width="14.5546875" style="212" customWidth="1"/>
    <col min="4897" max="4897" width="10" style="212" customWidth="1"/>
    <col min="4898" max="4898" width="7.88671875" style="212" bestFit="1" customWidth="1"/>
    <col min="4899" max="4899" width="9.88671875" style="212" customWidth="1"/>
    <col min="4900" max="5116" width="8.88671875" style="212"/>
    <col min="5117" max="5117" width="38.44140625" style="212" customWidth="1"/>
    <col min="5118" max="5118" width="8.5546875" style="212" customWidth="1"/>
    <col min="5119" max="5119" width="1.109375" style="212" customWidth="1"/>
    <col min="5120" max="5120" width="8.88671875" style="212" customWidth="1"/>
    <col min="5121" max="5121" width="1.109375" style="212" customWidth="1"/>
    <col min="5122" max="5122" width="9.109375" style="212" customWidth="1"/>
    <col min="5123" max="5123" width="1.109375" style="212" customWidth="1"/>
    <col min="5124" max="5124" width="10" style="212" customWidth="1"/>
    <col min="5125" max="5125" width="1.109375" style="212" customWidth="1"/>
    <col min="5126" max="5126" width="9.109375" style="212" customWidth="1"/>
    <col min="5127" max="5127" width="1.109375" style="212" customWidth="1"/>
    <col min="5128" max="5128" width="11.109375" style="212" customWidth="1"/>
    <col min="5129" max="5129" width="1.109375" style="212" customWidth="1"/>
    <col min="5130" max="5130" width="9.109375" style="212" customWidth="1"/>
    <col min="5131" max="5131" width="1.88671875" style="212" customWidth="1"/>
    <col min="5132" max="5132" width="11" style="212" customWidth="1"/>
    <col min="5133" max="5133" width="1.109375" style="212" customWidth="1"/>
    <col min="5134" max="5134" width="10.88671875" style="212" customWidth="1"/>
    <col min="5135" max="5135" width="1.109375" style="212" customWidth="1"/>
    <col min="5136" max="5136" width="10" style="212" customWidth="1"/>
    <col min="5137" max="5137" width="1.109375" style="212" customWidth="1"/>
    <col min="5138" max="5138" width="9.109375" style="212" customWidth="1"/>
    <col min="5139" max="5139" width="1.109375" style="212" customWidth="1"/>
    <col min="5140" max="5140" width="7.88671875" style="212" customWidth="1"/>
    <col min="5141" max="5141" width="1.109375" style="212" customWidth="1"/>
    <col min="5142" max="5142" width="0.88671875" style="212" customWidth="1"/>
    <col min="5143" max="5143" width="9.109375" style="212" customWidth="1"/>
    <col min="5144" max="5144" width="1.109375" style="212" customWidth="1"/>
    <col min="5145" max="5145" width="0.88671875" style="212" customWidth="1"/>
    <col min="5146" max="5146" width="9.5546875" style="212" bestFit="1" customWidth="1"/>
    <col min="5147" max="5148" width="0.88671875" style="212" customWidth="1"/>
    <col min="5149" max="5149" width="9.88671875" style="212" customWidth="1"/>
    <col min="5150" max="5150" width="1.109375" style="212" customWidth="1"/>
    <col min="5151" max="5151" width="8.5546875" style="212" customWidth="1"/>
    <col min="5152" max="5152" width="14.5546875" style="212" customWidth="1"/>
    <col min="5153" max="5153" width="10" style="212" customWidth="1"/>
    <col min="5154" max="5154" width="7.88671875" style="212" bestFit="1" customWidth="1"/>
    <col min="5155" max="5155" width="9.88671875" style="212" customWidth="1"/>
    <col min="5156" max="5372" width="8.88671875" style="212"/>
    <col min="5373" max="5373" width="38.44140625" style="212" customWidth="1"/>
    <col min="5374" max="5374" width="8.5546875" style="212" customWidth="1"/>
    <col min="5375" max="5375" width="1.109375" style="212" customWidth="1"/>
    <col min="5376" max="5376" width="8.88671875" style="212" customWidth="1"/>
    <col min="5377" max="5377" width="1.109375" style="212" customWidth="1"/>
    <col min="5378" max="5378" width="9.109375" style="212" customWidth="1"/>
    <col min="5379" max="5379" width="1.109375" style="212" customWidth="1"/>
    <col min="5380" max="5380" width="10" style="212" customWidth="1"/>
    <col min="5381" max="5381" width="1.109375" style="212" customWidth="1"/>
    <col min="5382" max="5382" width="9.109375" style="212" customWidth="1"/>
    <col min="5383" max="5383" width="1.109375" style="212" customWidth="1"/>
    <col min="5384" max="5384" width="11.109375" style="212" customWidth="1"/>
    <col min="5385" max="5385" width="1.109375" style="212" customWidth="1"/>
    <col min="5386" max="5386" width="9.109375" style="212" customWidth="1"/>
    <col min="5387" max="5387" width="1.88671875" style="212" customWidth="1"/>
    <col min="5388" max="5388" width="11" style="212" customWidth="1"/>
    <col min="5389" max="5389" width="1.109375" style="212" customWidth="1"/>
    <col min="5390" max="5390" width="10.88671875" style="212" customWidth="1"/>
    <col min="5391" max="5391" width="1.109375" style="212" customWidth="1"/>
    <col min="5392" max="5392" width="10" style="212" customWidth="1"/>
    <col min="5393" max="5393" width="1.109375" style="212" customWidth="1"/>
    <col min="5394" max="5394" width="9.109375" style="212" customWidth="1"/>
    <col min="5395" max="5395" width="1.109375" style="212" customWidth="1"/>
    <col min="5396" max="5396" width="7.88671875" style="212" customWidth="1"/>
    <col min="5397" max="5397" width="1.109375" style="212" customWidth="1"/>
    <col min="5398" max="5398" width="0.88671875" style="212" customWidth="1"/>
    <col min="5399" max="5399" width="9.109375" style="212" customWidth="1"/>
    <col min="5400" max="5400" width="1.109375" style="212" customWidth="1"/>
    <col min="5401" max="5401" width="0.88671875" style="212" customWidth="1"/>
    <col min="5402" max="5402" width="9.5546875" style="212" bestFit="1" customWidth="1"/>
    <col min="5403" max="5404" width="0.88671875" style="212" customWidth="1"/>
    <col min="5405" max="5405" width="9.88671875" style="212" customWidth="1"/>
    <col min="5406" max="5406" width="1.109375" style="212" customWidth="1"/>
    <col min="5407" max="5407" width="8.5546875" style="212" customWidth="1"/>
    <col min="5408" max="5408" width="14.5546875" style="212" customWidth="1"/>
    <col min="5409" max="5409" width="10" style="212" customWidth="1"/>
    <col min="5410" max="5410" width="7.88671875" style="212" bestFit="1" customWidth="1"/>
    <col min="5411" max="5411" width="9.88671875" style="212" customWidth="1"/>
    <col min="5412" max="5628" width="8.88671875" style="212"/>
    <col min="5629" max="5629" width="38.44140625" style="212" customWidth="1"/>
    <col min="5630" max="5630" width="8.5546875" style="212" customWidth="1"/>
    <col min="5631" max="5631" width="1.109375" style="212" customWidth="1"/>
    <col min="5632" max="5632" width="8.88671875" style="212" customWidth="1"/>
    <col min="5633" max="5633" width="1.109375" style="212" customWidth="1"/>
    <col min="5634" max="5634" width="9.109375" style="212" customWidth="1"/>
    <col min="5635" max="5635" width="1.109375" style="212" customWidth="1"/>
    <col min="5636" max="5636" width="10" style="212" customWidth="1"/>
    <col min="5637" max="5637" width="1.109375" style="212" customWidth="1"/>
    <col min="5638" max="5638" width="9.109375" style="212" customWidth="1"/>
    <col min="5639" max="5639" width="1.109375" style="212" customWidth="1"/>
    <col min="5640" max="5640" width="11.109375" style="212" customWidth="1"/>
    <col min="5641" max="5641" width="1.109375" style="212" customWidth="1"/>
    <col min="5642" max="5642" width="9.109375" style="212" customWidth="1"/>
    <col min="5643" max="5643" width="1.88671875" style="212" customWidth="1"/>
    <col min="5644" max="5644" width="11" style="212" customWidth="1"/>
    <col min="5645" max="5645" width="1.109375" style="212" customWidth="1"/>
    <col min="5646" max="5646" width="10.88671875" style="212" customWidth="1"/>
    <col min="5647" max="5647" width="1.109375" style="212" customWidth="1"/>
    <col min="5648" max="5648" width="10" style="212" customWidth="1"/>
    <col min="5649" max="5649" width="1.109375" style="212" customWidth="1"/>
    <col min="5650" max="5650" width="9.109375" style="212" customWidth="1"/>
    <col min="5651" max="5651" width="1.109375" style="212" customWidth="1"/>
    <col min="5652" max="5652" width="7.88671875" style="212" customWidth="1"/>
    <col min="5653" max="5653" width="1.109375" style="212" customWidth="1"/>
    <col min="5654" max="5654" width="0.88671875" style="212" customWidth="1"/>
    <col min="5655" max="5655" width="9.109375" style="212" customWidth="1"/>
    <col min="5656" max="5656" width="1.109375" style="212" customWidth="1"/>
    <col min="5657" max="5657" width="0.88671875" style="212" customWidth="1"/>
    <col min="5658" max="5658" width="9.5546875" style="212" bestFit="1" customWidth="1"/>
    <col min="5659" max="5660" width="0.88671875" style="212" customWidth="1"/>
    <col min="5661" max="5661" width="9.88671875" style="212" customWidth="1"/>
    <col min="5662" max="5662" width="1.109375" style="212" customWidth="1"/>
    <col min="5663" max="5663" width="8.5546875" style="212" customWidth="1"/>
    <col min="5664" max="5664" width="14.5546875" style="212" customWidth="1"/>
    <col min="5665" max="5665" width="10" style="212" customWidth="1"/>
    <col min="5666" max="5666" width="7.88671875" style="212" bestFit="1" customWidth="1"/>
    <col min="5667" max="5667" width="9.88671875" style="212" customWidth="1"/>
    <col min="5668" max="5884" width="8.88671875" style="212"/>
    <col min="5885" max="5885" width="38.44140625" style="212" customWidth="1"/>
    <col min="5886" max="5886" width="8.5546875" style="212" customWidth="1"/>
    <col min="5887" max="5887" width="1.109375" style="212" customWidth="1"/>
    <col min="5888" max="5888" width="8.88671875" style="212" customWidth="1"/>
    <col min="5889" max="5889" width="1.109375" style="212" customWidth="1"/>
    <col min="5890" max="5890" width="9.109375" style="212" customWidth="1"/>
    <col min="5891" max="5891" width="1.109375" style="212" customWidth="1"/>
    <col min="5892" max="5892" width="10" style="212" customWidth="1"/>
    <col min="5893" max="5893" width="1.109375" style="212" customWidth="1"/>
    <col min="5894" max="5894" width="9.109375" style="212" customWidth="1"/>
    <col min="5895" max="5895" width="1.109375" style="212" customWidth="1"/>
    <col min="5896" max="5896" width="11.109375" style="212" customWidth="1"/>
    <col min="5897" max="5897" width="1.109375" style="212" customWidth="1"/>
    <col min="5898" max="5898" width="9.109375" style="212" customWidth="1"/>
    <col min="5899" max="5899" width="1.88671875" style="212" customWidth="1"/>
    <col min="5900" max="5900" width="11" style="212" customWidth="1"/>
    <col min="5901" max="5901" width="1.109375" style="212" customWidth="1"/>
    <col min="5902" max="5902" width="10.88671875" style="212" customWidth="1"/>
    <col min="5903" max="5903" width="1.109375" style="212" customWidth="1"/>
    <col min="5904" max="5904" width="10" style="212" customWidth="1"/>
    <col min="5905" max="5905" width="1.109375" style="212" customWidth="1"/>
    <col min="5906" max="5906" width="9.109375" style="212" customWidth="1"/>
    <col min="5907" max="5907" width="1.109375" style="212" customWidth="1"/>
    <col min="5908" max="5908" width="7.88671875" style="212" customWidth="1"/>
    <col min="5909" max="5909" width="1.109375" style="212" customWidth="1"/>
    <col min="5910" max="5910" width="0.88671875" style="212" customWidth="1"/>
    <col min="5911" max="5911" width="9.109375" style="212" customWidth="1"/>
    <col min="5912" max="5912" width="1.109375" style="212" customWidth="1"/>
    <col min="5913" max="5913" width="0.88671875" style="212" customWidth="1"/>
    <col min="5914" max="5914" width="9.5546875" style="212" bestFit="1" customWidth="1"/>
    <col min="5915" max="5916" width="0.88671875" style="212" customWidth="1"/>
    <col min="5917" max="5917" width="9.88671875" style="212" customWidth="1"/>
    <col min="5918" max="5918" width="1.109375" style="212" customWidth="1"/>
    <col min="5919" max="5919" width="8.5546875" style="212" customWidth="1"/>
    <col min="5920" max="5920" width="14.5546875" style="212" customWidth="1"/>
    <col min="5921" max="5921" width="10" style="212" customWidth="1"/>
    <col min="5922" max="5922" width="7.88671875" style="212" bestFit="1" customWidth="1"/>
    <col min="5923" max="5923" width="9.88671875" style="212" customWidth="1"/>
    <col min="5924" max="6140" width="8.88671875" style="212"/>
    <col min="6141" max="6141" width="38.44140625" style="212" customWidth="1"/>
    <col min="6142" max="6142" width="8.5546875" style="212" customWidth="1"/>
    <col min="6143" max="6143" width="1.109375" style="212" customWidth="1"/>
    <col min="6144" max="6144" width="8.88671875" style="212" customWidth="1"/>
    <col min="6145" max="6145" width="1.109375" style="212" customWidth="1"/>
    <col min="6146" max="6146" width="9.109375" style="212" customWidth="1"/>
    <col min="6147" max="6147" width="1.109375" style="212" customWidth="1"/>
    <col min="6148" max="6148" width="10" style="212" customWidth="1"/>
    <col min="6149" max="6149" width="1.109375" style="212" customWidth="1"/>
    <col min="6150" max="6150" width="9.109375" style="212" customWidth="1"/>
    <col min="6151" max="6151" width="1.109375" style="212" customWidth="1"/>
    <col min="6152" max="6152" width="11.109375" style="212" customWidth="1"/>
    <col min="6153" max="6153" width="1.109375" style="212" customWidth="1"/>
    <col min="6154" max="6154" width="9.109375" style="212" customWidth="1"/>
    <col min="6155" max="6155" width="1.88671875" style="212" customWidth="1"/>
    <col min="6156" max="6156" width="11" style="212" customWidth="1"/>
    <col min="6157" max="6157" width="1.109375" style="212" customWidth="1"/>
    <col min="6158" max="6158" width="10.88671875" style="212" customWidth="1"/>
    <col min="6159" max="6159" width="1.109375" style="212" customWidth="1"/>
    <col min="6160" max="6160" width="10" style="212" customWidth="1"/>
    <col min="6161" max="6161" width="1.109375" style="212" customWidth="1"/>
    <col min="6162" max="6162" width="9.109375" style="212" customWidth="1"/>
    <col min="6163" max="6163" width="1.109375" style="212" customWidth="1"/>
    <col min="6164" max="6164" width="7.88671875" style="212" customWidth="1"/>
    <col min="6165" max="6165" width="1.109375" style="212" customWidth="1"/>
    <col min="6166" max="6166" width="0.88671875" style="212" customWidth="1"/>
    <col min="6167" max="6167" width="9.109375" style="212" customWidth="1"/>
    <col min="6168" max="6168" width="1.109375" style="212" customWidth="1"/>
    <col min="6169" max="6169" width="0.88671875" style="212" customWidth="1"/>
    <col min="6170" max="6170" width="9.5546875" style="212" bestFit="1" customWidth="1"/>
    <col min="6171" max="6172" width="0.88671875" style="212" customWidth="1"/>
    <col min="6173" max="6173" width="9.88671875" style="212" customWidth="1"/>
    <col min="6174" max="6174" width="1.109375" style="212" customWidth="1"/>
    <col min="6175" max="6175" width="8.5546875" style="212" customWidth="1"/>
    <col min="6176" max="6176" width="14.5546875" style="212" customWidth="1"/>
    <col min="6177" max="6177" width="10" style="212" customWidth="1"/>
    <col min="6178" max="6178" width="7.88671875" style="212" bestFit="1" customWidth="1"/>
    <col min="6179" max="6179" width="9.88671875" style="212" customWidth="1"/>
    <col min="6180" max="6396" width="8.88671875" style="212"/>
    <col min="6397" max="6397" width="38.44140625" style="212" customWidth="1"/>
    <col min="6398" max="6398" width="8.5546875" style="212" customWidth="1"/>
    <col min="6399" max="6399" width="1.109375" style="212" customWidth="1"/>
    <col min="6400" max="6400" width="8.88671875" style="212" customWidth="1"/>
    <col min="6401" max="6401" width="1.109375" style="212" customWidth="1"/>
    <col min="6402" max="6402" width="9.109375" style="212" customWidth="1"/>
    <col min="6403" max="6403" width="1.109375" style="212" customWidth="1"/>
    <col min="6404" max="6404" width="10" style="212" customWidth="1"/>
    <col min="6405" max="6405" width="1.109375" style="212" customWidth="1"/>
    <col min="6406" max="6406" width="9.109375" style="212" customWidth="1"/>
    <col min="6407" max="6407" width="1.109375" style="212" customWidth="1"/>
    <col min="6408" max="6408" width="11.109375" style="212" customWidth="1"/>
    <col min="6409" max="6409" width="1.109375" style="212" customWidth="1"/>
    <col min="6410" max="6410" width="9.109375" style="212" customWidth="1"/>
    <col min="6411" max="6411" width="1.88671875" style="212" customWidth="1"/>
    <col min="6412" max="6412" width="11" style="212" customWidth="1"/>
    <col min="6413" max="6413" width="1.109375" style="212" customWidth="1"/>
    <col min="6414" max="6414" width="10.88671875" style="212" customWidth="1"/>
    <col min="6415" max="6415" width="1.109375" style="212" customWidth="1"/>
    <col min="6416" max="6416" width="10" style="212" customWidth="1"/>
    <col min="6417" max="6417" width="1.109375" style="212" customWidth="1"/>
    <col min="6418" max="6418" width="9.109375" style="212" customWidth="1"/>
    <col min="6419" max="6419" width="1.109375" style="212" customWidth="1"/>
    <col min="6420" max="6420" width="7.88671875" style="212" customWidth="1"/>
    <col min="6421" max="6421" width="1.109375" style="212" customWidth="1"/>
    <col min="6422" max="6422" width="0.88671875" style="212" customWidth="1"/>
    <col min="6423" max="6423" width="9.109375" style="212" customWidth="1"/>
    <col min="6424" max="6424" width="1.109375" style="212" customWidth="1"/>
    <col min="6425" max="6425" width="0.88671875" style="212" customWidth="1"/>
    <col min="6426" max="6426" width="9.5546875" style="212" bestFit="1" customWidth="1"/>
    <col min="6427" max="6428" width="0.88671875" style="212" customWidth="1"/>
    <col min="6429" max="6429" width="9.88671875" style="212" customWidth="1"/>
    <col min="6430" max="6430" width="1.109375" style="212" customWidth="1"/>
    <col min="6431" max="6431" width="8.5546875" style="212" customWidth="1"/>
    <col min="6432" max="6432" width="14.5546875" style="212" customWidth="1"/>
    <col min="6433" max="6433" width="10" style="212" customWidth="1"/>
    <col min="6434" max="6434" width="7.88671875" style="212" bestFit="1" customWidth="1"/>
    <col min="6435" max="6435" width="9.88671875" style="212" customWidth="1"/>
    <col min="6436" max="6652" width="8.88671875" style="212"/>
    <col min="6653" max="6653" width="38.44140625" style="212" customWidth="1"/>
    <col min="6654" max="6654" width="8.5546875" style="212" customWidth="1"/>
    <col min="6655" max="6655" width="1.109375" style="212" customWidth="1"/>
    <col min="6656" max="6656" width="8.88671875" style="212" customWidth="1"/>
    <col min="6657" max="6657" width="1.109375" style="212" customWidth="1"/>
    <col min="6658" max="6658" width="9.109375" style="212" customWidth="1"/>
    <col min="6659" max="6659" width="1.109375" style="212" customWidth="1"/>
    <col min="6660" max="6660" width="10" style="212" customWidth="1"/>
    <col min="6661" max="6661" width="1.109375" style="212" customWidth="1"/>
    <col min="6662" max="6662" width="9.109375" style="212" customWidth="1"/>
    <col min="6663" max="6663" width="1.109375" style="212" customWidth="1"/>
    <col min="6664" max="6664" width="11.109375" style="212" customWidth="1"/>
    <col min="6665" max="6665" width="1.109375" style="212" customWidth="1"/>
    <col min="6666" max="6666" width="9.109375" style="212" customWidth="1"/>
    <col min="6667" max="6667" width="1.88671875" style="212" customWidth="1"/>
    <col min="6668" max="6668" width="11" style="212" customWidth="1"/>
    <col min="6669" max="6669" width="1.109375" style="212" customWidth="1"/>
    <col min="6670" max="6670" width="10.88671875" style="212" customWidth="1"/>
    <col min="6671" max="6671" width="1.109375" style="212" customWidth="1"/>
    <col min="6672" max="6672" width="10" style="212" customWidth="1"/>
    <col min="6673" max="6673" width="1.109375" style="212" customWidth="1"/>
    <col min="6674" max="6674" width="9.109375" style="212" customWidth="1"/>
    <col min="6675" max="6675" width="1.109375" style="212" customWidth="1"/>
    <col min="6676" max="6676" width="7.88671875" style="212" customWidth="1"/>
    <col min="6677" max="6677" width="1.109375" style="212" customWidth="1"/>
    <col min="6678" max="6678" width="0.88671875" style="212" customWidth="1"/>
    <col min="6679" max="6679" width="9.109375" style="212" customWidth="1"/>
    <col min="6680" max="6680" width="1.109375" style="212" customWidth="1"/>
    <col min="6681" max="6681" width="0.88671875" style="212" customWidth="1"/>
    <col min="6682" max="6682" width="9.5546875" style="212" bestFit="1" customWidth="1"/>
    <col min="6683" max="6684" width="0.88671875" style="212" customWidth="1"/>
    <col min="6685" max="6685" width="9.88671875" style="212" customWidth="1"/>
    <col min="6686" max="6686" width="1.109375" style="212" customWidth="1"/>
    <col min="6687" max="6687" width="8.5546875" style="212" customWidth="1"/>
    <col min="6688" max="6688" width="14.5546875" style="212" customWidth="1"/>
    <col min="6689" max="6689" width="10" style="212" customWidth="1"/>
    <col min="6690" max="6690" width="7.88671875" style="212" bestFit="1" customWidth="1"/>
    <col min="6691" max="6691" width="9.88671875" style="212" customWidth="1"/>
    <col min="6692" max="6908" width="8.88671875" style="212"/>
    <col min="6909" max="6909" width="38.44140625" style="212" customWidth="1"/>
    <col min="6910" max="6910" width="8.5546875" style="212" customWidth="1"/>
    <col min="6911" max="6911" width="1.109375" style="212" customWidth="1"/>
    <col min="6912" max="6912" width="8.88671875" style="212" customWidth="1"/>
    <col min="6913" max="6913" width="1.109375" style="212" customWidth="1"/>
    <col min="6914" max="6914" width="9.109375" style="212" customWidth="1"/>
    <col min="6915" max="6915" width="1.109375" style="212" customWidth="1"/>
    <col min="6916" max="6916" width="10" style="212" customWidth="1"/>
    <col min="6917" max="6917" width="1.109375" style="212" customWidth="1"/>
    <col min="6918" max="6918" width="9.109375" style="212" customWidth="1"/>
    <col min="6919" max="6919" width="1.109375" style="212" customWidth="1"/>
    <col min="6920" max="6920" width="11.109375" style="212" customWidth="1"/>
    <col min="6921" max="6921" width="1.109375" style="212" customWidth="1"/>
    <col min="6922" max="6922" width="9.109375" style="212" customWidth="1"/>
    <col min="6923" max="6923" width="1.88671875" style="212" customWidth="1"/>
    <col min="6924" max="6924" width="11" style="212" customWidth="1"/>
    <col min="6925" max="6925" width="1.109375" style="212" customWidth="1"/>
    <col min="6926" max="6926" width="10.88671875" style="212" customWidth="1"/>
    <col min="6927" max="6927" width="1.109375" style="212" customWidth="1"/>
    <col min="6928" max="6928" width="10" style="212" customWidth="1"/>
    <col min="6929" max="6929" width="1.109375" style="212" customWidth="1"/>
    <col min="6930" max="6930" width="9.109375" style="212" customWidth="1"/>
    <col min="6931" max="6931" width="1.109375" style="212" customWidth="1"/>
    <col min="6932" max="6932" width="7.88671875" style="212" customWidth="1"/>
    <col min="6933" max="6933" width="1.109375" style="212" customWidth="1"/>
    <col min="6934" max="6934" width="0.88671875" style="212" customWidth="1"/>
    <col min="6935" max="6935" width="9.109375" style="212" customWidth="1"/>
    <col min="6936" max="6936" width="1.109375" style="212" customWidth="1"/>
    <col min="6937" max="6937" width="0.88671875" style="212" customWidth="1"/>
    <col min="6938" max="6938" width="9.5546875" style="212" bestFit="1" customWidth="1"/>
    <col min="6939" max="6940" width="0.88671875" style="212" customWidth="1"/>
    <col min="6941" max="6941" width="9.88671875" style="212" customWidth="1"/>
    <col min="6942" max="6942" width="1.109375" style="212" customWidth="1"/>
    <col min="6943" max="6943" width="8.5546875" style="212" customWidth="1"/>
    <col min="6944" max="6944" width="14.5546875" style="212" customWidth="1"/>
    <col min="6945" max="6945" width="10" style="212" customWidth="1"/>
    <col min="6946" max="6946" width="7.88671875" style="212" bestFit="1" customWidth="1"/>
    <col min="6947" max="6947" width="9.88671875" style="212" customWidth="1"/>
    <col min="6948" max="7164" width="8.88671875" style="212"/>
    <col min="7165" max="7165" width="38.44140625" style="212" customWidth="1"/>
    <col min="7166" max="7166" width="8.5546875" style="212" customWidth="1"/>
    <col min="7167" max="7167" width="1.109375" style="212" customWidth="1"/>
    <col min="7168" max="7168" width="8.88671875" style="212" customWidth="1"/>
    <col min="7169" max="7169" width="1.109375" style="212" customWidth="1"/>
    <col min="7170" max="7170" width="9.109375" style="212" customWidth="1"/>
    <col min="7171" max="7171" width="1.109375" style="212" customWidth="1"/>
    <col min="7172" max="7172" width="10" style="212" customWidth="1"/>
    <col min="7173" max="7173" width="1.109375" style="212" customWidth="1"/>
    <col min="7174" max="7174" width="9.109375" style="212" customWidth="1"/>
    <col min="7175" max="7175" width="1.109375" style="212" customWidth="1"/>
    <col min="7176" max="7176" width="11.109375" style="212" customWidth="1"/>
    <col min="7177" max="7177" width="1.109375" style="212" customWidth="1"/>
    <col min="7178" max="7178" width="9.109375" style="212" customWidth="1"/>
    <col min="7179" max="7179" width="1.88671875" style="212" customWidth="1"/>
    <col min="7180" max="7180" width="11" style="212" customWidth="1"/>
    <col min="7181" max="7181" width="1.109375" style="212" customWidth="1"/>
    <col min="7182" max="7182" width="10.88671875" style="212" customWidth="1"/>
    <col min="7183" max="7183" width="1.109375" style="212" customWidth="1"/>
    <col min="7184" max="7184" width="10" style="212" customWidth="1"/>
    <col min="7185" max="7185" width="1.109375" style="212" customWidth="1"/>
    <col min="7186" max="7186" width="9.109375" style="212" customWidth="1"/>
    <col min="7187" max="7187" width="1.109375" style="212" customWidth="1"/>
    <col min="7188" max="7188" width="7.88671875" style="212" customWidth="1"/>
    <col min="7189" max="7189" width="1.109375" style="212" customWidth="1"/>
    <col min="7190" max="7190" width="0.88671875" style="212" customWidth="1"/>
    <col min="7191" max="7191" width="9.109375" style="212" customWidth="1"/>
    <col min="7192" max="7192" width="1.109375" style="212" customWidth="1"/>
    <col min="7193" max="7193" width="0.88671875" style="212" customWidth="1"/>
    <col min="7194" max="7194" width="9.5546875" style="212" bestFit="1" customWidth="1"/>
    <col min="7195" max="7196" width="0.88671875" style="212" customWidth="1"/>
    <col min="7197" max="7197" width="9.88671875" style="212" customWidth="1"/>
    <col min="7198" max="7198" width="1.109375" style="212" customWidth="1"/>
    <col min="7199" max="7199" width="8.5546875" style="212" customWidth="1"/>
    <col min="7200" max="7200" width="14.5546875" style="212" customWidth="1"/>
    <col min="7201" max="7201" width="10" style="212" customWidth="1"/>
    <col min="7202" max="7202" width="7.88671875" style="212" bestFit="1" customWidth="1"/>
    <col min="7203" max="7203" width="9.88671875" style="212" customWidth="1"/>
    <col min="7204" max="7420" width="8.88671875" style="212"/>
    <col min="7421" max="7421" width="38.44140625" style="212" customWidth="1"/>
    <col min="7422" max="7422" width="8.5546875" style="212" customWidth="1"/>
    <col min="7423" max="7423" width="1.109375" style="212" customWidth="1"/>
    <col min="7424" max="7424" width="8.88671875" style="212" customWidth="1"/>
    <col min="7425" max="7425" width="1.109375" style="212" customWidth="1"/>
    <col min="7426" max="7426" width="9.109375" style="212" customWidth="1"/>
    <col min="7427" max="7427" width="1.109375" style="212" customWidth="1"/>
    <col min="7428" max="7428" width="10" style="212" customWidth="1"/>
    <col min="7429" max="7429" width="1.109375" style="212" customWidth="1"/>
    <col min="7430" max="7430" width="9.109375" style="212" customWidth="1"/>
    <col min="7431" max="7431" width="1.109375" style="212" customWidth="1"/>
    <col min="7432" max="7432" width="11.109375" style="212" customWidth="1"/>
    <col min="7433" max="7433" width="1.109375" style="212" customWidth="1"/>
    <col min="7434" max="7434" width="9.109375" style="212" customWidth="1"/>
    <col min="7435" max="7435" width="1.88671875" style="212" customWidth="1"/>
    <col min="7436" max="7436" width="11" style="212" customWidth="1"/>
    <col min="7437" max="7437" width="1.109375" style="212" customWidth="1"/>
    <col min="7438" max="7438" width="10.88671875" style="212" customWidth="1"/>
    <col min="7439" max="7439" width="1.109375" style="212" customWidth="1"/>
    <col min="7440" max="7440" width="10" style="212" customWidth="1"/>
    <col min="7441" max="7441" width="1.109375" style="212" customWidth="1"/>
    <col min="7442" max="7442" width="9.109375" style="212" customWidth="1"/>
    <col min="7443" max="7443" width="1.109375" style="212" customWidth="1"/>
    <col min="7444" max="7444" width="7.88671875" style="212" customWidth="1"/>
    <col min="7445" max="7445" width="1.109375" style="212" customWidth="1"/>
    <col min="7446" max="7446" width="0.88671875" style="212" customWidth="1"/>
    <col min="7447" max="7447" width="9.109375" style="212" customWidth="1"/>
    <col min="7448" max="7448" width="1.109375" style="212" customWidth="1"/>
    <col min="7449" max="7449" width="0.88671875" style="212" customWidth="1"/>
    <col min="7450" max="7450" width="9.5546875" style="212" bestFit="1" customWidth="1"/>
    <col min="7451" max="7452" width="0.88671875" style="212" customWidth="1"/>
    <col min="7453" max="7453" width="9.88671875" style="212" customWidth="1"/>
    <col min="7454" max="7454" width="1.109375" style="212" customWidth="1"/>
    <col min="7455" max="7455" width="8.5546875" style="212" customWidth="1"/>
    <col min="7456" max="7456" width="14.5546875" style="212" customWidth="1"/>
    <col min="7457" max="7457" width="10" style="212" customWidth="1"/>
    <col min="7458" max="7458" width="7.88671875" style="212" bestFit="1" customWidth="1"/>
    <col min="7459" max="7459" width="9.88671875" style="212" customWidth="1"/>
    <col min="7460" max="7676" width="8.88671875" style="212"/>
    <col min="7677" max="7677" width="38.44140625" style="212" customWidth="1"/>
    <col min="7678" max="7678" width="8.5546875" style="212" customWidth="1"/>
    <col min="7679" max="7679" width="1.109375" style="212" customWidth="1"/>
    <col min="7680" max="7680" width="8.88671875" style="212" customWidth="1"/>
    <col min="7681" max="7681" width="1.109375" style="212" customWidth="1"/>
    <col min="7682" max="7682" width="9.109375" style="212" customWidth="1"/>
    <col min="7683" max="7683" width="1.109375" style="212" customWidth="1"/>
    <col min="7684" max="7684" width="10" style="212" customWidth="1"/>
    <col min="7685" max="7685" width="1.109375" style="212" customWidth="1"/>
    <col min="7686" max="7686" width="9.109375" style="212" customWidth="1"/>
    <col min="7687" max="7687" width="1.109375" style="212" customWidth="1"/>
    <col min="7688" max="7688" width="11.109375" style="212" customWidth="1"/>
    <col min="7689" max="7689" width="1.109375" style="212" customWidth="1"/>
    <col min="7690" max="7690" width="9.109375" style="212" customWidth="1"/>
    <col min="7691" max="7691" width="1.88671875" style="212" customWidth="1"/>
    <col min="7692" max="7692" width="11" style="212" customWidth="1"/>
    <col min="7693" max="7693" width="1.109375" style="212" customWidth="1"/>
    <col min="7694" max="7694" width="10.88671875" style="212" customWidth="1"/>
    <col min="7695" max="7695" width="1.109375" style="212" customWidth="1"/>
    <col min="7696" max="7696" width="10" style="212" customWidth="1"/>
    <col min="7697" max="7697" width="1.109375" style="212" customWidth="1"/>
    <col min="7698" max="7698" width="9.109375" style="212" customWidth="1"/>
    <col min="7699" max="7699" width="1.109375" style="212" customWidth="1"/>
    <col min="7700" max="7700" width="7.88671875" style="212" customWidth="1"/>
    <col min="7701" max="7701" width="1.109375" style="212" customWidth="1"/>
    <col min="7702" max="7702" width="0.88671875" style="212" customWidth="1"/>
    <col min="7703" max="7703" width="9.109375" style="212" customWidth="1"/>
    <col min="7704" max="7704" width="1.109375" style="212" customWidth="1"/>
    <col min="7705" max="7705" width="0.88671875" style="212" customWidth="1"/>
    <col min="7706" max="7706" width="9.5546875" style="212" bestFit="1" customWidth="1"/>
    <col min="7707" max="7708" width="0.88671875" style="212" customWidth="1"/>
    <col min="7709" max="7709" width="9.88671875" style="212" customWidth="1"/>
    <col min="7710" max="7710" width="1.109375" style="212" customWidth="1"/>
    <col min="7711" max="7711" width="8.5546875" style="212" customWidth="1"/>
    <col min="7712" max="7712" width="14.5546875" style="212" customWidth="1"/>
    <col min="7713" max="7713" width="10" style="212" customWidth="1"/>
    <col min="7714" max="7714" width="7.88671875" style="212" bestFit="1" customWidth="1"/>
    <col min="7715" max="7715" width="9.88671875" style="212" customWidth="1"/>
    <col min="7716" max="7932" width="8.88671875" style="212"/>
    <col min="7933" max="7933" width="38.44140625" style="212" customWidth="1"/>
    <col min="7934" max="7934" width="8.5546875" style="212" customWidth="1"/>
    <col min="7935" max="7935" width="1.109375" style="212" customWidth="1"/>
    <col min="7936" max="7936" width="8.88671875" style="212" customWidth="1"/>
    <col min="7937" max="7937" width="1.109375" style="212" customWidth="1"/>
    <col min="7938" max="7938" width="9.109375" style="212" customWidth="1"/>
    <col min="7939" max="7939" width="1.109375" style="212" customWidth="1"/>
    <col min="7940" max="7940" width="10" style="212" customWidth="1"/>
    <col min="7941" max="7941" width="1.109375" style="212" customWidth="1"/>
    <col min="7942" max="7942" width="9.109375" style="212" customWidth="1"/>
    <col min="7943" max="7943" width="1.109375" style="212" customWidth="1"/>
    <col min="7944" max="7944" width="11.109375" style="212" customWidth="1"/>
    <col min="7945" max="7945" width="1.109375" style="212" customWidth="1"/>
    <col min="7946" max="7946" width="9.109375" style="212" customWidth="1"/>
    <col min="7947" max="7947" width="1.88671875" style="212" customWidth="1"/>
    <col min="7948" max="7948" width="11" style="212" customWidth="1"/>
    <col min="7949" max="7949" width="1.109375" style="212" customWidth="1"/>
    <col min="7950" max="7950" width="10.88671875" style="212" customWidth="1"/>
    <col min="7951" max="7951" width="1.109375" style="212" customWidth="1"/>
    <col min="7952" max="7952" width="10" style="212" customWidth="1"/>
    <col min="7953" max="7953" width="1.109375" style="212" customWidth="1"/>
    <col min="7954" max="7954" width="9.109375" style="212" customWidth="1"/>
    <col min="7955" max="7955" width="1.109375" style="212" customWidth="1"/>
    <col min="7956" max="7956" width="7.88671875" style="212" customWidth="1"/>
    <col min="7957" max="7957" width="1.109375" style="212" customWidth="1"/>
    <col min="7958" max="7958" width="0.88671875" style="212" customWidth="1"/>
    <col min="7959" max="7959" width="9.109375" style="212" customWidth="1"/>
    <col min="7960" max="7960" width="1.109375" style="212" customWidth="1"/>
    <col min="7961" max="7961" width="0.88671875" style="212" customWidth="1"/>
    <col min="7962" max="7962" width="9.5546875" style="212" bestFit="1" customWidth="1"/>
    <col min="7963" max="7964" width="0.88671875" style="212" customWidth="1"/>
    <col min="7965" max="7965" width="9.88671875" style="212" customWidth="1"/>
    <col min="7966" max="7966" width="1.109375" style="212" customWidth="1"/>
    <col min="7967" max="7967" width="8.5546875" style="212" customWidth="1"/>
    <col min="7968" max="7968" width="14.5546875" style="212" customWidth="1"/>
    <col min="7969" max="7969" width="10" style="212" customWidth="1"/>
    <col min="7970" max="7970" width="7.88671875" style="212" bestFit="1" customWidth="1"/>
    <col min="7971" max="7971" width="9.88671875" style="212" customWidth="1"/>
    <col min="7972" max="8188" width="8.88671875" style="212"/>
    <col min="8189" max="8189" width="38.44140625" style="212" customWidth="1"/>
    <col min="8190" max="8190" width="8.5546875" style="212" customWidth="1"/>
    <col min="8191" max="8191" width="1.109375" style="212" customWidth="1"/>
    <col min="8192" max="8192" width="8.88671875" style="212" customWidth="1"/>
    <col min="8193" max="8193" width="1.109375" style="212" customWidth="1"/>
    <col min="8194" max="8194" width="9.109375" style="212" customWidth="1"/>
    <col min="8195" max="8195" width="1.109375" style="212" customWidth="1"/>
    <col min="8196" max="8196" width="10" style="212" customWidth="1"/>
    <col min="8197" max="8197" width="1.109375" style="212" customWidth="1"/>
    <col min="8198" max="8198" width="9.109375" style="212" customWidth="1"/>
    <col min="8199" max="8199" width="1.109375" style="212" customWidth="1"/>
    <col min="8200" max="8200" width="11.109375" style="212" customWidth="1"/>
    <col min="8201" max="8201" width="1.109375" style="212" customWidth="1"/>
    <col min="8202" max="8202" width="9.109375" style="212" customWidth="1"/>
    <col min="8203" max="8203" width="1.88671875" style="212" customWidth="1"/>
    <col min="8204" max="8204" width="11" style="212" customWidth="1"/>
    <col min="8205" max="8205" width="1.109375" style="212" customWidth="1"/>
    <col min="8206" max="8206" width="10.88671875" style="212" customWidth="1"/>
    <col min="8207" max="8207" width="1.109375" style="212" customWidth="1"/>
    <col min="8208" max="8208" width="10" style="212" customWidth="1"/>
    <col min="8209" max="8209" width="1.109375" style="212" customWidth="1"/>
    <col min="8210" max="8210" width="9.109375" style="212" customWidth="1"/>
    <col min="8211" max="8211" width="1.109375" style="212" customWidth="1"/>
    <col min="8212" max="8212" width="7.88671875" style="212" customWidth="1"/>
    <col min="8213" max="8213" width="1.109375" style="212" customWidth="1"/>
    <col min="8214" max="8214" width="0.88671875" style="212" customWidth="1"/>
    <col min="8215" max="8215" width="9.109375" style="212" customWidth="1"/>
    <col min="8216" max="8216" width="1.109375" style="212" customWidth="1"/>
    <col min="8217" max="8217" width="0.88671875" style="212" customWidth="1"/>
    <col min="8218" max="8218" width="9.5546875" style="212" bestFit="1" customWidth="1"/>
    <col min="8219" max="8220" width="0.88671875" style="212" customWidth="1"/>
    <col min="8221" max="8221" width="9.88671875" style="212" customWidth="1"/>
    <col min="8222" max="8222" width="1.109375" style="212" customWidth="1"/>
    <col min="8223" max="8223" width="8.5546875" style="212" customWidth="1"/>
    <col min="8224" max="8224" width="14.5546875" style="212" customWidth="1"/>
    <col min="8225" max="8225" width="10" style="212" customWidth="1"/>
    <col min="8226" max="8226" width="7.88671875" style="212" bestFit="1" customWidth="1"/>
    <col min="8227" max="8227" width="9.88671875" style="212" customWidth="1"/>
    <col min="8228" max="8444" width="8.88671875" style="212"/>
    <col min="8445" max="8445" width="38.44140625" style="212" customWidth="1"/>
    <col min="8446" max="8446" width="8.5546875" style="212" customWidth="1"/>
    <col min="8447" max="8447" width="1.109375" style="212" customWidth="1"/>
    <col min="8448" max="8448" width="8.88671875" style="212" customWidth="1"/>
    <col min="8449" max="8449" width="1.109375" style="212" customWidth="1"/>
    <col min="8450" max="8450" width="9.109375" style="212" customWidth="1"/>
    <col min="8451" max="8451" width="1.109375" style="212" customWidth="1"/>
    <col min="8452" max="8452" width="10" style="212" customWidth="1"/>
    <col min="8453" max="8453" width="1.109375" style="212" customWidth="1"/>
    <col min="8454" max="8454" width="9.109375" style="212" customWidth="1"/>
    <col min="8455" max="8455" width="1.109375" style="212" customWidth="1"/>
    <col min="8456" max="8456" width="11.109375" style="212" customWidth="1"/>
    <col min="8457" max="8457" width="1.109375" style="212" customWidth="1"/>
    <col min="8458" max="8458" width="9.109375" style="212" customWidth="1"/>
    <col min="8459" max="8459" width="1.88671875" style="212" customWidth="1"/>
    <col min="8460" max="8460" width="11" style="212" customWidth="1"/>
    <col min="8461" max="8461" width="1.109375" style="212" customWidth="1"/>
    <col min="8462" max="8462" width="10.88671875" style="212" customWidth="1"/>
    <col min="8463" max="8463" width="1.109375" style="212" customWidth="1"/>
    <col min="8464" max="8464" width="10" style="212" customWidth="1"/>
    <col min="8465" max="8465" width="1.109375" style="212" customWidth="1"/>
    <col min="8466" max="8466" width="9.109375" style="212" customWidth="1"/>
    <col min="8467" max="8467" width="1.109375" style="212" customWidth="1"/>
    <col min="8468" max="8468" width="7.88671875" style="212" customWidth="1"/>
    <col min="8469" max="8469" width="1.109375" style="212" customWidth="1"/>
    <col min="8470" max="8470" width="0.88671875" style="212" customWidth="1"/>
    <col min="8471" max="8471" width="9.109375" style="212" customWidth="1"/>
    <col min="8472" max="8472" width="1.109375" style="212" customWidth="1"/>
    <col min="8473" max="8473" width="0.88671875" style="212" customWidth="1"/>
    <col min="8474" max="8474" width="9.5546875" style="212" bestFit="1" customWidth="1"/>
    <col min="8475" max="8476" width="0.88671875" style="212" customWidth="1"/>
    <col min="8477" max="8477" width="9.88671875" style="212" customWidth="1"/>
    <col min="8478" max="8478" width="1.109375" style="212" customWidth="1"/>
    <col min="8479" max="8479" width="8.5546875" style="212" customWidth="1"/>
    <col min="8480" max="8480" width="14.5546875" style="212" customWidth="1"/>
    <col min="8481" max="8481" width="10" style="212" customWidth="1"/>
    <col min="8482" max="8482" width="7.88671875" style="212" bestFit="1" customWidth="1"/>
    <col min="8483" max="8483" width="9.88671875" style="212" customWidth="1"/>
    <col min="8484" max="8700" width="8.88671875" style="212"/>
    <col min="8701" max="8701" width="38.44140625" style="212" customWidth="1"/>
    <col min="8702" max="8702" width="8.5546875" style="212" customWidth="1"/>
    <col min="8703" max="8703" width="1.109375" style="212" customWidth="1"/>
    <col min="8704" max="8704" width="8.88671875" style="212" customWidth="1"/>
    <col min="8705" max="8705" width="1.109375" style="212" customWidth="1"/>
    <col min="8706" max="8706" width="9.109375" style="212" customWidth="1"/>
    <col min="8707" max="8707" width="1.109375" style="212" customWidth="1"/>
    <col min="8708" max="8708" width="10" style="212" customWidth="1"/>
    <col min="8709" max="8709" width="1.109375" style="212" customWidth="1"/>
    <col min="8710" max="8710" width="9.109375" style="212" customWidth="1"/>
    <col min="8711" max="8711" width="1.109375" style="212" customWidth="1"/>
    <col min="8712" max="8712" width="11.109375" style="212" customWidth="1"/>
    <col min="8713" max="8713" width="1.109375" style="212" customWidth="1"/>
    <col min="8714" max="8714" width="9.109375" style="212" customWidth="1"/>
    <col min="8715" max="8715" width="1.88671875" style="212" customWidth="1"/>
    <col min="8716" max="8716" width="11" style="212" customWidth="1"/>
    <col min="8717" max="8717" width="1.109375" style="212" customWidth="1"/>
    <col min="8718" max="8718" width="10.88671875" style="212" customWidth="1"/>
    <col min="8719" max="8719" width="1.109375" style="212" customWidth="1"/>
    <col min="8720" max="8720" width="10" style="212" customWidth="1"/>
    <col min="8721" max="8721" width="1.109375" style="212" customWidth="1"/>
    <col min="8722" max="8722" width="9.109375" style="212" customWidth="1"/>
    <col min="8723" max="8723" width="1.109375" style="212" customWidth="1"/>
    <col min="8724" max="8724" width="7.88671875" style="212" customWidth="1"/>
    <col min="8725" max="8725" width="1.109375" style="212" customWidth="1"/>
    <col min="8726" max="8726" width="0.88671875" style="212" customWidth="1"/>
    <col min="8727" max="8727" width="9.109375" style="212" customWidth="1"/>
    <col min="8728" max="8728" width="1.109375" style="212" customWidth="1"/>
    <col min="8729" max="8729" width="0.88671875" style="212" customWidth="1"/>
    <col min="8730" max="8730" width="9.5546875" style="212" bestFit="1" customWidth="1"/>
    <col min="8731" max="8732" width="0.88671875" style="212" customWidth="1"/>
    <col min="8733" max="8733" width="9.88671875" style="212" customWidth="1"/>
    <col min="8734" max="8734" width="1.109375" style="212" customWidth="1"/>
    <col min="8735" max="8735" width="8.5546875" style="212" customWidth="1"/>
    <col min="8736" max="8736" width="14.5546875" style="212" customWidth="1"/>
    <col min="8737" max="8737" width="10" style="212" customWidth="1"/>
    <col min="8738" max="8738" width="7.88671875" style="212" bestFit="1" customWidth="1"/>
    <col min="8739" max="8739" width="9.88671875" style="212" customWidth="1"/>
    <col min="8740" max="8956" width="8.88671875" style="212"/>
    <col min="8957" max="8957" width="38.44140625" style="212" customWidth="1"/>
    <col min="8958" max="8958" width="8.5546875" style="212" customWidth="1"/>
    <col min="8959" max="8959" width="1.109375" style="212" customWidth="1"/>
    <col min="8960" max="8960" width="8.88671875" style="212" customWidth="1"/>
    <col min="8961" max="8961" width="1.109375" style="212" customWidth="1"/>
    <col min="8962" max="8962" width="9.109375" style="212" customWidth="1"/>
    <col min="8963" max="8963" width="1.109375" style="212" customWidth="1"/>
    <col min="8964" max="8964" width="10" style="212" customWidth="1"/>
    <col min="8965" max="8965" width="1.109375" style="212" customWidth="1"/>
    <col min="8966" max="8966" width="9.109375" style="212" customWidth="1"/>
    <col min="8967" max="8967" width="1.109375" style="212" customWidth="1"/>
    <col min="8968" max="8968" width="11.109375" style="212" customWidth="1"/>
    <col min="8969" max="8969" width="1.109375" style="212" customWidth="1"/>
    <col min="8970" max="8970" width="9.109375" style="212" customWidth="1"/>
    <col min="8971" max="8971" width="1.88671875" style="212" customWidth="1"/>
    <col min="8972" max="8972" width="11" style="212" customWidth="1"/>
    <col min="8973" max="8973" width="1.109375" style="212" customWidth="1"/>
    <col min="8974" max="8974" width="10.88671875" style="212" customWidth="1"/>
    <col min="8975" max="8975" width="1.109375" style="212" customWidth="1"/>
    <col min="8976" max="8976" width="10" style="212" customWidth="1"/>
    <col min="8977" max="8977" width="1.109375" style="212" customWidth="1"/>
    <col min="8978" max="8978" width="9.109375" style="212" customWidth="1"/>
    <col min="8979" max="8979" width="1.109375" style="212" customWidth="1"/>
    <col min="8980" max="8980" width="7.88671875" style="212" customWidth="1"/>
    <col min="8981" max="8981" width="1.109375" style="212" customWidth="1"/>
    <col min="8982" max="8982" width="0.88671875" style="212" customWidth="1"/>
    <col min="8983" max="8983" width="9.109375" style="212" customWidth="1"/>
    <col min="8984" max="8984" width="1.109375" style="212" customWidth="1"/>
    <col min="8985" max="8985" width="0.88671875" style="212" customWidth="1"/>
    <col min="8986" max="8986" width="9.5546875" style="212" bestFit="1" customWidth="1"/>
    <col min="8987" max="8988" width="0.88671875" style="212" customWidth="1"/>
    <col min="8989" max="8989" width="9.88671875" style="212" customWidth="1"/>
    <col min="8990" max="8990" width="1.109375" style="212" customWidth="1"/>
    <col min="8991" max="8991" width="8.5546875" style="212" customWidth="1"/>
    <col min="8992" max="8992" width="14.5546875" style="212" customWidth="1"/>
    <col min="8993" max="8993" width="10" style="212" customWidth="1"/>
    <col min="8994" max="8994" width="7.88671875" style="212" bestFit="1" customWidth="1"/>
    <col min="8995" max="8995" width="9.88671875" style="212" customWidth="1"/>
    <col min="8996" max="9212" width="8.88671875" style="212"/>
    <col min="9213" max="9213" width="38.44140625" style="212" customWidth="1"/>
    <col min="9214" max="9214" width="8.5546875" style="212" customWidth="1"/>
    <col min="9215" max="9215" width="1.109375" style="212" customWidth="1"/>
    <col min="9216" max="9216" width="8.88671875" style="212" customWidth="1"/>
    <col min="9217" max="9217" width="1.109375" style="212" customWidth="1"/>
    <col min="9218" max="9218" width="9.109375" style="212" customWidth="1"/>
    <col min="9219" max="9219" width="1.109375" style="212" customWidth="1"/>
    <col min="9220" max="9220" width="10" style="212" customWidth="1"/>
    <col min="9221" max="9221" width="1.109375" style="212" customWidth="1"/>
    <col min="9222" max="9222" width="9.109375" style="212" customWidth="1"/>
    <col min="9223" max="9223" width="1.109375" style="212" customWidth="1"/>
    <col min="9224" max="9224" width="11.109375" style="212" customWidth="1"/>
    <col min="9225" max="9225" width="1.109375" style="212" customWidth="1"/>
    <col min="9226" max="9226" width="9.109375" style="212" customWidth="1"/>
    <col min="9227" max="9227" width="1.88671875" style="212" customWidth="1"/>
    <col min="9228" max="9228" width="11" style="212" customWidth="1"/>
    <col min="9229" max="9229" width="1.109375" style="212" customWidth="1"/>
    <col min="9230" max="9230" width="10.88671875" style="212" customWidth="1"/>
    <col min="9231" max="9231" width="1.109375" style="212" customWidth="1"/>
    <col min="9232" max="9232" width="10" style="212" customWidth="1"/>
    <col min="9233" max="9233" width="1.109375" style="212" customWidth="1"/>
    <col min="9234" max="9234" width="9.109375" style="212" customWidth="1"/>
    <col min="9235" max="9235" width="1.109375" style="212" customWidth="1"/>
    <col min="9236" max="9236" width="7.88671875" style="212" customWidth="1"/>
    <col min="9237" max="9237" width="1.109375" style="212" customWidth="1"/>
    <col min="9238" max="9238" width="0.88671875" style="212" customWidth="1"/>
    <col min="9239" max="9239" width="9.109375" style="212" customWidth="1"/>
    <col min="9240" max="9240" width="1.109375" style="212" customWidth="1"/>
    <col min="9241" max="9241" width="0.88671875" style="212" customWidth="1"/>
    <col min="9242" max="9242" width="9.5546875" style="212" bestFit="1" customWidth="1"/>
    <col min="9243" max="9244" width="0.88671875" style="212" customWidth="1"/>
    <col min="9245" max="9245" width="9.88671875" style="212" customWidth="1"/>
    <col min="9246" max="9246" width="1.109375" style="212" customWidth="1"/>
    <col min="9247" max="9247" width="8.5546875" style="212" customWidth="1"/>
    <col min="9248" max="9248" width="14.5546875" style="212" customWidth="1"/>
    <col min="9249" max="9249" width="10" style="212" customWidth="1"/>
    <col min="9250" max="9250" width="7.88671875" style="212" bestFit="1" customWidth="1"/>
    <col min="9251" max="9251" width="9.88671875" style="212" customWidth="1"/>
    <col min="9252" max="9468" width="8.88671875" style="212"/>
    <col min="9469" max="9469" width="38.44140625" style="212" customWidth="1"/>
    <col min="9470" max="9470" width="8.5546875" style="212" customWidth="1"/>
    <col min="9471" max="9471" width="1.109375" style="212" customWidth="1"/>
    <col min="9472" max="9472" width="8.88671875" style="212" customWidth="1"/>
    <col min="9473" max="9473" width="1.109375" style="212" customWidth="1"/>
    <col min="9474" max="9474" width="9.109375" style="212" customWidth="1"/>
    <col min="9475" max="9475" width="1.109375" style="212" customWidth="1"/>
    <col min="9476" max="9476" width="10" style="212" customWidth="1"/>
    <col min="9477" max="9477" width="1.109375" style="212" customWidth="1"/>
    <col min="9478" max="9478" width="9.109375" style="212" customWidth="1"/>
    <col min="9479" max="9479" width="1.109375" style="212" customWidth="1"/>
    <col min="9480" max="9480" width="11.109375" style="212" customWidth="1"/>
    <col min="9481" max="9481" width="1.109375" style="212" customWidth="1"/>
    <col min="9482" max="9482" width="9.109375" style="212" customWidth="1"/>
    <col min="9483" max="9483" width="1.88671875" style="212" customWidth="1"/>
    <col min="9484" max="9484" width="11" style="212" customWidth="1"/>
    <col min="9485" max="9485" width="1.109375" style="212" customWidth="1"/>
    <col min="9486" max="9486" width="10.88671875" style="212" customWidth="1"/>
    <col min="9487" max="9487" width="1.109375" style="212" customWidth="1"/>
    <col min="9488" max="9488" width="10" style="212" customWidth="1"/>
    <col min="9489" max="9489" width="1.109375" style="212" customWidth="1"/>
    <col min="9490" max="9490" width="9.109375" style="212" customWidth="1"/>
    <col min="9491" max="9491" width="1.109375" style="212" customWidth="1"/>
    <col min="9492" max="9492" width="7.88671875" style="212" customWidth="1"/>
    <col min="9493" max="9493" width="1.109375" style="212" customWidth="1"/>
    <col min="9494" max="9494" width="0.88671875" style="212" customWidth="1"/>
    <col min="9495" max="9495" width="9.109375" style="212" customWidth="1"/>
    <col min="9496" max="9496" width="1.109375" style="212" customWidth="1"/>
    <col min="9497" max="9497" width="0.88671875" style="212" customWidth="1"/>
    <col min="9498" max="9498" width="9.5546875" style="212" bestFit="1" customWidth="1"/>
    <col min="9499" max="9500" width="0.88671875" style="212" customWidth="1"/>
    <col min="9501" max="9501" width="9.88671875" style="212" customWidth="1"/>
    <col min="9502" max="9502" width="1.109375" style="212" customWidth="1"/>
    <col min="9503" max="9503" width="8.5546875" style="212" customWidth="1"/>
    <col min="9504" max="9504" width="14.5546875" style="212" customWidth="1"/>
    <col min="9505" max="9505" width="10" style="212" customWidth="1"/>
    <col min="9506" max="9506" width="7.88671875" style="212" bestFit="1" customWidth="1"/>
    <col min="9507" max="9507" width="9.88671875" style="212" customWidth="1"/>
    <col min="9508" max="9724" width="8.88671875" style="212"/>
    <col min="9725" max="9725" width="38.44140625" style="212" customWidth="1"/>
    <col min="9726" max="9726" width="8.5546875" style="212" customWidth="1"/>
    <col min="9727" max="9727" width="1.109375" style="212" customWidth="1"/>
    <col min="9728" max="9728" width="8.88671875" style="212" customWidth="1"/>
    <col min="9729" max="9729" width="1.109375" style="212" customWidth="1"/>
    <col min="9730" max="9730" width="9.109375" style="212" customWidth="1"/>
    <col min="9731" max="9731" width="1.109375" style="212" customWidth="1"/>
    <col min="9732" max="9732" width="10" style="212" customWidth="1"/>
    <col min="9733" max="9733" width="1.109375" style="212" customWidth="1"/>
    <col min="9734" max="9734" width="9.109375" style="212" customWidth="1"/>
    <col min="9735" max="9735" width="1.109375" style="212" customWidth="1"/>
    <col min="9736" max="9736" width="11.109375" style="212" customWidth="1"/>
    <col min="9737" max="9737" width="1.109375" style="212" customWidth="1"/>
    <col min="9738" max="9738" width="9.109375" style="212" customWidth="1"/>
    <col min="9739" max="9739" width="1.88671875" style="212" customWidth="1"/>
    <col min="9740" max="9740" width="11" style="212" customWidth="1"/>
    <col min="9741" max="9741" width="1.109375" style="212" customWidth="1"/>
    <col min="9742" max="9742" width="10.88671875" style="212" customWidth="1"/>
    <col min="9743" max="9743" width="1.109375" style="212" customWidth="1"/>
    <col min="9744" max="9744" width="10" style="212" customWidth="1"/>
    <col min="9745" max="9745" width="1.109375" style="212" customWidth="1"/>
    <col min="9746" max="9746" width="9.109375" style="212" customWidth="1"/>
    <col min="9747" max="9747" width="1.109375" style="212" customWidth="1"/>
    <col min="9748" max="9748" width="7.88671875" style="212" customWidth="1"/>
    <col min="9749" max="9749" width="1.109375" style="212" customWidth="1"/>
    <col min="9750" max="9750" width="0.88671875" style="212" customWidth="1"/>
    <col min="9751" max="9751" width="9.109375" style="212" customWidth="1"/>
    <col min="9752" max="9752" width="1.109375" style="212" customWidth="1"/>
    <col min="9753" max="9753" width="0.88671875" style="212" customWidth="1"/>
    <col min="9754" max="9754" width="9.5546875" style="212" bestFit="1" customWidth="1"/>
    <col min="9755" max="9756" width="0.88671875" style="212" customWidth="1"/>
    <col min="9757" max="9757" width="9.88671875" style="212" customWidth="1"/>
    <col min="9758" max="9758" width="1.109375" style="212" customWidth="1"/>
    <col min="9759" max="9759" width="8.5546875" style="212" customWidth="1"/>
    <col min="9760" max="9760" width="14.5546875" style="212" customWidth="1"/>
    <col min="9761" max="9761" width="10" style="212" customWidth="1"/>
    <col min="9762" max="9762" width="7.88671875" style="212" bestFit="1" customWidth="1"/>
    <col min="9763" max="9763" width="9.88671875" style="212" customWidth="1"/>
    <col min="9764" max="9980" width="8.88671875" style="212"/>
    <col min="9981" max="9981" width="38.44140625" style="212" customWidth="1"/>
    <col min="9982" max="9982" width="8.5546875" style="212" customWidth="1"/>
    <col min="9983" max="9983" width="1.109375" style="212" customWidth="1"/>
    <col min="9984" max="9984" width="8.88671875" style="212" customWidth="1"/>
    <col min="9985" max="9985" width="1.109375" style="212" customWidth="1"/>
    <col min="9986" max="9986" width="9.109375" style="212" customWidth="1"/>
    <col min="9987" max="9987" width="1.109375" style="212" customWidth="1"/>
    <col min="9988" max="9988" width="10" style="212" customWidth="1"/>
    <col min="9989" max="9989" width="1.109375" style="212" customWidth="1"/>
    <col min="9990" max="9990" width="9.109375" style="212" customWidth="1"/>
    <col min="9991" max="9991" width="1.109375" style="212" customWidth="1"/>
    <col min="9992" max="9992" width="11.109375" style="212" customWidth="1"/>
    <col min="9993" max="9993" width="1.109375" style="212" customWidth="1"/>
    <col min="9994" max="9994" width="9.109375" style="212" customWidth="1"/>
    <col min="9995" max="9995" width="1.88671875" style="212" customWidth="1"/>
    <col min="9996" max="9996" width="11" style="212" customWidth="1"/>
    <col min="9997" max="9997" width="1.109375" style="212" customWidth="1"/>
    <col min="9998" max="9998" width="10.88671875" style="212" customWidth="1"/>
    <col min="9999" max="9999" width="1.109375" style="212" customWidth="1"/>
    <col min="10000" max="10000" width="10" style="212" customWidth="1"/>
    <col min="10001" max="10001" width="1.109375" style="212" customWidth="1"/>
    <col min="10002" max="10002" width="9.109375" style="212" customWidth="1"/>
    <col min="10003" max="10003" width="1.109375" style="212" customWidth="1"/>
    <col min="10004" max="10004" width="7.88671875" style="212" customWidth="1"/>
    <col min="10005" max="10005" width="1.109375" style="212" customWidth="1"/>
    <col min="10006" max="10006" width="0.88671875" style="212" customWidth="1"/>
    <col min="10007" max="10007" width="9.109375" style="212" customWidth="1"/>
    <col min="10008" max="10008" width="1.109375" style="212" customWidth="1"/>
    <col min="10009" max="10009" width="0.88671875" style="212" customWidth="1"/>
    <col min="10010" max="10010" width="9.5546875" style="212" bestFit="1" customWidth="1"/>
    <col min="10011" max="10012" width="0.88671875" style="212" customWidth="1"/>
    <col min="10013" max="10013" width="9.88671875" style="212" customWidth="1"/>
    <col min="10014" max="10014" width="1.109375" style="212" customWidth="1"/>
    <col min="10015" max="10015" width="8.5546875" style="212" customWidth="1"/>
    <col min="10016" max="10016" width="14.5546875" style="212" customWidth="1"/>
    <col min="10017" max="10017" width="10" style="212" customWidth="1"/>
    <col min="10018" max="10018" width="7.88671875" style="212" bestFit="1" customWidth="1"/>
    <col min="10019" max="10019" width="9.88671875" style="212" customWidth="1"/>
    <col min="10020" max="10236" width="8.88671875" style="212"/>
    <col min="10237" max="10237" width="38.44140625" style="212" customWidth="1"/>
    <col min="10238" max="10238" width="8.5546875" style="212" customWidth="1"/>
    <col min="10239" max="10239" width="1.109375" style="212" customWidth="1"/>
    <col min="10240" max="10240" width="8.88671875" style="212" customWidth="1"/>
    <col min="10241" max="10241" width="1.109375" style="212" customWidth="1"/>
    <col min="10242" max="10242" width="9.109375" style="212" customWidth="1"/>
    <col min="10243" max="10243" width="1.109375" style="212" customWidth="1"/>
    <col min="10244" max="10244" width="10" style="212" customWidth="1"/>
    <col min="10245" max="10245" width="1.109375" style="212" customWidth="1"/>
    <col min="10246" max="10246" width="9.109375" style="212" customWidth="1"/>
    <col min="10247" max="10247" width="1.109375" style="212" customWidth="1"/>
    <col min="10248" max="10248" width="11.109375" style="212" customWidth="1"/>
    <col min="10249" max="10249" width="1.109375" style="212" customWidth="1"/>
    <col min="10250" max="10250" width="9.109375" style="212" customWidth="1"/>
    <col min="10251" max="10251" width="1.88671875" style="212" customWidth="1"/>
    <col min="10252" max="10252" width="11" style="212" customWidth="1"/>
    <col min="10253" max="10253" width="1.109375" style="212" customWidth="1"/>
    <col min="10254" max="10254" width="10.88671875" style="212" customWidth="1"/>
    <col min="10255" max="10255" width="1.109375" style="212" customWidth="1"/>
    <col min="10256" max="10256" width="10" style="212" customWidth="1"/>
    <col min="10257" max="10257" width="1.109375" style="212" customWidth="1"/>
    <col min="10258" max="10258" width="9.109375" style="212" customWidth="1"/>
    <col min="10259" max="10259" width="1.109375" style="212" customWidth="1"/>
    <col min="10260" max="10260" width="7.88671875" style="212" customWidth="1"/>
    <col min="10261" max="10261" width="1.109375" style="212" customWidth="1"/>
    <col min="10262" max="10262" width="0.88671875" style="212" customWidth="1"/>
    <col min="10263" max="10263" width="9.109375" style="212" customWidth="1"/>
    <col min="10264" max="10264" width="1.109375" style="212" customWidth="1"/>
    <col min="10265" max="10265" width="0.88671875" style="212" customWidth="1"/>
    <col min="10266" max="10266" width="9.5546875" style="212" bestFit="1" customWidth="1"/>
    <col min="10267" max="10268" width="0.88671875" style="212" customWidth="1"/>
    <col min="10269" max="10269" width="9.88671875" style="212" customWidth="1"/>
    <col min="10270" max="10270" width="1.109375" style="212" customWidth="1"/>
    <col min="10271" max="10271" width="8.5546875" style="212" customWidth="1"/>
    <col min="10272" max="10272" width="14.5546875" style="212" customWidth="1"/>
    <col min="10273" max="10273" width="10" style="212" customWidth="1"/>
    <col min="10274" max="10274" width="7.88671875" style="212" bestFit="1" customWidth="1"/>
    <col min="10275" max="10275" width="9.88671875" style="212" customWidth="1"/>
    <col min="10276" max="10492" width="8.88671875" style="212"/>
    <col min="10493" max="10493" width="38.44140625" style="212" customWidth="1"/>
    <col min="10494" max="10494" width="8.5546875" style="212" customWidth="1"/>
    <col min="10495" max="10495" width="1.109375" style="212" customWidth="1"/>
    <col min="10496" max="10496" width="8.88671875" style="212" customWidth="1"/>
    <col min="10497" max="10497" width="1.109375" style="212" customWidth="1"/>
    <col min="10498" max="10498" width="9.109375" style="212" customWidth="1"/>
    <col min="10499" max="10499" width="1.109375" style="212" customWidth="1"/>
    <col min="10500" max="10500" width="10" style="212" customWidth="1"/>
    <col min="10501" max="10501" width="1.109375" style="212" customWidth="1"/>
    <col min="10502" max="10502" width="9.109375" style="212" customWidth="1"/>
    <col min="10503" max="10503" width="1.109375" style="212" customWidth="1"/>
    <col min="10504" max="10504" width="11.109375" style="212" customWidth="1"/>
    <col min="10505" max="10505" width="1.109375" style="212" customWidth="1"/>
    <col min="10506" max="10506" width="9.109375" style="212" customWidth="1"/>
    <col min="10507" max="10507" width="1.88671875" style="212" customWidth="1"/>
    <col min="10508" max="10508" width="11" style="212" customWidth="1"/>
    <col min="10509" max="10509" width="1.109375" style="212" customWidth="1"/>
    <col min="10510" max="10510" width="10.88671875" style="212" customWidth="1"/>
    <col min="10511" max="10511" width="1.109375" style="212" customWidth="1"/>
    <col min="10512" max="10512" width="10" style="212" customWidth="1"/>
    <col min="10513" max="10513" width="1.109375" style="212" customWidth="1"/>
    <col min="10514" max="10514" width="9.109375" style="212" customWidth="1"/>
    <col min="10515" max="10515" width="1.109375" style="212" customWidth="1"/>
    <col min="10516" max="10516" width="7.88671875" style="212" customWidth="1"/>
    <col min="10517" max="10517" width="1.109375" style="212" customWidth="1"/>
    <col min="10518" max="10518" width="0.88671875" style="212" customWidth="1"/>
    <col min="10519" max="10519" width="9.109375" style="212" customWidth="1"/>
    <col min="10520" max="10520" width="1.109375" style="212" customWidth="1"/>
    <col min="10521" max="10521" width="0.88671875" style="212" customWidth="1"/>
    <col min="10522" max="10522" width="9.5546875" style="212" bestFit="1" customWidth="1"/>
    <col min="10523" max="10524" width="0.88671875" style="212" customWidth="1"/>
    <col min="10525" max="10525" width="9.88671875" style="212" customWidth="1"/>
    <col min="10526" max="10526" width="1.109375" style="212" customWidth="1"/>
    <col min="10527" max="10527" width="8.5546875" style="212" customWidth="1"/>
    <col min="10528" max="10528" width="14.5546875" style="212" customWidth="1"/>
    <col min="10529" max="10529" width="10" style="212" customWidth="1"/>
    <col min="10530" max="10530" width="7.88671875" style="212" bestFit="1" customWidth="1"/>
    <col min="10531" max="10531" width="9.88671875" style="212" customWidth="1"/>
    <col min="10532" max="10748" width="8.88671875" style="212"/>
    <col min="10749" max="10749" width="38.44140625" style="212" customWidth="1"/>
    <col min="10750" max="10750" width="8.5546875" style="212" customWidth="1"/>
    <col min="10751" max="10751" width="1.109375" style="212" customWidth="1"/>
    <col min="10752" max="10752" width="8.88671875" style="212" customWidth="1"/>
    <col min="10753" max="10753" width="1.109375" style="212" customWidth="1"/>
    <col min="10754" max="10754" width="9.109375" style="212" customWidth="1"/>
    <col min="10755" max="10755" width="1.109375" style="212" customWidth="1"/>
    <col min="10756" max="10756" width="10" style="212" customWidth="1"/>
    <col min="10757" max="10757" width="1.109375" style="212" customWidth="1"/>
    <col min="10758" max="10758" width="9.109375" style="212" customWidth="1"/>
    <col min="10759" max="10759" width="1.109375" style="212" customWidth="1"/>
    <col min="10760" max="10760" width="11.109375" style="212" customWidth="1"/>
    <col min="10761" max="10761" width="1.109375" style="212" customWidth="1"/>
    <col min="10762" max="10762" width="9.109375" style="212" customWidth="1"/>
    <col min="10763" max="10763" width="1.88671875" style="212" customWidth="1"/>
    <col min="10764" max="10764" width="11" style="212" customWidth="1"/>
    <col min="10765" max="10765" width="1.109375" style="212" customWidth="1"/>
    <col min="10766" max="10766" width="10.88671875" style="212" customWidth="1"/>
    <col min="10767" max="10767" width="1.109375" style="212" customWidth="1"/>
    <col min="10768" max="10768" width="10" style="212" customWidth="1"/>
    <col min="10769" max="10769" width="1.109375" style="212" customWidth="1"/>
    <col min="10770" max="10770" width="9.109375" style="212" customWidth="1"/>
    <col min="10771" max="10771" width="1.109375" style="212" customWidth="1"/>
    <col min="10772" max="10772" width="7.88671875" style="212" customWidth="1"/>
    <col min="10773" max="10773" width="1.109375" style="212" customWidth="1"/>
    <col min="10774" max="10774" width="0.88671875" style="212" customWidth="1"/>
    <col min="10775" max="10775" width="9.109375" style="212" customWidth="1"/>
    <col min="10776" max="10776" width="1.109375" style="212" customWidth="1"/>
    <col min="10777" max="10777" width="0.88671875" style="212" customWidth="1"/>
    <col min="10778" max="10778" width="9.5546875" style="212" bestFit="1" customWidth="1"/>
    <col min="10779" max="10780" width="0.88671875" style="212" customWidth="1"/>
    <col min="10781" max="10781" width="9.88671875" style="212" customWidth="1"/>
    <col min="10782" max="10782" width="1.109375" style="212" customWidth="1"/>
    <col min="10783" max="10783" width="8.5546875" style="212" customWidth="1"/>
    <col min="10784" max="10784" width="14.5546875" style="212" customWidth="1"/>
    <col min="10785" max="10785" width="10" style="212" customWidth="1"/>
    <col min="10786" max="10786" width="7.88671875" style="212" bestFit="1" customWidth="1"/>
    <col min="10787" max="10787" width="9.88671875" style="212" customWidth="1"/>
    <col min="10788" max="11004" width="8.88671875" style="212"/>
    <col min="11005" max="11005" width="38.44140625" style="212" customWidth="1"/>
    <col min="11006" max="11006" width="8.5546875" style="212" customWidth="1"/>
    <col min="11007" max="11007" width="1.109375" style="212" customWidth="1"/>
    <col min="11008" max="11008" width="8.88671875" style="212" customWidth="1"/>
    <col min="11009" max="11009" width="1.109375" style="212" customWidth="1"/>
    <col min="11010" max="11010" width="9.109375" style="212" customWidth="1"/>
    <col min="11011" max="11011" width="1.109375" style="212" customWidth="1"/>
    <col min="11012" max="11012" width="10" style="212" customWidth="1"/>
    <col min="11013" max="11013" width="1.109375" style="212" customWidth="1"/>
    <col min="11014" max="11014" width="9.109375" style="212" customWidth="1"/>
    <col min="11015" max="11015" width="1.109375" style="212" customWidth="1"/>
    <col min="11016" max="11016" width="11.109375" style="212" customWidth="1"/>
    <col min="11017" max="11017" width="1.109375" style="212" customWidth="1"/>
    <col min="11018" max="11018" width="9.109375" style="212" customWidth="1"/>
    <col min="11019" max="11019" width="1.88671875" style="212" customWidth="1"/>
    <col min="11020" max="11020" width="11" style="212" customWidth="1"/>
    <col min="11021" max="11021" width="1.109375" style="212" customWidth="1"/>
    <col min="11022" max="11022" width="10.88671875" style="212" customWidth="1"/>
    <col min="11023" max="11023" width="1.109375" style="212" customWidth="1"/>
    <col min="11024" max="11024" width="10" style="212" customWidth="1"/>
    <col min="11025" max="11025" width="1.109375" style="212" customWidth="1"/>
    <col min="11026" max="11026" width="9.109375" style="212" customWidth="1"/>
    <col min="11027" max="11027" width="1.109375" style="212" customWidth="1"/>
    <col min="11028" max="11028" width="7.88671875" style="212" customWidth="1"/>
    <col min="11029" max="11029" width="1.109375" style="212" customWidth="1"/>
    <col min="11030" max="11030" width="0.88671875" style="212" customWidth="1"/>
    <col min="11031" max="11031" width="9.109375" style="212" customWidth="1"/>
    <col min="11032" max="11032" width="1.109375" style="212" customWidth="1"/>
    <col min="11033" max="11033" width="0.88671875" style="212" customWidth="1"/>
    <col min="11034" max="11034" width="9.5546875" style="212" bestFit="1" customWidth="1"/>
    <col min="11035" max="11036" width="0.88671875" style="212" customWidth="1"/>
    <col min="11037" max="11037" width="9.88671875" style="212" customWidth="1"/>
    <col min="11038" max="11038" width="1.109375" style="212" customWidth="1"/>
    <col min="11039" max="11039" width="8.5546875" style="212" customWidth="1"/>
    <col min="11040" max="11040" width="14.5546875" style="212" customWidth="1"/>
    <col min="11041" max="11041" width="10" style="212" customWidth="1"/>
    <col min="11042" max="11042" width="7.88671875" style="212" bestFit="1" customWidth="1"/>
    <col min="11043" max="11043" width="9.88671875" style="212" customWidth="1"/>
    <col min="11044" max="11260" width="8.88671875" style="212"/>
    <col min="11261" max="11261" width="38.44140625" style="212" customWidth="1"/>
    <col min="11262" max="11262" width="8.5546875" style="212" customWidth="1"/>
    <col min="11263" max="11263" width="1.109375" style="212" customWidth="1"/>
    <col min="11264" max="11264" width="8.88671875" style="212" customWidth="1"/>
    <col min="11265" max="11265" width="1.109375" style="212" customWidth="1"/>
    <col min="11266" max="11266" width="9.109375" style="212" customWidth="1"/>
    <col min="11267" max="11267" width="1.109375" style="212" customWidth="1"/>
    <col min="11268" max="11268" width="10" style="212" customWidth="1"/>
    <col min="11269" max="11269" width="1.109375" style="212" customWidth="1"/>
    <col min="11270" max="11270" width="9.109375" style="212" customWidth="1"/>
    <col min="11271" max="11271" width="1.109375" style="212" customWidth="1"/>
    <col min="11272" max="11272" width="11.109375" style="212" customWidth="1"/>
    <col min="11273" max="11273" width="1.109375" style="212" customWidth="1"/>
    <col min="11274" max="11274" width="9.109375" style="212" customWidth="1"/>
    <col min="11275" max="11275" width="1.88671875" style="212" customWidth="1"/>
    <col min="11276" max="11276" width="11" style="212" customWidth="1"/>
    <col min="11277" max="11277" width="1.109375" style="212" customWidth="1"/>
    <col min="11278" max="11278" width="10.88671875" style="212" customWidth="1"/>
    <col min="11279" max="11279" width="1.109375" style="212" customWidth="1"/>
    <col min="11280" max="11280" width="10" style="212" customWidth="1"/>
    <col min="11281" max="11281" width="1.109375" style="212" customWidth="1"/>
    <col min="11282" max="11282" width="9.109375" style="212" customWidth="1"/>
    <col min="11283" max="11283" width="1.109375" style="212" customWidth="1"/>
    <col min="11284" max="11284" width="7.88671875" style="212" customWidth="1"/>
    <col min="11285" max="11285" width="1.109375" style="212" customWidth="1"/>
    <col min="11286" max="11286" width="0.88671875" style="212" customWidth="1"/>
    <col min="11287" max="11287" width="9.109375" style="212" customWidth="1"/>
    <col min="11288" max="11288" width="1.109375" style="212" customWidth="1"/>
    <col min="11289" max="11289" width="0.88671875" style="212" customWidth="1"/>
    <col min="11290" max="11290" width="9.5546875" style="212" bestFit="1" customWidth="1"/>
    <col min="11291" max="11292" width="0.88671875" style="212" customWidth="1"/>
    <col min="11293" max="11293" width="9.88671875" style="212" customWidth="1"/>
    <col min="11294" max="11294" width="1.109375" style="212" customWidth="1"/>
    <col min="11295" max="11295" width="8.5546875" style="212" customWidth="1"/>
    <col min="11296" max="11296" width="14.5546875" style="212" customWidth="1"/>
    <col min="11297" max="11297" width="10" style="212" customWidth="1"/>
    <col min="11298" max="11298" width="7.88671875" style="212" bestFit="1" customWidth="1"/>
    <col min="11299" max="11299" width="9.88671875" style="212" customWidth="1"/>
    <col min="11300" max="11516" width="8.88671875" style="212"/>
    <col min="11517" max="11517" width="38.44140625" style="212" customWidth="1"/>
    <col min="11518" max="11518" width="8.5546875" style="212" customWidth="1"/>
    <col min="11519" max="11519" width="1.109375" style="212" customWidth="1"/>
    <col min="11520" max="11520" width="8.88671875" style="212" customWidth="1"/>
    <col min="11521" max="11521" width="1.109375" style="212" customWidth="1"/>
    <col min="11522" max="11522" width="9.109375" style="212" customWidth="1"/>
    <col min="11523" max="11523" width="1.109375" style="212" customWidth="1"/>
    <col min="11524" max="11524" width="10" style="212" customWidth="1"/>
    <col min="11525" max="11525" width="1.109375" style="212" customWidth="1"/>
    <col min="11526" max="11526" width="9.109375" style="212" customWidth="1"/>
    <col min="11527" max="11527" width="1.109375" style="212" customWidth="1"/>
    <col min="11528" max="11528" width="11.109375" style="212" customWidth="1"/>
    <col min="11529" max="11529" width="1.109375" style="212" customWidth="1"/>
    <col min="11530" max="11530" width="9.109375" style="212" customWidth="1"/>
    <col min="11531" max="11531" width="1.88671875" style="212" customWidth="1"/>
    <col min="11532" max="11532" width="11" style="212" customWidth="1"/>
    <col min="11533" max="11533" width="1.109375" style="212" customWidth="1"/>
    <col min="11534" max="11534" width="10.88671875" style="212" customWidth="1"/>
    <col min="11535" max="11535" width="1.109375" style="212" customWidth="1"/>
    <col min="11536" max="11536" width="10" style="212" customWidth="1"/>
    <col min="11537" max="11537" width="1.109375" style="212" customWidth="1"/>
    <col min="11538" max="11538" width="9.109375" style="212" customWidth="1"/>
    <col min="11539" max="11539" width="1.109375" style="212" customWidth="1"/>
    <col min="11540" max="11540" width="7.88671875" style="212" customWidth="1"/>
    <col min="11541" max="11541" width="1.109375" style="212" customWidth="1"/>
    <col min="11542" max="11542" width="0.88671875" style="212" customWidth="1"/>
    <col min="11543" max="11543" width="9.109375" style="212" customWidth="1"/>
    <col min="11544" max="11544" width="1.109375" style="212" customWidth="1"/>
    <col min="11545" max="11545" width="0.88671875" style="212" customWidth="1"/>
    <col min="11546" max="11546" width="9.5546875" style="212" bestFit="1" customWidth="1"/>
    <col min="11547" max="11548" width="0.88671875" style="212" customWidth="1"/>
    <col min="11549" max="11549" width="9.88671875" style="212" customWidth="1"/>
    <col min="11550" max="11550" width="1.109375" style="212" customWidth="1"/>
    <col min="11551" max="11551" width="8.5546875" style="212" customWidth="1"/>
    <col min="11552" max="11552" width="14.5546875" style="212" customWidth="1"/>
    <col min="11553" max="11553" width="10" style="212" customWidth="1"/>
    <col min="11554" max="11554" width="7.88671875" style="212" bestFit="1" customWidth="1"/>
    <col min="11555" max="11555" width="9.88671875" style="212" customWidth="1"/>
    <col min="11556" max="11772" width="8.88671875" style="212"/>
    <col min="11773" max="11773" width="38.44140625" style="212" customWidth="1"/>
    <col min="11774" max="11774" width="8.5546875" style="212" customWidth="1"/>
    <col min="11775" max="11775" width="1.109375" style="212" customWidth="1"/>
    <col min="11776" max="11776" width="8.88671875" style="212" customWidth="1"/>
    <col min="11777" max="11777" width="1.109375" style="212" customWidth="1"/>
    <col min="11778" max="11778" width="9.109375" style="212" customWidth="1"/>
    <col min="11779" max="11779" width="1.109375" style="212" customWidth="1"/>
    <col min="11780" max="11780" width="10" style="212" customWidth="1"/>
    <col min="11781" max="11781" width="1.109375" style="212" customWidth="1"/>
    <col min="11782" max="11782" width="9.109375" style="212" customWidth="1"/>
    <col min="11783" max="11783" width="1.109375" style="212" customWidth="1"/>
    <col min="11784" max="11784" width="11.109375" style="212" customWidth="1"/>
    <col min="11785" max="11785" width="1.109375" style="212" customWidth="1"/>
    <col min="11786" max="11786" width="9.109375" style="212" customWidth="1"/>
    <col min="11787" max="11787" width="1.88671875" style="212" customWidth="1"/>
    <col min="11788" max="11788" width="11" style="212" customWidth="1"/>
    <col min="11789" max="11789" width="1.109375" style="212" customWidth="1"/>
    <col min="11790" max="11790" width="10.88671875" style="212" customWidth="1"/>
    <col min="11791" max="11791" width="1.109375" style="212" customWidth="1"/>
    <col min="11792" max="11792" width="10" style="212" customWidth="1"/>
    <col min="11793" max="11793" width="1.109375" style="212" customWidth="1"/>
    <col min="11794" max="11794" width="9.109375" style="212" customWidth="1"/>
    <col min="11795" max="11795" width="1.109375" style="212" customWidth="1"/>
    <col min="11796" max="11796" width="7.88671875" style="212" customWidth="1"/>
    <col min="11797" max="11797" width="1.109375" style="212" customWidth="1"/>
    <col min="11798" max="11798" width="0.88671875" style="212" customWidth="1"/>
    <col min="11799" max="11799" width="9.109375" style="212" customWidth="1"/>
    <col min="11800" max="11800" width="1.109375" style="212" customWidth="1"/>
    <col min="11801" max="11801" width="0.88671875" style="212" customWidth="1"/>
    <col min="11802" max="11802" width="9.5546875" style="212" bestFit="1" customWidth="1"/>
    <col min="11803" max="11804" width="0.88671875" style="212" customWidth="1"/>
    <col min="11805" max="11805" width="9.88671875" style="212" customWidth="1"/>
    <col min="11806" max="11806" width="1.109375" style="212" customWidth="1"/>
    <col min="11807" max="11807" width="8.5546875" style="212" customWidth="1"/>
    <col min="11808" max="11808" width="14.5546875" style="212" customWidth="1"/>
    <col min="11809" max="11809" width="10" style="212" customWidth="1"/>
    <col min="11810" max="11810" width="7.88671875" style="212" bestFit="1" customWidth="1"/>
    <col min="11811" max="11811" width="9.88671875" style="212" customWidth="1"/>
    <col min="11812" max="12028" width="8.88671875" style="212"/>
    <col min="12029" max="12029" width="38.44140625" style="212" customWidth="1"/>
    <col min="12030" max="12030" width="8.5546875" style="212" customWidth="1"/>
    <col min="12031" max="12031" width="1.109375" style="212" customWidth="1"/>
    <col min="12032" max="12032" width="8.88671875" style="212" customWidth="1"/>
    <col min="12033" max="12033" width="1.109375" style="212" customWidth="1"/>
    <col min="12034" max="12034" width="9.109375" style="212" customWidth="1"/>
    <col min="12035" max="12035" width="1.109375" style="212" customWidth="1"/>
    <col min="12036" max="12036" width="10" style="212" customWidth="1"/>
    <col min="12037" max="12037" width="1.109375" style="212" customWidth="1"/>
    <col min="12038" max="12038" width="9.109375" style="212" customWidth="1"/>
    <col min="12039" max="12039" width="1.109375" style="212" customWidth="1"/>
    <col min="12040" max="12040" width="11.109375" style="212" customWidth="1"/>
    <col min="12041" max="12041" width="1.109375" style="212" customWidth="1"/>
    <col min="12042" max="12042" width="9.109375" style="212" customWidth="1"/>
    <col min="12043" max="12043" width="1.88671875" style="212" customWidth="1"/>
    <col min="12044" max="12044" width="11" style="212" customWidth="1"/>
    <col min="12045" max="12045" width="1.109375" style="212" customWidth="1"/>
    <col min="12046" max="12046" width="10.88671875" style="212" customWidth="1"/>
    <col min="12047" max="12047" width="1.109375" style="212" customWidth="1"/>
    <col min="12048" max="12048" width="10" style="212" customWidth="1"/>
    <col min="12049" max="12049" width="1.109375" style="212" customWidth="1"/>
    <col min="12050" max="12050" width="9.109375" style="212" customWidth="1"/>
    <col min="12051" max="12051" width="1.109375" style="212" customWidth="1"/>
    <col min="12052" max="12052" width="7.88671875" style="212" customWidth="1"/>
    <col min="12053" max="12053" width="1.109375" style="212" customWidth="1"/>
    <col min="12054" max="12054" width="0.88671875" style="212" customWidth="1"/>
    <col min="12055" max="12055" width="9.109375" style="212" customWidth="1"/>
    <col min="12056" max="12056" width="1.109375" style="212" customWidth="1"/>
    <col min="12057" max="12057" width="0.88671875" style="212" customWidth="1"/>
    <col min="12058" max="12058" width="9.5546875" style="212" bestFit="1" customWidth="1"/>
    <col min="12059" max="12060" width="0.88671875" style="212" customWidth="1"/>
    <col min="12061" max="12061" width="9.88671875" style="212" customWidth="1"/>
    <col min="12062" max="12062" width="1.109375" style="212" customWidth="1"/>
    <col min="12063" max="12063" width="8.5546875" style="212" customWidth="1"/>
    <col min="12064" max="12064" width="14.5546875" style="212" customWidth="1"/>
    <col min="12065" max="12065" width="10" style="212" customWidth="1"/>
    <col min="12066" max="12066" width="7.88671875" style="212" bestFit="1" customWidth="1"/>
    <col min="12067" max="12067" width="9.88671875" style="212" customWidth="1"/>
    <col min="12068" max="12284" width="8.88671875" style="212"/>
    <col min="12285" max="12285" width="38.44140625" style="212" customWidth="1"/>
    <col min="12286" max="12286" width="8.5546875" style="212" customWidth="1"/>
    <col min="12287" max="12287" width="1.109375" style="212" customWidth="1"/>
    <col min="12288" max="12288" width="8.88671875" style="212" customWidth="1"/>
    <col min="12289" max="12289" width="1.109375" style="212" customWidth="1"/>
    <col min="12290" max="12290" width="9.109375" style="212" customWidth="1"/>
    <col min="12291" max="12291" width="1.109375" style="212" customWidth="1"/>
    <col min="12292" max="12292" width="10" style="212" customWidth="1"/>
    <col min="12293" max="12293" width="1.109375" style="212" customWidth="1"/>
    <col min="12294" max="12294" width="9.109375" style="212" customWidth="1"/>
    <col min="12295" max="12295" width="1.109375" style="212" customWidth="1"/>
    <col min="12296" max="12296" width="11.109375" style="212" customWidth="1"/>
    <col min="12297" max="12297" width="1.109375" style="212" customWidth="1"/>
    <col min="12298" max="12298" width="9.109375" style="212" customWidth="1"/>
    <col min="12299" max="12299" width="1.88671875" style="212" customWidth="1"/>
    <col min="12300" max="12300" width="11" style="212" customWidth="1"/>
    <col min="12301" max="12301" width="1.109375" style="212" customWidth="1"/>
    <col min="12302" max="12302" width="10.88671875" style="212" customWidth="1"/>
    <col min="12303" max="12303" width="1.109375" style="212" customWidth="1"/>
    <col min="12304" max="12304" width="10" style="212" customWidth="1"/>
    <col min="12305" max="12305" width="1.109375" style="212" customWidth="1"/>
    <col min="12306" max="12306" width="9.109375" style="212" customWidth="1"/>
    <col min="12307" max="12307" width="1.109375" style="212" customWidth="1"/>
    <col min="12308" max="12308" width="7.88671875" style="212" customWidth="1"/>
    <col min="12309" max="12309" width="1.109375" style="212" customWidth="1"/>
    <col min="12310" max="12310" width="0.88671875" style="212" customWidth="1"/>
    <col min="12311" max="12311" width="9.109375" style="212" customWidth="1"/>
    <col min="12312" max="12312" width="1.109375" style="212" customWidth="1"/>
    <col min="12313" max="12313" width="0.88671875" style="212" customWidth="1"/>
    <col min="12314" max="12314" width="9.5546875" style="212" bestFit="1" customWidth="1"/>
    <col min="12315" max="12316" width="0.88671875" style="212" customWidth="1"/>
    <col min="12317" max="12317" width="9.88671875" style="212" customWidth="1"/>
    <col min="12318" max="12318" width="1.109375" style="212" customWidth="1"/>
    <col min="12319" max="12319" width="8.5546875" style="212" customWidth="1"/>
    <col min="12320" max="12320" width="14.5546875" style="212" customWidth="1"/>
    <col min="12321" max="12321" width="10" style="212" customWidth="1"/>
    <col min="12322" max="12322" width="7.88671875" style="212" bestFit="1" customWidth="1"/>
    <col min="12323" max="12323" width="9.88671875" style="212" customWidth="1"/>
    <col min="12324" max="12540" width="8.88671875" style="212"/>
    <col min="12541" max="12541" width="38.44140625" style="212" customWidth="1"/>
    <col min="12542" max="12542" width="8.5546875" style="212" customWidth="1"/>
    <col min="12543" max="12543" width="1.109375" style="212" customWidth="1"/>
    <col min="12544" max="12544" width="8.88671875" style="212" customWidth="1"/>
    <col min="12545" max="12545" width="1.109375" style="212" customWidth="1"/>
    <col min="12546" max="12546" width="9.109375" style="212" customWidth="1"/>
    <col min="12547" max="12547" width="1.109375" style="212" customWidth="1"/>
    <col min="12548" max="12548" width="10" style="212" customWidth="1"/>
    <col min="12549" max="12549" width="1.109375" style="212" customWidth="1"/>
    <col min="12550" max="12550" width="9.109375" style="212" customWidth="1"/>
    <col min="12551" max="12551" width="1.109375" style="212" customWidth="1"/>
    <col min="12552" max="12552" width="11.109375" style="212" customWidth="1"/>
    <col min="12553" max="12553" width="1.109375" style="212" customWidth="1"/>
    <col min="12554" max="12554" width="9.109375" style="212" customWidth="1"/>
    <col min="12555" max="12555" width="1.88671875" style="212" customWidth="1"/>
    <col min="12556" max="12556" width="11" style="212" customWidth="1"/>
    <col min="12557" max="12557" width="1.109375" style="212" customWidth="1"/>
    <col min="12558" max="12558" width="10.88671875" style="212" customWidth="1"/>
    <col min="12559" max="12559" width="1.109375" style="212" customWidth="1"/>
    <col min="12560" max="12560" width="10" style="212" customWidth="1"/>
    <col min="12561" max="12561" width="1.109375" style="212" customWidth="1"/>
    <col min="12562" max="12562" width="9.109375" style="212" customWidth="1"/>
    <col min="12563" max="12563" width="1.109375" style="212" customWidth="1"/>
    <col min="12564" max="12564" width="7.88671875" style="212" customWidth="1"/>
    <col min="12565" max="12565" width="1.109375" style="212" customWidth="1"/>
    <col min="12566" max="12566" width="0.88671875" style="212" customWidth="1"/>
    <col min="12567" max="12567" width="9.109375" style="212" customWidth="1"/>
    <col min="12568" max="12568" width="1.109375" style="212" customWidth="1"/>
    <col min="12569" max="12569" width="0.88671875" style="212" customWidth="1"/>
    <col min="12570" max="12570" width="9.5546875" style="212" bestFit="1" customWidth="1"/>
    <col min="12571" max="12572" width="0.88671875" style="212" customWidth="1"/>
    <col min="12573" max="12573" width="9.88671875" style="212" customWidth="1"/>
    <col min="12574" max="12574" width="1.109375" style="212" customWidth="1"/>
    <col min="12575" max="12575" width="8.5546875" style="212" customWidth="1"/>
    <col min="12576" max="12576" width="14.5546875" style="212" customWidth="1"/>
    <col min="12577" max="12577" width="10" style="212" customWidth="1"/>
    <col min="12578" max="12578" width="7.88671875" style="212" bestFit="1" customWidth="1"/>
    <col min="12579" max="12579" width="9.88671875" style="212" customWidth="1"/>
    <col min="12580" max="12796" width="8.88671875" style="212"/>
    <col min="12797" max="12797" width="38.44140625" style="212" customWidth="1"/>
    <col min="12798" max="12798" width="8.5546875" style="212" customWidth="1"/>
    <col min="12799" max="12799" width="1.109375" style="212" customWidth="1"/>
    <col min="12800" max="12800" width="8.88671875" style="212" customWidth="1"/>
    <col min="12801" max="12801" width="1.109375" style="212" customWidth="1"/>
    <col min="12802" max="12802" width="9.109375" style="212" customWidth="1"/>
    <col min="12803" max="12803" width="1.109375" style="212" customWidth="1"/>
    <col min="12804" max="12804" width="10" style="212" customWidth="1"/>
    <col min="12805" max="12805" width="1.109375" style="212" customWidth="1"/>
    <col min="12806" max="12806" width="9.109375" style="212" customWidth="1"/>
    <col min="12807" max="12807" width="1.109375" style="212" customWidth="1"/>
    <col min="12808" max="12808" width="11.109375" style="212" customWidth="1"/>
    <col min="12809" max="12809" width="1.109375" style="212" customWidth="1"/>
    <col min="12810" max="12810" width="9.109375" style="212" customWidth="1"/>
    <col min="12811" max="12811" width="1.88671875" style="212" customWidth="1"/>
    <col min="12812" max="12812" width="11" style="212" customWidth="1"/>
    <col min="12813" max="12813" width="1.109375" style="212" customWidth="1"/>
    <col min="12814" max="12814" width="10.88671875" style="212" customWidth="1"/>
    <col min="12815" max="12815" width="1.109375" style="212" customWidth="1"/>
    <col min="12816" max="12816" width="10" style="212" customWidth="1"/>
    <col min="12817" max="12817" width="1.109375" style="212" customWidth="1"/>
    <col min="12818" max="12818" width="9.109375" style="212" customWidth="1"/>
    <col min="12819" max="12819" width="1.109375" style="212" customWidth="1"/>
    <col min="12820" max="12820" width="7.88671875" style="212" customWidth="1"/>
    <col min="12821" max="12821" width="1.109375" style="212" customWidth="1"/>
    <col min="12822" max="12822" width="0.88671875" style="212" customWidth="1"/>
    <col min="12823" max="12823" width="9.109375" style="212" customWidth="1"/>
    <col min="12824" max="12824" width="1.109375" style="212" customWidth="1"/>
    <col min="12825" max="12825" width="0.88671875" style="212" customWidth="1"/>
    <col min="12826" max="12826" width="9.5546875" style="212" bestFit="1" customWidth="1"/>
    <col min="12827" max="12828" width="0.88671875" style="212" customWidth="1"/>
    <col min="12829" max="12829" width="9.88671875" style="212" customWidth="1"/>
    <col min="12830" max="12830" width="1.109375" style="212" customWidth="1"/>
    <col min="12831" max="12831" width="8.5546875" style="212" customWidth="1"/>
    <col min="12832" max="12832" width="14.5546875" style="212" customWidth="1"/>
    <col min="12833" max="12833" width="10" style="212" customWidth="1"/>
    <col min="12834" max="12834" width="7.88671875" style="212" bestFit="1" customWidth="1"/>
    <col min="12835" max="12835" width="9.88671875" style="212" customWidth="1"/>
    <col min="12836" max="13052" width="8.88671875" style="212"/>
    <col min="13053" max="13053" width="38.44140625" style="212" customWidth="1"/>
    <col min="13054" max="13054" width="8.5546875" style="212" customWidth="1"/>
    <col min="13055" max="13055" width="1.109375" style="212" customWidth="1"/>
    <col min="13056" max="13056" width="8.88671875" style="212" customWidth="1"/>
    <col min="13057" max="13057" width="1.109375" style="212" customWidth="1"/>
    <col min="13058" max="13058" width="9.109375" style="212" customWidth="1"/>
    <col min="13059" max="13059" width="1.109375" style="212" customWidth="1"/>
    <col min="13060" max="13060" width="10" style="212" customWidth="1"/>
    <col min="13061" max="13061" width="1.109375" style="212" customWidth="1"/>
    <col min="13062" max="13062" width="9.109375" style="212" customWidth="1"/>
    <col min="13063" max="13063" width="1.109375" style="212" customWidth="1"/>
    <col min="13064" max="13064" width="11.109375" style="212" customWidth="1"/>
    <col min="13065" max="13065" width="1.109375" style="212" customWidth="1"/>
    <col min="13066" max="13066" width="9.109375" style="212" customWidth="1"/>
    <col min="13067" max="13067" width="1.88671875" style="212" customWidth="1"/>
    <col min="13068" max="13068" width="11" style="212" customWidth="1"/>
    <col min="13069" max="13069" width="1.109375" style="212" customWidth="1"/>
    <col min="13070" max="13070" width="10.88671875" style="212" customWidth="1"/>
    <col min="13071" max="13071" width="1.109375" style="212" customWidth="1"/>
    <col min="13072" max="13072" width="10" style="212" customWidth="1"/>
    <col min="13073" max="13073" width="1.109375" style="212" customWidth="1"/>
    <col min="13074" max="13074" width="9.109375" style="212" customWidth="1"/>
    <col min="13075" max="13075" width="1.109375" style="212" customWidth="1"/>
    <col min="13076" max="13076" width="7.88671875" style="212" customWidth="1"/>
    <col min="13077" max="13077" width="1.109375" style="212" customWidth="1"/>
    <col min="13078" max="13078" width="0.88671875" style="212" customWidth="1"/>
    <col min="13079" max="13079" width="9.109375" style="212" customWidth="1"/>
    <col min="13080" max="13080" width="1.109375" style="212" customWidth="1"/>
    <col min="13081" max="13081" width="0.88671875" style="212" customWidth="1"/>
    <col min="13082" max="13082" width="9.5546875" style="212" bestFit="1" customWidth="1"/>
    <col min="13083" max="13084" width="0.88671875" style="212" customWidth="1"/>
    <col min="13085" max="13085" width="9.88671875" style="212" customWidth="1"/>
    <col min="13086" max="13086" width="1.109375" style="212" customWidth="1"/>
    <col min="13087" max="13087" width="8.5546875" style="212" customWidth="1"/>
    <col min="13088" max="13088" width="14.5546875" style="212" customWidth="1"/>
    <col min="13089" max="13089" width="10" style="212" customWidth="1"/>
    <col min="13090" max="13090" width="7.88671875" style="212" bestFit="1" customWidth="1"/>
    <col min="13091" max="13091" width="9.88671875" style="212" customWidth="1"/>
    <col min="13092" max="13308" width="8.88671875" style="212"/>
    <col min="13309" max="13309" width="38.44140625" style="212" customWidth="1"/>
    <col min="13310" max="13310" width="8.5546875" style="212" customWidth="1"/>
    <col min="13311" max="13311" width="1.109375" style="212" customWidth="1"/>
    <col min="13312" max="13312" width="8.88671875" style="212" customWidth="1"/>
    <col min="13313" max="13313" width="1.109375" style="212" customWidth="1"/>
    <col min="13314" max="13314" width="9.109375" style="212" customWidth="1"/>
    <col min="13315" max="13315" width="1.109375" style="212" customWidth="1"/>
    <col min="13316" max="13316" width="10" style="212" customWidth="1"/>
    <col min="13317" max="13317" width="1.109375" style="212" customWidth="1"/>
    <col min="13318" max="13318" width="9.109375" style="212" customWidth="1"/>
    <col min="13319" max="13319" width="1.109375" style="212" customWidth="1"/>
    <col min="13320" max="13320" width="11.109375" style="212" customWidth="1"/>
    <col min="13321" max="13321" width="1.109375" style="212" customWidth="1"/>
    <col min="13322" max="13322" width="9.109375" style="212" customWidth="1"/>
    <col min="13323" max="13323" width="1.88671875" style="212" customWidth="1"/>
    <col min="13324" max="13324" width="11" style="212" customWidth="1"/>
    <col min="13325" max="13325" width="1.109375" style="212" customWidth="1"/>
    <col min="13326" max="13326" width="10.88671875" style="212" customWidth="1"/>
    <col min="13327" max="13327" width="1.109375" style="212" customWidth="1"/>
    <col min="13328" max="13328" width="10" style="212" customWidth="1"/>
    <col min="13329" max="13329" width="1.109375" style="212" customWidth="1"/>
    <col min="13330" max="13330" width="9.109375" style="212" customWidth="1"/>
    <col min="13331" max="13331" width="1.109375" style="212" customWidth="1"/>
    <col min="13332" max="13332" width="7.88671875" style="212" customWidth="1"/>
    <col min="13333" max="13333" width="1.109375" style="212" customWidth="1"/>
    <col min="13334" max="13334" width="0.88671875" style="212" customWidth="1"/>
    <col min="13335" max="13335" width="9.109375" style="212" customWidth="1"/>
    <col min="13336" max="13336" width="1.109375" style="212" customWidth="1"/>
    <col min="13337" max="13337" width="0.88671875" style="212" customWidth="1"/>
    <col min="13338" max="13338" width="9.5546875" style="212" bestFit="1" customWidth="1"/>
    <col min="13339" max="13340" width="0.88671875" style="212" customWidth="1"/>
    <col min="13341" max="13341" width="9.88671875" style="212" customWidth="1"/>
    <col min="13342" max="13342" width="1.109375" style="212" customWidth="1"/>
    <col min="13343" max="13343" width="8.5546875" style="212" customWidth="1"/>
    <col min="13344" max="13344" width="14.5546875" style="212" customWidth="1"/>
    <col min="13345" max="13345" width="10" style="212" customWidth="1"/>
    <col min="13346" max="13346" width="7.88671875" style="212" bestFit="1" customWidth="1"/>
    <col min="13347" max="13347" width="9.88671875" style="212" customWidth="1"/>
    <col min="13348" max="13564" width="8.88671875" style="212"/>
    <col min="13565" max="13565" width="38.44140625" style="212" customWidth="1"/>
    <col min="13566" max="13566" width="8.5546875" style="212" customWidth="1"/>
    <col min="13567" max="13567" width="1.109375" style="212" customWidth="1"/>
    <col min="13568" max="13568" width="8.88671875" style="212" customWidth="1"/>
    <col min="13569" max="13569" width="1.109375" style="212" customWidth="1"/>
    <col min="13570" max="13570" width="9.109375" style="212" customWidth="1"/>
    <col min="13571" max="13571" width="1.109375" style="212" customWidth="1"/>
    <col min="13572" max="13572" width="10" style="212" customWidth="1"/>
    <col min="13573" max="13573" width="1.109375" style="212" customWidth="1"/>
    <col min="13574" max="13574" width="9.109375" style="212" customWidth="1"/>
    <col min="13575" max="13575" width="1.109375" style="212" customWidth="1"/>
    <col min="13576" max="13576" width="11.109375" style="212" customWidth="1"/>
    <col min="13577" max="13577" width="1.109375" style="212" customWidth="1"/>
    <col min="13578" max="13578" width="9.109375" style="212" customWidth="1"/>
    <col min="13579" max="13579" width="1.88671875" style="212" customWidth="1"/>
    <col min="13580" max="13580" width="11" style="212" customWidth="1"/>
    <col min="13581" max="13581" width="1.109375" style="212" customWidth="1"/>
    <col min="13582" max="13582" width="10.88671875" style="212" customWidth="1"/>
    <col min="13583" max="13583" width="1.109375" style="212" customWidth="1"/>
    <col min="13584" max="13584" width="10" style="212" customWidth="1"/>
    <col min="13585" max="13585" width="1.109375" style="212" customWidth="1"/>
    <col min="13586" max="13586" width="9.109375" style="212" customWidth="1"/>
    <col min="13587" max="13587" width="1.109375" style="212" customWidth="1"/>
    <col min="13588" max="13588" width="7.88671875" style="212" customWidth="1"/>
    <col min="13589" max="13589" width="1.109375" style="212" customWidth="1"/>
    <col min="13590" max="13590" width="0.88671875" style="212" customWidth="1"/>
    <col min="13591" max="13591" width="9.109375" style="212" customWidth="1"/>
    <col min="13592" max="13592" width="1.109375" style="212" customWidth="1"/>
    <col min="13593" max="13593" width="0.88671875" style="212" customWidth="1"/>
    <col min="13594" max="13594" width="9.5546875" style="212" bestFit="1" customWidth="1"/>
    <col min="13595" max="13596" width="0.88671875" style="212" customWidth="1"/>
    <col min="13597" max="13597" width="9.88671875" style="212" customWidth="1"/>
    <col min="13598" max="13598" width="1.109375" style="212" customWidth="1"/>
    <col min="13599" max="13599" width="8.5546875" style="212" customWidth="1"/>
    <col min="13600" max="13600" width="14.5546875" style="212" customWidth="1"/>
    <col min="13601" max="13601" width="10" style="212" customWidth="1"/>
    <col min="13602" max="13602" width="7.88671875" style="212" bestFit="1" customWidth="1"/>
    <col min="13603" max="13603" width="9.88671875" style="212" customWidth="1"/>
    <col min="13604" max="13820" width="8.88671875" style="212"/>
    <col min="13821" max="13821" width="38.44140625" style="212" customWidth="1"/>
    <col min="13822" max="13822" width="8.5546875" style="212" customWidth="1"/>
    <col min="13823" max="13823" width="1.109375" style="212" customWidth="1"/>
    <col min="13824" max="13824" width="8.88671875" style="212" customWidth="1"/>
    <col min="13825" max="13825" width="1.109375" style="212" customWidth="1"/>
    <col min="13826" max="13826" width="9.109375" style="212" customWidth="1"/>
    <col min="13827" max="13827" width="1.109375" style="212" customWidth="1"/>
    <col min="13828" max="13828" width="10" style="212" customWidth="1"/>
    <col min="13829" max="13829" width="1.109375" style="212" customWidth="1"/>
    <col min="13830" max="13830" width="9.109375" style="212" customWidth="1"/>
    <col min="13831" max="13831" width="1.109375" style="212" customWidth="1"/>
    <col min="13832" max="13832" width="11.109375" style="212" customWidth="1"/>
    <col min="13833" max="13833" width="1.109375" style="212" customWidth="1"/>
    <col min="13834" max="13834" width="9.109375" style="212" customWidth="1"/>
    <col min="13835" max="13835" width="1.88671875" style="212" customWidth="1"/>
    <col min="13836" max="13836" width="11" style="212" customWidth="1"/>
    <col min="13837" max="13837" width="1.109375" style="212" customWidth="1"/>
    <col min="13838" max="13838" width="10.88671875" style="212" customWidth="1"/>
    <col min="13839" max="13839" width="1.109375" style="212" customWidth="1"/>
    <col min="13840" max="13840" width="10" style="212" customWidth="1"/>
    <col min="13841" max="13841" width="1.109375" style="212" customWidth="1"/>
    <col min="13842" max="13842" width="9.109375" style="212" customWidth="1"/>
    <col min="13843" max="13843" width="1.109375" style="212" customWidth="1"/>
    <col min="13844" max="13844" width="7.88671875" style="212" customWidth="1"/>
    <col min="13845" max="13845" width="1.109375" style="212" customWidth="1"/>
    <col min="13846" max="13846" width="0.88671875" style="212" customWidth="1"/>
    <col min="13847" max="13847" width="9.109375" style="212" customWidth="1"/>
    <col min="13848" max="13848" width="1.109375" style="212" customWidth="1"/>
    <col min="13849" max="13849" width="0.88671875" style="212" customWidth="1"/>
    <col min="13850" max="13850" width="9.5546875" style="212" bestFit="1" customWidth="1"/>
    <col min="13851" max="13852" width="0.88671875" style="212" customWidth="1"/>
    <col min="13853" max="13853" width="9.88671875" style="212" customWidth="1"/>
    <col min="13854" max="13854" width="1.109375" style="212" customWidth="1"/>
    <col min="13855" max="13855" width="8.5546875" style="212" customWidth="1"/>
    <col min="13856" max="13856" width="14.5546875" style="212" customWidth="1"/>
    <col min="13857" max="13857" width="10" style="212" customWidth="1"/>
    <col min="13858" max="13858" width="7.88671875" style="212" bestFit="1" customWidth="1"/>
    <col min="13859" max="13859" width="9.88671875" style="212" customWidth="1"/>
    <col min="13860" max="14076" width="8.88671875" style="212"/>
    <col min="14077" max="14077" width="38.44140625" style="212" customWidth="1"/>
    <col min="14078" max="14078" width="8.5546875" style="212" customWidth="1"/>
    <col min="14079" max="14079" width="1.109375" style="212" customWidth="1"/>
    <col min="14080" max="14080" width="8.88671875" style="212" customWidth="1"/>
    <col min="14081" max="14081" width="1.109375" style="212" customWidth="1"/>
    <col min="14082" max="14082" width="9.109375" style="212" customWidth="1"/>
    <col min="14083" max="14083" width="1.109375" style="212" customWidth="1"/>
    <col min="14084" max="14084" width="10" style="212" customWidth="1"/>
    <col min="14085" max="14085" width="1.109375" style="212" customWidth="1"/>
    <col min="14086" max="14086" width="9.109375" style="212" customWidth="1"/>
    <col min="14087" max="14087" width="1.109375" style="212" customWidth="1"/>
    <col min="14088" max="14088" width="11.109375" style="212" customWidth="1"/>
    <col min="14089" max="14089" width="1.109375" style="212" customWidth="1"/>
    <col min="14090" max="14090" width="9.109375" style="212" customWidth="1"/>
    <col min="14091" max="14091" width="1.88671875" style="212" customWidth="1"/>
    <col min="14092" max="14092" width="11" style="212" customWidth="1"/>
    <col min="14093" max="14093" width="1.109375" style="212" customWidth="1"/>
    <col min="14094" max="14094" width="10.88671875" style="212" customWidth="1"/>
    <col min="14095" max="14095" width="1.109375" style="212" customWidth="1"/>
    <col min="14096" max="14096" width="10" style="212" customWidth="1"/>
    <col min="14097" max="14097" width="1.109375" style="212" customWidth="1"/>
    <col min="14098" max="14098" width="9.109375" style="212" customWidth="1"/>
    <col min="14099" max="14099" width="1.109375" style="212" customWidth="1"/>
    <col min="14100" max="14100" width="7.88671875" style="212" customWidth="1"/>
    <col min="14101" max="14101" width="1.109375" style="212" customWidth="1"/>
    <col min="14102" max="14102" width="0.88671875" style="212" customWidth="1"/>
    <col min="14103" max="14103" width="9.109375" style="212" customWidth="1"/>
    <col min="14104" max="14104" width="1.109375" style="212" customWidth="1"/>
    <col min="14105" max="14105" width="0.88671875" style="212" customWidth="1"/>
    <col min="14106" max="14106" width="9.5546875" style="212" bestFit="1" customWidth="1"/>
    <col min="14107" max="14108" width="0.88671875" style="212" customWidth="1"/>
    <col min="14109" max="14109" width="9.88671875" style="212" customWidth="1"/>
    <col min="14110" max="14110" width="1.109375" style="212" customWidth="1"/>
    <col min="14111" max="14111" width="8.5546875" style="212" customWidth="1"/>
    <col min="14112" max="14112" width="14.5546875" style="212" customWidth="1"/>
    <col min="14113" max="14113" width="10" style="212" customWidth="1"/>
    <col min="14114" max="14114" width="7.88671875" style="212" bestFit="1" customWidth="1"/>
    <col min="14115" max="14115" width="9.88671875" style="212" customWidth="1"/>
    <col min="14116" max="14332" width="8.88671875" style="212"/>
    <col min="14333" max="14333" width="38.44140625" style="212" customWidth="1"/>
    <col min="14334" max="14334" width="8.5546875" style="212" customWidth="1"/>
    <col min="14335" max="14335" width="1.109375" style="212" customWidth="1"/>
    <col min="14336" max="14336" width="8.88671875" style="212" customWidth="1"/>
    <col min="14337" max="14337" width="1.109375" style="212" customWidth="1"/>
    <col min="14338" max="14338" width="9.109375" style="212" customWidth="1"/>
    <col min="14339" max="14339" width="1.109375" style="212" customWidth="1"/>
    <col min="14340" max="14340" width="10" style="212" customWidth="1"/>
    <col min="14341" max="14341" width="1.109375" style="212" customWidth="1"/>
    <col min="14342" max="14342" width="9.109375" style="212" customWidth="1"/>
    <col min="14343" max="14343" width="1.109375" style="212" customWidth="1"/>
    <col min="14344" max="14344" width="11.109375" style="212" customWidth="1"/>
    <col min="14345" max="14345" width="1.109375" style="212" customWidth="1"/>
    <col min="14346" max="14346" width="9.109375" style="212" customWidth="1"/>
    <col min="14347" max="14347" width="1.88671875" style="212" customWidth="1"/>
    <col min="14348" max="14348" width="11" style="212" customWidth="1"/>
    <col min="14349" max="14349" width="1.109375" style="212" customWidth="1"/>
    <col min="14350" max="14350" width="10.88671875" style="212" customWidth="1"/>
    <col min="14351" max="14351" width="1.109375" style="212" customWidth="1"/>
    <col min="14352" max="14352" width="10" style="212" customWidth="1"/>
    <col min="14353" max="14353" width="1.109375" style="212" customWidth="1"/>
    <col min="14354" max="14354" width="9.109375" style="212" customWidth="1"/>
    <col min="14355" max="14355" width="1.109375" style="212" customWidth="1"/>
    <col min="14356" max="14356" width="7.88671875" style="212" customWidth="1"/>
    <col min="14357" max="14357" width="1.109375" style="212" customWidth="1"/>
    <col min="14358" max="14358" width="0.88671875" style="212" customWidth="1"/>
    <col min="14359" max="14359" width="9.109375" style="212" customWidth="1"/>
    <col min="14360" max="14360" width="1.109375" style="212" customWidth="1"/>
    <col min="14361" max="14361" width="0.88671875" style="212" customWidth="1"/>
    <col min="14362" max="14362" width="9.5546875" style="212" bestFit="1" customWidth="1"/>
    <col min="14363" max="14364" width="0.88671875" style="212" customWidth="1"/>
    <col min="14365" max="14365" width="9.88671875" style="212" customWidth="1"/>
    <col min="14366" max="14366" width="1.109375" style="212" customWidth="1"/>
    <col min="14367" max="14367" width="8.5546875" style="212" customWidth="1"/>
    <col min="14368" max="14368" width="14.5546875" style="212" customWidth="1"/>
    <col min="14369" max="14369" width="10" style="212" customWidth="1"/>
    <col min="14370" max="14370" width="7.88671875" style="212" bestFit="1" customWidth="1"/>
    <col min="14371" max="14371" width="9.88671875" style="212" customWidth="1"/>
    <col min="14372" max="14588" width="8.88671875" style="212"/>
    <col min="14589" max="14589" width="38.44140625" style="212" customWidth="1"/>
    <col min="14590" max="14590" width="8.5546875" style="212" customWidth="1"/>
    <col min="14591" max="14591" width="1.109375" style="212" customWidth="1"/>
    <col min="14592" max="14592" width="8.88671875" style="212" customWidth="1"/>
    <col min="14593" max="14593" width="1.109375" style="212" customWidth="1"/>
    <col min="14594" max="14594" width="9.109375" style="212" customWidth="1"/>
    <col min="14595" max="14595" width="1.109375" style="212" customWidth="1"/>
    <col min="14596" max="14596" width="10" style="212" customWidth="1"/>
    <col min="14597" max="14597" width="1.109375" style="212" customWidth="1"/>
    <col min="14598" max="14598" width="9.109375" style="212" customWidth="1"/>
    <col min="14599" max="14599" width="1.109375" style="212" customWidth="1"/>
    <col min="14600" max="14600" width="11.109375" style="212" customWidth="1"/>
    <col min="14601" max="14601" width="1.109375" style="212" customWidth="1"/>
    <col min="14602" max="14602" width="9.109375" style="212" customWidth="1"/>
    <col min="14603" max="14603" width="1.88671875" style="212" customWidth="1"/>
    <col min="14604" max="14604" width="11" style="212" customWidth="1"/>
    <col min="14605" max="14605" width="1.109375" style="212" customWidth="1"/>
    <col min="14606" max="14606" width="10.88671875" style="212" customWidth="1"/>
    <col min="14607" max="14607" width="1.109375" style="212" customWidth="1"/>
    <col min="14608" max="14608" width="10" style="212" customWidth="1"/>
    <col min="14609" max="14609" width="1.109375" style="212" customWidth="1"/>
    <col min="14610" max="14610" width="9.109375" style="212" customWidth="1"/>
    <col min="14611" max="14611" width="1.109375" style="212" customWidth="1"/>
    <col min="14612" max="14612" width="7.88671875" style="212" customWidth="1"/>
    <col min="14613" max="14613" width="1.109375" style="212" customWidth="1"/>
    <col min="14614" max="14614" width="0.88671875" style="212" customWidth="1"/>
    <col min="14615" max="14615" width="9.109375" style="212" customWidth="1"/>
    <col min="14616" max="14616" width="1.109375" style="212" customWidth="1"/>
    <col min="14617" max="14617" width="0.88671875" style="212" customWidth="1"/>
    <col min="14618" max="14618" width="9.5546875" style="212" bestFit="1" customWidth="1"/>
    <col min="14619" max="14620" width="0.88671875" style="212" customWidth="1"/>
    <col min="14621" max="14621" width="9.88671875" style="212" customWidth="1"/>
    <col min="14622" max="14622" width="1.109375" style="212" customWidth="1"/>
    <col min="14623" max="14623" width="8.5546875" style="212" customWidth="1"/>
    <col min="14624" max="14624" width="14.5546875" style="212" customWidth="1"/>
    <col min="14625" max="14625" width="10" style="212" customWidth="1"/>
    <col min="14626" max="14626" width="7.88671875" style="212" bestFit="1" customWidth="1"/>
    <col min="14627" max="14627" width="9.88671875" style="212" customWidth="1"/>
    <col min="14628" max="14844" width="8.88671875" style="212"/>
    <col min="14845" max="14845" width="38.44140625" style="212" customWidth="1"/>
    <col min="14846" max="14846" width="8.5546875" style="212" customWidth="1"/>
    <col min="14847" max="14847" width="1.109375" style="212" customWidth="1"/>
    <col min="14848" max="14848" width="8.88671875" style="212" customWidth="1"/>
    <col min="14849" max="14849" width="1.109375" style="212" customWidth="1"/>
    <col min="14850" max="14850" width="9.109375" style="212" customWidth="1"/>
    <col min="14851" max="14851" width="1.109375" style="212" customWidth="1"/>
    <col min="14852" max="14852" width="10" style="212" customWidth="1"/>
    <col min="14853" max="14853" width="1.109375" style="212" customWidth="1"/>
    <col min="14854" max="14854" width="9.109375" style="212" customWidth="1"/>
    <col min="14855" max="14855" width="1.109375" style="212" customWidth="1"/>
    <col min="14856" max="14856" width="11.109375" style="212" customWidth="1"/>
    <col min="14857" max="14857" width="1.109375" style="212" customWidth="1"/>
    <col min="14858" max="14858" width="9.109375" style="212" customWidth="1"/>
    <col min="14859" max="14859" width="1.88671875" style="212" customWidth="1"/>
    <col min="14860" max="14860" width="11" style="212" customWidth="1"/>
    <col min="14861" max="14861" width="1.109375" style="212" customWidth="1"/>
    <col min="14862" max="14862" width="10.88671875" style="212" customWidth="1"/>
    <col min="14863" max="14863" width="1.109375" style="212" customWidth="1"/>
    <col min="14864" max="14864" width="10" style="212" customWidth="1"/>
    <col min="14865" max="14865" width="1.109375" style="212" customWidth="1"/>
    <col min="14866" max="14866" width="9.109375" style="212" customWidth="1"/>
    <col min="14867" max="14867" width="1.109375" style="212" customWidth="1"/>
    <col min="14868" max="14868" width="7.88671875" style="212" customWidth="1"/>
    <col min="14869" max="14869" width="1.109375" style="212" customWidth="1"/>
    <col min="14870" max="14870" width="0.88671875" style="212" customWidth="1"/>
    <col min="14871" max="14871" width="9.109375" style="212" customWidth="1"/>
    <col min="14872" max="14872" width="1.109375" style="212" customWidth="1"/>
    <col min="14873" max="14873" width="0.88671875" style="212" customWidth="1"/>
    <col min="14874" max="14874" width="9.5546875" style="212" bestFit="1" customWidth="1"/>
    <col min="14875" max="14876" width="0.88671875" style="212" customWidth="1"/>
    <col min="14877" max="14877" width="9.88671875" style="212" customWidth="1"/>
    <col min="14878" max="14878" width="1.109375" style="212" customWidth="1"/>
    <col min="14879" max="14879" width="8.5546875" style="212" customWidth="1"/>
    <col min="14880" max="14880" width="14.5546875" style="212" customWidth="1"/>
    <col min="14881" max="14881" width="10" style="212" customWidth="1"/>
    <col min="14882" max="14882" width="7.88671875" style="212" bestFit="1" customWidth="1"/>
    <col min="14883" max="14883" width="9.88671875" style="212" customWidth="1"/>
    <col min="14884" max="15100" width="8.88671875" style="212"/>
    <col min="15101" max="15101" width="38.44140625" style="212" customWidth="1"/>
    <col min="15102" max="15102" width="8.5546875" style="212" customWidth="1"/>
    <col min="15103" max="15103" width="1.109375" style="212" customWidth="1"/>
    <col min="15104" max="15104" width="8.88671875" style="212" customWidth="1"/>
    <col min="15105" max="15105" width="1.109375" style="212" customWidth="1"/>
    <col min="15106" max="15106" width="9.109375" style="212" customWidth="1"/>
    <col min="15107" max="15107" width="1.109375" style="212" customWidth="1"/>
    <col min="15108" max="15108" width="10" style="212" customWidth="1"/>
    <col min="15109" max="15109" width="1.109375" style="212" customWidth="1"/>
    <col min="15110" max="15110" width="9.109375" style="212" customWidth="1"/>
    <col min="15111" max="15111" width="1.109375" style="212" customWidth="1"/>
    <col min="15112" max="15112" width="11.109375" style="212" customWidth="1"/>
    <col min="15113" max="15113" width="1.109375" style="212" customWidth="1"/>
    <col min="15114" max="15114" width="9.109375" style="212" customWidth="1"/>
    <col min="15115" max="15115" width="1.88671875" style="212" customWidth="1"/>
    <col min="15116" max="15116" width="11" style="212" customWidth="1"/>
    <col min="15117" max="15117" width="1.109375" style="212" customWidth="1"/>
    <col min="15118" max="15118" width="10.88671875" style="212" customWidth="1"/>
    <col min="15119" max="15119" width="1.109375" style="212" customWidth="1"/>
    <col min="15120" max="15120" width="10" style="212" customWidth="1"/>
    <col min="15121" max="15121" width="1.109375" style="212" customWidth="1"/>
    <col min="15122" max="15122" width="9.109375" style="212" customWidth="1"/>
    <col min="15123" max="15123" width="1.109375" style="212" customWidth="1"/>
    <col min="15124" max="15124" width="7.88671875" style="212" customWidth="1"/>
    <col min="15125" max="15125" width="1.109375" style="212" customWidth="1"/>
    <col min="15126" max="15126" width="0.88671875" style="212" customWidth="1"/>
    <col min="15127" max="15127" width="9.109375" style="212" customWidth="1"/>
    <col min="15128" max="15128" width="1.109375" style="212" customWidth="1"/>
    <col min="15129" max="15129" width="0.88671875" style="212" customWidth="1"/>
    <col min="15130" max="15130" width="9.5546875" style="212" bestFit="1" customWidth="1"/>
    <col min="15131" max="15132" width="0.88671875" style="212" customWidth="1"/>
    <col min="15133" max="15133" width="9.88671875" style="212" customWidth="1"/>
    <col min="15134" max="15134" width="1.109375" style="212" customWidth="1"/>
    <col min="15135" max="15135" width="8.5546875" style="212" customWidth="1"/>
    <col min="15136" max="15136" width="14.5546875" style="212" customWidth="1"/>
    <col min="15137" max="15137" width="10" style="212" customWidth="1"/>
    <col min="15138" max="15138" width="7.88671875" style="212" bestFit="1" customWidth="1"/>
    <col min="15139" max="15139" width="9.88671875" style="212" customWidth="1"/>
    <col min="15140" max="15356" width="8.88671875" style="212"/>
    <col min="15357" max="15357" width="38.44140625" style="212" customWidth="1"/>
    <col min="15358" max="15358" width="8.5546875" style="212" customWidth="1"/>
    <col min="15359" max="15359" width="1.109375" style="212" customWidth="1"/>
    <col min="15360" max="15360" width="8.88671875" style="212" customWidth="1"/>
    <col min="15361" max="15361" width="1.109375" style="212" customWidth="1"/>
    <col min="15362" max="15362" width="9.109375" style="212" customWidth="1"/>
    <col min="15363" max="15363" width="1.109375" style="212" customWidth="1"/>
    <col min="15364" max="15364" width="10" style="212" customWidth="1"/>
    <col min="15365" max="15365" width="1.109375" style="212" customWidth="1"/>
    <col min="15366" max="15366" width="9.109375" style="212" customWidth="1"/>
    <col min="15367" max="15367" width="1.109375" style="212" customWidth="1"/>
    <col min="15368" max="15368" width="11.109375" style="212" customWidth="1"/>
    <col min="15369" max="15369" width="1.109375" style="212" customWidth="1"/>
    <col min="15370" max="15370" width="9.109375" style="212" customWidth="1"/>
    <col min="15371" max="15371" width="1.88671875" style="212" customWidth="1"/>
    <col min="15372" max="15372" width="11" style="212" customWidth="1"/>
    <col min="15373" max="15373" width="1.109375" style="212" customWidth="1"/>
    <col min="15374" max="15374" width="10.88671875" style="212" customWidth="1"/>
    <col min="15375" max="15375" width="1.109375" style="212" customWidth="1"/>
    <col min="15376" max="15376" width="10" style="212" customWidth="1"/>
    <col min="15377" max="15377" width="1.109375" style="212" customWidth="1"/>
    <col min="15378" max="15378" width="9.109375" style="212" customWidth="1"/>
    <col min="15379" max="15379" width="1.109375" style="212" customWidth="1"/>
    <col min="15380" max="15380" width="7.88671875" style="212" customWidth="1"/>
    <col min="15381" max="15381" width="1.109375" style="212" customWidth="1"/>
    <col min="15382" max="15382" width="0.88671875" style="212" customWidth="1"/>
    <col min="15383" max="15383" width="9.109375" style="212" customWidth="1"/>
    <col min="15384" max="15384" width="1.109375" style="212" customWidth="1"/>
    <col min="15385" max="15385" width="0.88671875" style="212" customWidth="1"/>
    <col min="15386" max="15386" width="9.5546875" style="212" bestFit="1" customWidth="1"/>
    <col min="15387" max="15388" width="0.88671875" style="212" customWidth="1"/>
    <col min="15389" max="15389" width="9.88671875" style="212" customWidth="1"/>
    <col min="15390" max="15390" width="1.109375" style="212" customWidth="1"/>
    <col min="15391" max="15391" width="8.5546875" style="212" customWidth="1"/>
    <col min="15392" max="15392" width="14.5546875" style="212" customWidth="1"/>
    <col min="15393" max="15393" width="10" style="212" customWidth="1"/>
    <col min="15394" max="15394" width="7.88671875" style="212" bestFit="1" customWidth="1"/>
    <col min="15395" max="15395" width="9.88671875" style="212" customWidth="1"/>
    <col min="15396" max="15612" width="8.88671875" style="212"/>
    <col min="15613" max="15613" width="38.44140625" style="212" customWidth="1"/>
    <col min="15614" max="15614" width="8.5546875" style="212" customWidth="1"/>
    <col min="15615" max="15615" width="1.109375" style="212" customWidth="1"/>
    <col min="15616" max="15616" width="8.88671875" style="212" customWidth="1"/>
    <col min="15617" max="15617" width="1.109375" style="212" customWidth="1"/>
    <col min="15618" max="15618" width="9.109375" style="212" customWidth="1"/>
    <col min="15619" max="15619" width="1.109375" style="212" customWidth="1"/>
    <col min="15620" max="15620" width="10" style="212" customWidth="1"/>
    <col min="15621" max="15621" width="1.109375" style="212" customWidth="1"/>
    <col min="15622" max="15622" width="9.109375" style="212" customWidth="1"/>
    <col min="15623" max="15623" width="1.109375" style="212" customWidth="1"/>
    <col min="15624" max="15624" width="11.109375" style="212" customWidth="1"/>
    <col min="15625" max="15625" width="1.109375" style="212" customWidth="1"/>
    <col min="15626" max="15626" width="9.109375" style="212" customWidth="1"/>
    <col min="15627" max="15627" width="1.88671875" style="212" customWidth="1"/>
    <col min="15628" max="15628" width="11" style="212" customWidth="1"/>
    <col min="15629" max="15629" width="1.109375" style="212" customWidth="1"/>
    <col min="15630" max="15630" width="10.88671875" style="212" customWidth="1"/>
    <col min="15631" max="15631" width="1.109375" style="212" customWidth="1"/>
    <col min="15632" max="15632" width="10" style="212" customWidth="1"/>
    <col min="15633" max="15633" width="1.109375" style="212" customWidth="1"/>
    <col min="15634" max="15634" width="9.109375" style="212" customWidth="1"/>
    <col min="15635" max="15635" width="1.109375" style="212" customWidth="1"/>
    <col min="15636" max="15636" width="7.88671875" style="212" customWidth="1"/>
    <col min="15637" max="15637" width="1.109375" style="212" customWidth="1"/>
    <col min="15638" max="15638" width="0.88671875" style="212" customWidth="1"/>
    <col min="15639" max="15639" width="9.109375" style="212" customWidth="1"/>
    <col min="15640" max="15640" width="1.109375" style="212" customWidth="1"/>
    <col min="15641" max="15641" width="0.88671875" style="212" customWidth="1"/>
    <col min="15642" max="15642" width="9.5546875" style="212" bestFit="1" customWidth="1"/>
    <col min="15643" max="15644" width="0.88671875" style="212" customWidth="1"/>
    <col min="15645" max="15645" width="9.88671875" style="212" customWidth="1"/>
    <col min="15646" max="15646" width="1.109375" style="212" customWidth="1"/>
    <col min="15647" max="15647" width="8.5546875" style="212" customWidth="1"/>
    <col min="15648" max="15648" width="14.5546875" style="212" customWidth="1"/>
    <col min="15649" max="15649" width="10" style="212" customWidth="1"/>
    <col min="15650" max="15650" width="7.88671875" style="212" bestFit="1" customWidth="1"/>
    <col min="15651" max="15651" width="9.88671875" style="212" customWidth="1"/>
    <col min="15652" max="15868" width="8.88671875" style="212"/>
    <col min="15869" max="15869" width="38.44140625" style="212" customWidth="1"/>
    <col min="15870" max="15870" width="8.5546875" style="212" customWidth="1"/>
    <col min="15871" max="15871" width="1.109375" style="212" customWidth="1"/>
    <col min="15872" max="15872" width="8.88671875" style="212" customWidth="1"/>
    <col min="15873" max="15873" width="1.109375" style="212" customWidth="1"/>
    <col min="15874" max="15874" width="9.109375" style="212" customWidth="1"/>
    <col min="15875" max="15875" width="1.109375" style="212" customWidth="1"/>
    <col min="15876" max="15876" width="10" style="212" customWidth="1"/>
    <col min="15877" max="15877" width="1.109375" style="212" customWidth="1"/>
    <col min="15878" max="15878" width="9.109375" style="212" customWidth="1"/>
    <col min="15879" max="15879" width="1.109375" style="212" customWidth="1"/>
    <col min="15880" max="15880" width="11.109375" style="212" customWidth="1"/>
    <col min="15881" max="15881" width="1.109375" style="212" customWidth="1"/>
    <col min="15882" max="15882" width="9.109375" style="212" customWidth="1"/>
    <col min="15883" max="15883" width="1.88671875" style="212" customWidth="1"/>
    <col min="15884" max="15884" width="11" style="212" customWidth="1"/>
    <col min="15885" max="15885" width="1.109375" style="212" customWidth="1"/>
    <col min="15886" max="15886" width="10.88671875" style="212" customWidth="1"/>
    <col min="15887" max="15887" width="1.109375" style="212" customWidth="1"/>
    <col min="15888" max="15888" width="10" style="212" customWidth="1"/>
    <col min="15889" max="15889" width="1.109375" style="212" customWidth="1"/>
    <col min="15890" max="15890" width="9.109375" style="212" customWidth="1"/>
    <col min="15891" max="15891" width="1.109375" style="212" customWidth="1"/>
    <col min="15892" max="15892" width="7.88671875" style="212" customWidth="1"/>
    <col min="15893" max="15893" width="1.109375" style="212" customWidth="1"/>
    <col min="15894" max="15894" width="0.88671875" style="212" customWidth="1"/>
    <col min="15895" max="15895" width="9.109375" style="212" customWidth="1"/>
    <col min="15896" max="15896" width="1.109375" style="212" customWidth="1"/>
    <col min="15897" max="15897" width="0.88671875" style="212" customWidth="1"/>
    <col min="15898" max="15898" width="9.5546875" style="212" bestFit="1" customWidth="1"/>
    <col min="15899" max="15900" width="0.88671875" style="212" customWidth="1"/>
    <col min="15901" max="15901" width="9.88671875" style="212" customWidth="1"/>
    <col min="15902" max="15902" width="1.109375" style="212" customWidth="1"/>
    <col min="15903" max="15903" width="8.5546875" style="212" customWidth="1"/>
    <col min="15904" max="15904" width="14.5546875" style="212" customWidth="1"/>
    <col min="15905" max="15905" width="10" style="212" customWidth="1"/>
    <col min="15906" max="15906" width="7.88671875" style="212" bestFit="1" customWidth="1"/>
    <col min="15907" max="15907" width="9.88671875" style="212" customWidth="1"/>
    <col min="15908" max="16124" width="8.88671875" style="212"/>
    <col min="16125" max="16125" width="38.44140625" style="212" customWidth="1"/>
    <col min="16126" max="16126" width="8.5546875" style="212" customWidth="1"/>
    <col min="16127" max="16127" width="1.109375" style="212" customWidth="1"/>
    <col min="16128" max="16128" width="8.88671875" style="212" customWidth="1"/>
    <col min="16129" max="16129" width="1.109375" style="212" customWidth="1"/>
    <col min="16130" max="16130" width="9.109375" style="212" customWidth="1"/>
    <col min="16131" max="16131" width="1.109375" style="212" customWidth="1"/>
    <col min="16132" max="16132" width="10" style="212" customWidth="1"/>
    <col min="16133" max="16133" width="1.109375" style="212" customWidth="1"/>
    <col min="16134" max="16134" width="9.109375" style="212" customWidth="1"/>
    <col min="16135" max="16135" width="1.109375" style="212" customWidth="1"/>
    <col min="16136" max="16136" width="11.109375" style="212" customWidth="1"/>
    <col min="16137" max="16137" width="1.109375" style="212" customWidth="1"/>
    <col min="16138" max="16138" width="9.109375" style="212" customWidth="1"/>
    <col min="16139" max="16139" width="1.88671875" style="212" customWidth="1"/>
    <col min="16140" max="16140" width="11" style="212" customWidth="1"/>
    <col min="16141" max="16141" width="1.109375" style="212" customWidth="1"/>
    <col min="16142" max="16142" width="10.88671875" style="212" customWidth="1"/>
    <col min="16143" max="16143" width="1.109375" style="212" customWidth="1"/>
    <col min="16144" max="16144" width="10" style="212" customWidth="1"/>
    <col min="16145" max="16145" width="1.109375" style="212" customWidth="1"/>
    <col min="16146" max="16146" width="9.109375" style="212" customWidth="1"/>
    <col min="16147" max="16147" width="1.109375" style="212" customWidth="1"/>
    <col min="16148" max="16148" width="7.88671875" style="212" customWidth="1"/>
    <col min="16149" max="16149" width="1.109375" style="212" customWidth="1"/>
    <col min="16150" max="16150" width="0.88671875" style="212" customWidth="1"/>
    <col min="16151" max="16151" width="9.109375" style="212" customWidth="1"/>
    <col min="16152" max="16152" width="1.109375" style="212" customWidth="1"/>
    <col min="16153" max="16153" width="0.88671875" style="212" customWidth="1"/>
    <col min="16154" max="16154" width="9.5546875" style="212" bestFit="1" customWidth="1"/>
    <col min="16155" max="16156" width="0.88671875" style="212" customWidth="1"/>
    <col min="16157" max="16157" width="9.88671875" style="212" customWidth="1"/>
    <col min="16158" max="16158" width="1.109375" style="212" customWidth="1"/>
    <col min="16159" max="16159" width="8.5546875" style="212" customWidth="1"/>
    <col min="16160" max="16160" width="14.5546875" style="212" customWidth="1"/>
    <col min="16161" max="16161" width="10" style="212" customWidth="1"/>
    <col min="16162" max="16162" width="7.88671875" style="212" bestFit="1" customWidth="1"/>
    <col min="16163" max="16163" width="9.88671875" style="212" customWidth="1"/>
    <col min="16164" max="16384" width="8.88671875" style="212"/>
  </cols>
  <sheetData>
    <row r="1" spans="1:36" ht="15">
      <c r="A1" s="489" t="s">
        <v>841</v>
      </c>
    </row>
    <row r="2" spans="1:36" ht="10.5" customHeight="1"/>
    <row r="3" spans="1:36" ht="18">
      <c r="A3" s="1482" t="s">
        <v>0</v>
      </c>
      <c r="AI3" s="1483" t="s">
        <v>1012</v>
      </c>
    </row>
    <row r="4" spans="1:36" ht="18">
      <c r="A4" s="213" t="s">
        <v>181</v>
      </c>
    </row>
    <row r="5" spans="1:36" ht="18">
      <c r="A5" s="213" t="s">
        <v>145</v>
      </c>
      <c r="AB5" s="2334"/>
      <c r="AC5" s="2335"/>
      <c r="AD5" s="2335"/>
      <c r="AE5" s="1484"/>
      <c r="AF5" s="1484"/>
      <c r="AG5" s="1484"/>
      <c r="AH5" s="1484"/>
      <c r="AI5" s="1484"/>
      <c r="AJ5" s="1485"/>
    </row>
    <row r="6" spans="1:36" ht="18">
      <c r="A6" s="1482" t="str">
        <f>'Cashflow Governmental'!A6</f>
        <v xml:space="preserve">FISCAL YEAR 2023-2024   </v>
      </c>
    </row>
    <row r="7" spans="1:36" ht="18">
      <c r="A7" s="213" t="s">
        <v>1199</v>
      </c>
    </row>
    <row r="8" spans="1:36" ht="15.75">
      <c r="AA8" s="2336" t="s">
        <v>1515</v>
      </c>
      <c r="AB8" s="2336"/>
      <c r="AC8" s="2336"/>
      <c r="AD8" s="2336"/>
      <c r="AE8" s="2336"/>
      <c r="AF8" s="2336"/>
      <c r="AG8" s="2336"/>
      <c r="AH8" s="2336"/>
      <c r="AI8" s="2336"/>
    </row>
    <row r="9" spans="1:36" ht="15.75">
      <c r="B9" s="1486" t="str">
        <f>'Cashflow Governmental'!C13</f>
        <v>2023</v>
      </c>
      <c r="C9" s="218"/>
      <c r="D9" s="218"/>
      <c r="E9" s="218"/>
      <c r="F9" s="1487"/>
      <c r="G9" s="218"/>
      <c r="H9" s="218"/>
      <c r="I9" s="218"/>
      <c r="J9" s="218"/>
      <c r="K9" s="218"/>
      <c r="L9" s="218"/>
      <c r="M9" s="218"/>
      <c r="N9" s="218"/>
      <c r="O9" s="218"/>
      <c r="P9" s="218"/>
      <c r="Q9" s="218"/>
      <c r="R9" s="218"/>
      <c r="S9" s="218"/>
      <c r="T9" s="1486">
        <f>'Cashflow Governmental'!U13</f>
        <v>2024</v>
      </c>
      <c r="U9" s="218"/>
      <c r="V9" s="218"/>
      <c r="W9" s="218"/>
      <c r="X9" s="1486"/>
      <c r="Y9" s="218"/>
      <c r="Z9" s="218"/>
      <c r="AA9" s="218"/>
      <c r="AB9" s="218"/>
      <c r="AC9" s="218"/>
      <c r="AD9" s="218"/>
      <c r="AE9" s="218"/>
      <c r="AF9" s="218"/>
      <c r="AG9" s="1488" t="s">
        <v>7</v>
      </c>
      <c r="AH9" s="1489"/>
      <c r="AI9" s="1490" t="s">
        <v>8</v>
      </c>
      <c r="AJ9" s="1485"/>
    </row>
    <row r="10" spans="1:36" ht="15.75">
      <c r="B10" s="1491" t="s">
        <v>122</v>
      </c>
      <c r="C10" s="218"/>
      <c r="D10" s="1491" t="s">
        <v>123</v>
      </c>
      <c r="E10" s="1486"/>
      <c r="F10" s="1492" t="s">
        <v>124</v>
      </c>
      <c r="G10" s="1486"/>
      <c r="H10" s="1491" t="s">
        <v>125</v>
      </c>
      <c r="I10" s="1486"/>
      <c r="J10" s="1491" t="s">
        <v>126</v>
      </c>
      <c r="K10" s="1486"/>
      <c r="L10" s="1493" t="s">
        <v>141</v>
      </c>
      <c r="M10" s="1486"/>
      <c r="N10" s="1491" t="s">
        <v>142</v>
      </c>
      <c r="O10" s="1486"/>
      <c r="P10" s="1491" t="s">
        <v>129</v>
      </c>
      <c r="Q10" s="1486"/>
      <c r="R10" s="1491" t="s">
        <v>130</v>
      </c>
      <c r="S10" s="218"/>
      <c r="T10" s="1491" t="s">
        <v>131</v>
      </c>
      <c r="U10" s="1486"/>
      <c r="V10" s="1491" t="s">
        <v>132</v>
      </c>
      <c r="W10" s="1486"/>
      <c r="X10" s="1491" t="s">
        <v>182</v>
      </c>
      <c r="Y10" s="1486"/>
      <c r="Z10" s="1486"/>
      <c r="AA10" s="1491">
        <f>'Cashflow Governmental'!AB14</f>
        <v>2023</v>
      </c>
      <c r="AB10" s="1486"/>
      <c r="AC10" s="1486"/>
      <c r="AD10" s="1491">
        <f>'Cashflow Governmental'!AE14</f>
        <v>2022</v>
      </c>
      <c r="AE10" s="1486"/>
      <c r="AF10" s="1486"/>
      <c r="AG10" s="1492" t="s">
        <v>11</v>
      </c>
      <c r="AH10" s="1489"/>
      <c r="AI10" s="1492" t="s">
        <v>12</v>
      </c>
      <c r="AJ10" s="1485"/>
    </row>
    <row r="11" spans="1:36" ht="3" customHeight="1">
      <c r="B11" s="216"/>
      <c r="C11" s="214"/>
      <c r="D11" s="216"/>
      <c r="E11" s="216"/>
      <c r="F11" s="1494"/>
      <c r="G11" s="216"/>
      <c r="H11" s="216"/>
      <c r="I11" s="216"/>
      <c r="J11" s="216"/>
      <c r="K11" s="216"/>
      <c r="L11" s="1495"/>
      <c r="M11" s="216"/>
      <c r="N11" s="216"/>
      <c r="O11" s="216"/>
      <c r="P11" s="216"/>
      <c r="Q11" s="216"/>
      <c r="R11" s="216"/>
      <c r="S11" s="214"/>
      <c r="T11" s="1496"/>
      <c r="U11" s="216"/>
      <c r="V11" s="216"/>
      <c r="W11" s="216"/>
      <c r="X11" s="216"/>
      <c r="Y11" s="216"/>
      <c r="Z11" s="216"/>
      <c r="AA11" s="216"/>
      <c r="AB11" s="216"/>
      <c r="AC11" s="216"/>
      <c r="AD11" s="216"/>
      <c r="AE11" s="216"/>
      <c r="AF11" s="1497"/>
      <c r="AG11" s="216"/>
      <c r="AH11" s="214"/>
      <c r="AI11" s="214"/>
    </row>
    <row r="12" spans="1:36" ht="15.75">
      <c r="A12" s="1498" t="s">
        <v>183</v>
      </c>
      <c r="B12" s="217">
        <v>159.4</v>
      </c>
      <c r="C12" s="217"/>
      <c r="D12" s="1499">
        <f>B77</f>
        <v>210.2</v>
      </c>
      <c r="E12" s="1499"/>
      <c r="F12" s="1499">
        <f t="shared" ref="F12:L12" si="0">D77</f>
        <v>191.2</v>
      </c>
      <c r="G12" s="217"/>
      <c r="H12" s="1499">
        <f t="shared" si="0"/>
        <v>256.10000000000002</v>
      </c>
      <c r="I12" s="217"/>
      <c r="J12" s="1499">
        <f t="shared" si="0"/>
        <v>484.2</v>
      </c>
      <c r="K12" s="217"/>
      <c r="L12" s="1499">
        <f t="shared" si="0"/>
        <v>1062.4000000000001</v>
      </c>
      <c r="M12" s="217"/>
      <c r="N12" s="1499"/>
      <c r="O12" s="217"/>
      <c r="P12" s="1499"/>
      <c r="Q12" s="1499"/>
      <c r="R12" s="1499"/>
      <c r="S12" s="1499"/>
      <c r="T12" s="1499"/>
      <c r="U12" s="1499"/>
      <c r="V12" s="1499"/>
      <c r="W12" s="1499"/>
      <c r="X12" s="1499"/>
      <c r="Y12" s="1500"/>
      <c r="Z12" s="217"/>
      <c r="AA12" s="217">
        <f>B12</f>
        <v>159.4</v>
      </c>
      <c r="AB12" s="1500"/>
      <c r="AC12" s="217"/>
      <c r="AD12" s="1859">
        <v>102</v>
      </c>
      <c r="AE12" s="1501"/>
      <c r="AF12" s="1502"/>
      <c r="AG12" s="217">
        <f>ROUND(SUM(AA12-AD12),1)</f>
        <v>57.4</v>
      </c>
      <c r="AH12" s="218"/>
      <c r="AI12" s="1503">
        <f>ROUND(SUM(AG12/AD12),3)</f>
        <v>0.56299999999999994</v>
      </c>
      <c r="AJ12" s="1485"/>
    </row>
    <row r="13" spans="1:36" ht="12.75" customHeight="1">
      <c r="A13" s="214"/>
      <c r="B13" s="214"/>
      <c r="C13" s="214"/>
      <c r="D13" s="214"/>
      <c r="E13" s="214"/>
      <c r="F13" s="215"/>
      <c r="G13" s="214"/>
      <c r="H13" s="214"/>
      <c r="I13" s="214"/>
      <c r="J13" s="214"/>
      <c r="K13" s="214"/>
      <c r="L13" s="214"/>
      <c r="M13" s="214"/>
      <c r="N13" s="214"/>
      <c r="O13" s="214"/>
      <c r="P13" s="214"/>
      <c r="Q13" s="214"/>
      <c r="R13" s="214"/>
      <c r="S13" s="214"/>
      <c r="T13" s="214"/>
      <c r="U13" s="214"/>
      <c r="V13" s="214"/>
      <c r="W13" s="214"/>
      <c r="X13" s="214"/>
      <c r="Y13" s="1504"/>
      <c r="Z13" s="214"/>
      <c r="AA13" s="215"/>
      <c r="AB13" s="1505"/>
      <c r="AC13" s="215"/>
      <c r="AD13" s="1003"/>
      <c r="AE13" s="216"/>
      <c r="AF13" s="219"/>
      <c r="AG13" s="215"/>
      <c r="AH13" s="214"/>
      <c r="AI13" s="214"/>
    </row>
    <row r="14" spans="1:36" ht="14.25" customHeight="1">
      <c r="A14" s="218" t="s">
        <v>13</v>
      </c>
      <c r="B14" s="214"/>
      <c r="C14" s="214"/>
      <c r="D14" s="214"/>
      <c r="E14" s="214"/>
      <c r="F14" s="215"/>
      <c r="G14" s="214"/>
      <c r="H14" s="214"/>
      <c r="I14" s="214"/>
      <c r="J14" s="214"/>
      <c r="K14" s="214"/>
      <c r="L14" s="214"/>
      <c r="M14" s="214"/>
      <c r="N14" s="214"/>
      <c r="O14" s="214"/>
      <c r="P14" s="214"/>
      <c r="Q14" s="214"/>
      <c r="R14" s="214"/>
      <c r="S14" s="214"/>
      <c r="T14" s="214"/>
      <c r="U14" s="214"/>
      <c r="V14" s="214"/>
      <c r="W14" s="214"/>
      <c r="X14" s="214"/>
      <c r="Y14" s="1504"/>
      <c r="Z14" s="214"/>
      <c r="AA14" s="215"/>
      <c r="AB14" s="1505"/>
      <c r="AC14" s="215"/>
      <c r="AD14" s="1003"/>
      <c r="AE14" s="216"/>
      <c r="AF14" s="219"/>
      <c r="AG14" s="215"/>
      <c r="AH14" s="214"/>
      <c r="AI14" s="214"/>
    </row>
    <row r="15" spans="1:36" ht="14.25" customHeight="1">
      <c r="A15" s="118" t="s">
        <v>947</v>
      </c>
      <c r="B15" s="152"/>
      <c r="C15" s="152"/>
      <c r="D15" s="152"/>
      <c r="E15" s="376"/>
      <c r="F15" s="152"/>
      <c r="G15" s="376"/>
      <c r="H15" s="214"/>
      <c r="I15" s="214"/>
      <c r="J15" s="214"/>
      <c r="K15" s="214"/>
      <c r="L15" s="214"/>
      <c r="M15" s="214"/>
      <c r="N15" s="214"/>
      <c r="O15" s="214"/>
      <c r="P15" s="214"/>
      <c r="Q15" s="214"/>
      <c r="R15" s="214"/>
      <c r="S15" s="214"/>
      <c r="T15" s="214"/>
      <c r="U15" s="214"/>
      <c r="V15" s="214"/>
      <c r="W15" s="214"/>
      <c r="X15" s="214"/>
      <c r="Y15" s="738"/>
      <c r="Z15" s="214"/>
      <c r="AA15" s="215"/>
      <c r="AB15" s="739"/>
      <c r="AC15" s="215"/>
      <c r="AD15" s="152"/>
      <c r="AE15" s="216"/>
      <c r="AF15" s="219"/>
      <c r="AG15" s="215"/>
      <c r="AH15" s="214"/>
      <c r="AI15" s="214"/>
    </row>
    <row r="16" spans="1:36" ht="14.25" customHeight="1">
      <c r="A16" s="737" t="s">
        <v>950</v>
      </c>
      <c r="B16" s="912">
        <v>3727.2</v>
      </c>
      <c r="C16" s="912"/>
      <c r="D16" s="912">
        <v>1044.3000000000002</v>
      </c>
      <c r="E16" s="912"/>
      <c r="F16" s="912">
        <v>2497.3000000000002</v>
      </c>
      <c r="G16" s="912"/>
      <c r="H16" s="912">
        <v>1712.9999999999991</v>
      </c>
      <c r="I16" s="1003"/>
      <c r="J16" s="912">
        <v>1850.1000000000004</v>
      </c>
      <c r="K16" s="1003"/>
      <c r="L16" s="912">
        <f>$AA16-$B16-$D16-$F16-$H16-$J16</f>
        <v>2158.6000000000004</v>
      </c>
      <c r="M16" s="1003"/>
      <c r="N16" s="912"/>
      <c r="O16" s="1003"/>
      <c r="P16" s="912"/>
      <c r="Q16" s="912"/>
      <c r="R16" s="912"/>
      <c r="S16" s="912"/>
      <c r="T16" s="912"/>
      <c r="U16" s="912"/>
      <c r="V16" s="912"/>
      <c r="W16" s="912"/>
      <c r="X16" s="912"/>
      <c r="Y16" s="738"/>
      <c r="Z16" s="214"/>
      <c r="AA16" s="912">
        <v>12990.5</v>
      </c>
      <c r="AB16" s="739"/>
      <c r="AC16" s="215"/>
      <c r="AD16" s="912">
        <v>16589.3</v>
      </c>
      <c r="AE16" s="216"/>
      <c r="AF16" s="219"/>
      <c r="AG16" s="220">
        <f>ROUND(SUM(AA16-AD16),1)</f>
        <v>-3598.8</v>
      </c>
      <c r="AH16" s="214"/>
      <c r="AI16" s="948">
        <f>ROUND(IF(AD16=0,0,AG16/ABS(AD16)),3)</f>
        <v>-0.217</v>
      </c>
    </row>
    <row r="17" spans="1:35" ht="6" customHeight="1">
      <c r="A17" s="737"/>
      <c r="B17" s="912"/>
      <c r="C17" s="947"/>
      <c r="D17" s="912"/>
      <c r="E17" s="947"/>
      <c r="F17" s="912"/>
      <c r="G17" s="499"/>
      <c r="H17" s="912"/>
      <c r="I17" s="214"/>
      <c r="J17" s="912"/>
      <c r="K17" s="214"/>
      <c r="L17" s="912"/>
      <c r="M17" s="214"/>
      <c r="N17" s="912"/>
      <c r="O17" s="214"/>
      <c r="P17" s="912"/>
      <c r="Q17" s="214"/>
      <c r="R17" s="912"/>
      <c r="S17" s="214"/>
      <c r="T17" s="912"/>
      <c r="U17" s="214"/>
      <c r="V17" s="912"/>
      <c r="W17" s="214"/>
      <c r="X17" s="912"/>
      <c r="Y17" s="924"/>
      <c r="Z17" s="214"/>
      <c r="AA17" s="912"/>
      <c r="AB17" s="1226"/>
      <c r="AC17" s="215"/>
      <c r="AD17" s="912"/>
      <c r="AE17" s="216"/>
      <c r="AF17" s="219"/>
      <c r="AG17" s="220"/>
      <c r="AH17" s="214"/>
      <c r="AI17" s="948"/>
    </row>
    <row r="18" spans="1:35" ht="14.25" customHeight="1">
      <c r="A18" s="737" t="s">
        <v>1006</v>
      </c>
      <c r="B18" s="42"/>
      <c r="C18" s="467"/>
      <c r="D18" s="912"/>
      <c r="E18" s="467"/>
      <c r="F18" s="912"/>
      <c r="G18" s="467"/>
      <c r="H18" s="42"/>
      <c r="I18" s="214"/>
      <c r="J18" s="912"/>
      <c r="K18" s="214"/>
      <c r="L18" s="912"/>
      <c r="M18" s="214"/>
      <c r="N18" s="912"/>
      <c r="O18" s="214"/>
      <c r="P18" s="912"/>
      <c r="Q18" s="214"/>
      <c r="R18" s="912"/>
      <c r="S18" s="214"/>
      <c r="T18" s="912"/>
      <c r="U18" s="214"/>
      <c r="V18" s="912"/>
      <c r="W18" s="214"/>
      <c r="X18" s="912"/>
      <c r="Y18" s="738"/>
      <c r="Z18" s="214"/>
      <c r="AA18" s="42"/>
      <c r="AB18" s="739"/>
      <c r="AC18" s="215"/>
      <c r="AD18" s="42"/>
      <c r="AE18" s="216"/>
      <c r="AF18" s="219"/>
      <c r="AG18" s="215"/>
      <c r="AH18" s="214"/>
      <c r="AI18" s="214"/>
    </row>
    <row r="19" spans="1:35" ht="14.25" customHeight="1">
      <c r="A19" s="489" t="s">
        <v>962</v>
      </c>
      <c r="B19" s="912">
        <v>677.8</v>
      </c>
      <c r="C19" s="947"/>
      <c r="D19" s="912">
        <v>687.10000000000014</v>
      </c>
      <c r="E19" s="947"/>
      <c r="F19" s="912">
        <v>919.5</v>
      </c>
      <c r="G19" s="467"/>
      <c r="H19" s="912">
        <v>739.39999999999986</v>
      </c>
      <c r="I19" s="1003"/>
      <c r="J19" s="912">
        <v>718.89999999999941</v>
      </c>
      <c r="K19" s="1003"/>
      <c r="L19" s="912">
        <f>$AA19-$B19-$D19-$F19-$H19-$J19</f>
        <v>917.19999999999982</v>
      </c>
      <c r="M19" s="1003"/>
      <c r="N19" s="912"/>
      <c r="O19" s="1003"/>
      <c r="P19" s="912"/>
      <c r="Q19" s="1003"/>
      <c r="R19" s="912"/>
      <c r="S19" s="1003"/>
      <c r="T19" s="912"/>
      <c r="U19" s="1003"/>
      <c r="V19" s="912"/>
      <c r="W19" s="1003"/>
      <c r="X19" s="912"/>
      <c r="Y19" s="738"/>
      <c r="Z19" s="214"/>
      <c r="AA19" s="912">
        <v>4659.8999999999996</v>
      </c>
      <c r="AB19" s="739"/>
      <c r="AC19" s="215"/>
      <c r="AD19" s="912">
        <v>6594.7</v>
      </c>
      <c r="AE19" s="216"/>
      <c r="AF19" s="219"/>
      <c r="AG19" s="220">
        <f>ROUND(SUM(AA19-AD19),1)</f>
        <v>-1934.8</v>
      </c>
      <c r="AH19" s="214"/>
      <c r="AI19" s="948">
        <f>ROUND(IF(AD19=0,0,AG19/ABS(AD19)),3)</f>
        <v>-0.29299999999999998</v>
      </c>
    </row>
    <row r="20" spans="1:35" ht="14.25" customHeight="1">
      <c r="A20" s="218" t="s">
        <v>961</v>
      </c>
      <c r="B20" s="179">
        <f>ROUND(SUM(B19:B19),1)</f>
        <v>677.8</v>
      </c>
      <c r="C20" s="42"/>
      <c r="D20" s="179">
        <f>ROUND(SUM(D19:D19),1)</f>
        <v>687.1</v>
      </c>
      <c r="E20" s="42"/>
      <c r="F20" s="179">
        <f>ROUND(SUM(F19:F19),1)</f>
        <v>919.5</v>
      </c>
      <c r="G20" s="42"/>
      <c r="H20" s="179">
        <f>ROUND(SUM(H19:H19),1)</f>
        <v>739.4</v>
      </c>
      <c r="I20" s="214"/>
      <c r="J20" s="179">
        <f>ROUND(SUM(J19:J19),1)</f>
        <v>718.9</v>
      </c>
      <c r="K20" s="214"/>
      <c r="L20" s="179">
        <f>ROUND(SUM(L19:L19),1)</f>
        <v>917.2</v>
      </c>
      <c r="M20" s="214"/>
      <c r="N20" s="179">
        <f>ROUND(SUM(N19:N19),1)</f>
        <v>0</v>
      </c>
      <c r="O20" s="214"/>
      <c r="P20" s="179">
        <f>ROUND(SUM(P19:P19),1)</f>
        <v>0</v>
      </c>
      <c r="Q20" s="42"/>
      <c r="R20" s="179">
        <f t="shared" ref="R20" si="1">ROUND(SUM(R19:R19),1)</f>
        <v>0</v>
      </c>
      <c r="S20" s="214"/>
      <c r="T20" s="179">
        <f>ROUND(SUM(T19:T19),1)</f>
        <v>0</v>
      </c>
      <c r="U20" s="214"/>
      <c r="V20" s="179">
        <f>ROUND(SUM(V19:V19),1)</f>
        <v>0</v>
      </c>
      <c r="W20" s="214"/>
      <c r="X20" s="179">
        <f>ROUND(SUM(X19:X19),1)</f>
        <v>0</v>
      </c>
      <c r="Y20" s="738"/>
      <c r="Z20" s="214"/>
      <c r="AA20" s="179">
        <f>ROUND(SUM(AA19:AA19),1)</f>
        <v>4659.8999999999996</v>
      </c>
      <c r="AB20" s="739"/>
      <c r="AC20" s="215"/>
      <c r="AD20" s="179">
        <f>ROUND(SUM(AD19:AD19),1)</f>
        <v>6594.7</v>
      </c>
      <c r="AE20" s="216"/>
      <c r="AF20" s="219"/>
      <c r="AG20" s="761">
        <f>ROUND(SUM(AA20-AD20),1)</f>
        <v>-1934.8</v>
      </c>
      <c r="AH20" s="218"/>
      <c r="AI20" s="955">
        <f>ROUND(IF(AD20=0,0,AG20/ABS(AD20)),3)</f>
        <v>-0.29299999999999998</v>
      </c>
    </row>
    <row r="21" spans="1:35" ht="14.25" customHeight="1">
      <c r="A21" s="737" t="s">
        <v>1007</v>
      </c>
      <c r="B21" s="42"/>
      <c r="C21" s="42"/>
      <c r="D21" s="42"/>
      <c r="E21" s="42"/>
      <c r="F21" s="42"/>
      <c r="G21" s="42"/>
      <c r="H21" s="42"/>
      <c r="I21" s="214"/>
      <c r="J21" s="42"/>
      <c r="K21" s="214"/>
      <c r="L21" s="42"/>
      <c r="M21" s="214"/>
      <c r="N21" s="42"/>
      <c r="O21" s="214"/>
      <c r="P21" s="42"/>
      <c r="Q21" s="214"/>
      <c r="R21" s="42"/>
      <c r="S21" s="214"/>
      <c r="T21" s="42"/>
      <c r="U21" s="214"/>
      <c r="V21" s="42"/>
      <c r="W21" s="214"/>
      <c r="X21" s="42"/>
      <c r="Y21" s="2094"/>
      <c r="Z21" s="214"/>
      <c r="AA21" s="42"/>
      <c r="AB21" s="2095"/>
      <c r="AC21" s="215"/>
      <c r="AD21" s="42"/>
      <c r="AE21" s="216"/>
      <c r="AF21" s="219"/>
      <c r="AG21" s="741"/>
      <c r="AH21" s="218"/>
      <c r="AI21" s="486"/>
    </row>
    <row r="22" spans="1:35" ht="14.25" customHeight="1">
      <c r="A22" s="489" t="s">
        <v>1396</v>
      </c>
      <c r="B22" s="912">
        <v>49.4</v>
      </c>
      <c r="C22" s="467"/>
      <c r="D22" s="912">
        <v>65.699999999999989</v>
      </c>
      <c r="E22" s="467"/>
      <c r="F22" s="912">
        <v>1269.0999999999999</v>
      </c>
      <c r="G22" s="467"/>
      <c r="H22" s="912">
        <v>18.5</v>
      </c>
      <c r="I22" s="1517"/>
      <c r="J22" s="912">
        <v>68.399999999999864</v>
      </c>
      <c r="K22" s="1517"/>
      <c r="L22" s="912">
        <f>$AA22-$B22-$D22-$F22-$H22-$J22</f>
        <v>1486.6000000000001</v>
      </c>
      <c r="M22" s="1517"/>
      <c r="N22" s="912"/>
      <c r="O22" s="1517"/>
      <c r="P22" s="912"/>
      <c r="Q22" s="1517"/>
      <c r="R22" s="912"/>
      <c r="S22" s="1517"/>
      <c r="T22" s="912"/>
      <c r="U22" s="1517"/>
      <c r="V22" s="912"/>
      <c r="W22" s="1517"/>
      <c r="X22" s="912"/>
      <c r="Y22" s="2096"/>
      <c r="Z22" s="1517"/>
      <c r="AA22" s="912">
        <v>2957.7</v>
      </c>
      <c r="AB22" s="739"/>
      <c r="AC22" s="215"/>
      <c r="AD22" s="912">
        <v>3156.6</v>
      </c>
      <c r="AE22" s="1912"/>
      <c r="AF22" s="1913"/>
      <c r="AG22" s="220">
        <f>ROUND(SUM(AA22-AD22),1)</f>
        <v>-198.9</v>
      </c>
      <c r="AH22" s="214"/>
      <c r="AI22" s="948">
        <f>ROUND(IF(AD22=0,1,AG22/ABS(AD22)),3)</f>
        <v>-6.3E-2</v>
      </c>
    </row>
    <row r="23" spans="1:35" ht="14.25" customHeight="1">
      <c r="A23" s="218" t="s">
        <v>968</v>
      </c>
      <c r="B23" s="1244">
        <f>ROUND(SUM(B22),1)</f>
        <v>49.4</v>
      </c>
      <c r="C23" s="42"/>
      <c r="D23" s="1244">
        <f>ROUND(SUM(D22),1)</f>
        <v>65.7</v>
      </c>
      <c r="E23" s="42"/>
      <c r="F23" s="1244">
        <f>ROUND(SUM(F22),1)</f>
        <v>1269.0999999999999</v>
      </c>
      <c r="G23" s="42"/>
      <c r="H23" s="1244">
        <f>ROUND(SUM(H22),1)</f>
        <v>18.5</v>
      </c>
      <c r="I23" s="214"/>
      <c r="J23" s="1244">
        <f>ROUND(SUM(J22),1)</f>
        <v>68.400000000000006</v>
      </c>
      <c r="K23" s="214"/>
      <c r="L23" s="1244">
        <f>ROUND(SUM(L22),1)</f>
        <v>1486.6</v>
      </c>
      <c r="M23" s="214"/>
      <c r="N23" s="1244">
        <f>ROUND(SUM(N22),1)</f>
        <v>0</v>
      </c>
      <c r="O23" s="214"/>
      <c r="P23" s="1244">
        <f>ROUND(SUM(P22),1)</f>
        <v>0</v>
      </c>
      <c r="Q23" s="42"/>
      <c r="R23" s="1244">
        <f t="shared" ref="R23" si="2">ROUND(SUM(R22),1)</f>
        <v>0</v>
      </c>
      <c r="S23" s="214"/>
      <c r="T23" s="1244">
        <f>ROUND(SUM(T22),1)</f>
        <v>0</v>
      </c>
      <c r="U23" s="214"/>
      <c r="V23" s="1244">
        <f>ROUND(SUM(V22),1)</f>
        <v>0</v>
      </c>
      <c r="W23" s="214"/>
      <c r="X23" s="1244">
        <f>ROUND(SUM(X22),1)</f>
        <v>0</v>
      </c>
      <c r="Y23" s="2094"/>
      <c r="Z23" s="214"/>
      <c r="AA23" s="1244">
        <f>ROUND(SUM(AA22),1)</f>
        <v>2957.7</v>
      </c>
      <c r="AB23" s="2095"/>
      <c r="AC23" s="215"/>
      <c r="AD23" s="1244">
        <f>ROUND(SUM(AD22),1)</f>
        <v>3156.6</v>
      </c>
      <c r="AE23" s="216"/>
      <c r="AF23" s="219"/>
      <c r="AG23" s="761">
        <f>ROUND(SUM(AA23-AD23),1)</f>
        <v>-198.9</v>
      </c>
      <c r="AH23" s="218"/>
      <c r="AI23" s="955">
        <f>ROUND(IF(AD23=0,1,AG23/ABS(AD23)),3)</f>
        <v>-6.3E-2</v>
      </c>
    </row>
    <row r="24" spans="1:35" ht="14.25" customHeight="1">
      <c r="A24" s="737" t="s">
        <v>1008</v>
      </c>
      <c r="B24" s="42"/>
      <c r="C24" s="42"/>
      <c r="D24" s="42"/>
      <c r="E24" s="42"/>
      <c r="F24" s="42"/>
      <c r="G24" s="42"/>
      <c r="H24" s="42"/>
      <c r="I24" s="214"/>
      <c r="J24" s="42"/>
      <c r="K24" s="214"/>
      <c r="L24" s="42"/>
      <c r="M24" s="214"/>
      <c r="N24" s="42"/>
      <c r="O24" s="214"/>
      <c r="P24" s="42"/>
      <c r="Q24" s="214"/>
      <c r="R24" s="42"/>
      <c r="S24" s="214"/>
      <c r="T24" s="42"/>
      <c r="U24" s="214"/>
      <c r="V24" s="42"/>
      <c r="W24" s="214"/>
      <c r="X24" s="42"/>
      <c r="Y24" s="738"/>
      <c r="Z24" s="214"/>
      <c r="AA24" s="42"/>
      <c r="AB24" s="739"/>
      <c r="AC24" s="215"/>
      <c r="AD24" s="42"/>
      <c r="AE24" s="216"/>
      <c r="AF24" s="219"/>
      <c r="AG24" s="215"/>
      <c r="AH24" s="214"/>
      <c r="AI24" s="214"/>
    </row>
    <row r="25" spans="1:35" ht="14.25" customHeight="1">
      <c r="A25" s="489" t="s">
        <v>979</v>
      </c>
      <c r="B25" s="912">
        <v>83.4</v>
      </c>
      <c r="C25" s="947"/>
      <c r="D25" s="912">
        <v>86.1</v>
      </c>
      <c r="E25" s="947"/>
      <c r="F25" s="912">
        <v>83.300000000000011</v>
      </c>
      <c r="G25" s="42"/>
      <c r="H25" s="912">
        <v>76.199999999999989</v>
      </c>
      <c r="I25" s="1003"/>
      <c r="J25" s="912">
        <v>88.9</v>
      </c>
      <c r="K25" s="1003"/>
      <c r="L25" s="912">
        <f>$AA25-$B25-$D25-$F25-$H25-$J25</f>
        <v>90.1</v>
      </c>
      <c r="M25" s="1003"/>
      <c r="N25" s="912"/>
      <c r="O25" s="1003"/>
      <c r="P25" s="912"/>
      <c r="Q25" s="1003"/>
      <c r="R25" s="912"/>
      <c r="S25" s="1003"/>
      <c r="T25" s="912"/>
      <c r="U25" s="1003"/>
      <c r="V25" s="912"/>
      <c r="W25" s="1003"/>
      <c r="X25" s="912"/>
      <c r="Y25" s="738"/>
      <c r="Z25" s="214"/>
      <c r="AA25" s="912">
        <v>508</v>
      </c>
      <c r="AB25" s="739"/>
      <c r="AC25" s="215"/>
      <c r="AD25" s="912">
        <v>771</v>
      </c>
      <c r="AE25" s="216"/>
      <c r="AF25" s="219"/>
      <c r="AG25" s="220">
        <f>ROUND(SUM(AA25-AD25),1)</f>
        <v>-263</v>
      </c>
      <c r="AH25" s="214"/>
      <c r="AI25" s="948">
        <f>ROUND(IF(AD25=0,0,AG25/ABS(AD25)),3)</f>
        <v>-0.34100000000000003</v>
      </c>
    </row>
    <row r="26" spans="1:35" ht="14.25" customHeight="1">
      <c r="A26" s="752" t="s">
        <v>1206</v>
      </c>
      <c r="B26" s="912">
        <v>0.2</v>
      </c>
      <c r="C26" s="467"/>
      <c r="D26" s="912">
        <v>0.2</v>
      </c>
      <c r="E26" s="467"/>
      <c r="F26" s="912">
        <v>9.9999999999999978E-2</v>
      </c>
      <c r="G26" s="467"/>
      <c r="H26" s="912">
        <v>0.3000000000000001</v>
      </c>
      <c r="I26" s="1517"/>
      <c r="J26" s="912">
        <v>0.3000000000000001</v>
      </c>
      <c r="K26" s="1517"/>
      <c r="L26" s="912">
        <f>$AA26-$B26-$D26-$F26-$H26-$J26</f>
        <v>0.1999999999999999</v>
      </c>
      <c r="M26" s="1517"/>
      <c r="N26" s="912"/>
      <c r="O26" s="1517"/>
      <c r="P26" s="912"/>
      <c r="Q26" s="1517"/>
      <c r="R26" s="912"/>
      <c r="S26" s="1517"/>
      <c r="T26" s="912"/>
      <c r="U26" s="1517"/>
      <c r="V26" s="912"/>
      <c r="W26" s="1517"/>
      <c r="X26" s="912"/>
      <c r="Y26" s="1909"/>
      <c r="Z26" s="1517"/>
      <c r="AA26" s="912">
        <v>1.3</v>
      </c>
      <c r="AB26" s="1910"/>
      <c r="AC26" s="1911"/>
      <c r="AD26" s="912">
        <v>1</v>
      </c>
      <c r="AE26" s="1912"/>
      <c r="AF26" s="1913"/>
      <c r="AG26" s="220">
        <f>ROUND(SUM(AA26-AD26),1)</f>
        <v>0.3</v>
      </c>
      <c r="AH26" s="214"/>
      <c r="AI26" s="948">
        <f>ROUND(IF(AD26=0,1,AG26/ABS(AD26)),3)</f>
        <v>0.3</v>
      </c>
    </row>
    <row r="27" spans="1:35" ht="14.25" customHeight="1">
      <c r="A27" s="218" t="s">
        <v>974</v>
      </c>
      <c r="B27" s="1227">
        <f>ROUND(SUM(B25:B26),1)</f>
        <v>83.6</v>
      </c>
      <c r="C27" s="42"/>
      <c r="D27" s="1244">
        <f>ROUND(SUM(D25:D26),1)</f>
        <v>86.3</v>
      </c>
      <c r="E27" s="42"/>
      <c r="F27" s="179">
        <f>ROUND(SUM(F25:F26),1)</f>
        <v>83.4</v>
      </c>
      <c r="G27" s="42"/>
      <c r="H27" s="179">
        <f>ROUND(SUM(H25:H26),1)</f>
        <v>76.5</v>
      </c>
      <c r="I27" s="214"/>
      <c r="J27" s="179">
        <f>ROUND(SUM(J25:J26),1)</f>
        <v>89.2</v>
      </c>
      <c r="K27" s="214"/>
      <c r="L27" s="179">
        <f>ROUND(SUM(L25:L26),1)</f>
        <v>90.3</v>
      </c>
      <c r="M27" s="214"/>
      <c r="N27" s="179">
        <f>ROUND(SUM(N25:N26),1)</f>
        <v>0</v>
      </c>
      <c r="O27" s="214"/>
      <c r="P27" s="179">
        <f>ROUND(SUM(P25:P26),1)</f>
        <v>0</v>
      </c>
      <c r="Q27" s="42"/>
      <c r="R27" s="179">
        <f t="shared" ref="R27" si="3">ROUND(SUM(R25:R26),1)</f>
        <v>0</v>
      </c>
      <c r="S27" s="214"/>
      <c r="T27" s="179">
        <f>ROUND(SUM(T25:T26),1)</f>
        <v>0</v>
      </c>
      <c r="U27" s="214"/>
      <c r="V27" s="179">
        <f>ROUND(SUM(V25:V26),1)</f>
        <v>0</v>
      </c>
      <c r="W27" s="214"/>
      <c r="X27" s="179">
        <f>ROUND(SUM(X25:X26),1)</f>
        <v>0</v>
      </c>
      <c r="Y27" s="738"/>
      <c r="Z27" s="214"/>
      <c r="AA27" s="179">
        <f>SUM(AA25:AA26)</f>
        <v>509.3</v>
      </c>
      <c r="AB27" s="739"/>
      <c r="AC27" s="215"/>
      <c r="AD27" s="179">
        <f>SUM(AD25:AD26)</f>
        <v>772</v>
      </c>
      <c r="AE27" s="216"/>
      <c r="AF27" s="219"/>
      <c r="AG27" s="1506">
        <f>ROUND(SUM(AA27-AD27),1)</f>
        <v>-262.7</v>
      </c>
      <c r="AH27" s="218"/>
      <c r="AI27" s="961">
        <f>ROUND(IF(AD27=0,0,AG27/ABS(AD27)),3)</f>
        <v>-0.34</v>
      </c>
    </row>
    <row r="28" spans="1:35" ht="14.25" customHeight="1">
      <c r="A28" s="218"/>
      <c r="B28" s="1227"/>
      <c r="C28" s="42"/>
      <c r="D28" s="42"/>
      <c r="E28" s="42"/>
      <c r="F28" s="42"/>
      <c r="G28" s="42"/>
      <c r="H28" s="42"/>
      <c r="I28" s="214"/>
      <c r="J28" s="42"/>
      <c r="K28" s="214"/>
      <c r="L28" s="42"/>
      <c r="M28" s="214"/>
      <c r="N28" s="42"/>
      <c r="O28" s="214"/>
      <c r="P28" s="42"/>
      <c r="Q28" s="214"/>
      <c r="R28" s="42"/>
      <c r="S28" s="214"/>
      <c r="T28" s="42"/>
      <c r="U28" s="214"/>
      <c r="V28" s="42"/>
      <c r="W28" s="214"/>
      <c r="X28" s="42"/>
      <c r="Y28" s="738"/>
      <c r="Z28" s="214"/>
      <c r="AA28" s="1227"/>
      <c r="AB28" s="739"/>
      <c r="AC28" s="215"/>
      <c r="AD28" s="1227"/>
      <c r="AE28" s="216"/>
      <c r="AF28" s="219"/>
      <c r="AG28" s="215"/>
      <c r="AH28" s="214"/>
      <c r="AI28" s="214"/>
    </row>
    <row r="29" spans="1:35" ht="14.25" customHeight="1">
      <c r="A29" s="218" t="s">
        <v>975</v>
      </c>
      <c r="B29" s="1445">
        <f>ROUND(SUM(B16+B20+B23+B27),1)</f>
        <v>4538</v>
      </c>
      <c r="C29" s="467"/>
      <c r="D29" s="1445">
        <f>ROUND(SUM(D16+D20+D23+D27),1)</f>
        <v>1883.4</v>
      </c>
      <c r="E29" s="467"/>
      <c r="F29" s="1445">
        <f>ROUND(SUM(F16+F20+F23+F27),1)</f>
        <v>4769.3</v>
      </c>
      <c r="G29" s="467"/>
      <c r="H29" s="1445">
        <f>ROUND(SUM(H16+H20+H23+H27),1)</f>
        <v>2547.4</v>
      </c>
      <c r="I29" s="214"/>
      <c r="J29" s="1228">
        <f>ROUND(SUM(J16+J20+J23+J27),1)</f>
        <v>2726.6</v>
      </c>
      <c r="K29" s="214"/>
      <c r="L29" s="1228">
        <f>ROUND(SUM(L16+L20+L23+L27),1)</f>
        <v>4652.7</v>
      </c>
      <c r="M29" s="214"/>
      <c r="N29" s="1228">
        <f>ROUND(SUM(N16+N20+N23+N27),1)</f>
        <v>0</v>
      </c>
      <c r="O29" s="214"/>
      <c r="P29" s="1228">
        <f>ROUND(SUM(P16+P20+P23+P27),1)</f>
        <v>0</v>
      </c>
      <c r="Q29" s="1240"/>
      <c r="R29" s="1228">
        <f>ROUND(SUM(R16+R20+R23+R27),1)</f>
        <v>0</v>
      </c>
      <c r="S29" s="214"/>
      <c r="T29" s="1228">
        <f>ROUND(SUM(T16+T20+T23+T27),1)</f>
        <v>0</v>
      </c>
      <c r="U29" s="214"/>
      <c r="V29" s="1228">
        <f>ROUND(SUM(V16+V20+V23+V27),1)</f>
        <v>0</v>
      </c>
      <c r="W29" s="214"/>
      <c r="X29" s="1228">
        <f>ROUND(SUM(X16+X20+X23+X27),1)</f>
        <v>0</v>
      </c>
      <c r="Y29" s="738"/>
      <c r="Z29" s="214"/>
      <c r="AA29" s="1228">
        <f>ROUND(SUM(AA16+AA20+AA23+AA27),1)</f>
        <v>21117.4</v>
      </c>
      <c r="AB29" s="739"/>
      <c r="AC29" s="215"/>
      <c r="AD29" s="1228">
        <f>ROUND(SUM(AD16+AD20+AD23+AD27),1)</f>
        <v>27112.6</v>
      </c>
      <c r="AE29" s="216"/>
      <c r="AF29" s="219"/>
      <c r="AG29" s="1228">
        <f>ROUND(SUM(AG16+AG20+AG23+AG27),1)</f>
        <v>-5995.2</v>
      </c>
      <c r="AH29" s="218"/>
      <c r="AI29" s="962">
        <f>ROUND(IF(AD29=0,0,AG29/ABS(AD29)),3)</f>
        <v>-0.221</v>
      </c>
    </row>
    <row r="30" spans="1:35" ht="14.25" customHeight="1">
      <c r="A30" s="118"/>
      <c r="B30" s="467"/>
      <c r="C30" s="467"/>
      <c r="D30" s="467"/>
      <c r="E30" s="467"/>
      <c r="F30" s="467"/>
      <c r="G30" s="467"/>
      <c r="H30" s="467"/>
      <c r="I30" s="214"/>
      <c r="J30" s="36"/>
      <c r="K30" s="214"/>
      <c r="L30" s="36"/>
      <c r="M30" s="214"/>
      <c r="N30" s="36"/>
      <c r="O30" s="214"/>
      <c r="P30" s="36"/>
      <c r="Q30" s="214"/>
      <c r="R30" s="36"/>
      <c r="S30" s="214"/>
      <c r="T30" s="36"/>
      <c r="U30" s="214"/>
      <c r="V30" s="36"/>
      <c r="W30" s="214"/>
      <c r="X30" s="36"/>
      <c r="Y30" s="738"/>
      <c r="Z30" s="214"/>
      <c r="AA30" s="467"/>
      <c r="AB30" s="739"/>
      <c r="AC30" s="215"/>
      <c r="AD30" s="467"/>
      <c r="AE30" s="216"/>
      <c r="AF30" s="219"/>
      <c r="AG30" s="215"/>
      <c r="AH30" s="214"/>
      <c r="AI30" s="214"/>
    </row>
    <row r="31" spans="1:35" ht="14.25" customHeight="1">
      <c r="A31" s="118" t="s">
        <v>886</v>
      </c>
      <c r="B31" s="1229"/>
      <c r="C31" s="1004"/>
      <c r="D31" s="1004"/>
      <c r="E31" s="1004"/>
      <c r="F31" s="1004"/>
      <c r="G31" s="1004"/>
      <c r="H31" s="1004"/>
      <c r="I31" s="220"/>
      <c r="J31" s="220"/>
      <c r="K31" s="220"/>
      <c r="L31" s="220"/>
      <c r="M31" s="220"/>
      <c r="N31" s="220"/>
      <c r="O31" s="220"/>
      <c r="P31" s="220"/>
      <c r="Q31" s="220"/>
      <c r="R31" s="220"/>
      <c r="S31" s="220"/>
      <c r="T31" s="220"/>
      <c r="U31" s="220"/>
      <c r="V31" s="220"/>
      <c r="W31" s="220"/>
      <c r="X31" s="220"/>
      <c r="Y31" s="1230"/>
      <c r="Z31" s="220"/>
      <c r="AA31" s="1229"/>
      <c r="AB31" s="1230"/>
      <c r="AC31" s="220"/>
      <c r="AD31" s="1229"/>
      <c r="AE31" s="1507"/>
      <c r="AF31" s="1508"/>
      <c r="AG31" s="220"/>
      <c r="AH31" s="214"/>
      <c r="AI31" s="963"/>
    </row>
    <row r="32" spans="1:35" ht="14.25" customHeight="1">
      <c r="A32" s="594" t="s">
        <v>1001</v>
      </c>
      <c r="B32" s="1229"/>
      <c r="C32" s="1004"/>
      <c r="D32" s="1004"/>
      <c r="E32" s="1004"/>
      <c r="F32" s="1004"/>
      <c r="G32" s="1004"/>
      <c r="H32" s="1004"/>
      <c r="I32" s="220"/>
      <c r="J32" s="220"/>
      <c r="K32" s="220"/>
      <c r="L32" s="220"/>
      <c r="M32" s="220"/>
      <c r="N32" s="220"/>
      <c r="O32" s="220"/>
      <c r="P32" s="220"/>
      <c r="Q32" s="220"/>
      <c r="R32" s="220"/>
      <c r="S32" s="220"/>
      <c r="T32" s="220"/>
      <c r="U32" s="220"/>
      <c r="V32" s="220"/>
      <c r="W32" s="220"/>
      <c r="X32" s="220"/>
      <c r="Y32" s="1231"/>
      <c r="Z32" s="220"/>
      <c r="AA32" s="1229"/>
      <c r="AB32" s="1231"/>
      <c r="AC32" s="220"/>
      <c r="AD32" s="1229"/>
      <c r="AE32" s="1507"/>
      <c r="AF32" s="1508"/>
      <c r="AG32" s="220"/>
      <c r="AH32" s="214"/>
      <c r="AI32" s="963"/>
    </row>
    <row r="33" spans="1:35" ht="14.25" customHeight="1">
      <c r="A33" s="594" t="s">
        <v>890</v>
      </c>
      <c r="B33" s="912">
        <v>0</v>
      </c>
      <c r="C33" s="1004"/>
      <c r="D33" s="912">
        <v>0</v>
      </c>
      <c r="E33" s="1004"/>
      <c r="F33" s="912">
        <v>0</v>
      </c>
      <c r="G33" s="1004"/>
      <c r="H33" s="912">
        <v>0</v>
      </c>
      <c r="I33" s="1003"/>
      <c r="J33" s="912">
        <v>0</v>
      </c>
      <c r="K33" s="1003"/>
      <c r="L33" s="912">
        <f>$AA33-$B33-$D33-$F33-$H33-$J33</f>
        <v>0</v>
      </c>
      <c r="M33" s="1003"/>
      <c r="N33" s="912"/>
      <c r="O33" s="1003"/>
      <c r="P33" s="912"/>
      <c r="Q33" s="1003"/>
      <c r="R33" s="912"/>
      <c r="S33" s="1003"/>
      <c r="T33" s="912"/>
      <c r="U33" s="1003"/>
      <c r="V33" s="912"/>
      <c r="W33" s="1003"/>
      <c r="X33" s="912"/>
      <c r="Y33" s="738"/>
      <c r="Z33" s="214"/>
      <c r="AA33" s="912">
        <v>0</v>
      </c>
      <c r="AB33" s="739"/>
      <c r="AC33" s="215"/>
      <c r="AD33" s="912">
        <v>0</v>
      </c>
      <c r="AE33" s="1507"/>
      <c r="AF33" s="1508"/>
      <c r="AG33" s="220">
        <f>ROUND(SUM(AA33-AD33),1)</f>
        <v>0</v>
      </c>
      <c r="AH33" s="214"/>
      <c r="AI33" s="948">
        <f>ROUND(IF(AD33=0,0,AG33/ABS(AD33)),3)</f>
        <v>0</v>
      </c>
    </row>
    <row r="34" spans="1:35" ht="14.25" customHeight="1">
      <c r="A34" s="594" t="s">
        <v>1005</v>
      </c>
      <c r="B34" s="912" t="s">
        <v>14</v>
      </c>
      <c r="C34" s="1004"/>
      <c r="D34" s="912"/>
      <c r="E34" s="1004"/>
      <c r="F34" s="912"/>
      <c r="G34" s="1004"/>
      <c r="H34" s="912"/>
      <c r="I34" s="1003"/>
      <c r="J34" s="912"/>
      <c r="K34" s="1003"/>
      <c r="L34" s="912"/>
      <c r="M34" s="1003"/>
      <c r="N34" s="912"/>
      <c r="O34" s="1003"/>
      <c r="P34" s="912"/>
      <c r="Q34" s="1003"/>
      <c r="R34" s="912"/>
      <c r="S34" s="1003"/>
      <c r="T34" s="912"/>
      <c r="U34" s="1003"/>
      <c r="V34" s="912"/>
      <c r="W34" s="1003"/>
      <c r="X34" s="912"/>
      <c r="Y34" s="738"/>
      <c r="Z34" s="214"/>
      <c r="AA34" s="912"/>
      <c r="AB34" s="739"/>
      <c r="AC34" s="215"/>
      <c r="AD34" s="912"/>
      <c r="AE34" s="1507"/>
      <c r="AF34" s="1508"/>
      <c r="AG34" s="220"/>
      <c r="AH34" s="214"/>
      <c r="AI34" s="963"/>
    </row>
    <row r="35" spans="1:35" ht="14.25" customHeight="1">
      <c r="A35" s="594" t="s">
        <v>893</v>
      </c>
      <c r="B35" s="912">
        <v>0</v>
      </c>
      <c r="C35" s="1004"/>
      <c r="D35" s="912">
        <v>0</v>
      </c>
      <c r="E35" s="1004"/>
      <c r="F35" s="912">
        <v>0</v>
      </c>
      <c r="G35" s="1004"/>
      <c r="H35" s="912">
        <v>0</v>
      </c>
      <c r="I35" s="1003"/>
      <c r="J35" s="912">
        <v>0</v>
      </c>
      <c r="K35" s="1003"/>
      <c r="L35" s="912">
        <f t="shared" ref="L35:L49" si="4">$AA35-$B35-$D35-$F35-$H35-$J35</f>
        <v>0</v>
      </c>
      <c r="M35" s="1003"/>
      <c r="N35" s="912"/>
      <c r="O35" s="1003"/>
      <c r="P35" s="912"/>
      <c r="Q35" s="1003"/>
      <c r="R35" s="912"/>
      <c r="S35" s="1003"/>
      <c r="T35" s="912"/>
      <c r="U35" s="1003"/>
      <c r="V35" s="912"/>
      <c r="W35" s="1003"/>
      <c r="X35" s="912"/>
      <c r="Y35" s="738"/>
      <c r="Z35" s="214"/>
      <c r="AA35" s="912">
        <v>0</v>
      </c>
      <c r="AB35" s="739"/>
      <c r="AC35" s="215"/>
      <c r="AD35" s="912">
        <v>0</v>
      </c>
      <c r="AE35" s="1507"/>
      <c r="AF35" s="1508"/>
      <c r="AG35" s="220">
        <f t="shared" ref="AG35:AG45" si="5">ROUND(SUM(AA35-AD35),1)</f>
        <v>0</v>
      </c>
      <c r="AH35" s="214"/>
      <c r="AI35" s="948">
        <f t="shared" ref="AI35:AI45" si="6">ROUND(IF(AD35=0,0,AG35/ABS(AD35)),3)</f>
        <v>0</v>
      </c>
    </row>
    <row r="36" spans="1:35" ht="14.25" customHeight="1">
      <c r="A36" s="594" t="s">
        <v>894</v>
      </c>
      <c r="B36" s="912">
        <v>0</v>
      </c>
      <c r="C36" s="1004"/>
      <c r="D36" s="912">
        <v>0</v>
      </c>
      <c r="E36" s="1004"/>
      <c r="F36" s="912">
        <v>0</v>
      </c>
      <c r="G36" s="1004"/>
      <c r="H36" s="912">
        <v>0</v>
      </c>
      <c r="I36" s="1003"/>
      <c r="J36" s="912">
        <v>0</v>
      </c>
      <c r="K36" s="1003"/>
      <c r="L36" s="912">
        <f t="shared" si="4"/>
        <v>0</v>
      </c>
      <c r="M36" s="1003"/>
      <c r="N36" s="912"/>
      <c r="O36" s="1003"/>
      <c r="P36" s="912"/>
      <c r="Q36" s="1003"/>
      <c r="R36" s="912"/>
      <c r="S36" s="1003"/>
      <c r="T36" s="912"/>
      <c r="U36" s="1003"/>
      <c r="V36" s="912"/>
      <c r="W36" s="1003"/>
      <c r="X36" s="912"/>
      <c r="Y36" s="738"/>
      <c r="Z36" s="214"/>
      <c r="AA36" s="912">
        <v>0</v>
      </c>
      <c r="AB36" s="739"/>
      <c r="AC36" s="215"/>
      <c r="AD36" s="912">
        <v>0</v>
      </c>
      <c r="AE36" s="1507"/>
      <c r="AF36" s="1508"/>
      <c r="AG36" s="220">
        <f t="shared" si="5"/>
        <v>0</v>
      </c>
      <c r="AH36" s="214"/>
      <c r="AI36" s="948">
        <f t="shared" si="6"/>
        <v>0</v>
      </c>
    </row>
    <row r="37" spans="1:35" ht="14.25" customHeight="1">
      <c r="A37" s="594" t="s">
        <v>895</v>
      </c>
      <c r="B37" s="912">
        <v>0</v>
      </c>
      <c r="C37" s="1004"/>
      <c r="D37" s="912">
        <v>0</v>
      </c>
      <c r="E37" s="1004"/>
      <c r="F37" s="912">
        <v>0</v>
      </c>
      <c r="G37" s="1004"/>
      <c r="H37" s="912">
        <v>0</v>
      </c>
      <c r="I37" s="1003"/>
      <c r="J37" s="912">
        <v>0</v>
      </c>
      <c r="K37" s="1003"/>
      <c r="L37" s="912">
        <f t="shared" si="4"/>
        <v>0</v>
      </c>
      <c r="M37" s="1003"/>
      <c r="N37" s="912"/>
      <c r="O37" s="1003"/>
      <c r="P37" s="912"/>
      <c r="Q37" s="1003"/>
      <c r="R37" s="912"/>
      <c r="S37" s="1003"/>
      <c r="T37" s="912"/>
      <c r="U37" s="1003"/>
      <c r="V37" s="912"/>
      <c r="W37" s="1003"/>
      <c r="X37" s="912"/>
      <c r="Y37" s="738"/>
      <c r="Z37" s="214"/>
      <c r="AA37" s="912">
        <v>0</v>
      </c>
      <c r="AB37" s="739"/>
      <c r="AC37" s="215"/>
      <c r="AD37" s="912">
        <v>0</v>
      </c>
      <c r="AE37" s="1507"/>
      <c r="AF37" s="1508"/>
      <c r="AG37" s="220">
        <f t="shared" si="5"/>
        <v>0</v>
      </c>
      <c r="AH37" s="214"/>
      <c r="AI37" s="948">
        <f t="shared" si="6"/>
        <v>0</v>
      </c>
    </row>
    <row r="38" spans="1:35" ht="14.25" customHeight="1">
      <c r="A38" s="594" t="s">
        <v>896</v>
      </c>
      <c r="B38" s="912">
        <v>0</v>
      </c>
      <c r="C38" s="1004"/>
      <c r="D38" s="912">
        <v>0</v>
      </c>
      <c r="E38" s="1004"/>
      <c r="F38" s="912">
        <v>0</v>
      </c>
      <c r="G38" s="1004"/>
      <c r="H38" s="912">
        <v>0</v>
      </c>
      <c r="I38" s="1003"/>
      <c r="J38" s="912">
        <v>0</v>
      </c>
      <c r="K38" s="1003"/>
      <c r="L38" s="912">
        <f t="shared" si="4"/>
        <v>0</v>
      </c>
      <c r="M38" s="1003"/>
      <c r="N38" s="912"/>
      <c r="O38" s="1003"/>
      <c r="P38" s="912"/>
      <c r="Q38" s="1003"/>
      <c r="R38" s="912"/>
      <c r="S38" s="1003"/>
      <c r="T38" s="912"/>
      <c r="U38" s="1003"/>
      <c r="V38" s="912"/>
      <c r="W38" s="1003"/>
      <c r="X38" s="912"/>
      <c r="Y38" s="738"/>
      <c r="Z38" s="214"/>
      <c r="AA38" s="912">
        <v>0</v>
      </c>
      <c r="AB38" s="739"/>
      <c r="AC38" s="215"/>
      <c r="AD38" s="912">
        <v>0</v>
      </c>
      <c r="AE38" s="1507"/>
      <c r="AF38" s="1508"/>
      <c r="AG38" s="220">
        <f t="shared" si="5"/>
        <v>0</v>
      </c>
      <c r="AH38" s="214"/>
      <c r="AI38" s="948">
        <f t="shared" si="6"/>
        <v>0</v>
      </c>
    </row>
    <row r="39" spans="1:35" ht="14.25" customHeight="1">
      <c r="A39" s="594" t="s">
        <v>897</v>
      </c>
      <c r="B39" s="912">
        <v>0</v>
      </c>
      <c r="C39" s="1004"/>
      <c r="D39" s="912">
        <v>0</v>
      </c>
      <c r="E39" s="1004"/>
      <c r="F39" s="912">
        <v>0</v>
      </c>
      <c r="G39" s="1004"/>
      <c r="H39" s="912">
        <v>0</v>
      </c>
      <c r="I39" s="1003"/>
      <c r="J39" s="912">
        <v>0</v>
      </c>
      <c r="K39" s="1003"/>
      <c r="L39" s="912">
        <f t="shared" si="4"/>
        <v>0</v>
      </c>
      <c r="M39" s="1003"/>
      <c r="N39" s="912"/>
      <c r="O39" s="1003"/>
      <c r="P39" s="912"/>
      <c r="Q39" s="1003"/>
      <c r="R39" s="912"/>
      <c r="S39" s="1003"/>
      <c r="T39" s="912"/>
      <c r="U39" s="1003"/>
      <c r="V39" s="912"/>
      <c r="W39" s="1003"/>
      <c r="X39" s="912"/>
      <c r="Y39" s="738"/>
      <c r="Z39" s="214"/>
      <c r="AA39" s="912">
        <v>0</v>
      </c>
      <c r="AB39" s="739"/>
      <c r="AC39" s="215"/>
      <c r="AD39" s="912">
        <v>0</v>
      </c>
      <c r="AE39" s="1507"/>
      <c r="AF39" s="1508"/>
      <c r="AG39" s="220">
        <f t="shared" si="5"/>
        <v>0</v>
      </c>
      <c r="AH39" s="214"/>
      <c r="AI39" s="948">
        <f t="shared" si="6"/>
        <v>0</v>
      </c>
    </row>
    <row r="40" spans="1:35" ht="14.25" customHeight="1">
      <c r="A40" s="594" t="s">
        <v>898</v>
      </c>
      <c r="B40" s="912">
        <v>0</v>
      </c>
      <c r="C40" s="1004"/>
      <c r="D40" s="912">
        <v>0</v>
      </c>
      <c r="E40" s="1004"/>
      <c r="F40" s="912">
        <v>0</v>
      </c>
      <c r="G40" s="1004"/>
      <c r="H40" s="912">
        <v>0</v>
      </c>
      <c r="I40" s="1003"/>
      <c r="J40" s="912">
        <v>0</v>
      </c>
      <c r="K40" s="1003"/>
      <c r="L40" s="912">
        <f t="shared" si="4"/>
        <v>0</v>
      </c>
      <c r="M40" s="1003"/>
      <c r="N40" s="912"/>
      <c r="O40" s="1003"/>
      <c r="P40" s="912"/>
      <c r="Q40" s="1003"/>
      <c r="R40" s="912"/>
      <c r="S40" s="1003"/>
      <c r="T40" s="912"/>
      <c r="U40" s="1003"/>
      <c r="V40" s="912"/>
      <c r="W40" s="1003"/>
      <c r="X40" s="912"/>
      <c r="Y40" s="738"/>
      <c r="Z40" s="214"/>
      <c r="AA40" s="912">
        <v>0</v>
      </c>
      <c r="AB40" s="739"/>
      <c r="AC40" s="215"/>
      <c r="AD40" s="912">
        <v>0</v>
      </c>
      <c r="AE40" s="1507"/>
      <c r="AF40" s="1508"/>
      <c r="AG40" s="220">
        <f t="shared" si="5"/>
        <v>0</v>
      </c>
      <c r="AH40" s="214"/>
      <c r="AI40" s="948">
        <f t="shared" si="6"/>
        <v>0</v>
      </c>
    </row>
    <row r="41" spans="1:35" ht="14.25" customHeight="1">
      <c r="A41" s="594" t="s">
        <v>888</v>
      </c>
      <c r="B41" s="912">
        <v>0.2</v>
      </c>
      <c r="C41" s="1004"/>
      <c r="D41" s="912">
        <v>0</v>
      </c>
      <c r="E41" s="1004"/>
      <c r="F41" s="912">
        <v>0.10000000000000003</v>
      </c>
      <c r="G41" s="1004"/>
      <c r="H41" s="912">
        <v>0</v>
      </c>
      <c r="I41" s="1003"/>
      <c r="J41" s="912">
        <v>0</v>
      </c>
      <c r="K41" s="1003"/>
      <c r="L41" s="912">
        <f>ROUND($AA41-$B41-$D41-$F41-$H41-$J41,0)</f>
        <v>0</v>
      </c>
      <c r="M41" s="1003"/>
      <c r="N41" s="912"/>
      <c r="O41" s="1003"/>
      <c r="P41" s="912"/>
      <c r="Q41" s="1003"/>
      <c r="R41" s="912"/>
      <c r="S41" s="1003"/>
      <c r="T41" s="912"/>
      <c r="U41" s="1003"/>
      <c r="V41" s="912"/>
      <c r="W41" s="1003"/>
      <c r="X41" s="912"/>
      <c r="Y41" s="738"/>
      <c r="Z41" s="214"/>
      <c r="AA41" s="912">
        <v>0.3</v>
      </c>
      <c r="AB41" s="739"/>
      <c r="AC41" s="215"/>
      <c r="AD41" s="912">
        <v>0</v>
      </c>
      <c r="AE41" s="1507"/>
      <c r="AF41" s="1508"/>
      <c r="AG41" s="220">
        <f t="shared" si="5"/>
        <v>0.3</v>
      </c>
      <c r="AH41" s="214"/>
      <c r="AI41" s="948">
        <f>ROUND(IF(AD41=0,1,AG41/ABS(AD41)),3)</f>
        <v>1</v>
      </c>
    </row>
    <row r="42" spans="1:35" ht="14.25" customHeight="1">
      <c r="A42" s="594" t="s">
        <v>905</v>
      </c>
      <c r="B42" s="912">
        <v>0</v>
      </c>
      <c r="C42" s="1004"/>
      <c r="D42" s="912">
        <v>0</v>
      </c>
      <c r="E42" s="1004"/>
      <c r="F42" s="912">
        <v>0</v>
      </c>
      <c r="G42" s="1004"/>
      <c r="H42" s="912">
        <v>0</v>
      </c>
      <c r="I42" s="1003"/>
      <c r="J42" s="912">
        <v>0</v>
      </c>
      <c r="K42" s="1003"/>
      <c r="L42" s="912">
        <f t="shared" si="4"/>
        <v>0</v>
      </c>
      <c r="M42" s="1003"/>
      <c r="N42" s="912"/>
      <c r="O42" s="1003"/>
      <c r="P42" s="912"/>
      <c r="Q42" s="1003"/>
      <c r="R42" s="912"/>
      <c r="S42" s="1003"/>
      <c r="T42" s="912"/>
      <c r="U42" s="1003"/>
      <c r="V42" s="912"/>
      <c r="W42" s="1003"/>
      <c r="X42" s="912"/>
      <c r="Y42" s="738"/>
      <c r="Z42" s="214"/>
      <c r="AA42" s="912">
        <v>0</v>
      </c>
      <c r="AB42" s="739"/>
      <c r="AC42" s="215"/>
      <c r="AD42" s="912">
        <v>1</v>
      </c>
      <c r="AE42" s="1507"/>
      <c r="AF42" s="1508"/>
      <c r="AG42" s="220">
        <f>ROUND(SUM(AA42-AD42),1)</f>
        <v>-1</v>
      </c>
      <c r="AH42" s="214"/>
      <c r="AI42" s="948">
        <f>ROUND(IF(AD42=0,0,AG42/ABS(AD42)),3)</f>
        <v>-1</v>
      </c>
    </row>
    <row r="43" spans="1:35" ht="14.25" customHeight="1">
      <c r="A43" s="594" t="s">
        <v>1003</v>
      </c>
      <c r="B43" s="912" t="s">
        <v>14</v>
      </c>
      <c r="C43" s="1004"/>
      <c r="D43" s="912"/>
      <c r="E43" s="1004"/>
      <c r="F43" s="912"/>
      <c r="G43" s="1004"/>
      <c r="H43" s="912"/>
      <c r="I43" s="1003"/>
      <c r="J43" s="912"/>
      <c r="K43" s="1003"/>
      <c r="L43" s="912"/>
      <c r="M43" s="1003"/>
      <c r="N43" s="912"/>
      <c r="O43" s="1003"/>
      <c r="P43" s="912"/>
      <c r="Q43" s="1003"/>
      <c r="R43" s="912"/>
      <c r="S43" s="1003"/>
      <c r="T43" s="912"/>
      <c r="U43" s="1003"/>
      <c r="V43" s="912"/>
      <c r="W43" s="1003"/>
      <c r="X43" s="912"/>
      <c r="Y43" s="1509"/>
      <c r="Z43" s="214"/>
      <c r="AA43" s="912" t="s">
        <v>14</v>
      </c>
      <c r="AB43" s="1313"/>
      <c r="AC43" s="1911" t="s">
        <v>14</v>
      </c>
      <c r="AD43" s="912" t="s">
        <v>14</v>
      </c>
      <c r="AE43" s="1507"/>
      <c r="AF43" s="2061" t="s">
        <v>14</v>
      </c>
      <c r="AG43" s="2062" t="s">
        <v>14</v>
      </c>
      <c r="AH43" s="214"/>
      <c r="AI43" s="948" t="s">
        <v>14</v>
      </c>
    </row>
    <row r="44" spans="1:35" ht="14.25" customHeight="1">
      <c r="A44" s="594" t="s">
        <v>931</v>
      </c>
      <c r="B44" s="912">
        <v>0</v>
      </c>
      <c r="C44" s="1004"/>
      <c r="D44" s="912">
        <v>0</v>
      </c>
      <c r="E44" s="1004"/>
      <c r="F44" s="912">
        <v>0</v>
      </c>
      <c r="G44" s="1004"/>
      <c r="H44" s="912">
        <v>0</v>
      </c>
      <c r="I44" s="1003"/>
      <c r="J44" s="912">
        <v>0</v>
      </c>
      <c r="K44" s="1003"/>
      <c r="L44" s="912">
        <f t="shared" si="4"/>
        <v>0</v>
      </c>
      <c r="M44" s="1003"/>
      <c r="N44" s="912"/>
      <c r="O44" s="1003"/>
      <c r="P44" s="912"/>
      <c r="Q44" s="1003"/>
      <c r="R44" s="912"/>
      <c r="S44" s="1003"/>
      <c r="T44" s="912"/>
      <c r="U44" s="1003"/>
      <c r="V44" s="912"/>
      <c r="W44" s="1003"/>
      <c r="X44" s="912"/>
      <c r="Y44" s="1509"/>
      <c r="Z44" s="214"/>
      <c r="AA44" s="912">
        <v>0</v>
      </c>
      <c r="AB44" s="1313"/>
      <c r="AC44" s="215"/>
      <c r="AD44" s="912">
        <v>0</v>
      </c>
      <c r="AE44" s="1507"/>
      <c r="AF44" s="1508"/>
      <c r="AG44" s="220">
        <f>ROUND(SUM(AA44-AD44),1)</f>
        <v>0</v>
      </c>
      <c r="AH44" s="214"/>
      <c r="AI44" s="948">
        <f>ROUND(IF(AD44=0,0,AG44/ABS(AD44)),3)</f>
        <v>0</v>
      </c>
    </row>
    <row r="45" spans="1:35" ht="14.25" customHeight="1">
      <c r="A45" s="594" t="s">
        <v>906</v>
      </c>
      <c r="B45" s="912">
        <v>0</v>
      </c>
      <c r="C45" s="1004"/>
      <c r="D45" s="912">
        <v>0</v>
      </c>
      <c r="E45" s="1004"/>
      <c r="F45" s="912">
        <v>0</v>
      </c>
      <c r="G45" s="1004"/>
      <c r="H45" s="912">
        <v>0</v>
      </c>
      <c r="I45" s="1003"/>
      <c r="J45" s="912">
        <v>0</v>
      </c>
      <c r="K45" s="1003"/>
      <c r="L45" s="912">
        <f t="shared" si="4"/>
        <v>0</v>
      </c>
      <c r="M45" s="1003"/>
      <c r="N45" s="912"/>
      <c r="O45" s="1003"/>
      <c r="P45" s="912"/>
      <c r="Q45" s="1003"/>
      <c r="R45" s="912"/>
      <c r="S45" s="1003"/>
      <c r="T45" s="912"/>
      <c r="U45" s="1003"/>
      <c r="V45" s="912"/>
      <c r="W45" s="1003"/>
      <c r="X45" s="912"/>
      <c r="Y45" s="738"/>
      <c r="Z45" s="214"/>
      <c r="AA45" s="912">
        <v>0</v>
      </c>
      <c r="AB45" s="739"/>
      <c r="AC45" s="215"/>
      <c r="AD45" s="912">
        <v>0</v>
      </c>
      <c r="AE45" s="1507"/>
      <c r="AF45" s="1508"/>
      <c r="AG45" s="220">
        <f t="shared" si="5"/>
        <v>0</v>
      </c>
      <c r="AH45" s="214"/>
      <c r="AI45" s="948">
        <f t="shared" si="6"/>
        <v>0</v>
      </c>
    </row>
    <row r="46" spans="1:35" ht="14.25" customHeight="1">
      <c r="A46" s="594" t="s">
        <v>1004</v>
      </c>
      <c r="B46" s="912" t="s">
        <v>14</v>
      </c>
      <c r="C46" s="1004"/>
      <c r="D46" s="912"/>
      <c r="E46" s="1004"/>
      <c r="F46" s="912"/>
      <c r="G46" s="1004"/>
      <c r="H46" s="912"/>
      <c r="I46" s="1003"/>
      <c r="J46" s="912"/>
      <c r="K46" s="1003"/>
      <c r="L46" s="912"/>
      <c r="M46" s="1003"/>
      <c r="N46" s="912"/>
      <c r="O46" s="1003"/>
      <c r="P46" s="912"/>
      <c r="Q46" s="1003"/>
      <c r="R46" s="912"/>
      <c r="S46" s="1003"/>
      <c r="T46" s="912"/>
      <c r="U46" s="1003"/>
      <c r="V46" s="912"/>
      <c r="W46" s="1003"/>
      <c r="X46" s="912"/>
      <c r="Y46" s="738"/>
      <c r="Z46" s="214"/>
      <c r="AA46" s="912"/>
      <c r="AB46" s="739"/>
      <c r="AC46" s="215"/>
      <c r="AD46" s="912"/>
      <c r="AE46" s="1507"/>
      <c r="AF46" s="1508"/>
      <c r="AG46" s="220"/>
      <c r="AH46" s="214"/>
      <c r="AI46" s="963"/>
    </row>
    <row r="47" spans="1:35" ht="14.25" customHeight="1">
      <c r="A47" s="594" t="s">
        <v>1064</v>
      </c>
      <c r="B47" s="912">
        <v>59.8</v>
      </c>
      <c r="C47" s="1004"/>
      <c r="D47" s="912">
        <v>56.400000000000006</v>
      </c>
      <c r="E47" s="1004"/>
      <c r="F47" s="912">
        <v>15.100000000000009</v>
      </c>
      <c r="G47" s="1004"/>
      <c r="H47" s="912">
        <v>127.69999999999997</v>
      </c>
      <c r="I47" s="1003"/>
      <c r="J47" s="912">
        <v>48.800000000000026</v>
      </c>
      <c r="K47" s="1003"/>
      <c r="L47" s="912">
        <f t="shared" si="4"/>
        <v>28</v>
      </c>
      <c r="M47" s="1003"/>
      <c r="N47" s="912"/>
      <c r="O47" s="1003"/>
      <c r="P47" s="912"/>
      <c r="Q47" s="1003"/>
      <c r="R47" s="912"/>
      <c r="S47" s="1003"/>
      <c r="T47" s="912"/>
      <c r="U47" s="1003"/>
      <c r="V47" s="912"/>
      <c r="W47" s="1003"/>
      <c r="X47" s="912"/>
      <c r="Y47" s="738"/>
      <c r="Z47" s="214"/>
      <c r="AA47" s="912">
        <v>335.8</v>
      </c>
      <c r="AB47" s="739"/>
      <c r="AC47" s="215"/>
      <c r="AD47" s="912">
        <v>250.5</v>
      </c>
      <c r="AE47" s="1507"/>
      <c r="AF47" s="1508"/>
      <c r="AG47" s="220">
        <f>ROUND(SUM(AA47-AD47),1)</f>
        <v>85.3</v>
      </c>
      <c r="AH47" s="214"/>
      <c r="AI47" s="964">
        <f>ROUND(IF(AD47=0,0,AG47/ABS(AD47)),3)</f>
        <v>0.34100000000000003</v>
      </c>
    </row>
    <row r="48" spans="1:35" ht="14.25" customHeight="1">
      <c r="A48" s="594" t="s">
        <v>915</v>
      </c>
      <c r="B48" s="912">
        <v>0</v>
      </c>
      <c r="C48" s="1004"/>
      <c r="D48" s="912">
        <v>0</v>
      </c>
      <c r="E48" s="1004"/>
      <c r="F48" s="912">
        <v>0</v>
      </c>
      <c r="G48" s="1004"/>
      <c r="H48" s="912">
        <v>0</v>
      </c>
      <c r="I48" s="1003"/>
      <c r="J48" s="912">
        <v>0</v>
      </c>
      <c r="K48" s="1003"/>
      <c r="L48" s="912">
        <f t="shared" si="4"/>
        <v>0</v>
      </c>
      <c r="M48" s="1003"/>
      <c r="N48" s="912"/>
      <c r="O48" s="1003"/>
      <c r="P48" s="912"/>
      <c r="Q48" s="1003"/>
      <c r="R48" s="912"/>
      <c r="S48" s="1003"/>
      <c r="T48" s="912"/>
      <c r="U48" s="1003"/>
      <c r="V48" s="912"/>
      <c r="W48" s="1003"/>
      <c r="X48" s="912"/>
      <c r="Y48" s="1509"/>
      <c r="Z48" s="214"/>
      <c r="AA48" s="912">
        <v>0</v>
      </c>
      <c r="AB48" s="1313"/>
      <c r="AC48" s="215"/>
      <c r="AD48" s="912">
        <v>0</v>
      </c>
      <c r="AE48" s="1507"/>
      <c r="AF48" s="1508"/>
      <c r="AG48" s="220">
        <f>ROUND(SUM(AA48-AD48),1)</f>
        <v>0</v>
      </c>
      <c r="AH48" s="214"/>
      <c r="AI48" s="948">
        <f>ROUND(IF(AD48=0,0,AG48/ABS(AD48)),3)</f>
        <v>0</v>
      </c>
    </row>
    <row r="49" spans="1:36" ht="14.25" customHeight="1">
      <c r="A49" s="594" t="s">
        <v>916</v>
      </c>
      <c r="B49" s="912">
        <v>0</v>
      </c>
      <c r="C49" s="1004"/>
      <c r="D49" s="912">
        <v>0</v>
      </c>
      <c r="E49" s="1004"/>
      <c r="F49" s="912">
        <v>0</v>
      </c>
      <c r="G49" s="1004"/>
      <c r="H49" s="912">
        <v>0</v>
      </c>
      <c r="I49" s="1003"/>
      <c r="J49" s="912">
        <v>0</v>
      </c>
      <c r="K49" s="1003"/>
      <c r="L49" s="912">
        <f t="shared" si="4"/>
        <v>0</v>
      </c>
      <c r="M49" s="1003"/>
      <c r="N49" s="912"/>
      <c r="O49" s="1003"/>
      <c r="P49" s="912"/>
      <c r="Q49" s="1003"/>
      <c r="R49" s="912"/>
      <c r="S49" s="1003"/>
      <c r="T49" s="912"/>
      <c r="U49" s="1003"/>
      <c r="V49" s="912"/>
      <c r="W49" s="1003"/>
      <c r="X49" s="912"/>
      <c r="Y49" s="738"/>
      <c r="Z49" s="214"/>
      <c r="AA49" s="912">
        <v>0</v>
      </c>
      <c r="AB49" s="739"/>
      <c r="AC49" s="215"/>
      <c r="AD49" s="912">
        <v>0</v>
      </c>
      <c r="AE49" s="1507"/>
      <c r="AF49" s="1508"/>
      <c r="AG49" s="220">
        <f>ROUND(SUM(AA49-AD49),1)</f>
        <v>0</v>
      </c>
      <c r="AH49" s="214"/>
      <c r="AI49" s="948">
        <f>ROUND(IF(AD49=0,0,AG49/ABS(AD49)),3)</f>
        <v>0</v>
      </c>
    </row>
    <row r="50" spans="1:36" s="1515" customFormat="1" ht="15.75">
      <c r="A50" s="218" t="s">
        <v>949</v>
      </c>
      <c r="B50" s="179">
        <f>ROUND(SUM(B33:B49),1)</f>
        <v>60</v>
      </c>
      <c r="C50" s="1510"/>
      <c r="D50" s="179">
        <f>ROUND(SUM(D33:D49),1)</f>
        <v>56.4</v>
      </c>
      <c r="E50" s="1510"/>
      <c r="F50" s="179">
        <f>ROUND(SUM(F33:F49),1)</f>
        <v>15.2</v>
      </c>
      <c r="G50" s="1510"/>
      <c r="H50" s="179">
        <f>ROUND(SUM(H33:H49),1)</f>
        <v>127.7</v>
      </c>
      <c r="I50" s="741"/>
      <c r="J50" s="41">
        <f>ROUND(SUM(J33:J49),1)</f>
        <v>48.8</v>
      </c>
      <c r="K50" s="741"/>
      <c r="L50" s="41">
        <f>ROUND(SUM(L33:L49),1)</f>
        <v>28</v>
      </c>
      <c r="M50" s="741"/>
      <c r="N50" s="41">
        <f>ROUND(SUM(N33:N49),1)</f>
        <v>0</v>
      </c>
      <c r="O50" s="741"/>
      <c r="P50" s="41">
        <f>ROUND(SUM(P33:P49),1)</f>
        <v>0</v>
      </c>
      <c r="Q50" s="42"/>
      <c r="R50" s="41">
        <f t="shared" ref="R50" si="7">ROUND(SUM(R33:R49),1)</f>
        <v>0</v>
      </c>
      <c r="S50" s="741"/>
      <c r="T50" s="41">
        <f>ROUND(SUM(T33:T49),1)</f>
        <v>0</v>
      </c>
      <c r="U50" s="741"/>
      <c r="V50" s="41">
        <f>ROUND(SUM(V33:V49),1)</f>
        <v>0</v>
      </c>
      <c r="W50" s="741"/>
      <c r="X50" s="41">
        <f>ROUND(SUM(X33:X49),1)</f>
        <v>0</v>
      </c>
      <c r="Y50" s="1511"/>
      <c r="Z50" s="741"/>
      <c r="AA50" s="41">
        <f>ROUND(SUM(AA33:AA49),1)</f>
        <v>336.1</v>
      </c>
      <c r="AB50" s="1511"/>
      <c r="AC50" s="741"/>
      <c r="AD50" s="41">
        <f>ROUND(SUM(AD33:AD49),1)</f>
        <v>251.5</v>
      </c>
      <c r="AE50" s="1512"/>
      <c r="AF50" s="1513"/>
      <c r="AG50" s="41">
        <f>ROUND(SUM(AG33:AG49),1)</f>
        <v>84.6</v>
      </c>
      <c r="AH50" s="218"/>
      <c r="AI50" s="1514">
        <f>ROUND(IF(AD50=0,0,AG50/ABS(AD50)),3)</f>
        <v>0.33600000000000002</v>
      </c>
      <c r="AJ50" s="1485"/>
    </row>
    <row r="51" spans="1:36" s="1515" customFormat="1" ht="14.25" customHeight="1">
      <c r="A51" s="218"/>
      <c r="B51" s="42"/>
      <c r="C51" s="1510"/>
      <c r="D51" s="42"/>
      <c r="E51" s="1510"/>
      <c r="F51" s="42"/>
      <c r="G51" s="1510"/>
      <c r="H51" s="42"/>
      <c r="I51" s="741"/>
      <c r="J51" s="42"/>
      <c r="K51" s="741"/>
      <c r="L51" s="42"/>
      <c r="M51" s="741"/>
      <c r="N51" s="42"/>
      <c r="O51" s="741"/>
      <c r="P51" s="42"/>
      <c r="Q51" s="741"/>
      <c r="R51" s="42"/>
      <c r="S51" s="741"/>
      <c r="T51" s="42"/>
      <c r="U51" s="741"/>
      <c r="V51" s="42"/>
      <c r="W51" s="741"/>
      <c r="X51" s="42"/>
      <c r="Y51" s="1516"/>
      <c r="Z51" s="741"/>
      <c r="AA51" s="42"/>
      <c r="AB51" s="1516"/>
      <c r="AC51" s="741"/>
      <c r="AD51" s="42"/>
      <c r="AE51" s="1512"/>
      <c r="AF51" s="1513"/>
      <c r="AG51" s="741"/>
      <c r="AH51" s="218"/>
      <c r="AI51" s="1503"/>
      <c r="AJ51" s="1485"/>
    </row>
    <row r="52" spans="1:36" ht="15">
      <c r="A52" s="1517" t="s">
        <v>808</v>
      </c>
      <c r="B52" s="912">
        <v>3.2</v>
      </c>
      <c r="C52" s="1004"/>
      <c r="D52" s="912">
        <v>0</v>
      </c>
      <c r="E52" s="1004"/>
      <c r="F52" s="912">
        <v>0.89999999999999947</v>
      </c>
      <c r="G52" s="1004"/>
      <c r="H52" s="912">
        <v>30.8</v>
      </c>
      <c r="I52" s="220"/>
      <c r="J52" s="912">
        <v>0</v>
      </c>
      <c r="K52" s="220"/>
      <c r="L52" s="912">
        <f t="shared" ref="L52" si="8">$AA52-$B52-$D52-$F52-$H52-$J52</f>
        <v>0</v>
      </c>
      <c r="M52" s="220"/>
      <c r="N52" s="912"/>
      <c r="O52" s="220"/>
      <c r="P52" s="912"/>
      <c r="Q52" s="220"/>
      <c r="R52" s="912"/>
      <c r="S52" s="220"/>
      <c r="T52" s="912"/>
      <c r="U52" s="220"/>
      <c r="V52" s="912"/>
      <c r="W52" s="220"/>
      <c r="X52" s="912"/>
      <c r="Y52" s="1518"/>
      <c r="Z52" s="220"/>
      <c r="AA52" s="1519">
        <v>34.9</v>
      </c>
      <c r="AB52" s="1518"/>
      <c r="AC52" s="220"/>
      <c r="AD52" s="1519">
        <v>40.799999999999997</v>
      </c>
      <c r="AE52" s="1507"/>
      <c r="AF52" s="1508"/>
      <c r="AG52" s="1520">
        <f>ROUND(SUM(AA52-AD52),1)</f>
        <v>-5.9</v>
      </c>
      <c r="AH52" s="214"/>
      <c r="AI52" s="949">
        <f>ROUND(IF(AD52=0,1,AG52/ABS(AD52)),3)</f>
        <v>-0.14499999999999999</v>
      </c>
    </row>
    <row r="53" spans="1:36" ht="12" customHeight="1">
      <c r="A53" s="214"/>
      <c r="B53" s="1521"/>
      <c r="C53" s="1004"/>
      <c r="D53" s="1521"/>
      <c r="E53" s="1004"/>
      <c r="F53" s="1521"/>
      <c r="G53" s="1004"/>
      <c r="H53" s="1521"/>
      <c r="I53" s="220"/>
      <c r="J53" s="1522"/>
      <c r="K53" s="220"/>
      <c r="L53" s="1522"/>
      <c r="M53" s="220"/>
      <c r="N53" s="1522"/>
      <c r="O53" s="220"/>
      <c r="P53" s="1522"/>
      <c r="Q53" s="220"/>
      <c r="R53" s="1522"/>
      <c r="S53" s="220"/>
      <c r="T53" s="1522"/>
      <c r="U53" s="220"/>
      <c r="V53" s="1522"/>
      <c r="W53" s="220"/>
      <c r="X53" s="1522"/>
      <c r="Y53" s="1518"/>
      <c r="Z53" s="220"/>
      <c r="AA53" s="1004"/>
      <c r="AB53" s="1518"/>
      <c r="AC53" s="220"/>
      <c r="AD53" s="1004"/>
      <c r="AE53" s="1507"/>
      <c r="AF53" s="1508"/>
      <c r="AG53" s="220"/>
      <c r="AH53" s="214"/>
      <c r="AI53" s="214"/>
    </row>
    <row r="54" spans="1:36" ht="14.25" customHeight="1">
      <c r="A54" s="218" t="s">
        <v>184</v>
      </c>
      <c r="B54" s="1141">
        <f>B29+B50+B52</f>
        <v>4601.2</v>
      </c>
      <c r="C54" s="1510"/>
      <c r="D54" s="1141">
        <f>D29+D50+D52</f>
        <v>1939.8000000000002</v>
      </c>
      <c r="E54" s="1523"/>
      <c r="F54" s="1141">
        <f>ROUND(SUM(F29+F50+F52),1)</f>
        <v>4785.3999999999996</v>
      </c>
      <c r="G54" s="1523"/>
      <c r="H54" s="1141">
        <f>ROUND(SUM(H29+H50+H52),1)</f>
        <v>2705.9</v>
      </c>
      <c r="I54" s="1524"/>
      <c r="J54" s="221">
        <f>ROUND(SUM(J29+J50+J52),1)</f>
        <v>2775.4</v>
      </c>
      <c r="K54" s="1524"/>
      <c r="L54" s="221">
        <f>ROUND(SUM(L29+L50+L52),1)</f>
        <v>4680.7</v>
      </c>
      <c r="M54" s="1524"/>
      <c r="N54" s="221">
        <f>ROUND(SUM(N29+N50+N52),1)</f>
        <v>0</v>
      </c>
      <c r="O54" s="1524"/>
      <c r="P54" s="221">
        <f>ROUND(SUM(P29+P50+P52),1)</f>
        <v>0</v>
      </c>
      <c r="Q54" s="741"/>
      <c r="R54" s="221">
        <f t="shared" ref="R54" si="9">ROUND(SUM(R29+R50+R52),1)</f>
        <v>0</v>
      </c>
      <c r="S54" s="1524"/>
      <c r="T54" s="221">
        <f>ROUND(SUM(T29+T50+T52),1)</f>
        <v>0</v>
      </c>
      <c r="U54" s="1524"/>
      <c r="V54" s="221">
        <f>ROUND(SUM(V29+V50+V52),1)</f>
        <v>0</v>
      </c>
      <c r="W54" s="1524"/>
      <c r="X54" s="221">
        <f>ROUND(SUM(X29+X50+X52),1)</f>
        <v>0</v>
      </c>
      <c r="Y54" s="1511"/>
      <c r="Z54" s="741"/>
      <c r="AA54" s="221">
        <f>ROUND(SUM(AA29+AA50+AA52),1)</f>
        <v>21488.400000000001</v>
      </c>
      <c r="AB54" s="1511"/>
      <c r="AC54" s="741"/>
      <c r="AD54" s="221">
        <f>ROUND(SUM(AD29+AD50+AD52),1)</f>
        <v>27404.9</v>
      </c>
      <c r="AE54" s="1512"/>
      <c r="AF54" s="1513"/>
      <c r="AG54" s="221">
        <f>ROUND(SUM(AG29+AG50+AG52),1)</f>
        <v>-5916.5</v>
      </c>
      <c r="AH54" s="218"/>
      <c r="AI54" s="962">
        <f>ROUND(IF(AD54=0,0,AG54/ABS(AD54)),3)</f>
        <v>-0.216</v>
      </c>
      <c r="AJ54" s="1525"/>
    </row>
    <row r="55" spans="1:36" ht="19.5" customHeight="1">
      <c r="A55" s="214"/>
      <c r="B55" s="1004"/>
      <c r="C55" s="1004"/>
      <c r="D55" s="1004"/>
      <c r="E55" s="1004"/>
      <c r="F55" s="1004"/>
      <c r="G55" s="1004"/>
      <c r="H55" s="1004"/>
      <c r="I55" s="220"/>
      <c r="J55" s="220"/>
      <c r="K55" s="220"/>
      <c r="L55" s="220"/>
      <c r="M55" s="220"/>
      <c r="N55" s="220"/>
      <c r="O55" s="220"/>
      <c r="P55" s="220"/>
      <c r="Q55" s="220"/>
      <c r="R55" s="220"/>
      <c r="S55" s="220"/>
      <c r="T55" s="220"/>
      <c r="U55" s="220"/>
      <c r="V55" s="220"/>
      <c r="W55" s="220"/>
      <c r="X55" s="220"/>
      <c r="Y55" s="1518"/>
      <c r="Z55" s="220"/>
      <c r="AA55" s="1004"/>
      <c r="AB55" s="1518"/>
      <c r="AC55" s="220"/>
      <c r="AD55" s="1004"/>
      <c r="AE55" s="1507"/>
      <c r="AF55" s="1508"/>
      <c r="AG55" s="220"/>
      <c r="AH55" s="214"/>
      <c r="AI55" s="214"/>
    </row>
    <row r="56" spans="1:36" ht="15.75">
      <c r="A56" s="1526" t="s">
        <v>185</v>
      </c>
      <c r="B56" s="1004"/>
      <c r="C56" s="1004"/>
      <c r="D56" s="1004"/>
      <c r="E56" s="1004"/>
      <c r="F56" s="1004"/>
      <c r="G56" s="1004"/>
      <c r="H56" s="1004"/>
      <c r="I56" s="220"/>
      <c r="J56" s="220"/>
      <c r="K56" s="220"/>
      <c r="L56" s="220"/>
      <c r="M56" s="220"/>
      <c r="N56" s="220"/>
      <c r="O56" s="220"/>
      <c r="P56" s="220"/>
      <c r="Q56" s="220"/>
      <c r="R56" s="220"/>
      <c r="S56" s="220"/>
      <c r="T56" s="220"/>
      <c r="U56" s="220"/>
      <c r="V56" s="220"/>
      <c r="W56" s="220"/>
      <c r="X56" s="220"/>
      <c r="Y56" s="1518"/>
      <c r="Z56" s="220"/>
      <c r="AA56" s="1004"/>
      <c r="AB56" s="1518"/>
      <c r="AC56" s="220"/>
      <c r="AD56" s="1004"/>
      <c r="AE56" s="1507"/>
      <c r="AF56" s="1508"/>
      <c r="AG56" s="220"/>
      <c r="AH56" s="214"/>
      <c r="AI56" s="214"/>
    </row>
    <row r="57" spans="1:36" ht="14.25" customHeight="1">
      <c r="A57" s="1527" t="s">
        <v>149</v>
      </c>
      <c r="B57" s="1004"/>
      <c r="C57" s="1004"/>
      <c r="D57" s="1004"/>
      <c r="E57" s="1004"/>
      <c r="F57" s="1004"/>
      <c r="G57" s="1004"/>
      <c r="H57" s="1004"/>
      <c r="I57" s="220"/>
      <c r="J57" s="220"/>
      <c r="K57" s="220"/>
      <c r="L57" s="220"/>
      <c r="M57" s="220"/>
      <c r="N57" s="220"/>
      <c r="O57" s="220"/>
      <c r="P57" s="220"/>
      <c r="Q57" s="220"/>
      <c r="R57" s="220"/>
      <c r="S57" s="220"/>
      <c r="T57" s="220"/>
      <c r="U57" s="220"/>
      <c r="V57" s="220"/>
      <c r="W57" s="220"/>
      <c r="X57" s="220"/>
      <c r="Y57" s="1518"/>
      <c r="Z57" s="220"/>
      <c r="AA57" s="1004"/>
      <c r="AB57" s="1518"/>
      <c r="AC57" s="220"/>
      <c r="AD57" s="1004"/>
      <c r="AE57" s="1507"/>
      <c r="AF57" s="1508"/>
      <c r="AG57" s="220"/>
      <c r="AH57" s="214"/>
      <c r="AI57" s="214"/>
    </row>
    <row r="58" spans="1:36" ht="14.25" customHeight="1">
      <c r="A58" s="1527" t="s">
        <v>37</v>
      </c>
      <c r="B58" s="912">
        <v>0</v>
      </c>
      <c r="C58" s="1004"/>
      <c r="D58" s="912">
        <v>1</v>
      </c>
      <c r="E58" s="1528"/>
      <c r="F58" s="912">
        <v>0.7</v>
      </c>
      <c r="G58" s="1004"/>
      <c r="H58" s="912">
        <v>29.1</v>
      </c>
      <c r="I58" s="220"/>
      <c r="J58" s="912">
        <v>5.2999999999999972</v>
      </c>
      <c r="K58" s="220"/>
      <c r="L58" s="912">
        <f t="shared" ref="L58" si="10">$AA58-$B58-$D58-$F58-$H58-$J58</f>
        <v>0.60000000000000142</v>
      </c>
      <c r="M58" s="220"/>
      <c r="N58" s="912"/>
      <c r="O58" s="220"/>
      <c r="P58" s="912"/>
      <c r="Q58" s="220"/>
      <c r="R58" s="912"/>
      <c r="S58" s="220"/>
      <c r="T58" s="912"/>
      <c r="U58" s="220"/>
      <c r="V58" s="912"/>
      <c r="W58" s="220"/>
      <c r="X58" s="912"/>
      <c r="Y58" s="1518"/>
      <c r="Z58" s="220"/>
      <c r="AA58" s="1229">
        <v>36.700000000000003</v>
      </c>
      <c r="AB58" s="1518"/>
      <c r="AC58" s="220"/>
      <c r="AD58" s="1229">
        <v>25.2</v>
      </c>
      <c r="AE58" s="1507"/>
      <c r="AF58" s="1508"/>
      <c r="AG58" s="220">
        <f>ROUND(SUM(AA58-AD58),1)</f>
        <v>11.5</v>
      </c>
      <c r="AH58" s="214"/>
      <c r="AI58" s="964">
        <f>ROUND(IF(AD58=0,0,AG58/ABS(AD58)),3)</f>
        <v>0.45600000000000002</v>
      </c>
    </row>
    <row r="59" spans="1:36" ht="14.25" customHeight="1">
      <c r="A59" s="1529" t="s">
        <v>1214</v>
      </c>
      <c r="B59" s="912" t="s">
        <v>1109</v>
      </c>
      <c r="C59" s="1004"/>
      <c r="D59" s="912"/>
      <c r="E59" s="1004"/>
      <c r="F59" s="912"/>
      <c r="G59" s="1004"/>
      <c r="H59" s="912"/>
      <c r="I59" s="220"/>
      <c r="J59" s="912"/>
      <c r="K59" s="220"/>
      <c r="L59" s="912"/>
      <c r="M59" s="220"/>
      <c r="N59" s="912"/>
      <c r="O59" s="220"/>
      <c r="P59" s="912"/>
      <c r="Q59" s="220"/>
      <c r="R59" s="912"/>
      <c r="S59" s="220"/>
      <c r="T59" s="912"/>
      <c r="U59" s="220"/>
      <c r="V59" s="912"/>
      <c r="W59" s="220"/>
      <c r="X59" s="912"/>
      <c r="Y59" s="1518"/>
      <c r="Z59" s="220"/>
      <c r="AA59" s="1004"/>
      <c r="AB59" s="1518"/>
      <c r="AC59" s="220"/>
      <c r="AD59" s="1004"/>
      <c r="AE59" s="1507"/>
      <c r="AF59" s="1508"/>
      <c r="AG59" s="220"/>
      <c r="AH59" s="214"/>
      <c r="AI59" s="214"/>
    </row>
    <row r="60" spans="1:36" ht="14.25" customHeight="1">
      <c r="A60" s="1530" t="s">
        <v>1010</v>
      </c>
      <c r="B60" s="912">
        <v>35.200000000000003</v>
      </c>
      <c r="C60" s="1004"/>
      <c r="D60" s="912">
        <v>28.5</v>
      </c>
      <c r="E60" s="1004"/>
      <c r="F60" s="912">
        <v>4.8999999999999915</v>
      </c>
      <c r="G60" s="1004"/>
      <c r="H60" s="912">
        <v>4.5</v>
      </c>
      <c r="I60" s="220"/>
      <c r="J60" s="912">
        <v>61.400000000000006</v>
      </c>
      <c r="K60" s="220"/>
      <c r="L60" s="912">
        <f t="shared" ref="L60" si="11">$AA60-$B60-$D60-$F60-$H60-$J60</f>
        <v>426.9</v>
      </c>
      <c r="M60" s="220"/>
      <c r="N60" s="912"/>
      <c r="O60" s="220"/>
      <c r="P60" s="912"/>
      <c r="Q60" s="220"/>
      <c r="R60" s="912"/>
      <c r="S60" s="220"/>
      <c r="T60" s="912"/>
      <c r="U60" s="220"/>
      <c r="V60" s="912"/>
      <c r="W60" s="220"/>
      <c r="X60" s="912"/>
      <c r="Y60" s="1518"/>
      <c r="Z60" s="220"/>
      <c r="AA60" s="1531">
        <v>561.4</v>
      </c>
      <c r="AB60" s="1518"/>
      <c r="AC60" s="220"/>
      <c r="AD60" s="1531">
        <v>1425.4</v>
      </c>
      <c r="AE60" s="1507"/>
      <c r="AF60" s="1508"/>
      <c r="AG60" s="1532">
        <f>ROUND(SUM(AA60-AD60),1)</f>
        <v>-864</v>
      </c>
      <c r="AH60" s="214"/>
      <c r="AI60" s="949">
        <f>ROUND(IF(AD60=0,0,AG60/ABS(AD60)),3)</f>
        <v>-0.60599999999999998</v>
      </c>
    </row>
    <row r="61" spans="1:36" ht="15">
      <c r="A61" s="214"/>
      <c r="B61" s="1521"/>
      <c r="C61" s="1004"/>
      <c r="D61" s="1521"/>
      <c r="E61" s="1004"/>
      <c r="F61" s="1521"/>
      <c r="G61" s="1004"/>
      <c r="H61" s="1521"/>
      <c r="I61" s="220"/>
      <c r="J61" s="1522"/>
      <c r="K61" s="220"/>
      <c r="L61" s="1522"/>
      <c r="M61" s="220"/>
      <c r="N61" s="1522"/>
      <c r="O61" s="220"/>
      <c r="P61" s="1522"/>
      <c r="Q61" s="220"/>
      <c r="R61" s="1522"/>
      <c r="S61" s="220"/>
      <c r="T61" s="1522"/>
      <c r="U61" s="220"/>
      <c r="V61" s="1522"/>
      <c r="W61" s="220"/>
      <c r="X61" s="1522"/>
      <c r="Y61" s="1518"/>
      <c r="Z61" s="220"/>
      <c r="AA61" s="1004"/>
      <c r="AB61" s="1518"/>
      <c r="AC61" s="220"/>
      <c r="AD61" s="1004"/>
      <c r="AE61" s="1507"/>
      <c r="AF61" s="1508"/>
      <c r="AG61" s="220"/>
      <c r="AH61" s="214"/>
      <c r="AI61" s="214"/>
    </row>
    <row r="62" spans="1:36" ht="14.25" customHeight="1">
      <c r="A62" s="1526" t="s">
        <v>186</v>
      </c>
      <c r="B62" s="1141">
        <f>ROUND(SUM(B58:B60),1)</f>
        <v>35.200000000000003</v>
      </c>
      <c r="C62" s="1510"/>
      <c r="D62" s="1141">
        <f>ROUND(SUM(D58:D60),1)</f>
        <v>29.5</v>
      </c>
      <c r="E62" s="1523"/>
      <c r="F62" s="1141">
        <f>ROUND(SUM(F58:F60),1)</f>
        <v>5.6</v>
      </c>
      <c r="G62" s="1523"/>
      <c r="H62" s="1141">
        <f>ROUND(SUM(H58:H60),1)</f>
        <v>33.6</v>
      </c>
      <c r="I62" s="1524"/>
      <c r="J62" s="221">
        <f>ROUND(SUM(J58:J60),1)</f>
        <v>66.7</v>
      </c>
      <c r="K62" s="1524"/>
      <c r="L62" s="221">
        <f>ROUND(SUM(L58:L60),1)</f>
        <v>427.5</v>
      </c>
      <c r="M62" s="1524"/>
      <c r="N62" s="221">
        <f>ROUND(SUM(N58:N60),1)</f>
        <v>0</v>
      </c>
      <c r="O62" s="1524"/>
      <c r="P62" s="221">
        <f>ROUND(SUM(P58:P60),1)</f>
        <v>0</v>
      </c>
      <c r="Q62" s="741"/>
      <c r="R62" s="221">
        <f t="shared" ref="R62" si="12">ROUND(SUM(R58:R60),1)</f>
        <v>0</v>
      </c>
      <c r="S62" s="1524"/>
      <c r="T62" s="221">
        <f>ROUND(SUM(T58:T60),1)</f>
        <v>0</v>
      </c>
      <c r="U62" s="1524"/>
      <c r="V62" s="221">
        <f>ROUND(SUM(V58:V60),1)</f>
        <v>0</v>
      </c>
      <c r="W62" s="1524"/>
      <c r="X62" s="221">
        <f>ROUND(SUM(X58:X60),1)</f>
        <v>0</v>
      </c>
      <c r="Y62" s="1511"/>
      <c r="Z62" s="741"/>
      <c r="AA62" s="221">
        <f>ROUND(SUM(AA58:AA60),1)</f>
        <v>598.1</v>
      </c>
      <c r="AB62" s="1511"/>
      <c r="AC62" s="741"/>
      <c r="AD62" s="221">
        <f>ROUND(SUM(AD58:AD60),1)</f>
        <v>1450.6</v>
      </c>
      <c r="AE62" s="1512"/>
      <c r="AF62" s="1513"/>
      <c r="AG62" s="221">
        <f>ROUND(SUM(AG58:AG60),1)</f>
        <v>-852.5</v>
      </c>
      <c r="AH62" s="218"/>
      <c r="AI62" s="962">
        <f>ROUND(IF(AD62=0,0,AG62/ABS(AD62)),3)</f>
        <v>-0.58799999999999997</v>
      </c>
      <c r="AJ62" s="1533"/>
    </row>
    <row r="63" spans="1:36" ht="12" customHeight="1">
      <c r="A63" s="214"/>
      <c r="B63" s="1004"/>
      <c r="C63" s="1004"/>
      <c r="D63" s="1534"/>
      <c r="E63" s="1534"/>
      <c r="F63" s="1534"/>
      <c r="G63" s="1534"/>
      <c r="H63" s="1534"/>
      <c r="I63" s="1535"/>
      <c r="J63" s="1535"/>
      <c r="K63" s="1535"/>
      <c r="L63" s="1535"/>
      <c r="M63" s="1535"/>
      <c r="N63" s="1535"/>
      <c r="O63" s="1535"/>
      <c r="P63" s="1535"/>
      <c r="Q63" s="1535"/>
      <c r="R63" s="1535"/>
      <c r="S63" s="1535"/>
      <c r="T63" s="1535"/>
      <c r="U63" s="1535"/>
      <c r="V63" s="1535"/>
      <c r="W63" s="1535"/>
      <c r="X63" s="1535"/>
      <c r="Y63" s="1518"/>
      <c r="Z63" s="220"/>
      <c r="AA63" s="1004"/>
      <c r="AB63" s="1518"/>
      <c r="AC63" s="220"/>
      <c r="AD63" s="1004"/>
      <c r="AE63" s="1507"/>
      <c r="AF63" s="1508"/>
      <c r="AG63" s="220"/>
      <c r="AH63" s="214"/>
      <c r="AI63" s="214"/>
    </row>
    <row r="64" spans="1:36" ht="14.25" customHeight="1">
      <c r="A64" s="1526" t="s">
        <v>43</v>
      </c>
      <c r="B64" s="1004"/>
      <c r="C64" s="1004"/>
      <c r="D64" s="1534"/>
      <c r="E64" s="1534"/>
      <c r="F64" s="1534"/>
      <c r="G64" s="1534"/>
      <c r="H64" s="1534"/>
      <c r="I64" s="1535"/>
      <c r="J64" s="1535"/>
      <c r="K64" s="1535"/>
      <c r="L64" s="1535"/>
      <c r="M64" s="1535"/>
      <c r="N64" s="1535"/>
      <c r="O64" s="1535"/>
      <c r="P64" s="1535"/>
      <c r="Q64" s="1535"/>
      <c r="R64" s="1535"/>
      <c r="S64" s="1535"/>
      <c r="T64" s="1535"/>
      <c r="U64" s="1535"/>
      <c r="V64" s="1535"/>
      <c r="W64" s="1535"/>
      <c r="X64" s="1535"/>
      <c r="Y64" s="1518"/>
      <c r="Z64" s="220"/>
      <c r="AA64" s="1004"/>
      <c r="AB64" s="1518"/>
      <c r="AC64" s="220"/>
      <c r="AD64" s="1004"/>
      <c r="AE64" s="1507"/>
      <c r="AF64" s="1508"/>
      <c r="AG64" s="220"/>
      <c r="AH64" s="214"/>
      <c r="AI64" s="214"/>
    </row>
    <row r="65" spans="1:38" ht="14.25" customHeight="1">
      <c r="A65" s="218" t="s">
        <v>187</v>
      </c>
      <c r="B65" s="1141">
        <f>ROUND(SUM(B54-B62),1)</f>
        <v>4566</v>
      </c>
      <c r="C65" s="1510"/>
      <c r="D65" s="1141">
        <f>ROUND(SUM(D54-D62),1)</f>
        <v>1910.3</v>
      </c>
      <c r="E65" s="1523"/>
      <c r="F65" s="1141">
        <f>ROUND(SUM(F54-F62),1)</f>
        <v>4779.8</v>
      </c>
      <c r="G65" s="1523"/>
      <c r="H65" s="1141">
        <f>ROUND(SUM(H54-H62),1)</f>
        <v>2672.3</v>
      </c>
      <c r="I65" s="1524"/>
      <c r="J65" s="221">
        <f>ROUND(SUM(J54-J62),1)</f>
        <v>2708.7</v>
      </c>
      <c r="K65" s="1524"/>
      <c r="L65" s="221">
        <f>ROUND(SUM(L54-L62),1)</f>
        <v>4253.2</v>
      </c>
      <c r="M65" s="1524"/>
      <c r="N65" s="221">
        <f>ROUND(SUM(N54-N62),1)</f>
        <v>0</v>
      </c>
      <c r="O65" s="1524"/>
      <c r="P65" s="221">
        <f>ROUND(SUM(P54-P62),1)</f>
        <v>0</v>
      </c>
      <c r="Q65" s="741"/>
      <c r="R65" s="221">
        <f t="shared" ref="R65" si="13">ROUND(SUM(R54-R62),1)</f>
        <v>0</v>
      </c>
      <c r="S65" s="1524"/>
      <c r="T65" s="221">
        <f>ROUND(SUM(T54-T62),1)</f>
        <v>0</v>
      </c>
      <c r="U65" s="1524"/>
      <c r="V65" s="221">
        <f>ROUND(SUM(V54-V62),1)</f>
        <v>0</v>
      </c>
      <c r="W65" s="1524"/>
      <c r="X65" s="221">
        <f>ROUND(SUM(X54-X62),1)</f>
        <v>0</v>
      </c>
      <c r="Y65" s="1511"/>
      <c r="Z65" s="741"/>
      <c r="AA65" s="221">
        <f>ROUND(SUM(AA54-AA62),1)</f>
        <v>20890.3</v>
      </c>
      <c r="AB65" s="1511"/>
      <c r="AC65" s="741"/>
      <c r="AD65" s="221">
        <f>ROUND(SUM(AD54-AD62),1)</f>
        <v>25954.3</v>
      </c>
      <c r="AE65" s="1512"/>
      <c r="AF65" s="1513"/>
      <c r="AG65" s="221">
        <f>ROUND(SUM(+AG54-AG62),1)</f>
        <v>-5064</v>
      </c>
      <c r="AH65" s="218"/>
      <c r="AI65" s="962">
        <f>ROUND(IF(AD65=0,0,AG65/ABS(AD65)),3)</f>
        <v>-0.19500000000000001</v>
      </c>
      <c r="AJ65" s="1525"/>
    </row>
    <row r="66" spans="1:38" ht="19.5" customHeight="1">
      <c r="A66" s="214"/>
      <c r="B66" s="1004"/>
      <c r="C66" s="1004"/>
      <c r="D66" s="1004"/>
      <c r="E66" s="1004"/>
      <c r="F66" s="1004"/>
      <c r="G66" s="1004"/>
      <c r="H66" s="1004"/>
      <c r="I66" s="220"/>
      <c r="J66" s="220"/>
      <c r="K66" s="220"/>
      <c r="L66" s="220"/>
      <c r="M66" s="220"/>
      <c r="N66" s="220"/>
      <c r="O66" s="220"/>
      <c r="P66" s="220"/>
      <c r="Q66" s="220"/>
      <c r="R66" s="220"/>
      <c r="S66" s="220"/>
      <c r="T66" s="220"/>
      <c r="U66" s="220"/>
      <c r="V66" s="220"/>
      <c r="W66" s="220"/>
      <c r="X66" s="220"/>
      <c r="Y66" s="1518"/>
      <c r="Z66" s="220"/>
      <c r="AA66" s="1004"/>
      <c r="AB66" s="1518"/>
      <c r="AC66" s="220"/>
      <c r="AD66" s="1004"/>
      <c r="AE66" s="1507"/>
      <c r="AF66" s="1508"/>
      <c r="AG66" s="220"/>
      <c r="AH66" s="214"/>
      <c r="AI66" s="214"/>
    </row>
    <row r="67" spans="1:38" ht="14.25" customHeight="1">
      <c r="A67" s="1526" t="s">
        <v>45</v>
      </c>
      <c r="B67" s="1004"/>
      <c r="C67" s="1004"/>
      <c r="D67" s="1004"/>
      <c r="E67" s="1004"/>
      <c r="F67" s="1004"/>
      <c r="G67" s="1004"/>
      <c r="H67" s="1004"/>
      <c r="I67" s="220"/>
      <c r="J67" s="220"/>
      <c r="K67" s="220"/>
      <c r="L67" s="220"/>
      <c r="M67" s="220"/>
      <c r="N67" s="220"/>
      <c r="O67" s="220"/>
      <c r="P67" s="220"/>
      <c r="Q67" s="220"/>
      <c r="R67" s="220"/>
      <c r="S67" s="220"/>
      <c r="T67" s="220"/>
      <c r="U67" s="220"/>
      <c r="V67" s="220"/>
      <c r="W67" s="220"/>
      <c r="X67" s="220"/>
      <c r="Y67" s="1518"/>
      <c r="Z67" s="220"/>
      <c r="AA67" s="1004"/>
      <c r="AB67" s="1518"/>
      <c r="AC67" s="220"/>
      <c r="AD67" s="1004"/>
      <c r="AE67" s="1507"/>
      <c r="AF67" s="1508"/>
      <c r="AG67" s="220"/>
      <c r="AH67" s="214"/>
      <c r="AI67" s="214"/>
    </row>
    <row r="68" spans="1:38" ht="14.25" customHeight="1">
      <c r="A68" s="1527" t="s">
        <v>178</v>
      </c>
      <c r="B68" s="912">
        <v>135.69999999999999</v>
      </c>
      <c r="C68" s="1004"/>
      <c r="D68" s="912">
        <v>84.700000000000017</v>
      </c>
      <c r="E68" s="1004"/>
      <c r="F68" s="912">
        <v>135.79999999999998</v>
      </c>
      <c r="G68" s="1004"/>
      <c r="H68" s="912">
        <v>76.400000000000034</v>
      </c>
      <c r="I68" s="220"/>
      <c r="J68" s="912">
        <v>130.00000000000003</v>
      </c>
      <c r="K68" s="220"/>
      <c r="L68" s="912">
        <f t="shared" ref="L68:L69" si="14">$AA68-$B68-$D68-$F68-$H68-$J68</f>
        <v>81.500000000000028</v>
      </c>
      <c r="M68" s="220"/>
      <c r="N68" s="912"/>
      <c r="O68" s="220"/>
      <c r="P68" s="912"/>
      <c r="Q68" s="220"/>
      <c r="R68" s="912"/>
      <c r="S68" s="220"/>
      <c r="T68" s="912"/>
      <c r="U68" s="220"/>
      <c r="V68" s="912"/>
      <c r="W68" s="220"/>
      <c r="X68" s="912"/>
      <c r="Y68" s="1518"/>
      <c r="Z68" s="220"/>
      <c r="AA68" s="1229">
        <v>644.1</v>
      </c>
      <c r="AB68" s="1518"/>
      <c r="AC68" s="220"/>
      <c r="AD68" s="1229">
        <v>878.4</v>
      </c>
      <c r="AE68" s="1507"/>
      <c r="AF68" s="1508"/>
      <c r="AG68" s="220">
        <f>ROUND(SUM(AA68-AD68),1)</f>
        <v>-234.3</v>
      </c>
      <c r="AH68" s="214"/>
      <c r="AI68" s="948">
        <f>ROUND(IF(AD68=0,0,AG68/ABS(AD68)),3)</f>
        <v>-0.26700000000000002</v>
      </c>
    </row>
    <row r="69" spans="1:38" ht="14.25" customHeight="1">
      <c r="A69" s="1527" t="s">
        <v>188</v>
      </c>
      <c r="B69" s="912">
        <v>-4650.8999999999996</v>
      </c>
      <c r="C69" s="1004"/>
      <c r="D69" s="912">
        <v>-2014</v>
      </c>
      <c r="E69" s="1004"/>
      <c r="F69" s="912">
        <v>-4850.7000000000007</v>
      </c>
      <c r="G69" s="1004"/>
      <c r="H69" s="912">
        <v>-2520.6000000000004</v>
      </c>
      <c r="I69" s="220"/>
      <c r="J69" s="912">
        <v>-2260.5</v>
      </c>
      <c r="K69" s="220"/>
      <c r="L69" s="912">
        <f t="shared" si="14"/>
        <v>-5203.899999999996</v>
      </c>
      <c r="M69" s="220"/>
      <c r="N69" s="912"/>
      <c r="O69" s="220"/>
      <c r="P69" s="912"/>
      <c r="Q69" s="220"/>
      <c r="R69" s="912"/>
      <c r="S69" s="220"/>
      <c r="T69" s="912"/>
      <c r="U69" s="220"/>
      <c r="V69" s="912"/>
      <c r="W69" s="220"/>
      <c r="X69" s="912"/>
      <c r="Y69" s="1518"/>
      <c r="Z69" s="220"/>
      <c r="AA69" s="1536">
        <v>-21500.6</v>
      </c>
      <c r="AB69" s="1518"/>
      <c r="AC69" s="220"/>
      <c r="AD69" s="1536">
        <v>-26304.6</v>
      </c>
      <c r="AE69" s="1507"/>
      <c r="AF69" s="1508"/>
      <c r="AG69" s="1532">
        <f>ROUND(SUM(-(AA69-AD69)),1)</f>
        <v>-4804</v>
      </c>
      <c r="AH69" s="214"/>
      <c r="AI69" s="949">
        <f>ROUND(IF(AD69=0,0,AG69/ABS(AD69)),3)</f>
        <v>-0.183</v>
      </c>
    </row>
    <row r="70" spans="1:38" ht="15">
      <c r="A70" s="214"/>
      <c r="B70" s="1522"/>
      <c r="C70" s="220"/>
      <c r="D70" s="1537"/>
      <c r="E70" s="220"/>
      <c r="F70" s="1537"/>
      <c r="G70" s="220"/>
      <c r="H70" s="1537"/>
      <c r="I70" s="220"/>
      <c r="J70" s="1537"/>
      <c r="K70" s="220"/>
      <c r="L70" s="1537"/>
      <c r="M70" s="220"/>
      <c r="N70" s="1537"/>
      <c r="O70" s="220"/>
      <c r="P70" s="1537"/>
      <c r="Q70" s="220"/>
      <c r="R70" s="1537"/>
      <c r="S70" s="220"/>
      <c r="T70" s="1537"/>
      <c r="U70" s="220"/>
      <c r="V70" s="1537"/>
      <c r="W70" s="220"/>
      <c r="X70" s="1537"/>
      <c r="Y70" s="1518"/>
      <c r="Z70" s="220"/>
      <c r="AA70" s="1004"/>
      <c r="AB70" s="1518"/>
      <c r="AC70" s="220"/>
      <c r="AD70" s="1004"/>
      <c r="AE70" s="1507"/>
      <c r="AF70" s="1508"/>
      <c r="AG70" s="220"/>
      <c r="AH70" s="214"/>
      <c r="AI70" s="214"/>
    </row>
    <row r="71" spans="1:38" ht="14.25" customHeight="1">
      <c r="A71" s="1526" t="s">
        <v>826</v>
      </c>
      <c r="B71" s="1228">
        <f>ROUND(SUM(B68:B69),1)</f>
        <v>-4515.2</v>
      </c>
      <c r="C71" s="741"/>
      <c r="D71" s="1228">
        <f>ROUND(SUM(D68:D69),1)</f>
        <v>-1929.3</v>
      </c>
      <c r="E71" s="1524"/>
      <c r="F71" s="1228">
        <f>ROUND(SUM(F68:F69),1)</f>
        <v>-4714.8999999999996</v>
      </c>
      <c r="G71" s="1524"/>
      <c r="H71" s="1228">
        <f>ROUND(SUM(H68:H69),1)</f>
        <v>-2444.1999999999998</v>
      </c>
      <c r="I71" s="1524"/>
      <c r="J71" s="1228">
        <f>ROUND(SUM(J68:J69),1)</f>
        <v>-2130.5</v>
      </c>
      <c r="K71" s="1524"/>
      <c r="L71" s="1228">
        <f>ROUND(SUM(L68:L69),1)</f>
        <v>-5122.3999999999996</v>
      </c>
      <c r="M71" s="1524"/>
      <c r="N71" s="1228">
        <f>ROUND(SUM(N68:N69),1)</f>
        <v>0</v>
      </c>
      <c r="O71" s="1524"/>
      <c r="P71" s="1228">
        <f>ROUND(SUM(P68:P69),1)</f>
        <v>0</v>
      </c>
      <c r="Q71" s="1240"/>
      <c r="R71" s="1228">
        <f t="shared" ref="R71" si="15">ROUND(SUM(R68:R69),1)</f>
        <v>0</v>
      </c>
      <c r="S71" s="1524"/>
      <c r="T71" s="1228">
        <f>ROUND(SUM(T68:T69),1)</f>
        <v>0</v>
      </c>
      <c r="U71" s="1524"/>
      <c r="V71" s="1228">
        <f>ROUND(SUM(V68:V69),1)</f>
        <v>0</v>
      </c>
      <c r="W71" s="1524"/>
      <c r="X71" s="1228">
        <f>ROUND(SUM(X68:X69),1)</f>
        <v>0</v>
      </c>
      <c r="Y71" s="1511"/>
      <c r="Z71" s="741"/>
      <c r="AA71" s="1228">
        <f>ROUND(SUM(AA68:AA69),1)</f>
        <v>-20856.5</v>
      </c>
      <c r="AB71" s="1511"/>
      <c r="AC71" s="741"/>
      <c r="AD71" s="1228">
        <f>ROUND(SUM(AD68:AD69),1)</f>
        <v>-25426.2</v>
      </c>
      <c r="AE71" s="1512"/>
      <c r="AF71" s="1513"/>
      <c r="AG71" s="1228">
        <f>ROUND(SUM(AA71-AD71),1)</f>
        <v>4569.7</v>
      </c>
      <c r="AH71" s="218"/>
      <c r="AI71" s="962">
        <f>ROUND(IF(AD71=0,0,AG71/ABS(AD71)),3)</f>
        <v>0.18</v>
      </c>
      <c r="AJ71" s="1525"/>
    </row>
    <row r="72" spans="1:38" ht="19.5" customHeight="1">
      <c r="A72" s="214"/>
      <c r="B72" s="220"/>
      <c r="C72" s="220"/>
      <c r="D72" s="1507"/>
      <c r="E72" s="220"/>
      <c r="F72" s="1507"/>
      <c r="G72" s="220"/>
      <c r="H72" s="1507"/>
      <c r="I72" s="220"/>
      <c r="J72" s="1507"/>
      <c r="K72" s="220"/>
      <c r="L72" s="1507"/>
      <c r="M72" s="220"/>
      <c r="N72" s="1507"/>
      <c r="O72" s="220"/>
      <c r="P72" s="1507"/>
      <c r="Q72" s="220"/>
      <c r="R72" s="1507"/>
      <c r="S72" s="220"/>
      <c r="T72" s="1507"/>
      <c r="U72" s="220"/>
      <c r="V72" s="1507"/>
      <c r="W72" s="220"/>
      <c r="X72" s="1507"/>
      <c r="Y72" s="1518"/>
      <c r="Z72" s="220"/>
      <c r="AA72" s="1004"/>
      <c r="AB72" s="1518"/>
      <c r="AC72" s="220"/>
      <c r="AD72" s="1004"/>
      <c r="AE72" s="1507"/>
      <c r="AF72" s="1508"/>
      <c r="AG72" s="220"/>
      <c r="AH72" s="214"/>
      <c r="AI72" s="214"/>
    </row>
    <row r="73" spans="1:38" ht="14.25" customHeight="1">
      <c r="A73" s="218" t="s">
        <v>189</v>
      </c>
      <c r="B73" s="220"/>
      <c r="C73" s="220"/>
      <c r="D73" s="1535"/>
      <c r="E73" s="220"/>
      <c r="F73" s="1535"/>
      <c r="G73" s="220"/>
      <c r="H73" s="1535"/>
      <c r="I73" s="220"/>
      <c r="J73" s="1535"/>
      <c r="K73" s="220"/>
      <c r="L73" s="1535"/>
      <c r="M73" s="220"/>
      <c r="N73" s="1535"/>
      <c r="O73" s="220"/>
      <c r="P73" s="1535"/>
      <c r="Q73" s="220"/>
      <c r="R73" s="1535"/>
      <c r="S73" s="220"/>
      <c r="T73" s="1535"/>
      <c r="U73" s="220"/>
      <c r="V73" s="1535"/>
      <c r="W73" s="220"/>
      <c r="X73" s="1535"/>
      <c r="Y73" s="1518"/>
      <c r="Z73" s="220"/>
      <c r="AA73" s="1004"/>
      <c r="AB73" s="1518"/>
      <c r="AC73" s="220"/>
      <c r="AD73" s="1004"/>
      <c r="AE73" s="1507"/>
      <c r="AF73" s="1508"/>
      <c r="AG73" s="220"/>
      <c r="AH73" s="214"/>
      <c r="AI73" s="214"/>
    </row>
    <row r="74" spans="1:38" ht="14.25" customHeight="1">
      <c r="A74" s="218" t="s">
        <v>190</v>
      </c>
      <c r="B74" s="220"/>
      <c r="C74" s="220"/>
      <c r="D74" s="1535"/>
      <c r="E74" s="220"/>
      <c r="F74" s="1535"/>
      <c r="G74" s="220"/>
      <c r="H74" s="1535"/>
      <c r="I74" s="220"/>
      <c r="J74" s="1535"/>
      <c r="K74" s="220"/>
      <c r="L74" s="1535"/>
      <c r="M74" s="220"/>
      <c r="N74" s="1535"/>
      <c r="O74" s="220"/>
      <c r="P74" s="1535"/>
      <c r="Q74" s="220"/>
      <c r="R74" s="1535"/>
      <c r="S74" s="220"/>
      <c r="T74" s="1535"/>
      <c r="U74" s="220"/>
      <c r="V74" s="1535"/>
      <c r="W74" s="220"/>
      <c r="X74" s="1535"/>
      <c r="Y74" s="1518"/>
      <c r="Z74" s="220"/>
      <c r="AA74" s="1004"/>
      <c r="AB74" s="1518"/>
      <c r="AC74" s="220"/>
      <c r="AD74" s="1004"/>
      <c r="AE74" s="1507"/>
      <c r="AF74" s="1508"/>
      <c r="AG74" s="220"/>
      <c r="AH74" s="214"/>
      <c r="AI74" s="214"/>
    </row>
    <row r="75" spans="1:38" ht="14.25" customHeight="1">
      <c r="A75" s="218" t="s">
        <v>1078</v>
      </c>
      <c r="B75" s="221">
        <f>ROUND(SUM(+B65+B71),1)</f>
        <v>50.8</v>
      </c>
      <c r="C75" s="741"/>
      <c r="D75" s="221">
        <f>ROUND(SUM(+D65+D71),1)</f>
        <v>-19</v>
      </c>
      <c r="E75" s="741"/>
      <c r="F75" s="221">
        <f>ROUND(SUM(+F65+F71),1)</f>
        <v>64.900000000000006</v>
      </c>
      <c r="G75" s="741"/>
      <c r="H75" s="221">
        <f>ROUND(SUM(+H65+H71),1)</f>
        <v>228.1</v>
      </c>
      <c r="I75" s="741"/>
      <c r="J75" s="221">
        <f>ROUND(SUM(+J65+J71),1)</f>
        <v>578.20000000000005</v>
      </c>
      <c r="K75" s="741"/>
      <c r="L75" s="221">
        <f>ROUND(SUM(+L65+L71),1)</f>
        <v>-869.2</v>
      </c>
      <c r="M75" s="741"/>
      <c r="N75" s="221">
        <f>ROUND(SUM(+N65+N71),1)</f>
        <v>0</v>
      </c>
      <c r="O75" s="741"/>
      <c r="P75" s="221">
        <f>ROUND(SUM(+P65+P71),1)</f>
        <v>0</v>
      </c>
      <c r="Q75" s="741"/>
      <c r="R75" s="221">
        <f>ROUND(SUM(+R65+R71),1)</f>
        <v>0</v>
      </c>
      <c r="S75" s="741"/>
      <c r="T75" s="221">
        <f>ROUND(SUM(+T65+T71),1)</f>
        <v>0</v>
      </c>
      <c r="U75" s="741"/>
      <c r="V75" s="221">
        <f>ROUND(SUM(+V65+V71),1)</f>
        <v>0</v>
      </c>
      <c r="W75" s="741"/>
      <c r="X75" s="221">
        <f>ROUND(SUM(+X65+X71),1)</f>
        <v>0</v>
      </c>
      <c r="Y75" s="1511"/>
      <c r="Z75" s="741"/>
      <c r="AA75" s="221">
        <f>ROUND(SUM(+AA65+AA71),1)</f>
        <v>33.799999999999997</v>
      </c>
      <c r="AB75" s="1511"/>
      <c r="AC75" s="741"/>
      <c r="AD75" s="221">
        <f>ROUND(SUM(+AD65+AD71),1)</f>
        <v>528.1</v>
      </c>
      <c r="AE75" s="1512"/>
      <c r="AF75" s="1513"/>
      <c r="AG75" s="221">
        <f>ROUND(SUM(+AG65+AG71),1)</f>
        <v>-494.3</v>
      </c>
      <c r="AH75" s="218"/>
      <c r="AI75" s="965">
        <f>ROUND(IF(AD75=0,0,AG75/ABS(AD75)),3)</f>
        <v>-0.93600000000000005</v>
      </c>
      <c r="AJ75" s="1525"/>
    </row>
    <row r="76" spans="1:38" ht="15">
      <c r="A76" s="214"/>
      <c r="B76" s="215"/>
      <c r="C76" s="215"/>
      <c r="D76" s="1494"/>
      <c r="E76" s="215"/>
      <c r="F76" s="1538"/>
      <c r="G76" s="215"/>
      <c r="H76" s="1538"/>
      <c r="I76" s="215"/>
      <c r="J76" s="1538"/>
      <c r="K76" s="215"/>
      <c r="L76" s="1539"/>
      <c r="M76" s="215"/>
      <c r="N76" s="1538"/>
      <c r="O76" s="215"/>
      <c r="P76" s="1538"/>
      <c r="Q76" s="215"/>
      <c r="R76" s="1538"/>
      <c r="S76" s="215"/>
      <c r="T76" s="1538"/>
      <c r="U76" s="215"/>
      <c r="V76" s="1538"/>
      <c r="W76" s="215"/>
      <c r="X76" s="1538"/>
      <c r="Y76" s="1505"/>
      <c r="Z76" s="215"/>
      <c r="AA76" s="215" t="s">
        <v>14</v>
      </c>
      <c r="AB76" s="1505"/>
      <c r="AC76" s="215"/>
      <c r="AD76" s="1865"/>
      <c r="AE76" s="1494"/>
      <c r="AF76" s="219"/>
      <c r="AG76" s="215"/>
      <c r="AH76" s="214"/>
      <c r="AI76" s="214"/>
    </row>
    <row r="77" spans="1:38" ht="19.5" customHeight="1" thickBot="1">
      <c r="A77" s="218" t="s">
        <v>139</v>
      </c>
      <c r="B77" s="1540">
        <f>ROUND(SUM(B12+B75),1)</f>
        <v>210.2</v>
      </c>
      <c r="C77" s="217"/>
      <c r="D77" s="1540">
        <f>ROUND(SUM(D12+D75),1)</f>
        <v>191.2</v>
      </c>
      <c r="E77" s="217"/>
      <c r="F77" s="1540">
        <f>ROUND(SUM(F12+F75),1)</f>
        <v>256.10000000000002</v>
      </c>
      <c r="G77" s="217"/>
      <c r="H77" s="1540">
        <f>ROUND(SUM(H12+H75),1)</f>
        <v>484.2</v>
      </c>
      <c r="I77" s="217"/>
      <c r="J77" s="1540">
        <f>ROUND(SUM(J12+J75),1)</f>
        <v>1062.4000000000001</v>
      </c>
      <c r="K77" s="217"/>
      <c r="L77" s="1540">
        <f>ROUND(SUM(L12+L75),1)</f>
        <v>193.2</v>
      </c>
      <c r="M77" s="217"/>
      <c r="N77" s="1540">
        <f>ROUND(SUM(N12+N75),1)</f>
        <v>0</v>
      </c>
      <c r="O77" s="217"/>
      <c r="P77" s="1540">
        <f>ROUND(SUM(P12+P75),1)</f>
        <v>0</v>
      </c>
      <c r="Q77" s="217"/>
      <c r="R77" s="1540">
        <f>ROUND(SUM(R12+R75),1)</f>
        <v>0</v>
      </c>
      <c r="S77" s="217"/>
      <c r="T77" s="1540">
        <f>ROUND(SUM(T12+T75),1)</f>
        <v>0</v>
      </c>
      <c r="U77" s="217"/>
      <c r="V77" s="1540">
        <f>ROUND(SUM(V12+V75),1)</f>
        <v>0</v>
      </c>
      <c r="W77" s="217"/>
      <c r="X77" s="1540">
        <f>ROUND(SUM(X12+X75),1)</f>
        <v>0</v>
      </c>
      <c r="Y77" s="1500"/>
      <c r="Z77" s="217"/>
      <c r="AA77" s="1540">
        <f>ROUND(SUM(AA12+AA75),1)</f>
        <v>193.2</v>
      </c>
      <c r="AB77" s="1500"/>
      <c r="AC77" s="217"/>
      <c r="AD77" s="1540">
        <f>ROUND(SUM(AD12+AD75),1)</f>
        <v>630.1</v>
      </c>
      <c r="AE77" s="1541"/>
      <c r="AF77" s="1502"/>
      <c r="AG77" s="1540">
        <f>ROUND(SUM(+AG12+AG75),1)</f>
        <v>-436.9</v>
      </c>
      <c r="AH77" s="218"/>
      <c r="AI77" s="2171">
        <f>ROUND(IF(AD77=0,0,AG77/ABS(AD77)),3)</f>
        <v>-0.69299999999999995</v>
      </c>
      <c r="AJ77" s="1542"/>
      <c r="AK77" s="1515"/>
      <c r="AL77" s="1515"/>
    </row>
    <row r="78" spans="1:38" ht="14.25" customHeight="1" thickTop="1">
      <c r="A78" s="1515"/>
      <c r="B78" s="1543"/>
      <c r="C78" s="1543"/>
      <c r="D78" s="1543"/>
      <c r="F78" s="1543"/>
      <c r="H78" s="1544"/>
      <c r="J78" s="1544"/>
      <c r="L78" s="1544"/>
      <c r="N78" s="1544"/>
      <c r="P78" s="1544"/>
      <c r="R78" s="1544"/>
      <c r="T78" s="1544"/>
      <c r="U78" s="1480"/>
      <c r="V78" s="1544"/>
      <c r="W78" s="1480"/>
      <c r="X78" s="1544"/>
      <c r="Y78" s="1543"/>
      <c r="Z78" s="1543"/>
      <c r="AA78" s="1543"/>
      <c r="AB78" s="1543"/>
      <c r="AC78" s="1543"/>
      <c r="AD78" s="1543"/>
      <c r="AE78" s="1545"/>
      <c r="AF78" s="1543"/>
      <c r="AG78" s="1543"/>
      <c r="AI78" s="1546"/>
    </row>
    <row r="79" spans="1:38">
      <c r="L79" s="1480"/>
      <c r="T79" s="1547"/>
      <c r="U79" s="1547"/>
      <c r="V79" s="1547"/>
      <c r="W79" s="1547"/>
      <c r="X79" s="1547"/>
      <c r="AD79" s="1548"/>
    </row>
    <row r="80" spans="1:38" ht="12" customHeight="1">
      <c r="A80" s="214"/>
      <c r="L80" s="1480"/>
      <c r="R80" s="1549"/>
      <c r="T80" s="1543"/>
      <c r="V80" s="1543"/>
      <c r="X80" s="1543"/>
    </row>
    <row r="81" spans="1:35">
      <c r="B81" s="1548"/>
      <c r="L81" s="1480"/>
      <c r="R81" s="1549"/>
      <c r="T81" s="1543"/>
      <c r="V81" s="1543"/>
      <c r="X81" s="1543"/>
    </row>
    <row r="82" spans="1:35">
      <c r="A82" s="1550"/>
      <c r="L82" s="1480"/>
    </row>
    <row r="83" spans="1:35">
      <c r="A83" s="1551"/>
      <c r="B83" s="1548"/>
      <c r="L83" s="1480"/>
      <c r="R83" s="1552"/>
    </row>
    <row r="84" spans="1:35">
      <c r="A84" s="1553"/>
      <c r="B84" s="1548"/>
      <c r="L84" s="1480"/>
    </row>
    <row r="85" spans="1:35">
      <c r="A85" s="1554"/>
      <c r="L85" s="1480"/>
      <c r="AI85" s="1543"/>
    </row>
    <row r="86" spans="1:35">
      <c r="L86" s="1480"/>
    </row>
    <row r="87" spans="1:35">
      <c r="L87" s="1480"/>
    </row>
    <row r="88" spans="1:35">
      <c r="L88" s="1480"/>
    </row>
    <row r="89" spans="1:35">
      <c r="L89" s="1480"/>
    </row>
    <row r="90" spans="1:35">
      <c r="L90" s="1480"/>
    </row>
    <row r="91" spans="1:35">
      <c r="L91" s="1480"/>
    </row>
    <row r="92" spans="1:35">
      <c r="L92" s="1480"/>
    </row>
    <row r="93" spans="1:35">
      <c r="L93" s="1480"/>
    </row>
    <row r="94" spans="1:35">
      <c r="L94" s="1480"/>
    </row>
    <row r="95" spans="1:35">
      <c r="L95" s="1480"/>
    </row>
    <row r="96" spans="1:35">
      <c r="L96" s="1480"/>
    </row>
    <row r="97" spans="12:12">
      <c r="L97" s="1480"/>
    </row>
    <row r="98" spans="12:12">
      <c r="L98" s="1480"/>
    </row>
    <row r="99" spans="12:12">
      <c r="L99" s="1480"/>
    </row>
    <row r="100" spans="12:12">
      <c r="L100" s="1480"/>
    </row>
    <row r="101" spans="12:12">
      <c r="L101" s="1480"/>
    </row>
    <row r="102" spans="12:12">
      <c r="L102" s="1480"/>
    </row>
    <row r="103" spans="12:12">
      <c r="L103" s="1480"/>
    </row>
    <row r="104" spans="12:12">
      <c r="L104" s="1480"/>
    </row>
    <row r="105" spans="12:12">
      <c r="L105" s="1480"/>
    </row>
    <row r="106" spans="12:12">
      <c r="L106" s="1480"/>
    </row>
    <row r="107" spans="12:12">
      <c r="L107" s="1480"/>
    </row>
    <row r="108" spans="12:12">
      <c r="L108" s="1480"/>
    </row>
    <row r="109" spans="12:12">
      <c r="L109" s="1480"/>
    </row>
    <row r="110" spans="12:12">
      <c r="L110" s="1480"/>
    </row>
    <row r="111" spans="12:12">
      <c r="L111" s="1480"/>
    </row>
    <row r="112" spans="12:12">
      <c r="L112" s="1480"/>
    </row>
    <row r="113" spans="12:12">
      <c r="L113" s="1480"/>
    </row>
    <row r="114" spans="12:12">
      <c r="L114" s="1480"/>
    </row>
    <row r="115" spans="12:12">
      <c r="L115" s="1480"/>
    </row>
    <row r="116" spans="12:12">
      <c r="L116" s="1480"/>
    </row>
    <row r="117" spans="12:12">
      <c r="L117" s="1480"/>
    </row>
    <row r="118" spans="12:12">
      <c r="L118" s="1480"/>
    </row>
    <row r="119" spans="12:12">
      <c r="L119" s="1480"/>
    </row>
    <row r="120" spans="12:12">
      <c r="L120" s="1480"/>
    </row>
    <row r="121" spans="12:12">
      <c r="L121" s="1480"/>
    </row>
    <row r="122" spans="12:12">
      <c r="L122" s="1480"/>
    </row>
    <row r="123" spans="12:12">
      <c r="L123" s="1480"/>
    </row>
    <row r="124" spans="12:12">
      <c r="L124" s="1480"/>
    </row>
    <row r="125" spans="12:12">
      <c r="L125" s="1480"/>
    </row>
    <row r="126" spans="12:12">
      <c r="L126" s="1480"/>
    </row>
    <row r="127" spans="12:12">
      <c r="L127" s="1480"/>
    </row>
    <row r="128" spans="12:12">
      <c r="L128" s="1480"/>
    </row>
    <row r="129" spans="12:12">
      <c r="L129" s="1480"/>
    </row>
    <row r="130" spans="12:12">
      <c r="L130" s="1480"/>
    </row>
    <row r="131" spans="12:12">
      <c r="L131" s="1480"/>
    </row>
    <row r="132" spans="12:12">
      <c r="L132" s="1480"/>
    </row>
    <row r="133" spans="12:12">
      <c r="L133" s="1480"/>
    </row>
    <row r="134" spans="12:12">
      <c r="L134" s="1480"/>
    </row>
    <row r="135" spans="12:12">
      <c r="L135" s="1480"/>
    </row>
    <row r="136" spans="12:12">
      <c r="L136" s="1480"/>
    </row>
    <row r="137" spans="12:12">
      <c r="L137" s="1480"/>
    </row>
    <row r="138" spans="12:12">
      <c r="L138" s="1480"/>
    </row>
    <row r="139" spans="12:12">
      <c r="L139" s="1480"/>
    </row>
    <row r="140" spans="12:12">
      <c r="L140" s="1480"/>
    </row>
    <row r="141" spans="12:12">
      <c r="L141" s="1480"/>
    </row>
    <row r="142" spans="12:12">
      <c r="L142" s="1480"/>
    </row>
    <row r="143" spans="12:12">
      <c r="L143" s="1480"/>
    </row>
    <row r="144" spans="12:12">
      <c r="L144" s="1480"/>
    </row>
    <row r="145" spans="12:12">
      <c r="L145" s="1480"/>
    </row>
    <row r="146" spans="12:12">
      <c r="L146" s="1480"/>
    </row>
    <row r="147" spans="12:12">
      <c r="L147" s="1480"/>
    </row>
    <row r="148" spans="12:12">
      <c r="L148" s="1480"/>
    </row>
    <row r="149" spans="12:12">
      <c r="L149" s="1480"/>
    </row>
    <row r="150" spans="12:12">
      <c r="L150" s="1480"/>
    </row>
    <row r="151" spans="12:12">
      <c r="L151" s="1480"/>
    </row>
    <row r="152" spans="12:12">
      <c r="L152" s="1480"/>
    </row>
    <row r="153" spans="12:12">
      <c r="L153" s="1480"/>
    </row>
    <row r="154" spans="12:12">
      <c r="L154" s="1480"/>
    </row>
    <row r="155" spans="12:12">
      <c r="L155" s="1480"/>
    </row>
    <row r="156" spans="12:12">
      <c r="L156" s="1480"/>
    </row>
    <row r="157" spans="12:12">
      <c r="L157" s="1480"/>
    </row>
    <row r="158" spans="12:12">
      <c r="L158" s="1480"/>
    </row>
    <row r="159" spans="12:12">
      <c r="L159" s="1480"/>
    </row>
    <row r="160" spans="12:12">
      <c r="L160" s="1480"/>
    </row>
    <row r="161" spans="12:12">
      <c r="L161" s="1480"/>
    </row>
    <row r="162" spans="12:12">
      <c r="L162" s="1480"/>
    </row>
    <row r="163" spans="12:12">
      <c r="L163" s="1480"/>
    </row>
    <row r="164" spans="12:12">
      <c r="L164" s="1480"/>
    </row>
    <row r="165" spans="12:12">
      <c r="L165" s="1480"/>
    </row>
    <row r="166" spans="12:12">
      <c r="L166" s="1480"/>
    </row>
    <row r="167" spans="12:12">
      <c r="L167" s="1480"/>
    </row>
    <row r="168" spans="12:12">
      <c r="L168" s="1480"/>
    </row>
    <row r="169" spans="12:12">
      <c r="L169" s="1480"/>
    </row>
    <row r="170" spans="12:12">
      <c r="L170" s="1480"/>
    </row>
    <row r="171" spans="12:12">
      <c r="L171" s="1480"/>
    </row>
    <row r="172" spans="12:12">
      <c r="L172" s="1480"/>
    </row>
    <row r="173" spans="12:12">
      <c r="L173" s="1480"/>
    </row>
    <row r="174" spans="12:12">
      <c r="L174" s="1480"/>
    </row>
    <row r="175" spans="12:12">
      <c r="L175" s="1480"/>
    </row>
    <row r="176" spans="12:12">
      <c r="L176" s="1480"/>
    </row>
    <row r="177" spans="12:12">
      <c r="L177" s="1480"/>
    </row>
    <row r="178" spans="12:12">
      <c r="L178" s="1480"/>
    </row>
    <row r="179" spans="12:12">
      <c r="L179" s="1480"/>
    </row>
    <row r="180" spans="12:12">
      <c r="L180" s="1480"/>
    </row>
    <row r="181" spans="12:12">
      <c r="L181" s="1480"/>
    </row>
    <row r="182" spans="12:12">
      <c r="L182" s="1480"/>
    </row>
    <row r="183" spans="12:12">
      <c r="L183" s="1480"/>
    </row>
    <row r="184" spans="12:12">
      <c r="L184" s="1480"/>
    </row>
    <row r="185" spans="12:12">
      <c r="L185" s="1480"/>
    </row>
    <row r="186" spans="12:12">
      <c r="L186" s="1480"/>
    </row>
    <row r="187" spans="12:12">
      <c r="L187" s="1480"/>
    </row>
    <row r="188" spans="12:12">
      <c r="L188" s="1480"/>
    </row>
    <row r="189" spans="12:12">
      <c r="L189" s="1480"/>
    </row>
    <row r="190" spans="12:12">
      <c r="L190" s="1480"/>
    </row>
    <row r="191" spans="12:12">
      <c r="L191" s="1480"/>
    </row>
    <row r="192" spans="12:12">
      <c r="L192" s="1480"/>
    </row>
    <row r="193" spans="12:12">
      <c r="L193" s="1480"/>
    </row>
    <row r="194" spans="12:12">
      <c r="L194" s="1480"/>
    </row>
    <row r="195" spans="12:12">
      <c r="L195" s="1480"/>
    </row>
    <row r="196" spans="12:12">
      <c r="L196" s="1480"/>
    </row>
    <row r="197" spans="12:12">
      <c r="L197" s="1480"/>
    </row>
    <row r="198" spans="12:12">
      <c r="L198" s="1480"/>
    </row>
    <row r="199" spans="12:12">
      <c r="L199" s="1480"/>
    </row>
    <row r="200" spans="12:12">
      <c r="L200" s="1480"/>
    </row>
    <row r="201" spans="12:12">
      <c r="L201" s="1480"/>
    </row>
    <row r="202" spans="12:12">
      <c r="L202" s="1480"/>
    </row>
    <row r="203" spans="12:12">
      <c r="L203" s="1480"/>
    </row>
    <row r="204" spans="12:12">
      <c r="L204" s="1480"/>
    </row>
    <row r="205" spans="12:12">
      <c r="L205" s="1480"/>
    </row>
    <row r="206" spans="12:12">
      <c r="L206" s="1480"/>
    </row>
    <row r="207" spans="12:12">
      <c r="L207" s="1480"/>
    </row>
    <row r="208" spans="12:12">
      <c r="L208" s="1480"/>
    </row>
    <row r="209" spans="12:12">
      <c r="L209" s="1480"/>
    </row>
    <row r="210" spans="12:12">
      <c r="L210" s="1480"/>
    </row>
    <row r="211" spans="12:12">
      <c r="L211" s="1480"/>
    </row>
    <row r="212" spans="12:12">
      <c r="L212" s="1480"/>
    </row>
    <row r="213" spans="12:12">
      <c r="L213" s="1480"/>
    </row>
    <row r="214" spans="12:12">
      <c r="L214" s="1480"/>
    </row>
    <row r="215" spans="12:12">
      <c r="L215" s="1480"/>
    </row>
    <row r="216" spans="12:12">
      <c r="L216" s="1480"/>
    </row>
    <row r="217" spans="12:12">
      <c r="L217" s="1480"/>
    </row>
    <row r="218" spans="12:12">
      <c r="L218" s="1480"/>
    </row>
    <row r="219" spans="12:12">
      <c r="L219" s="1480"/>
    </row>
    <row r="220" spans="12:12">
      <c r="L220" s="1480"/>
    </row>
    <row r="221" spans="12:12">
      <c r="L221" s="1480"/>
    </row>
    <row r="222" spans="12:12">
      <c r="L222" s="1480"/>
    </row>
    <row r="223" spans="12:12">
      <c r="L223" s="1480"/>
    </row>
    <row r="224" spans="12:12">
      <c r="L224" s="1480"/>
    </row>
    <row r="225" spans="12:12">
      <c r="L225" s="1480"/>
    </row>
    <row r="226" spans="12:12">
      <c r="L226" s="1480"/>
    </row>
    <row r="227" spans="12:12">
      <c r="L227" s="1480"/>
    </row>
    <row r="228" spans="12:12">
      <c r="L228" s="1480"/>
    </row>
    <row r="229" spans="12:12">
      <c r="L229" s="1480"/>
    </row>
    <row r="230" spans="12:12">
      <c r="L230" s="1480"/>
    </row>
    <row r="231" spans="12:12">
      <c r="L231" s="1480"/>
    </row>
    <row r="232" spans="12:12">
      <c r="L232" s="1480"/>
    </row>
    <row r="233" spans="12:12">
      <c r="L233" s="1480"/>
    </row>
    <row r="234" spans="12:12">
      <c r="L234" s="1480"/>
    </row>
    <row r="235" spans="12:12">
      <c r="L235" s="1480"/>
    </row>
    <row r="236" spans="12:12">
      <c r="L236" s="1480"/>
    </row>
    <row r="237" spans="12:12">
      <c r="L237" s="1480"/>
    </row>
    <row r="238" spans="12:12">
      <c r="L238" s="1480"/>
    </row>
    <row r="239" spans="12:12">
      <c r="L239" s="1480"/>
    </row>
    <row r="240" spans="12:12">
      <c r="L240" s="1480"/>
    </row>
    <row r="241" spans="12:12">
      <c r="L241" s="1480"/>
    </row>
    <row r="242" spans="12:12">
      <c r="L242" s="1480"/>
    </row>
    <row r="243" spans="12:12">
      <c r="L243" s="1480"/>
    </row>
    <row r="244" spans="12:12">
      <c r="L244" s="1480"/>
    </row>
    <row r="245" spans="12:12">
      <c r="L245" s="1480"/>
    </row>
    <row r="246" spans="12:12">
      <c r="L246" s="1480"/>
    </row>
    <row r="247" spans="12:12">
      <c r="L247" s="1480"/>
    </row>
    <row r="248" spans="12:12">
      <c r="L248" s="1480"/>
    </row>
    <row r="249" spans="12:12">
      <c r="L249" s="1480"/>
    </row>
    <row r="250" spans="12:12">
      <c r="L250" s="1480"/>
    </row>
    <row r="251" spans="12:12">
      <c r="L251" s="1480"/>
    </row>
    <row r="252" spans="12:12">
      <c r="L252" s="1480"/>
    </row>
    <row r="253" spans="12:12">
      <c r="L253" s="1480"/>
    </row>
    <row r="254" spans="12:12">
      <c r="L254" s="1480"/>
    </row>
    <row r="255" spans="12:12">
      <c r="L255" s="1480"/>
    </row>
    <row r="256" spans="12:12">
      <c r="L256" s="1480"/>
    </row>
    <row r="257" spans="12:12">
      <c r="L257" s="1480"/>
    </row>
    <row r="258" spans="12:12">
      <c r="L258" s="1480"/>
    </row>
    <row r="259" spans="12:12">
      <c r="L259" s="1480"/>
    </row>
    <row r="260" spans="12:12">
      <c r="L260" s="1480"/>
    </row>
    <row r="261" spans="12:12">
      <c r="L261" s="1480"/>
    </row>
  </sheetData>
  <mergeCells count="2">
    <mergeCell ref="AB5:AD5"/>
    <mergeCell ref="AA8:AI8"/>
  </mergeCells>
  <pageMargins left="0.25" right="0.25" top="0.5" bottom="0.25" header="0.5" footer="0.25"/>
  <pageSetup scale="48" firstPageNumber="28" orientation="landscape" useFirstPageNumber="1" r:id="rId1"/>
  <headerFooter scaleWithDoc="0" alignWithMargins="0">
    <oddFooter>&amp;C&amp;8&amp;P</oddFooter>
  </headerFooter>
  <rowBreaks count="1" manualBreakCount="1">
    <brk id="85" max="34" man="1"/>
  </rowBreaks>
  <customProperties>
    <customPr name="SheetOptions" r:id="rId2"/>
  </customProperties>
  <ignoredErrors>
    <ignoredError sqref="AJ41 AI18 AJ45:AJ46 AJ47 AI76 AI24 AI28 AI55:AI57 AI73:AI74 AI72 AI66 AI63:AI64 AI61 AI59 AI70 AI71 AI60 AI62 AI65 AI68:AI69 AI51 AI53 AI54 AI50 AI67 AI77" unlockedFormula="1"/>
    <ignoredError sqref="I50 K50" formulaRange="1"/>
    <ignoredError sqref="AI47 AI45 AI46" formula="1" unlockedFormula="1"/>
    <ignoredError sqref="AI26 AI41 L41" formula="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dimension ref="A1:BC112"/>
  <sheetViews>
    <sheetView showGridLines="0" zoomScale="90" zoomScaleNormal="80" workbookViewId="0"/>
  </sheetViews>
  <sheetFormatPr defaultColWidth="8.88671875" defaultRowHeight="15"/>
  <cols>
    <col min="1" max="1" width="2.5546875" style="71" customWidth="1"/>
    <col min="2" max="2" width="15.88671875" style="71" customWidth="1"/>
    <col min="3" max="3" width="25.109375" style="71" customWidth="1"/>
    <col min="4" max="4" width="2" style="71" customWidth="1"/>
    <col min="5" max="5" width="12.5546875" style="71" customWidth="1"/>
    <col min="6" max="6" width="1.88671875" style="71" customWidth="1"/>
    <col min="7" max="7" width="11.88671875" style="71" bestFit="1" customWidth="1"/>
    <col min="8" max="8" width="1.88671875" style="71" customWidth="1"/>
    <col min="9" max="9" width="11.44140625" style="71" bestFit="1" customWidth="1"/>
    <col min="10" max="10" width="1.88671875" style="71" customWidth="1"/>
    <col min="11" max="11" width="11.88671875" style="71" bestFit="1" customWidth="1"/>
    <col min="12" max="12" width="1.109375" style="71" customWidth="1"/>
    <col min="13" max="13" width="10.5546875" style="71" customWidth="1"/>
    <col min="14" max="14" width="1.88671875" style="71" customWidth="1"/>
    <col min="15" max="15" width="12.44140625" style="71" customWidth="1"/>
    <col min="16" max="16" width="1.88671875" style="71" customWidth="1"/>
    <col min="17" max="17" width="12.109375" style="71" customWidth="1"/>
    <col min="18" max="18" width="1.88671875" style="71" customWidth="1"/>
    <col min="19" max="19" width="12.109375" style="71" customWidth="1"/>
    <col min="20" max="20" width="1.88671875" style="71" customWidth="1"/>
    <col min="21" max="21" width="10.88671875" style="71" customWidth="1"/>
    <col min="22" max="22" width="1.88671875" style="71" customWidth="1"/>
    <col min="23" max="23" width="13.88671875" style="71" customWidth="1"/>
    <col min="24" max="24" width="1.88671875" style="71" customWidth="1"/>
    <col min="25" max="25" width="12.88671875" style="71" customWidth="1"/>
    <col min="26" max="26" width="1.88671875" style="71" customWidth="1"/>
    <col min="27" max="27" width="11.88671875" style="71" bestFit="1" customWidth="1"/>
    <col min="28" max="28" width="1.44140625" style="71" customWidth="1"/>
    <col min="29" max="29" width="11.109375" style="71" customWidth="1"/>
    <col min="30" max="31" width="1.88671875" style="71" customWidth="1"/>
    <col min="32" max="32" width="12.88671875" style="71" customWidth="1"/>
    <col min="33" max="34" width="1.109375" style="71" customWidth="1"/>
    <col min="35" max="35" width="12.88671875" style="71" customWidth="1"/>
    <col min="36" max="37" width="1" style="71" customWidth="1"/>
    <col min="38" max="38" width="13.109375" style="71" bestFit="1" customWidth="1"/>
    <col min="39" max="39" width="1.109375" style="71" customWidth="1"/>
    <col min="40" max="40" width="12.109375" style="71" customWidth="1"/>
    <col min="41" max="16384" width="8.88671875" style="71"/>
  </cols>
  <sheetData>
    <row r="1" spans="1:41">
      <c r="B1" s="468" t="s">
        <v>841</v>
      </c>
    </row>
    <row r="2" spans="1:41">
      <c r="B2" s="598"/>
    </row>
    <row r="3" spans="1:41" ht="19.5" customHeight="1">
      <c r="A3" s="223"/>
      <c r="B3" s="129" t="s">
        <v>0</v>
      </c>
      <c r="C3" s="224"/>
      <c r="D3" s="224"/>
      <c r="E3" s="224"/>
      <c r="F3" s="225"/>
      <c r="G3" s="225"/>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N3" s="277" t="s">
        <v>191</v>
      </c>
    </row>
    <row r="4" spans="1:41" ht="19.5" customHeight="1">
      <c r="A4" s="223"/>
      <c r="B4" s="129" t="s">
        <v>867</v>
      </c>
      <c r="C4" s="224"/>
      <c r="D4" s="224"/>
      <c r="E4" s="224"/>
      <c r="F4" s="225"/>
      <c r="G4" s="225"/>
      <c r="H4" s="225"/>
      <c r="I4" s="225"/>
      <c r="J4" s="225"/>
      <c r="K4" s="225"/>
      <c r="L4" s="225"/>
      <c r="M4" s="225"/>
      <c r="N4" s="225"/>
      <c r="O4" s="225"/>
      <c r="P4" s="225"/>
      <c r="Q4" s="225"/>
      <c r="R4" s="225"/>
      <c r="S4" s="225"/>
      <c r="T4" s="225"/>
      <c r="U4" s="225"/>
      <c r="V4" s="225"/>
      <c r="W4" s="225"/>
      <c r="X4" s="225"/>
      <c r="Y4" s="225"/>
      <c r="Z4" s="225"/>
      <c r="AA4" s="225"/>
      <c r="AB4" s="225"/>
      <c r="AC4" s="225"/>
      <c r="AD4" s="225"/>
      <c r="AE4" s="225"/>
      <c r="AG4" s="226"/>
      <c r="AH4" s="226"/>
    </row>
    <row r="5" spans="1:41" ht="19.5" customHeight="1">
      <c r="A5" s="223"/>
      <c r="B5" s="213" t="s">
        <v>145</v>
      </c>
      <c r="C5" s="224"/>
      <c r="D5" s="224"/>
      <c r="E5" s="224"/>
      <c r="F5" s="225"/>
      <c r="G5" s="225"/>
      <c r="H5" s="225"/>
      <c r="I5" s="225"/>
      <c r="J5" s="225"/>
      <c r="K5" s="225"/>
      <c r="L5" s="225"/>
      <c r="M5" s="225"/>
      <c r="N5" s="225"/>
      <c r="O5" s="225"/>
      <c r="P5" s="225"/>
      <c r="Q5" s="225"/>
      <c r="R5" s="225"/>
      <c r="S5" s="225" t="s">
        <v>14</v>
      </c>
      <c r="T5" s="225"/>
      <c r="U5" s="225" t="s">
        <v>14</v>
      </c>
      <c r="V5" s="225"/>
      <c r="W5" s="225"/>
      <c r="X5" s="225"/>
      <c r="Y5" s="225"/>
      <c r="Z5" s="225"/>
      <c r="AA5" s="225"/>
      <c r="AB5" s="225"/>
      <c r="AC5" s="225"/>
      <c r="AD5" s="225"/>
      <c r="AE5" s="225"/>
      <c r="AF5" s="225"/>
      <c r="AG5" s="225"/>
      <c r="AH5" s="225"/>
      <c r="AI5" s="225"/>
      <c r="AJ5" s="225"/>
      <c r="AK5" s="225"/>
      <c r="AN5" s="187"/>
    </row>
    <row r="6" spans="1:41" ht="19.5" customHeight="1">
      <c r="A6" s="223"/>
      <c r="B6" s="967" t="str">
        <f>'Cashflow Governmental'!A6</f>
        <v xml:space="preserve">FISCAL YEAR 2023-2024   </v>
      </c>
      <c r="C6" s="224"/>
      <c r="D6" s="224"/>
      <c r="E6" s="224"/>
      <c r="F6" s="225"/>
      <c r="G6" s="225"/>
      <c r="H6" s="227"/>
      <c r="I6" s="225"/>
      <c r="J6" s="225"/>
      <c r="K6" s="225"/>
      <c r="L6" s="225"/>
      <c r="M6" s="225"/>
      <c r="N6" s="225"/>
      <c r="O6" s="225"/>
      <c r="P6" s="225"/>
      <c r="Q6" s="225"/>
      <c r="R6" s="225"/>
      <c r="S6" s="225" t="s">
        <v>14</v>
      </c>
      <c r="T6" s="225"/>
      <c r="U6" s="225"/>
      <c r="V6" s="225"/>
      <c r="W6" s="225"/>
      <c r="X6" s="225"/>
      <c r="Y6" s="225"/>
      <c r="Z6" s="225"/>
      <c r="AA6" s="225"/>
      <c r="AB6" s="225"/>
      <c r="AC6" s="225"/>
      <c r="AD6" s="225"/>
      <c r="AE6" s="225"/>
      <c r="AF6" s="225"/>
      <c r="AG6" s="228"/>
      <c r="AH6" s="228"/>
      <c r="AI6" s="228"/>
      <c r="AJ6" s="228"/>
      <c r="AK6" s="228"/>
    </row>
    <row r="7" spans="1:41" ht="19.5" customHeight="1">
      <c r="A7" s="223"/>
      <c r="B7" s="129" t="s">
        <v>1203</v>
      </c>
      <c r="C7" s="224"/>
      <c r="D7" s="224"/>
      <c r="E7" s="224"/>
      <c r="F7" s="225"/>
      <c r="G7" s="225"/>
      <c r="H7" s="227"/>
      <c r="I7" s="225"/>
      <c r="J7" s="225"/>
      <c r="K7" s="225"/>
      <c r="L7" s="225"/>
      <c r="M7" s="225"/>
      <c r="N7" s="225"/>
      <c r="O7" s="225"/>
      <c r="P7" s="225"/>
      <c r="Q7" s="225"/>
      <c r="R7" s="225"/>
      <c r="S7" s="225" t="s">
        <v>14</v>
      </c>
      <c r="T7" s="225"/>
      <c r="U7" s="225"/>
      <c r="V7" s="225"/>
      <c r="W7" s="225"/>
      <c r="X7" s="225"/>
      <c r="Y7" s="225"/>
      <c r="Z7" s="225"/>
      <c r="AA7" s="225"/>
      <c r="AB7" s="225"/>
      <c r="AC7" s="225"/>
      <c r="AD7" s="225"/>
      <c r="AE7" s="225"/>
      <c r="AF7" s="225"/>
      <c r="AG7" s="228"/>
      <c r="AH7" s="228"/>
      <c r="AI7" s="228"/>
      <c r="AJ7" s="228"/>
      <c r="AK7" s="228"/>
    </row>
    <row r="8" spans="1:41" ht="19.5" customHeight="1">
      <c r="A8" s="223"/>
      <c r="C8" s="224"/>
      <c r="D8" s="224"/>
      <c r="E8" s="224"/>
      <c r="F8" s="225"/>
      <c r="G8" s="225"/>
      <c r="H8" s="225"/>
      <c r="I8" s="225"/>
      <c r="J8" s="225"/>
      <c r="K8" s="225"/>
      <c r="L8" s="225"/>
      <c r="M8" s="225"/>
      <c r="N8" s="225"/>
      <c r="O8" s="225"/>
      <c r="P8" s="225"/>
      <c r="Q8" s="225"/>
      <c r="R8" s="225"/>
      <c r="S8" s="225" t="s">
        <v>14</v>
      </c>
      <c r="T8" s="225"/>
      <c r="U8" s="225"/>
      <c r="V8" s="225"/>
      <c r="W8" s="225"/>
      <c r="X8" s="225"/>
      <c r="Y8" s="225"/>
      <c r="Z8" s="225"/>
      <c r="AA8" s="225"/>
      <c r="AB8" s="225"/>
      <c r="AC8" s="225"/>
      <c r="AD8" s="225"/>
      <c r="AE8" s="229"/>
    </row>
    <row r="9" spans="1:41" ht="15.75" customHeight="1">
      <c r="A9" s="223"/>
      <c r="B9" s="129"/>
      <c r="C9" s="224"/>
      <c r="D9" s="224"/>
      <c r="E9" s="224"/>
      <c r="F9" s="225"/>
      <c r="G9" s="225"/>
      <c r="H9" s="225"/>
      <c r="I9" s="225"/>
      <c r="J9" s="225"/>
      <c r="K9" s="225"/>
      <c r="L9" s="225"/>
      <c r="M9" s="225"/>
      <c r="N9" s="225"/>
      <c r="O9" s="225"/>
      <c r="P9" s="225"/>
      <c r="Q9" s="225"/>
      <c r="R9" s="225"/>
      <c r="S9" s="225"/>
      <c r="T9" s="225"/>
      <c r="U9" s="225"/>
      <c r="V9" s="225"/>
      <c r="W9" s="225"/>
      <c r="X9" s="225"/>
      <c r="Y9" s="225"/>
      <c r="Z9" s="225"/>
      <c r="AA9" s="225"/>
      <c r="AB9" s="225"/>
      <c r="AC9" s="225"/>
      <c r="AD9" s="225"/>
      <c r="AE9" s="229"/>
    </row>
    <row r="10" spans="1:41" ht="15.75" customHeight="1">
      <c r="A10" s="223"/>
      <c r="B10" s="230"/>
      <c r="C10" s="224"/>
      <c r="D10" s="224"/>
      <c r="E10" s="224"/>
      <c r="F10" s="225"/>
      <c r="G10" s="225"/>
      <c r="H10" s="225"/>
      <c r="I10" s="225"/>
      <c r="J10" s="225"/>
      <c r="K10" s="225"/>
      <c r="L10" s="225"/>
      <c r="M10" s="225"/>
      <c r="N10" s="225"/>
      <c r="O10" s="225"/>
      <c r="P10" s="225"/>
      <c r="Q10" s="225"/>
      <c r="R10" s="225"/>
      <c r="S10" s="225"/>
      <c r="T10" s="225"/>
      <c r="U10" s="225"/>
      <c r="V10" s="225"/>
      <c r="W10" s="225"/>
      <c r="X10" s="225"/>
      <c r="Y10" s="225"/>
      <c r="Z10" s="225"/>
      <c r="AA10" s="225"/>
      <c r="AB10" s="225"/>
      <c r="AC10" s="225"/>
      <c r="AD10" s="225"/>
      <c r="AE10" s="229"/>
    </row>
    <row r="11" spans="1:41" ht="15.75" customHeight="1">
      <c r="A11" s="223"/>
      <c r="B11" s="230"/>
      <c r="C11" s="224"/>
      <c r="D11" s="224"/>
      <c r="E11" s="550"/>
      <c r="F11" s="551"/>
      <c r="G11" s="551"/>
      <c r="H11" s="551"/>
      <c r="I11" s="551"/>
      <c r="J11" s="551"/>
      <c r="K11" s="551"/>
      <c r="L11" s="551"/>
      <c r="M11" s="551"/>
      <c r="N11" s="551"/>
      <c r="O11" s="551"/>
      <c r="P11" s="551"/>
      <c r="Q11" s="551"/>
      <c r="R11" s="551"/>
      <c r="S11" s="551"/>
      <c r="T11" s="551"/>
      <c r="U11" s="551"/>
      <c r="V11" s="551"/>
      <c r="W11" s="551"/>
      <c r="X11" s="551"/>
      <c r="Y11" s="551"/>
      <c r="Z11" s="551"/>
      <c r="AA11" s="551"/>
      <c r="AB11" s="551"/>
      <c r="AC11" s="133" t="s">
        <v>1112</v>
      </c>
      <c r="AD11" s="551"/>
      <c r="AE11" s="552"/>
      <c r="AF11" s="2333" t="s">
        <v>1515</v>
      </c>
      <c r="AG11" s="2337"/>
      <c r="AH11" s="2337"/>
      <c r="AI11" s="2337"/>
      <c r="AJ11" s="2337"/>
      <c r="AK11" s="2337"/>
      <c r="AL11" s="2337"/>
      <c r="AM11" s="2337"/>
      <c r="AN11" s="2337"/>
    </row>
    <row r="12" spans="1:41" ht="15.75" customHeight="1">
      <c r="A12" s="231"/>
      <c r="B12" s="231"/>
      <c r="C12" s="231"/>
      <c r="D12" s="231"/>
      <c r="E12" s="537" t="str">
        <f>'Cashflow Governmental'!C13</f>
        <v>2023</v>
      </c>
      <c r="F12" s="553"/>
      <c r="G12" s="553"/>
      <c r="H12" s="553"/>
      <c r="I12" s="553"/>
      <c r="J12" s="553"/>
      <c r="K12" s="553"/>
      <c r="L12" s="553"/>
      <c r="M12" s="553"/>
      <c r="N12" s="553"/>
      <c r="O12" s="553"/>
      <c r="P12" s="553"/>
      <c r="Q12" s="553"/>
      <c r="R12" s="553"/>
      <c r="S12" s="553"/>
      <c r="T12" s="553"/>
      <c r="U12" s="553"/>
      <c r="V12" s="553"/>
      <c r="W12" s="537">
        <f>'Cashflow Governmental'!U13</f>
        <v>2024</v>
      </c>
      <c r="X12" s="553"/>
      <c r="Y12" s="553"/>
      <c r="Z12" s="553"/>
      <c r="AA12" s="553"/>
      <c r="AB12" s="553"/>
      <c r="AC12" s="133" t="s">
        <v>1113</v>
      </c>
      <c r="AD12" s="553"/>
      <c r="AE12" s="553"/>
      <c r="AF12" s="553"/>
      <c r="AG12" s="553"/>
      <c r="AH12" s="553"/>
      <c r="AI12" s="553"/>
      <c r="AJ12" s="553"/>
      <c r="AK12" s="553"/>
      <c r="AL12" s="545" t="s">
        <v>7</v>
      </c>
      <c r="AM12" s="545"/>
      <c r="AN12" s="543" t="s">
        <v>8</v>
      </c>
      <c r="AO12" s="555"/>
    </row>
    <row r="13" spans="1:41" ht="15.75" customHeight="1">
      <c r="A13" s="21"/>
      <c r="B13" s="21"/>
      <c r="C13" s="21"/>
      <c r="D13" s="21"/>
      <c r="E13" s="554" t="s">
        <v>122</v>
      </c>
      <c r="F13" s="19"/>
      <c r="G13" s="554" t="s">
        <v>123</v>
      </c>
      <c r="H13" s="19"/>
      <c r="I13" s="554" t="s">
        <v>124</v>
      </c>
      <c r="J13" s="19"/>
      <c r="K13" s="554" t="s">
        <v>125</v>
      </c>
      <c r="L13" s="19"/>
      <c r="M13" s="743" t="s">
        <v>126</v>
      </c>
      <c r="N13" s="19"/>
      <c r="O13" s="554" t="s">
        <v>141</v>
      </c>
      <c r="P13" s="19"/>
      <c r="Q13" s="554" t="s">
        <v>142</v>
      </c>
      <c r="R13" s="19"/>
      <c r="S13" s="554" t="s">
        <v>129</v>
      </c>
      <c r="T13" s="19"/>
      <c r="U13" s="554" t="s">
        <v>130</v>
      </c>
      <c r="V13" s="19"/>
      <c r="W13" s="554" t="s">
        <v>131</v>
      </c>
      <c r="X13" s="19"/>
      <c r="Y13" s="554" t="s">
        <v>132</v>
      </c>
      <c r="Z13" s="19"/>
      <c r="AA13" s="554" t="s">
        <v>182</v>
      </c>
      <c r="AB13" s="133"/>
      <c r="AC13" s="743" t="s">
        <v>1114</v>
      </c>
      <c r="AD13" s="19"/>
      <c r="AE13" s="19"/>
      <c r="AF13" s="554">
        <f>'Cashflow Governmental'!AB14</f>
        <v>2023</v>
      </c>
      <c r="AG13" s="19"/>
      <c r="AH13" s="19"/>
      <c r="AI13" s="554">
        <f>'Cashflow Governmental'!AE14</f>
        <v>2022</v>
      </c>
      <c r="AJ13" s="133"/>
      <c r="AK13" s="133"/>
      <c r="AL13" s="549" t="s">
        <v>11</v>
      </c>
      <c r="AM13" s="545"/>
      <c r="AN13" s="549" t="s">
        <v>12</v>
      </c>
      <c r="AO13" s="555"/>
    </row>
    <row r="14" spans="1:41" ht="6" customHeight="1">
      <c r="A14" s="21"/>
      <c r="B14" s="19"/>
      <c r="C14" s="19"/>
      <c r="D14" s="21"/>
      <c r="E14" s="39"/>
      <c r="F14" s="39"/>
      <c r="G14" s="39"/>
      <c r="H14" s="39"/>
      <c r="I14" s="39"/>
      <c r="J14" s="39"/>
      <c r="K14" s="39"/>
      <c r="L14" s="39"/>
      <c r="M14" s="39"/>
      <c r="N14" s="39"/>
      <c r="O14" s="39"/>
      <c r="P14" s="39"/>
      <c r="Q14" s="39"/>
      <c r="R14" s="39"/>
      <c r="S14" s="39"/>
      <c r="T14" s="39"/>
      <c r="U14" s="39"/>
      <c r="V14" s="39"/>
      <c r="W14" s="39"/>
      <c r="X14" s="39"/>
      <c r="Y14" s="39"/>
      <c r="Z14" s="39"/>
      <c r="AA14" s="39"/>
      <c r="AB14" s="39"/>
      <c r="AC14" s="39"/>
      <c r="AD14" s="39"/>
      <c r="AE14" s="39"/>
      <c r="AF14" s="39"/>
      <c r="AG14" s="39"/>
      <c r="AH14" s="39"/>
      <c r="AI14" s="39"/>
      <c r="AJ14" s="39"/>
      <c r="AK14" s="112"/>
    </row>
    <row r="15" spans="1:41" ht="15.75" customHeight="1">
      <c r="A15" s="21"/>
      <c r="B15" s="118" t="s">
        <v>1079</v>
      </c>
      <c r="C15" s="19"/>
      <c r="D15" s="21"/>
      <c r="E15" s="217">
        <f>'Exhibit I State'!E14+'Exhibit I Federal'!E14</f>
        <v>-1594.5</v>
      </c>
      <c r="F15" s="65"/>
      <c r="G15" s="65">
        <f>E103</f>
        <v>-1576.5</v>
      </c>
      <c r="H15" s="65"/>
      <c r="I15" s="65">
        <f t="shared" ref="I15:O15" si="0">G103</f>
        <v>-1625.6</v>
      </c>
      <c r="J15" s="65"/>
      <c r="K15" s="65">
        <f t="shared" si="0"/>
        <v>-1819.2</v>
      </c>
      <c r="L15" s="65"/>
      <c r="M15" s="65">
        <f t="shared" si="0"/>
        <v>-1918.6</v>
      </c>
      <c r="N15" s="65"/>
      <c r="O15" s="65">
        <f t="shared" si="0"/>
        <v>-1961</v>
      </c>
      <c r="P15" s="65"/>
      <c r="Q15" s="65"/>
      <c r="R15" s="65"/>
      <c r="S15" s="65"/>
      <c r="T15" s="65"/>
      <c r="U15" s="65"/>
      <c r="V15" s="65"/>
      <c r="W15" s="65"/>
      <c r="X15" s="65"/>
      <c r="Y15" s="65"/>
      <c r="Z15" s="65"/>
      <c r="AA15" s="65"/>
      <c r="AB15" s="65"/>
      <c r="AC15" s="65">
        <v>0</v>
      </c>
      <c r="AD15" s="65"/>
      <c r="AE15" s="66"/>
      <c r="AF15" s="65">
        <f>E15</f>
        <v>-1594.5</v>
      </c>
      <c r="AG15" s="146"/>
      <c r="AH15" s="65"/>
      <c r="AI15" s="1859">
        <f>'Exhibit I State'!AG14+'Exhibit I Federal'!AG14</f>
        <v>-1543.9</v>
      </c>
      <c r="AJ15" s="65"/>
      <c r="AK15" s="234"/>
      <c r="AL15" s="233">
        <f>+AF15-AI15</f>
        <v>-50.599999999999909</v>
      </c>
      <c r="AM15" s="65"/>
      <c r="AN15" s="486">
        <f>ROUND(IF(AI15=0,0,-AL15/(AI15)),3)</f>
        <v>-3.3000000000000002E-2</v>
      </c>
      <c r="AO15" s="19"/>
    </row>
    <row r="16" spans="1:41" ht="15.75" customHeight="1">
      <c r="A16" s="21"/>
      <c r="B16" s="19"/>
      <c r="C16" s="19"/>
      <c r="D16" s="21"/>
      <c r="E16" s="39"/>
      <c r="F16" s="39"/>
      <c r="G16" s="39"/>
      <c r="H16" s="39"/>
      <c r="I16" s="39"/>
      <c r="J16" s="39"/>
      <c r="K16" s="39"/>
      <c r="L16" s="39"/>
      <c r="M16" s="39"/>
      <c r="N16" s="39"/>
      <c r="O16" s="39"/>
      <c r="P16" s="39"/>
      <c r="Q16" s="39"/>
      <c r="R16" s="39"/>
      <c r="S16" s="39"/>
      <c r="T16" s="39"/>
      <c r="U16" s="39"/>
      <c r="V16" s="39"/>
      <c r="W16" s="39"/>
      <c r="X16" s="39"/>
      <c r="Y16" s="39"/>
      <c r="Z16" s="39"/>
      <c r="AA16" s="39"/>
      <c r="AB16" s="39"/>
      <c r="AC16" s="39"/>
      <c r="AD16" s="39"/>
      <c r="AE16" s="175"/>
      <c r="AF16" s="39"/>
      <c r="AG16" s="181"/>
      <c r="AH16" s="39"/>
      <c r="AI16" s="39"/>
      <c r="AJ16" s="39"/>
      <c r="AK16" s="232"/>
    </row>
    <row r="17" spans="1:46" ht="15.75">
      <c r="A17" s="21"/>
      <c r="B17" s="19" t="s">
        <v>192</v>
      </c>
      <c r="C17" s="21"/>
      <c r="D17" s="21"/>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175"/>
      <c r="AF17" s="39"/>
      <c r="AG17" s="181"/>
      <c r="AH17" s="39"/>
      <c r="AI17" s="39"/>
      <c r="AJ17" s="39"/>
      <c r="AK17" s="232"/>
    </row>
    <row r="18" spans="1:46" ht="15.75">
      <c r="A18" s="21"/>
      <c r="B18" s="118" t="s">
        <v>947</v>
      </c>
      <c r="C18" s="21"/>
      <c r="D18" s="21"/>
      <c r="E18" s="39"/>
      <c r="F18" s="39"/>
      <c r="G18" s="39"/>
      <c r="H18" s="39"/>
      <c r="I18" s="39"/>
      <c r="J18" s="39"/>
      <c r="K18" s="39"/>
      <c r="L18" s="39"/>
      <c r="M18" s="39"/>
      <c r="N18" s="39"/>
      <c r="O18" s="39"/>
      <c r="P18" s="39"/>
      <c r="Q18" s="39"/>
      <c r="R18" s="39"/>
      <c r="S18" s="39"/>
      <c r="T18" s="39"/>
      <c r="U18" s="39"/>
      <c r="V18" s="39"/>
      <c r="W18" s="39"/>
      <c r="X18" s="39"/>
      <c r="Y18" s="39"/>
      <c r="Z18" s="39"/>
      <c r="AA18" s="39"/>
      <c r="AB18" s="39"/>
      <c r="AC18" s="39"/>
      <c r="AD18" s="39"/>
      <c r="AE18" s="175"/>
      <c r="AF18" s="39"/>
      <c r="AG18" s="746"/>
      <c r="AH18" s="39"/>
      <c r="AI18" s="39"/>
      <c r="AJ18" s="39"/>
      <c r="AK18" s="232"/>
    </row>
    <row r="19" spans="1:46" ht="15.75">
      <c r="A19" s="21"/>
      <c r="B19" s="737" t="s">
        <v>1006</v>
      </c>
      <c r="C19" s="21"/>
      <c r="D19" s="21"/>
      <c r="E19" s="39"/>
      <c r="F19" s="39"/>
      <c r="G19" s="39"/>
      <c r="H19" s="39"/>
      <c r="I19" s="39"/>
      <c r="J19" s="39"/>
      <c r="K19" s="39"/>
      <c r="L19" s="39"/>
      <c r="M19" s="39"/>
      <c r="N19" s="39"/>
      <c r="O19" s="39"/>
      <c r="P19" s="39"/>
      <c r="Q19" s="39"/>
      <c r="R19" s="39"/>
      <c r="S19" s="39"/>
      <c r="T19" s="39"/>
      <c r="U19" s="39"/>
      <c r="V19" s="39"/>
      <c r="W19" s="39"/>
      <c r="X19" s="39"/>
      <c r="Y19" s="39"/>
      <c r="Z19" s="39"/>
      <c r="AA19" s="39"/>
      <c r="AB19" s="39"/>
      <c r="AC19" s="39"/>
      <c r="AD19" s="39"/>
      <c r="AE19" s="175"/>
      <c r="AF19" s="39"/>
      <c r="AG19" s="746"/>
      <c r="AH19" s="39"/>
      <c r="AI19" s="39"/>
      <c r="AJ19" s="39"/>
      <c r="AK19" s="232"/>
    </row>
    <row r="20" spans="1:46">
      <c r="A20" s="21"/>
      <c r="B20" s="489" t="s">
        <v>963</v>
      </c>
      <c r="C20" s="21"/>
      <c r="D20" s="21"/>
      <c r="E20" s="912">
        <f>+'Exhibit I State'!E19</f>
        <v>9.5</v>
      </c>
      <c r="F20" s="912"/>
      <c r="G20" s="912">
        <f>+'Exhibit I State'!G19</f>
        <v>9.9999999999999645E-2</v>
      </c>
      <c r="H20" s="912"/>
      <c r="I20" s="912">
        <f>+'Exhibit I State'!I19</f>
        <v>21.6</v>
      </c>
      <c r="J20" s="467"/>
      <c r="K20" s="912">
        <f>+'Exhibit I State'!K19</f>
        <v>0.10000000000000142</v>
      </c>
      <c r="L20" s="214"/>
      <c r="M20" s="912">
        <f>+'Exhibit I State'!M19</f>
        <v>0</v>
      </c>
      <c r="N20" s="214"/>
      <c r="O20" s="912">
        <f>+'Exhibit I State'!O19</f>
        <v>30.299999999999997</v>
      </c>
      <c r="P20" s="214"/>
      <c r="Q20" s="912"/>
      <c r="R20" s="214"/>
      <c r="S20" s="912"/>
      <c r="T20" s="912"/>
      <c r="U20" s="912"/>
      <c r="V20" s="912"/>
      <c r="W20" s="912"/>
      <c r="X20" s="912"/>
      <c r="Y20" s="912"/>
      <c r="Z20" s="912"/>
      <c r="AA20" s="912"/>
      <c r="AB20" s="912"/>
      <c r="AC20" s="912">
        <v>0</v>
      </c>
      <c r="AD20" s="738"/>
      <c r="AE20" s="214"/>
      <c r="AF20" s="36">
        <f>ROUND(SUM(E20:AC20),1)</f>
        <v>61.6</v>
      </c>
      <c r="AG20" s="739"/>
      <c r="AH20" s="215"/>
      <c r="AI20" s="220">
        <f>+'Exhibit I State'!AG19</f>
        <v>60.7</v>
      </c>
      <c r="AJ20" s="216"/>
      <c r="AK20" s="219"/>
      <c r="AL20" s="220">
        <f>ROUND(SUM(AF20-AI20),1)</f>
        <v>0.9</v>
      </c>
      <c r="AM20" s="214"/>
      <c r="AN20" s="971">
        <f>ROUND(IF(AI20=0,0,AL20/ABS(AI20)),3)</f>
        <v>1.4999999999999999E-2</v>
      </c>
      <c r="AO20" s="397"/>
    </row>
    <row r="21" spans="1:46">
      <c r="A21" s="21"/>
      <c r="B21" s="489" t="s">
        <v>965</v>
      </c>
      <c r="C21" s="21"/>
      <c r="D21" s="21"/>
      <c r="E21" s="912">
        <f>+'Exhibit I State'!E20</f>
        <v>28</v>
      </c>
      <c r="F21" s="912"/>
      <c r="G21" s="912">
        <f>+'Exhibit I State'!G20</f>
        <v>34.4</v>
      </c>
      <c r="H21" s="912"/>
      <c r="I21" s="912">
        <f>+'Exhibit I State'!I20</f>
        <v>30.300000000000004</v>
      </c>
      <c r="J21" s="467"/>
      <c r="K21" s="912">
        <f>+'Exhibit I State'!K20</f>
        <v>34.199999999999996</v>
      </c>
      <c r="L21" s="214"/>
      <c r="M21" s="912">
        <f>+'Exhibit I State'!M20</f>
        <v>34.199999999999982</v>
      </c>
      <c r="N21" s="214"/>
      <c r="O21" s="912">
        <f>+'Exhibit I State'!O20</f>
        <v>35.400000000000013</v>
      </c>
      <c r="P21" s="214"/>
      <c r="Q21" s="912"/>
      <c r="R21" s="214"/>
      <c r="S21" s="912"/>
      <c r="T21" s="912"/>
      <c r="U21" s="912"/>
      <c r="V21" s="912"/>
      <c r="W21" s="912"/>
      <c r="X21" s="912"/>
      <c r="Y21" s="912"/>
      <c r="Z21" s="912"/>
      <c r="AA21" s="912"/>
      <c r="AB21" s="912"/>
      <c r="AC21" s="912">
        <v>0</v>
      </c>
      <c r="AD21" s="738"/>
      <c r="AE21" s="214"/>
      <c r="AF21" s="36">
        <f>ROUND(SUM(E21:AC21),1)</f>
        <v>196.5</v>
      </c>
      <c r="AG21" s="739"/>
      <c r="AH21" s="215"/>
      <c r="AI21" s="220">
        <f>+'Exhibit I State'!AG20</f>
        <v>63.1</v>
      </c>
      <c r="AJ21" s="216"/>
      <c r="AK21" s="219"/>
      <c r="AL21" s="220">
        <f>ROUND(SUM(AF21-AI21),1)</f>
        <v>133.4</v>
      </c>
      <c r="AM21" s="214"/>
      <c r="AN21" s="8">
        <f>ROUND(IF(AI21=0,0,AL21/ABS(AI21)),3)</f>
        <v>2.1139999999999999</v>
      </c>
      <c r="AO21" s="397"/>
    </row>
    <row r="22" spans="1:46">
      <c r="A22" s="21"/>
      <c r="B22" s="489" t="s">
        <v>967</v>
      </c>
      <c r="C22" s="21"/>
      <c r="D22" s="21"/>
      <c r="E22" s="912">
        <f>+'Exhibit I State'!E21</f>
        <v>12.5</v>
      </c>
      <c r="F22" s="912"/>
      <c r="G22" s="912">
        <f>+'Exhibit I State'!G21</f>
        <v>11.600000000000001</v>
      </c>
      <c r="H22" s="912"/>
      <c r="I22" s="912">
        <f>+'Exhibit I State'!I21</f>
        <v>10</v>
      </c>
      <c r="J22" s="467"/>
      <c r="K22" s="912">
        <f>+'Exhibit I State'!K21</f>
        <v>11.699999999999996</v>
      </c>
      <c r="L22" s="214"/>
      <c r="M22" s="912">
        <f>+'Exhibit I State'!M21</f>
        <v>11.100000000000001</v>
      </c>
      <c r="N22" s="214"/>
      <c r="O22" s="912">
        <f>+'Exhibit I State'!O21</f>
        <v>10.300000000000004</v>
      </c>
      <c r="P22" s="214"/>
      <c r="Q22" s="912"/>
      <c r="R22" s="214"/>
      <c r="S22" s="912"/>
      <c r="T22" s="912"/>
      <c r="U22" s="912"/>
      <c r="V22" s="912"/>
      <c r="W22" s="912"/>
      <c r="X22" s="912"/>
      <c r="Y22" s="912"/>
      <c r="Z22" s="912"/>
      <c r="AA22" s="912"/>
      <c r="AB22" s="912"/>
      <c r="AC22" s="912">
        <v>0</v>
      </c>
      <c r="AD22" s="738"/>
      <c r="AE22" s="214"/>
      <c r="AF22" s="36">
        <f>ROUND(SUM(E22:AC22),1)</f>
        <v>67.2</v>
      </c>
      <c r="AG22" s="739"/>
      <c r="AH22" s="215"/>
      <c r="AI22" s="220">
        <f>+'Exhibit I State'!AG21</f>
        <v>64.8</v>
      </c>
      <c r="AJ22" s="216"/>
      <c r="AK22" s="219"/>
      <c r="AL22" s="220">
        <f>ROUND(SUM(AF22-AI22),1)</f>
        <v>2.4</v>
      </c>
      <c r="AM22" s="214"/>
      <c r="AN22" s="964">
        <f>ROUND(IF(AI22=0,0,AL22/ABS(AI22)),3)</f>
        <v>3.6999999999999998E-2</v>
      </c>
      <c r="AO22" s="397"/>
    </row>
    <row r="23" spans="1:46" ht="15.75">
      <c r="A23" s="21"/>
      <c r="B23" s="218" t="s">
        <v>1044</v>
      </c>
      <c r="C23" s="21"/>
      <c r="D23" s="21"/>
      <c r="E23" s="179">
        <f>ROUND(SUM(E20:E22),1)</f>
        <v>50</v>
      </c>
      <c r="F23" s="42"/>
      <c r="G23" s="179">
        <f>ROUND(SUM(G20:G22),1)</f>
        <v>46.1</v>
      </c>
      <c r="H23" s="42"/>
      <c r="I23" s="179">
        <f>ROUND(SUM(I20:I22),1)</f>
        <v>61.9</v>
      </c>
      <c r="J23" s="42"/>
      <c r="K23" s="179">
        <f>ROUND(SUM(K20:K22),1)</f>
        <v>46</v>
      </c>
      <c r="L23" s="214"/>
      <c r="M23" s="179">
        <f>ROUND(SUM(M20:M22),1)</f>
        <v>45.3</v>
      </c>
      <c r="N23" s="214"/>
      <c r="O23" s="179">
        <f>ROUND(SUM(O20:O22),1)</f>
        <v>76</v>
      </c>
      <c r="P23" s="214"/>
      <c r="Q23" s="179">
        <f>ROUND(SUM(Q20:Q22),1)</f>
        <v>0</v>
      </c>
      <c r="R23" s="214"/>
      <c r="S23" s="179">
        <f>ROUND(SUM(S20:S22),1)</f>
        <v>0</v>
      </c>
      <c r="T23" s="214"/>
      <c r="U23" s="179">
        <f>ROUND(SUM(U20:U22),1)</f>
        <v>0</v>
      </c>
      <c r="V23" s="214"/>
      <c r="W23" s="179">
        <f>ROUND(SUM(W20:W22),1)</f>
        <v>0</v>
      </c>
      <c r="X23" s="214"/>
      <c r="Y23" s="179">
        <f>ROUND(SUM(Y20:Y22),1)</f>
        <v>0</v>
      </c>
      <c r="Z23" s="214"/>
      <c r="AA23" s="179">
        <f>ROUND(SUM(AA20:AA22),1)</f>
        <v>0</v>
      </c>
      <c r="AB23" s="42"/>
      <c r="AC23" s="179">
        <f>ROUND(SUM(AC20:AC22),1)</f>
        <v>0</v>
      </c>
      <c r="AD23" s="738"/>
      <c r="AE23" s="214"/>
      <c r="AF23" s="179">
        <f>ROUND(SUM(AF20:AF22),1)</f>
        <v>325.3</v>
      </c>
      <c r="AG23" s="739"/>
      <c r="AH23" s="215"/>
      <c r="AI23" s="179">
        <f>ROUND(SUM(AI20:AI22),1)</f>
        <v>188.6</v>
      </c>
      <c r="AJ23" s="216"/>
      <c r="AK23" s="219"/>
      <c r="AL23" s="761">
        <f>ROUND(SUM(AF23-AI23),1)</f>
        <v>136.69999999999999</v>
      </c>
      <c r="AM23" s="218"/>
      <c r="AN23" s="13">
        <f>ROUND(IF(AI23=0,0,AL23/ABS(AI23)),3)</f>
        <v>0.72499999999999998</v>
      </c>
      <c r="AO23" s="397"/>
    </row>
    <row r="24" spans="1:46" ht="15.75">
      <c r="A24" s="21"/>
      <c r="B24" s="737" t="s">
        <v>1007</v>
      </c>
      <c r="C24" s="21"/>
      <c r="D24" s="21"/>
      <c r="E24" s="42"/>
      <c r="F24" s="42"/>
      <c r="G24" s="42"/>
      <c r="H24" s="42"/>
      <c r="I24" s="42"/>
      <c r="J24" s="42"/>
      <c r="K24" s="42"/>
      <c r="L24" s="214"/>
      <c r="M24" s="42"/>
      <c r="N24" s="214"/>
      <c r="O24" s="42"/>
      <c r="P24" s="214"/>
      <c r="Q24" s="42"/>
      <c r="R24" s="214"/>
      <c r="S24" s="42"/>
      <c r="T24" s="214"/>
      <c r="U24" s="42"/>
      <c r="V24" s="214"/>
      <c r="W24" s="42"/>
      <c r="X24" s="214"/>
      <c r="Y24" s="42"/>
      <c r="Z24" s="214"/>
      <c r="AA24" s="42"/>
      <c r="AB24" s="42"/>
      <c r="AC24" s="42"/>
      <c r="AD24" s="738"/>
      <c r="AE24" s="214"/>
      <c r="AF24" s="42"/>
      <c r="AG24" s="739"/>
      <c r="AH24" s="215"/>
      <c r="AI24" s="42"/>
      <c r="AJ24" s="216"/>
      <c r="AK24" s="219"/>
      <c r="AL24" s="741"/>
      <c r="AM24" s="218"/>
      <c r="AN24" s="17"/>
      <c r="AO24" s="397"/>
    </row>
    <row r="25" spans="1:46" ht="15.75">
      <c r="A25" s="21"/>
      <c r="B25" s="489" t="s">
        <v>969</v>
      </c>
      <c r="C25" s="21"/>
      <c r="D25" s="21"/>
      <c r="E25" s="912">
        <f>+'Exhibit I State'!E24</f>
        <v>0</v>
      </c>
      <c r="F25" s="912"/>
      <c r="G25" s="912">
        <f>+'Exhibit I State'!G24</f>
        <v>0</v>
      </c>
      <c r="H25" s="912"/>
      <c r="I25" s="912">
        <f>+'Exhibit I State'!I24</f>
        <v>0</v>
      </c>
      <c r="J25" s="42"/>
      <c r="K25" s="912">
        <f>+'Exhibit I State'!K24</f>
        <v>0</v>
      </c>
      <c r="L25" s="214"/>
      <c r="M25" s="912">
        <f>+'Exhibit I State'!M24</f>
        <v>0</v>
      </c>
      <c r="N25" s="214"/>
      <c r="O25" s="912">
        <f>+'Exhibit I State'!O24</f>
        <v>0</v>
      </c>
      <c r="P25" s="214"/>
      <c r="Q25" s="912"/>
      <c r="R25" s="214"/>
      <c r="S25" s="912"/>
      <c r="T25" s="912"/>
      <c r="U25" s="912"/>
      <c r="V25" s="912"/>
      <c r="W25" s="912"/>
      <c r="X25" s="912"/>
      <c r="Y25" s="912"/>
      <c r="Z25" s="912"/>
      <c r="AA25" s="912"/>
      <c r="AB25" s="912"/>
      <c r="AC25" s="912">
        <v>0</v>
      </c>
      <c r="AD25" s="738"/>
      <c r="AE25" s="214"/>
      <c r="AF25" s="467">
        <v>0</v>
      </c>
      <c r="AG25" s="739"/>
      <c r="AH25" s="215"/>
      <c r="AI25" s="220">
        <f>+'Exhibit I State'!AG24</f>
        <v>0</v>
      </c>
      <c r="AJ25" s="216"/>
      <c r="AK25" s="219"/>
      <c r="AL25" s="220">
        <f>ROUND(SUM(AF25-AI25),1)</f>
        <v>0</v>
      </c>
      <c r="AM25" s="214"/>
      <c r="AN25" s="963">
        <f>ROUND(IF(AI25=0,0,AL25/ABS(AI25)),3)</f>
        <v>0</v>
      </c>
      <c r="AO25" s="397"/>
      <c r="AP25" s="212"/>
      <c r="AQ25" s="212"/>
      <c r="AR25" s="212"/>
      <c r="AS25" s="212"/>
      <c r="AT25" s="212"/>
    </row>
    <row r="26" spans="1:46" ht="15.75">
      <c r="A26" s="21"/>
      <c r="B26" s="489" t="s">
        <v>970</v>
      </c>
      <c r="C26" s="21"/>
      <c r="D26" s="21"/>
      <c r="E26" s="912">
        <f>+'Exhibit I State'!E25</f>
        <v>5</v>
      </c>
      <c r="F26" s="912"/>
      <c r="G26" s="912">
        <f>+'Exhibit I State'!G25</f>
        <v>0</v>
      </c>
      <c r="H26" s="912"/>
      <c r="I26" s="912">
        <f>+'Exhibit I State'!I25</f>
        <v>1.5999999999999996</v>
      </c>
      <c r="J26" s="42"/>
      <c r="K26" s="912">
        <f>+'Exhibit I State'!K25</f>
        <v>0</v>
      </c>
      <c r="L26" s="214"/>
      <c r="M26" s="912">
        <f>+'Exhibit I State'!M25</f>
        <v>0.10000000000000053</v>
      </c>
      <c r="N26" s="214"/>
      <c r="O26" s="912">
        <f>+'Exhibit I State'!O25</f>
        <v>1.7000000000000002</v>
      </c>
      <c r="P26" s="214"/>
      <c r="Q26" s="912"/>
      <c r="R26" s="214"/>
      <c r="S26" s="912"/>
      <c r="T26" s="912"/>
      <c r="U26" s="912"/>
      <c r="V26" s="912"/>
      <c r="W26" s="912"/>
      <c r="X26" s="912"/>
      <c r="Y26" s="912"/>
      <c r="Z26" s="912"/>
      <c r="AA26" s="912"/>
      <c r="AB26" s="912"/>
      <c r="AC26" s="912">
        <v>0</v>
      </c>
      <c r="AD26" s="738"/>
      <c r="AE26" s="214"/>
      <c r="AF26" s="36">
        <f>ROUND(SUM(E26:AC26),1)</f>
        <v>8.4</v>
      </c>
      <c r="AG26" s="739"/>
      <c r="AH26" s="215"/>
      <c r="AI26" s="220">
        <f>+'Exhibit I State'!AG25</f>
        <v>4.7</v>
      </c>
      <c r="AJ26" s="216"/>
      <c r="AK26" s="219"/>
      <c r="AL26" s="220">
        <f>ROUND(SUM(AF26-AI26),1)</f>
        <v>3.7</v>
      </c>
      <c r="AM26" s="214"/>
      <c r="AN26" s="971">
        <f>ROUND(IF(AI26=0,1,AL26/ABS(AI26)),3)</f>
        <v>0.78700000000000003</v>
      </c>
      <c r="AO26" s="397"/>
      <c r="AP26" s="212"/>
      <c r="AQ26" s="212"/>
      <c r="AR26" s="212"/>
      <c r="AS26" s="212"/>
      <c r="AT26" s="212"/>
    </row>
    <row r="27" spans="1:46" ht="15.75">
      <c r="A27" s="21"/>
      <c r="B27" s="489" t="s">
        <v>973</v>
      </c>
      <c r="C27" s="21"/>
      <c r="D27" s="21"/>
      <c r="E27" s="912">
        <f>+'Exhibit I State'!E26</f>
        <v>46</v>
      </c>
      <c r="F27" s="912"/>
      <c r="G27" s="912">
        <f>+'Exhibit I State'!G26</f>
        <v>54.7</v>
      </c>
      <c r="H27" s="912"/>
      <c r="I27" s="912">
        <f>+'Exhibit I State'!I26</f>
        <v>53.7</v>
      </c>
      <c r="J27" s="42"/>
      <c r="K27" s="912">
        <f>+'Exhibit I State'!K26</f>
        <v>54.599999999999994</v>
      </c>
      <c r="L27" s="214"/>
      <c r="M27" s="912">
        <f>+'Exhibit I State'!M26</f>
        <v>50.399999999999991</v>
      </c>
      <c r="N27" s="214"/>
      <c r="O27" s="912">
        <f>+'Exhibit I State'!O26</f>
        <v>64.800000000000026</v>
      </c>
      <c r="P27" s="214"/>
      <c r="Q27" s="912"/>
      <c r="R27" s="214"/>
      <c r="S27" s="912"/>
      <c r="T27" s="912"/>
      <c r="U27" s="912"/>
      <c r="V27" s="912"/>
      <c r="W27" s="912"/>
      <c r="X27" s="912"/>
      <c r="Y27" s="912"/>
      <c r="Z27" s="912"/>
      <c r="AA27" s="912"/>
      <c r="AB27" s="912"/>
      <c r="AC27" s="912">
        <v>0</v>
      </c>
      <c r="AD27" s="738"/>
      <c r="AE27" s="214"/>
      <c r="AF27" s="36">
        <f>ROUND(SUM(E27:AC27),1)</f>
        <v>324.2</v>
      </c>
      <c r="AG27" s="739"/>
      <c r="AH27" s="215"/>
      <c r="AI27" s="220">
        <f>+'Exhibit I State'!AG26</f>
        <v>312</v>
      </c>
      <c r="AJ27" s="216"/>
      <c r="AK27" s="219"/>
      <c r="AL27" s="220">
        <f>ROUND(SUM(AF27-AI27),1)</f>
        <v>12.2</v>
      </c>
      <c r="AM27" s="214"/>
      <c r="AN27" s="948">
        <f>ROUND(IF(AI27=0,0,AL27/ABS(AI27)),3)</f>
        <v>3.9E-2</v>
      </c>
      <c r="AO27" s="397"/>
      <c r="AP27" s="212"/>
      <c r="AQ27" s="212"/>
      <c r="AR27" s="212"/>
      <c r="AS27" s="212"/>
      <c r="AT27" s="212"/>
    </row>
    <row r="28" spans="1:46" ht="15.75">
      <c r="A28" s="21"/>
      <c r="B28" s="218" t="s">
        <v>1045</v>
      </c>
      <c r="C28" s="21"/>
      <c r="D28" s="21"/>
      <c r="E28" s="179">
        <f>ROUND(SUM(E25:E27),1)</f>
        <v>51</v>
      </c>
      <c r="F28" s="947"/>
      <c r="G28" s="179">
        <f>ROUND(SUM(G25:G27),1)</f>
        <v>54.7</v>
      </c>
      <c r="H28" s="947"/>
      <c r="I28" s="179">
        <f>ROUND(SUM(I25:I27),1)</f>
        <v>55.3</v>
      </c>
      <c r="J28" s="42"/>
      <c r="K28" s="179">
        <f>ROUND(SUM(K25:K27),1)</f>
        <v>54.6</v>
      </c>
      <c r="L28" s="214"/>
      <c r="M28" s="179">
        <f>ROUND(SUM(M25:M27),1)</f>
        <v>50.5</v>
      </c>
      <c r="N28" s="214"/>
      <c r="O28" s="179">
        <f>ROUND(SUM(O25:O27),1)</f>
        <v>66.5</v>
      </c>
      <c r="P28" s="214"/>
      <c r="Q28" s="179">
        <f>ROUND(SUM(Q25:Q27),1)</f>
        <v>0</v>
      </c>
      <c r="R28" s="214"/>
      <c r="S28" s="179">
        <f>ROUND(SUM(S25:S27),1)</f>
        <v>0</v>
      </c>
      <c r="T28" s="214"/>
      <c r="U28" s="179">
        <f>ROUND(SUM(U25:U27),1)</f>
        <v>0</v>
      </c>
      <c r="V28" s="214"/>
      <c r="W28" s="179">
        <f>ROUND(SUM(W25:W27),1)</f>
        <v>0</v>
      </c>
      <c r="X28" s="214"/>
      <c r="Y28" s="179">
        <f>ROUND(SUM(Y25:Y27),1)</f>
        <v>0</v>
      </c>
      <c r="Z28" s="214"/>
      <c r="AA28" s="179">
        <f>ROUND(SUM(AA25:AA27),1)</f>
        <v>0</v>
      </c>
      <c r="AB28" s="42"/>
      <c r="AC28" s="179">
        <f>ROUND(SUM(AC25:AC27),1)</f>
        <v>0</v>
      </c>
      <c r="AD28" s="738"/>
      <c r="AE28" s="214"/>
      <c r="AF28" s="179">
        <f>ROUND(SUM(AF25:AF27),1)</f>
        <v>332.6</v>
      </c>
      <c r="AG28" s="739"/>
      <c r="AH28" s="215"/>
      <c r="AI28" s="179">
        <f>ROUND(SUM(AI25:AI27),1)</f>
        <v>316.7</v>
      </c>
      <c r="AJ28" s="216"/>
      <c r="AK28" s="219"/>
      <c r="AL28" s="179">
        <f>ROUND(SUM(AL25:AL27),1)</f>
        <v>15.9</v>
      </c>
      <c r="AM28" s="214"/>
      <c r="AN28" s="961">
        <f>ROUND(IF(AI28=0,0,AL28/ABS(AI28)),3)</f>
        <v>0.05</v>
      </c>
      <c r="AO28" s="397"/>
      <c r="AP28" s="212"/>
      <c r="AQ28" s="212"/>
      <c r="AR28" s="212"/>
      <c r="AS28" s="212"/>
      <c r="AT28" s="212"/>
    </row>
    <row r="29" spans="1:46" ht="15.75">
      <c r="A29" s="21"/>
      <c r="B29" s="737" t="s">
        <v>1008</v>
      </c>
      <c r="C29" s="21"/>
      <c r="D29" s="21"/>
      <c r="E29" s="472"/>
      <c r="F29" s="472"/>
      <c r="G29" s="472"/>
      <c r="H29" s="472"/>
      <c r="I29" s="472"/>
      <c r="J29" s="472"/>
      <c r="K29" s="472"/>
      <c r="L29" s="39"/>
      <c r="M29" s="472"/>
      <c r="N29" s="39"/>
      <c r="O29" s="472"/>
      <c r="P29" s="39"/>
      <c r="Q29" s="472"/>
      <c r="R29" s="39"/>
      <c r="S29" s="39"/>
      <c r="T29" s="39"/>
      <c r="U29" s="39"/>
      <c r="V29" s="39"/>
      <c r="W29" s="39"/>
      <c r="X29" s="39"/>
      <c r="Y29" s="39"/>
      <c r="Z29" s="39"/>
      <c r="AA29" s="39"/>
      <c r="AB29" s="39"/>
      <c r="AC29" s="39"/>
      <c r="AD29" s="39"/>
      <c r="AE29" s="175"/>
      <c r="AF29" s="39"/>
      <c r="AG29" s="746"/>
      <c r="AH29" s="39"/>
      <c r="AI29" s="39"/>
      <c r="AJ29" s="39"/>
      <c r="AK29" s="232"/>
    </row>
    <row r="30" spans="1:46" ht="15.75">
      <c r="A30" s="21"/>
      <c r="B30" s="489" t="s">
        <v>979</v>
      </c>
      <c r="C30" s="21"/>
      <c r="D30" s="21"/>
      <c r="E30" s="912">
        <f>+'Exhibit I State'!E29</f>
        <v>0</v>
      </c>
      <c r="F30" s="912"/>
      <c r="G30" s="912">
        <f>+'Exhibit I State'!G29</f>
        <v>0</v>
      </c>
      <c r="H30" s="912"/>
      <c r="I30" s="912">
        <f>+'Exhibit I State'!I29</f>
        <v>25.7</v>
      </c>
      <c r="J30" s="42"/>
      <c r="K30" s="912">
        <f>+'Exhibit I State'!K29</f>
        <v>25.8</v>
      </c>
      <c r="L30" s="214"/>
      <c r="M30" s="912">
        <f>+'Exhibit I State'!M29</f>
        <v>25.7</v>
      </c>
      <c r="N30" s="214"/>
      <c r="O30" s="912">
        <f>+'Exhibit I State'!O29</f>
        <v>25.700000000000006</v>
      </c>
      <c r="P30" s="214"/>
      <c r="Q30" s="912"/>
      <c r="R30" s="214"/>
      <c r="S30" s="912"/>
      <c r="T30" s="912"/>
      <c r="U30" s="912"/>
      <c r="V30" s="912"/>
      <c r="W30" s="912"/>
      <c r="X30" s="912"/>
      <c r="Y30" s="912"/>
      <c r="Z30" s="912"/>
      <c r="AA30" s="912"/>
      <c r="AB30" s="912"/>
      <c r="AC30" s="912">
        <v>0</v>
      </c>
      <c r="AD30" s="738"/>
      <c r="AE30" s="214"/>
      <c r="AF30" s="36">
        <f>ROUND(SUM(E30:AC30),1)</f>
        <v>102.9</v>
      </c>
      <c r="AG30" s="739"/>
      <c r="AH30" s="215"/>
      <c r="AI30" s="220">
        <f>+'Exhibit I State'!AG29</f>
        <v>103</v>
      </c>
      <c r="AJ30" s="216"/>
      <c r="AK30" s="219"/>
      <c r="AL30" s="220">
        <f>ROUND(SUM(AF30-AI30),1)</f>
        <v>-0.1</v>
      </c>
      <c r="AM30" s="214"/>
      <c r="AN30" s="948">
        <f>ROUND(IF(AI30=0,0,AL30/ABS(AI30)),3)</f>
        <v>-1E-3</v>
      </c>
      <c r="AO30" s="397"/>
      <c r="AP30" s="212"/>
      <c r="AQ30" s="212"/>
      <c r="AR30" s="212"/>
    </row>
    <row r="31" spans="1:46" ht="15.75">
      <c r="A31" s="21"/>
      <c r="B31" s="218" t="s">
        <v>1046</v>
      </c>
      <c r="C31" s="21"/>
      <c r="D31" s="21"/>
      <c r="E31" s="179">
        <f>ROUND(SUM(E30:E30),1)</f>
        <v>0</v>
      </c>
      <c r="F31" s="42"/>
      <c r="G31" s="179">
        <f>ROUND(SUM(G30:G30),1)</f>
        <v>0</v>
      </c>
      <c r="H31" s="42"/>
      <c r="I31" s="179">
        <f>ROUND(SUM(I30:I30),1)</f>
        <v>25.7</v>
      </c>
      <c r="J31" s="42"/>
      <c r="K31" s="179">
        <f>ROUND(SUM(K30:K30),1)</f>
        <v>25.8</v>
      </c>
      <c r="L31" s="214"/>
      <c r="M31" s="179">
        <f>ROUND(SUM(M30:M30),1)</f>
        <v>25.7</v>
      </c>
      <c r="N31" s="214"/>
      <c r="O31" s="179">
        <f>ROUND(SUM(O30:O30),1)</f>
        <v>25.7</v>
      </c>
      <c r="P31" s="214"/>
      <c r="Q31" s="179">
        <f>ROUND(SUM(Q30:Q30),1)</f>
        <v>0</v>
      </c>
      <c r="R31" s="214"/>
      <c r="S31" s="41">
        <f>ROUND(SUM(S30:S30),1)</f>
        <v>0</v>
      </c>
      <c r="T31" s="214"/>
      <c r="U31" s="41">
        <f>ROUND(SUM(U30:U30),1)</f>
        <v>0</v>
      </c>
      <c r="V31" s="214"/>
      <c r="W31" s="41">
        <f>ROUND(SUM(W30:W30),1)</f>
        <v>0</v>
      </c>
      <c r="X31" s="214"/>
      <c r="Y31" s="41">
        <f>ROUND(SUM(Y30:Y30),1)</f>
        <v>0</v>
      </c>
      <c r="Z31" s="214"/>
      <c r="AA31" s="41">
        <f>ROUND(SUM(AA30:AA30),1)</f>
        <v>0</v>
      </c>
      <c r="AB31" s="42"/>
      <c r="AC31" s="41">
        <f>ROUND(SUM(AC30:AC30),1)</f>
        <v>0</v>
      </c>
      <c r="AD31" s="738"/>
      <c r="AE31" s="214"/>
      <c r="AF31" s="41">
        <f>ROUND(SUM(AF30:AF30),1)</f>
        <v>102.9</v>
      </c>
      <c r="AG31" s="739"/>
      <c r="AH31" s="215"/>
      <c r="AI31" s="41">
        <f>ROUND(SUM(AI30:AI30),1)</f>
        <v>103</v>
      </c>
      <c r="AJ31" s="216"/>
      <c r="AK31" s="219"/>
      <c r="AL31" s="761">
        <f>ROUND(SUM(AF31-AI31),1)</f>
        <v>-0.1</v>
      </c>
      <c r="AM31" s="218"/>
      <c r="AN31" s="955">
        <f>ROUND(IF(AI31=0,0,AL31/ABS(AI31)),3)</f>
        <v>-1E-3</v>
      </c>
      <c r="AO31" s="397"/>
      <c r="AP31" s="212"/>
      <c r="AQ31" s="212"/>
      <c r="AR31" s="212"/>
    </row>
    <row r="32" spans="1:46" ht="15.75">
      <c r="A32" s="21"/>
      <c r="B32" s="218"/>
      <c r="C32" s="21"/>
      <c r="D32" s="21"/>
      <c r="E32" s="179"/>
      <c r="F32" s="42"/>
      <c r="G32" s="179"/>
      <c r="H32" s="42"/>
      <c r="I32" s="179"/>
      <c r="J32" s="42"/>
      <c r="K32" s="179"/>
      <c r="L32" s="214"/>
      <c r="M32" s="179"/>
      <c r="N32" s="214"/>
      <c r="O32" s="179"/>
      <c r="P32" s="214"/>
      <c r="Q32" s="179"/>
      <c r="R32" s="214"/>
      <c r="S32" s="179"/>
      <c r="T32" s="214"/>
      <c r="U32" s="179"/>
      <c r="V32" s="214"/>
      <c r="W32" s="179"/>
      <c r="X32" s="214"/>
      <c r="Y32" s="179"/>
      <c r="Z32" s="214"/>
      <c r="AA32" s="179"/>
      <c r="AB32" s="42"/>
      <c r="AC32" s="179"/>
      <c r="AD32" s="738"/>
      <c r="AE32" s="214"/>
      <c r="AF32" s="179"/>
      <c r="AG32" s="739"/>
      <c r="AH32" s="215"/>
      <c r="AI32" s="215"/>
      <c r="AJ32" s="216"/>
      <c r="AK32" s="219"/>
      <c r="AL32" s="215"/>
      <c r="AM32" s="214"/>
      <c r="AN32" s="214"/>
      <c r="AO32" s="397"/>
      <c r="AP32" s="212"/>
      <c r="AQ32" s="212"/>
      <c r="AR32" s="212"/>
    </row>
    <row r="33" spans="1:44" ht="15.75">
      <c r="A33" s="21"/>
      <c r="B33" s="218" t="s">
        <v>975</v>
      </c>
      <c r="C33" s="21"/>
      <c r="D33" s="21"/>
      <c r="E33" s="1142">
        <f>ROUND(SUM(E11+E28+E23+E31),1)</f>
        <v>101</v>
      </c>
      <c r="F33" s="467"/>
      <c r="G33" s="1142">
        <f>ROUND(SUM(G11+G28+G23+G31),1)</f>
        <v>100.8</v>
      </c>
      <c r="H33" s="467"/>
      <c r="I33" s="1142">
        <f>ROUND(SUM(I11+I28+I23+I31),1)</f>
        <v>142.9</v>
      </c>
      <c r="J33" s="467"/>
      <c r="K33" s="1142">
        <f>ROUND(SUM(K11+K28+K23+K31),1)</f>
        <v>126.4</v>
      </c>
      <c r="L33" s="214"/>
      <c r="M33" s="1142">
        <f>ROUND(SUM(M11+M28+M23+M31),1)</f>
        <v>121.5</v>
      </c>
      <c r="N33" s="214"/>
      <c r="O33" s="1142">
        <f>ROUND(SUM(O11+O28+O23+O31),1)</f>
        <v>168.2</v>
      </c>
      <c r="P33" s="214"/>
      <c r="Q33" s="1142">
        <f>ROUND(SUM(Q11+Q28+Q23+Q31),1)</f>
        <v>0</v>
      </c>
      <c r="R33" s="214"/>
      <c r="S33" s="740">
        <f>ROUND(SUM(S11+S28+S23+S31),1)</f>
        <v>0</v>
      </c>
      <c r="T33" s="214"/>
      <c r="U33" s="740">
        <f>ROUND(SUM(U11+U28+U23+U31),1)</f>
        <v>0</v>
      </c>
      <c r="V33" s="214"/>
      <c r="W33" s="740">
        <f>ROUND(SUM(W11+W28+W23+W31),1)</f>
        <v>0</v>
      </c>
      <c r="X33" s="214"/>
      <c r="Y33" s="740">
        <f>ROUND(SUM(Y11+Y28+Y23+Y31),1)</f>
        <v>0</v>
      </c>
      <c r="Z33" s="214"/>
      <c r="AA33" s="740">
        <f>ROUND(SUM(AA11+AA28+AA23+AA31),1)</f>
        <v>0</v>
      </c>
      <c r="AB33" s="742"/>
      <c r="AC33" s="740">
        <f>ROUND(SUM(AC15+AC28+AC23+AC31),1)</f>
        <v>0</v>
      </c>
      <c r="AD33" s="738"/>
      <c r="AE33" s="214"/>
      <c r="AF33" s="740">
        <f>ROUND(SUM(AF28+AF23+AF31),1)</f>
        <v>760.8</v>
      </c>
      <c r="AG33" s="739"/>
      <c r="AH33" s="215"/>
      <c r="AI33" s="740">
        <f>ROUND(SUM(AI28+AI23+AI31),1)</f>
        <v>608.29999999999995</v>
      </c>
      <c r="AJ33" s="216"/>
      <c r="AK33" s="219"/>
      <c r="AL33" s="761">
        <f>ROUND(SUM(AF33-AI33),1)</f>
        <v>152.5</v>
      </c>
      <c r="AM33" s="218"/>
      <c r="AN33" s="955">
        <f>ROUND(IF(AI33=0,0,AL33/ABS(AI33)),3)</f>
        <v>0.251</v>
      </c>
      <c r="AO33" s="397"/>
      <c r="AP33" s="212"/>
      <c r="AQ33" s="212"/>
      <c r="AR33" s="212"/>
    </row>
    <row r="34" spans="1:44" ht="15.75">
      <c r="A34" s="21"/>
      <c r="B34" s="218"/>
      <c r="C34" s="21"/>
      <c r="D34" s="21"/>
      <c r="E34" s="1143"/>
      <c r="F34" s="467"/>
      <c r="G34" s="1143"/>
      <c r="H34" s="467"/>
      <c r="I34" s="1143"/>
      <c r="J34" s="467"/>
      <c r="K34" s="1143"/>
      <c r="L34" s="214"/>
      <c r="M34" s="1143"/>
      <c r="N34" s="214"/>
      <c r="O34" s="1143"/>
      <c r="P34" s="214"/>
      <c r="Q34" s="1143"/>
      <c r="R34" s="214"/>
      <c r="S34" s="742"/>
      <c r="T34" s="214"/>
      <c r="U34" s="742"/>
      <c r="V34" s="214"/>
      <c r="W34" s="742"/>
      <c r="X34" s="214"/>
      <c r="Y34" s="742"/>
      <c r="Z34" s="214"/>
      <c r="AA34" s="742"/>
      <c r="AB34" s="742"/>
      <c r="AC34" s="742"/>
      <c r="AD34" s="924"/>
      <c r="AE34" s="214"/>
      <c r="AF34" s="742"/>
      <c r="AG34" s="739"/>
      <c r="AH34" s="215"/>
      <c r="AI34" s="742"/>
      <c r="AJ34" s="216"/>
      <c r="AK34" s="219"/>
      <c r="AL34" s="741"/>
      <c r="AM34" s="218"/>
      <c r="AN34" s="486"/>
      <c r="AO34" s="397"/>
      <c r="AP34" s="212"/>
      <c r="AQ34" s="212"/>
      <c r="AR34" s="212"/>
    </row>
    <row r="35" spans="1:44" ht="15.75">
      <c r="A35" s="21"/>
      <c r="B35" s="118" t="s">
        <v>886</v>
      </c>
      <c r="C35" s="21"/>
      <c r="D35" s="21"/>
      <c r="E35" s="480"/>
      <c r="F35" s="467"/>
      <c r="G35" s="480"/>
      <c r="H35" s="467"/>
      <c r="I35" s="480"/>
      <c r="J35" s="467"/>
      <c r="K35" s="480"/>
      <c r="L35" s="36"/>
      <c r="M35" s="480"/>
      <c r="N35" s="36"/>
      <c r="O35" s="480"/>
      <c r="P35" s="36"/>
      <c r="Q35" s="480"/>
      <c r="R35" s="36"/>
      <c r="S35" s="116"/>
      <c r="T35" s="36"/>
      <c r="U35" s="116"/>
      <c r="V35" s="36"/>
      <c r="W35" s="116"/>
      <c r="X35" s="36"/>
      <c r="Y35" s="116"/>
      <c r="Z35" s="36"/>
      <c r="AA35" s="116"/>
      <c r="AB35" s="116"/>
      <c r="AC35" s="116"/>
      <c r="AD35" s="36"/>
      <c r="AE35" s="37"/>
      <c r="AF35" s="194"/>
      <c r="AG35" s="689"/>
      <c r="AH35" s="40"/>
      <c r="AI35" s="1860"/>
      <c r="AJ35" s="46"/>
      <c r="AK35" s="237"/>
      <c r="AL35" s="38"/>
      <c r="AM35" s="235"/>
      <c r="AN35" s="948"/>
    </row>
    <row r="36" spans="1:44" ht="15.75">
      <c r="A36" s="21"/>
      <c r="B36" s="594" t="s">
        <v>1000</v>
      </c>
      <c r="C36" s="21"/>
      <c r="D36" s="21"/>
      <c r="E36" s="480"/>
      <c r="F36" s="467"/>
      <c r="G36" s="480"/>
      <c r="H36" s="467"/>
      <c r="I36" s="480"/>
      <c r="J36" s="467"/>
      <c r="K36" s="480"/>
      <c r="L36" s="36"/>
      <c r="M36" s="480"/>
      <c r="N36" s="36"/>
      <c r="O36" s="480"/>
      <c r="P36" s="36"/>
      <c r="Q36" s="480"/>
      <c r="R36" s="36"/>
      <c r="S36" s="116"/>
      <c r="T36" s="36"/>
      <c r="U36" s="116"/>
      <c r="V36" s="36"/>
      <c r="W36" s="116"/>
      <c r="X36" s="36"/>
      <c r="Y36" s="116"/>
      <c r="Z36" s="36"/>
      <c r="AA36" s="116"/>
      <c r="AB36" s="116"/>
      <c r="AC36" s="116"/>
      <c r="AD36" s="36"/>
      <c r="AE36" s="37"/>
      <c r="AF36" s="194"/>
      <c r="AG36" s="689"/>
      <c r="AH36" s="40"/>
      <c r="AI36" s="1860"/>
      <c r="AJ36" s="46"/>
      <c r="AK36" s="237"/>
      <c r="AL36" s="38"/>
      <c r="AM36" s="235"/>
      <c r="AN36" s="948"/>
    </row>
    <row r="37" spans="1:44" ht="15.75">
      <c r="A37" s="21"/>
      <c r="B37" s="594" t="s">
        <v>919</v>
      </c>
      <c r="C37" s="21"/>
      <c r="D37" s="21"/>
      <c r="E37" s="480">
        <f>+'Exhibit I State'!E36+'Exhibit I Federal'!E19</f>
        <v>0</v>
      </c>
      <c r="F37" s="480"/>
      <c r="G37" s="480">
        <f>+'Exhibit I State'!G36+'Exhibit I Federal'!G19</f>
        <v>0</v>
      </c>
      <c r="H37" s="480"/>
      <c r="I37" s="480">
        <f>+'Exhibit I State'!I36+'Exhibit I Federal'!I19</f>
        <v>23</v>
      </c>
      <c r="J37" s="467"/>
      <c r="K37" s="480">
        <f>+'Exhibit I State'!K36+'Exhibit I Federal'!K19</f>
        <v>0</v>
      </c>
      <c r="L37" s="36"/>
      <c r="M37" s="480">
        <f>+'Exhibit I State'!M36+'Exhibit I Federal'!M19</f>
        <v>0</v>
      </c>
      <c r="N37" s="36"/>
      <c r="O37" s="480">
        <f>+'Exhibit I State'!O36+'Exhibit I Federal'!O19</f>
        <v>0</v>
      </c>
      <c r="P37" s="36"/>
      <c r="Q37" s="480"/>
      <c r="R37" s="36"/>
      <c r="S37" s="480"/>
      <c r="T37" s="480"/>
      <c r="U37" s="480"/>
      <c r="V37" s="480"/>
      <c r="W37" s="480"/>
      <c r="X37" s="480"/>
      <c r="Y37" s="480"/>
      <c r="Z37" s="480"/>
      <c r="AA37" s="480"/>
      <c r="AB37" s="116"/>
      <c r="AC37" s="116">
        <v>0</v>
      </c>
      <c r="AD37" s="36"/>
      <c r="AE37" s="37"/>
      <c r="AF37" s="194">
        <f>ROUND(SUM(E37:AC37),1)</f>
        <v>23</v>
      </c>
      <c r="AG37" s="689"/>
      <c r="AH37" s="40"/>
      <c r="AI37" s="1860">
        <f>+'Exhibit I State'!AG36+'Exhibit I Federal'!AG19</f>
        <v>23</v>
      </c>
      <c r="AJ37" s="46"/>
      <c r="AK37" s="237"/>
      <c r="AL37" s="38">
        <f t="shared" ref="AL37:AL60" si="1">ROUND(SUM(+AF37-AI37),1)</f>
        <v>0</v>
      </c>
      <c r="AM37" s="235"/>
      <c r="AN37" s="948">
        <f>ROUND(IF(AI37=0,0,AL37/ABS(AI37)),3)</f>
        <v>0</v>
      </c>
    </row>
    <row r="38" spans="1:44" ht="15.75">
      <c r="A38" s="21"/>
      <c r="B38" s="594" t="s">
        <v>1001</v>
      </c>
      <c r="C38" s="21"/>
      <c r="D38" s="21"/>
      <c r="E38" s="480"/>
      <c r="F38" s="480"/>
      <c r="G38" s="480"/>
      <c r="H38" s="480"/>
      <c r="I38" s="480"/>
      <c r="J38" s="467"/>
      <c r="K38" s="480"/>
      <c r="L38" s="36"/>
      <c r="M38" s="480"/>
      <c r="N38" s="36"/>
      <c r="O38" s="480"/>
      <c r="P38" s="36"/>
      <c r="Q38" s="480"/>
      <c r="R38" s="36"/>
      <c r="S38" s="480"/>
      <c r="T38" s="480"/>
      <c r="U38" s="480"/>
      <c r="V38" s="480"/>
      <c r="W38" s="480"/>
      <c r="X38" s="480"/>
      <c r="Y38" s="480"/>
      <c r="Z38" s="480"/>
      <c r="AA38" s="480"/>
      <c r="AB38" s="116"/>
      <c r="AC38" s="116"/>
      <c r="AD38" s="36"/>
      <c r="AE38" s="37"/>
      <c r="AF38" s="194"/>
      <c r="AG38" s="689"/>
      <c r="AH38" s="40"/>
      <c r="AI38" s="1860"/>
      <c r="AJ38" s="46"/>
      <c r="AK38" s="237"/>
      <c r="AL38" s="38"/>
      <c r="AM38" s="235"/>
      <c r="AN38" s="948"/>
    </row>
    <row r="39" spans="1:44" ht="15.75">
      <c r="A39" s="21"/>
      <c r="B39" s="594" t="s">
        <v>920</v>
      </c>
      <c r="C39" s="21"/>
      <c r="D39" s="21"/>
      <c r="E39" s="480">
        <f>+'Exhibit I State'!E38+'Exhibit I Federal'!E21</f>
        <v>6.6999999999999993</v>
      </c>
      <c r="F39" s="480"/>
      <c r="G39" s="480">
        <f>+'Exhibit I State'!G38+'Exhibit I Federal'!G21</f>
        <v>5.5</v>
      </c>
      <c r="H39" s="480"/>
      <c r="I39" s="480">
        <f>+'Exhibit I State'!I38+'Exhibit I Federal'!I21</f>
        <v>5.9000000000000021</v>
      </c>
      <c r="J39" s="467"/>
      <c r="K39" s="480">
        <f>+'Exhibit I State'!K38+'Exhibit I Federal'!K21</f>
        <v>5.3999999999999986</v>
      </c>
      <c r="L39" s="36"/>
      <c r="M39" s="480">
        <f>+'Exhibit I State'!M38+'Exhibit I Federal'!M21</f>
        <v>5.1999999999999993</v>
      </c>
      <c r="N39" s="36"/>
      <c r="O39" s="480">
        <f>+'Exhibit I State'!O38+'Exhibit I Federal'!O21</f>
        <v>5.5000000000000036</v>
      </c>
      <c r="P39" s="36"/>
      <c r="Q39" s="480"/>
      <c r="R39" s="36"/>
      <c r="S39" s="480"/>
      <c r="T39" s="480"/>
      <c r="U39" s="480"/>
      <c r="V39" s="480"/>
      <c r="W39" s="480"/>
      <c r="X39" s="480"/>
      <c r="Y39" s="480"/>
      <c r="Z39" s="480"/>
      <c r="AA39" s="480"/>
      <c r="AB39" s="116"/>
      <c r="AC39" s="116">
        <v>0</v>
      </c>
      <c r="AD39" s="36"/>
      <c r="AE39" s="37"/>
      <c r="AF39" s="194">
        <f>ROUND(SUM(E39:AC39),1)</f>
        <v>34.200000000000003</v>
      </c>
      <c r="AG39" s="689"/>
      <c r="AH39" s="40"/>
      <c r="AI39" s="1860">
        <f>+'Exhibit I State'!AG38+'Exhibit I Federal'!AG21</f>
        <v>35.1</v>
      </c>
      <c r="AJ39" s="46"/>
      <c r="AK39" s="237"/>
      <c r="AL39" s="38">
        <f t="shared" si="1"/>
        <v>-0.9</v>
      </c>
      <c r="AM39" s="235"/>
      <c r="AN39" s="948">
        <f>ROUND(IF(AI39=0,0,AL39/ABS(AI39)),3)</f>
        <v>-2.5999999999999999E-2</v>
      </c>
    </row>
    <row r="40" spans="1:44" ht="15.75">
      <c r="A40" s="21"/>
      <c r="B40" s="594" t="s">
        <v>1005</v>
      </c>
      <c r="C40" s="21"/>
      <c r="D40" s="21"/>
      <c r="E40" s="480"/>
      <c r="F40" s="480"/>
      <c r="G40" s="480"/>
      <c r="H40" s="480"/>
      <c r="I40" s="480"/>
      <c r="J40" s="467"/>
      <c r="K40" s="480"/>
      <c r="L40" s="36"/>
      <c r="M40" s="480"/>
      <c r="N40" s="36"/>
      <c r="O40" s="480"/>
      <c r="P40" s="36"/>
      <c r="Q40" s="480"/>
      <c r="R40" s="36"/>
      <c r="S40" s="480"/>
      <c r="T40" s="480"/>
      <c r="U40" s="480"/>
      <c r="V40" s="480"/>
      <c r="W40" s="480"/>
      <c r="X40" s="480"/>
      <c r="Y40" s="480"/>
      <c r="Z40" s="480"/>
      <c r="AA40" s="480"/>
      <c r="AB40" s="116"/>
      <c r="AC40" s="116"/>
      <c r="AD40" s="36"/>
      <c r="AE40" s="37"/>
      <c r="AF40" s="194"/>
      <c r="AG40" s="689"/>
      <c r="AH40" s="40"/>
      <c r="AI40" s="1860"/>
      <c r="AJ40" s="46"/>
      <c r="AK40" s="237"/>
      <c r="AL40" s="38"/>
      <c r="AM40" s="235"/>
      <c r="AN40" s="948"/>
    </row>
    <row r="41" spans="1:44" ht="15.75">
      <c r="A41" s="21"/>
      <c r="B41" s="594" t="s">
        <v>924</v>
      </c>
      <c r="C41" s="21"/>
      <c r="D41" s="21"/>
      <c r="E41" s="480">
        <f>+'Exhibit I State'!E40+'Exhibit I Federal'!E23</f>
        <v>1.4000000000000001</v>
      </c>
      <c r="F41" s="480"/>
      <c r="G41" s="480">
        <f>+'Exhibit I State'!G40+'Exhibit I Federal'!G23</f>
        <v>3.1999999999999993</v>
      </c>
      <c r="H41" s="480"/>
      <c r="I41" s="480">
        <f>+'Exhibit I State'!I40+'Exhibit I Federal'!I23</f>
        <v>1.8000000000000007</v>
      </c>
      <c r="J41" s="467"/>
      <c r="K41" s="480">
        <f>+'Exhibit I State'!K40+'Exhibit I Federal'!K23</f>
        <v>1.9000000000000004</v>
      </c>
      <c r="L41" s="36"/>
      <c r="M41" s="480">
        <f>+'Exhibit I State'!M40+'Exhibit I Federal'!M23</f>
        <v>8.5</v>
      </c>
      <c r="N41" s="36"/>
      <c r="O41" s="480">
        <f>+'Exhibit I State'!O40+'Exhibit I Federal'!O23</f>
        <v>3.5000000000000018</v>
      </c>
      <c r="P41" s="36"/>
      <c r="Q41" s="480"/>
      <c r="R41" s="36"/>
      <c r="S41" s="480"/>
      <c r="T41" s="480"/>
      <c r="U41" s="480"/>
      <c r="V41" s="480"/>
      <c r="W41" s="480"/>
      <c r="X41" s="480"/>
      <c r="Y41" s="480"/>
      <c r="Z41" s="480"/>
      <c r="AA41" s="480"/>
      <c r="AB41" s="116"/>
      <c r="AC41" s="116">
        <v>0</v>
      </c>
      <c r="AD41" s="36"/>
      <c r="AE41" s="37"/>
      <c r="AF41" s="194">
        <f t="shared" ref="AF41:AF44" si="2">ROUND(SUM(E41:AC41),1)</f>
        <v>20.3</v>
      </c>
      <c r="AG41" s="689"/>
      <c r="AH41" s="40"/>
      <c r="AI41" s="1860">
        <f>+'Exhibit I State'!AG40+'Exhibit I Federal'!AG23</f>
        <v>11.1</v>
      </c>
      <c r="AJ41" s="46"/>
      <c r="AK41" s="237"/>
      <c r="AL41" s="38">
        <f t="shared" si="1"/>
        <v>9.1999999999999993</v>
      </c>
      <c r="AM41" s="235"/>
      <c r="AN41" s="948">
        <f>ROUND(IF(AI41=0,0,AL41/ABS(AI41)),3)</f>
        <v>0.82899999999999996</v>
      </c>
    </row>
    <row r="42" spans="1:44" ht="15.75">
      <c r="A42" s="21"/>
      <c r="B42" s="594" t="s">
        <v>1056</v>
      </c>
      <c r="C42" s="21"/>
      <c r="D42" s="21"/>
      <c r="E42" s="480">
        <f>+'Exhibit I State'!E41+'Exhibit I Federal'!E24</f>
        <v>0</v>
      </c>
      <c r="F42" s="480"/>
      <c r="G42" s="480">
        <f>+'Exhibit I State'!G41+'Exhibit I Federal'!G24</f>
        <v>0</v>
      </c>
      <c r="H42" s="480"/>
      <c r="I42" s="480">
        <f>+'Exhibit I State'!I41+'Exhibit I Federal'!I24</f>
        <v>0</v>
      </c>
      <c r="J42" s="467"/>
      <c r="K42" s="480">
        <f>+'Exhibit I State'!K41+'Exhibit I Federal'!K24</f>
        <v>0</v>
      </c>
      <c r="L42" s="36"/>
      <c r="M42" s="480">
        <f>+'Exhibit I State'!M41+'Exhibit I Federal'!M24</f>
        <v>0</v>
      </c>
      <c r="N42" s="36"/>
      <c r="O42" s="480">
        <f>+'Exhibit I State'!O41+'Exhibit I Federal'!O24</f>
        <v>0</v>
      </c>
      <c r="P42" s="36"/>
      <c r="Q42" s="480"/>
      <c r="R42" s="36"/>
      <c r="S42" s="480"/>
      <c r="T42" s="480"/>
      <c r="U42" s="480"/>
      <c r="V42" s="480"/>
      <c r="W42" s="480"/>
      <c r="X42" s="480"/>
      <c r="Y42" s="480"/>
      <c r="Z42" s="480"/>
      <c r="AA42" s="480"/>
      <c r="AB42" s="116"/>
      <c r="AC42" s="116">
        <v>0</v>
      </c>
      <c r="AD42" s="36"/>
      <c r="AE42" s="37"/>
      <c r="AF42" s="194">
        <f t="shared" si="2"/>
        <v>0</v>
      </c>
      <c r="AG42" s="972"/>
      <c r="AH42" s="40"/>
      <c r="AI42" s="1860">
        <f>+'Exhibit I State'!AG41+'Exhibit I Federal'!AG24</f>
        <v>0</v>
      </c>
      <c r="AJ42" s="46"/>
      <c r="AK42" s="237"/>
      <c r="AL42" s="38">
        <f>ROUND(SUM(+AF42-AI42),1)</f>
        <v>0</v>
      </c>
      <c r="AM42" s="235"/>
      <c r="AN42" s="948">
        <f>ROUND(IF(AI42=0,0,AL42/ABS(AI42)),3)</f>
        <v>0</v>
      </c>
    </row>
    <row r="43" spans="1:44" ht="15.75">
      <c r="A43" s="21"/>
      <c r="B43" s="594" t="s">
        <v>927</v>
      </c>
      <c r="C43" s="21"/>
      <c r="D43" s="21"/>
      <c r="E43" s="480">
        <f>+'Exhibit I State'!E42+'Exhibit I Federal'!E25</f>
        <v>63.8</v>
      </c>
      <c r="F43" s="480"/>
      <c r="G43" s="480">
        <f>+'Exhibit I State'!G42+'Exhibit I Federal'!G25</f>
        <v>61.600000000000009</v>
      </c>
      <c r="H43" s="480"/>
      <c r="I43" s="480">
        <f>+'Exhibit I State'!I42+'Exhibit I Federal'!I25</f>
        <v>63.900000000000006</v>
      </c>
      <c r="J43" s="467"/>
      <c r="K43" s="480">
        <f>+'Exhibit I State'!K42+'Exhibit I Federal'!K25</f>
        <v>52.199999999999974</v>
      </c>
      <c r="L43" s="36"/>
      <c r="M43" s="480">
        <f>+'Exhibit I State'!M42+'Exhibit I Federal'!M25</f>
        <v>55.600000000000009</v>
      </c>
      <c r="N43" s="36"/>
      <c r="O43" s="480">
        <f>+'Exhibit I State'!O42+'Exhibit I Federal'!O25</f>
        <v>64.899999999999977</v>
      </c>
      <c r="P43" s="36"/>
      <c r="Q43" s="480"/>
      <c r="R43" s="36"/>
      <c r="S43" s="480"/>
      <c r="T43" s="480"/>
      <c r="U43" s="480"/>
      <c r="V43" s="480"/>
      <c r="W43" s="480"/>
      <c r="X43" s="480"/>
      <c r="Y43" s="480"/>
      <c r="Z43" s="480"/>
      <c r="AA43" s="480"/>
      <c r="AB43" s="116"/>
      <c r="AC43" s="116">
        <v>0</v>
      </c>
      <c r="AD43" s="36"/>
      <c r="AE43" s="37"/>
      <c r="AF43" s="194">
        <f>ROUND(SUM(E43:AC43),1)</f>
        <v>362</v>
      </c>
      <c r="AG43" s="689"/>
      <c r="AH43" s="40"/>
      <c r="AI43" s="1860">
        <f>+'Exhibit I State'!AG42+'Exhibit I Federal'!AG25</f>
        <v>340.8</v>
      </c>
      <c r="AJ43" s="46"/>
      <c r="AK43" s="237"/>
      <c r="AL43" s="38">
        <f t="shared" si="1"/>
        <v>21.2</v>
      </c>
      <c r="AM43" s="235"/>
      <c r="AN43" s="948">
        <f>ROUND(IF(AI43=0,0,AL43/ABS(AI43)),3)</f>
        <v>6.2E-2</v>
      </c>
    </row>
    <row r="44" spans="1:44" ht="15.75">
      <c r="A44" s="21"/>
      <c r="B44" s="594" t="s">
        <v>928</v>
      </c>
      <c r="C44" s="21"/>
      <c r="D44" s="21"/>
      <c r="E44" s="480">
        <f>+'Exhibit I State'!E43+'Exhibit I Federal'!E26</f>
        <v>0.2</v>
      </c>
      <c r="F44" s="480"/>
      <c r="G44" s="480">
        <f>+'Exhibit I State'!G43+'Exhibit I Federal'!G26</f>
        <v>0.3</v>
      </c>
      <c r="H44" s="480"/>
      <c r="I44" s="480">
        <f>+'Exhibit I State'!I43+'Exhibit I Federal'!I26</f>
        <v>1.5</v>
      </c>
      <c r="J44" s="467"/>
      <c r="K44" s="480">
        <f>+'Exhibit I State'!K43+'Exhibit I Federal'!K26</f>
        <v>6.3000000000000016</v>
      </c>
      <c r="L44" s="36"/>
      <c r="M44" s="480">
        <f>+'Exhibit I State'!M43+'Exhibit I Federal'!M26</f>
        <v>0.59999999999999876</v>
      </c>
      <c r="N44" s="36"/>
      <c r="O44" s="480">
        <f>+'Exhibit I State'!O43+'Exhibit I Federal'!O26</f>
        <v>1.2999999999999989</v>
      </c>
      <c r="P44" s="36"/>
      <c r="Q44" s="480"/>
      <c r="R44" s="36"/>
      <c r="S44" s="480"/>
      <c r="T44" s="480"/>
      <c r="U44" s="480"/>
      <c r="V44" s="480"/>
      <c r="W44" s="480"/>
      <c r="X44" s="480"/>
      <c r="Y44" s="480"/>
      <c r="Z44" s="480"/>
      <c r="AA44" s="480"/>
      <c r="AB44" s="116"/>
      <c r="AC44" s="116">
        <v>0</v>
      </c>
      <c r="AD44" s="36"/>
      <c r="AE44" s="37"/>
      <c r="AF44" s="194">
        <f t="shared" si="2"/>
        <v>10.199999999999999</v>
      </c>
      <c r="AG44" s="689"/>
      <c r="AH44" s="40"/>
      <c r="AI44" s="1861">
        <f>+'Exhibit I State'!AG43+'Exhibit I Federal'!AG26</f>
        <v>22.2</v>
      </c>
      <c r="AJ44" s="46"/>
      <c r="AK44" s="237"/>
      <c r="AL44" s="467">
        <f>ROUND(SUM(+AF44-AI44),1)</f>
        <v>-12</v>
      </c>
      <c r="AM44" s="467"/>
      <c r="AN44" s="964">
        <f>ROUND(IF(AI44=0,1,AL44/ABS(AI44)),3)</f>
        <v>-0.54100000000000004</v>
      </c>
    </row>
    <row r="45" spans="1:44" ht="15.75">
      <c r="A45" s="21"/>
      <c r="B45" s="594" t="s">
        <v>887</v>
      </c>
      <c r="C45" s="21"/>
      <c r="D45" s="21"/>
      <c r="E45" s="480">
        <f>+'Exhibit I State'!E44+'Exhibit I Federal'!E27</f>
        <v>2.4</v>
      </c>
      <c r="F45" s="480"/>
      <c r="G45" s="480">
        <f>+'Exhibit I State'!G44+'Exhibit I Federal'!G27</f>
        <v>2.4</v>
      </c>
      <c r="H45" s="480"/>
      <c r="I45" s="480">
        <f>+'Exhibit I State'!I44+'Exhibit I Federal'!I27</f>
        <v>5.0999999999999996</v>
      </c>
      <c r="J45" s="467"/>
      <c r="K45" s="480">
        <f>+'Exhibit I State'!K44+'Exhibit I Federal'!K27</f>
        <v>4.1999999999999993</v>
      </c>
      <c r="L45" s="36"/>
      <c r="M45" s="480">
        <f>+'Exhibit I State'!M44+'Exhibit I Federal'!M27</f>
        <v>2.0000000000000018</v>
      </c>
      <c r="N45" s="36"/>
      <c r="O45" s="480">
        <f>+'Exhibit I State'!O44+'Exhibit I Federal'!O27</f>
        <v>3.0999999999999996</v>
      </c>
      <c r="P45" s="36"/>
      <c r="Q45" s="480"/>
      <c r="R45" s="36"/>
      <c r="S45" s="480"/>
      <c r="T45" s="480"/>
      <c r="U45" s="480"/>
      <c r="V45" s="480"/>
      <c r="W45" s="480"/>
      <c r="X45" s="480"/>
      <c r="Y45" s="480"/>
      <c r="Z45" s="480"/>
      <c r="AA45" s="480"/>
      <c r="AB45" s="116"/>
      <c r="AC45" s="116">
        <v>0</v>
      </c>
      <c r="AD45" s="36"/>
      <c r="AE45" s="37"/>
      <c r="AF45" s="194">
        <f>ROUND(SUM(E45:AC45),1)</f>
        <v>19.2</v>
      </c>
      <c r="AG45" s="689"/>
      <c r="AH45" s="40"/>
      <c r="AI45" s="1860">
        <f>+'Exhibit I State'!AG44+'Exhibit I Federal'!AG27</f>
        <v>11.2</v>
      </c>
      <c r="AJ45" s="46"/>
      <c r="AK45" s="237"/>
      <c r="AL45" s="38">
        <f t="shared" si="1"/>
        <v>8</v>
      </c>
      <c r="AM45" s="235"/>
      <c r="AN45" s="971">
        <f>ROUND(IF(AI45=0,1,AL45/ABS(AI45)),3)</f>
        <v>0.71399999999999997</v>
      </c>
    </row>
    <row r="46" spans="1:44" ht="15.75">
      <c r="A46" s="21"/>
      <c r="B46" s="594" t="s">
        <v>888</v>
      </c>
      <c r="C46" s="21"/>
      <c r="D46" s="21"/>
      <c r="E46" s="480">
        <f>+'Exhibit I State'!E45+'Exhibit I Federal'!E28</f>
        <v>2.4</v>
      </c>
      <c r="F46" s="480"/>
      <c r="G46" s="480">
        <f>+'Exhibit I State'!G45+'Exhibit I Federal'!G28</f>
        <v>2.6999999999999997</v>
      </c>
      <c r="H46" s="480"/>
      <c r="I46" s="480">
        <f>+'Exhibit I State'!I45+'Exhibit I Federal'!I28</f>
        <v>2.9999999999999996</v>
      </c>
      <c r="J46" s="467"/>
      <c r="K46" s="480">
        <f>+'Exhibit I State'!K45+'Exhibit I Federal'!K28</f>
        <v>3.2000000000000015</v>
      </c>
      <c r="L46" s="36"/>
      <c r="M46" s="480">
        <f>+'Exhibit I State'!M45+'Exhibit I Federal'!M28</f>
        <v>3.5999999999999992</v>
      </c>
      <c r="N46" s="36"/>
      <c r="O46" s="480">
        <f>+'Exhibit I State'!O45+'Exhibit I Federal'!O28</f>
        <v>3.6000000000000019</v>
      </c>
      <c r="P46" s="36"/>
      <c r="Q46" s="480"/>
      <c r="R46" s="36"/>
      <c r="S46" s="480"/>
      <c r="T46" s="480"/>
      <c r="U46" s="480"/>
      <c r="V46" s="480"/>
      <c r="W46" s="480"/>
      <c r="X46" s="480"/>
      <c r="Y46" s="480"/>
      <c r="Z46" s="480"/>
      <c r="AA46" s="480"/>
      <c r="AB46" s="116"/>
      <c r="AC46" s="116">
        <v>0</v>
      </c>
      <c r="AD46" s="36"/>
      <c r="AE46" s="37"/>
      <c r="AF46" s="194">
        <f>ROUND(SUM(E46:AC46),1)</f>
        <v>18.5</v>
      </c>
      <c r="AG46" s="689"/>
      <c r="AH46" s="40"/>
      <c r="AI46" s="1860">
        <f>+'Exhibit I State'!AG45+'Exhibit I Federal'!AG28</f>
        <v>2.5</v>
      </c>
      <c r="AJ46" s="46"/>
      <c r="AK46" s="237"/>
      <c r="AL46" s="38">
        <f>ROUND(SUM(+AF46-AI46),1)</f>
        <v>16</v>
      </c>
      <c r="AM46" s="235"/>
      <c r="AN46" s="2165">
        <f>ROUND(IF(AI46=0,1,AL46/ABS(AI46)),3)</f>
        <v>6.4</v>
      </c>
    </row>
    <row r="47" spans="1:44" ht="15.75">
      <c r="A47" s="21"/>
      <c r="B47" s="594" t="s">
        <v>905</v>
      </c>
      <c r="C47" s="21"/>
      <c r="D47" s="21"/>
      <c r="E47" s="480">
        <f>+'Exhibit I State'!E46+'Exhibit I Federal'!E29</f>
        <v>0</v>
      </c>
      <c r="F47" s="480"/>
      <c r="G47" s="480">
        <f>+'Exhibit I State'!G46+'Exhibit I Federal'!G29</f>
        <v>0</v>
      </c>
      <c r="H47" s="480"/>
      <c r="I47" s="480">
        <f>+'Exhibit I State'!I46+'Exhibit I Federal'!I29</f>
        <v>0</v>
      </c>
      <c r="J47" s="467"/>
      <c r="K47" s="480">
        <f>+'Exhibit I State'!K46+'Exhibit I Federal'!K29</f>
        <v>0</v>
      </c>
      <c r="L47" s="36"/>
      <c r="M47" s="480">
        <f>+'Exhibit I State'!M46+'Exhibit I Federal'!M29</f>
        <v>0</v>
      </c>
      <c r="N47" s="36"/>
      <c r="O47" s="480">
        <f>+'Exhibit I State'!O46+'Exhibit I Federal'!O29</f>
        <v>0</v>
      </c>
      <c r="P47" s="36"/>
      <c r="Q47" s="480"/>
      <c r="R47" s="36"/>
      <c r="S47" s="480"/>
      <c r="T47" s="480"/>
      <c r="U47" s="480"/>
      <c r="V47" s="480"/>
      <c r="W47" s="480"/>
      <c r="X47" s="480"/>
      <c r="Y47" s="480"/>
      <c r="Z47" s="480"/>
      <c r="AA47" s="480"/>
      <c r="AB47" s="116"/>
      <c r="AC47" s="116">
        <v>0</v>
      </c>
      <c r="AD47" s="36"/>
      <c r="AE47" s="37"/>
      <c r="AF47" s="194">
        <f>ROUND(SUM(E47:AC47),1)</f>
        <v>0</v>
      </c>
      <c r="AG47" s="689"/>
      <c r="AH47" s="40"/>
      <c r="AI47" s="1860">
        <f>+'Exhibit I State'!AG46+'Exhibit I Federal'!AG29</f>
        <v>0.6</v>
      </c>
      <c r="AJ47" s="46"/>
      <c r="AK47" s="237"/>
      <c r="AL47" s="38">
        <f>ROUND(SUM(+AF47-AI47),1)</f>
        <v>-0.6</v>
      </c>
      <c r="AM47" s="235"/>
      <c r="AN47" s="8">
        <f>ROUND(IF(AI47=0,0,AL47/ABS(AI47)),3)</f>
        <v>-1</v>
      </c>
    </row>
    <row r="48" spans="1:44" ht="15.75">
      <c r="A48" s="21"/>
      <c r="B48" s="594" t="s">
        <v>1003</v>
      </c>
      <c r="C48" s="21"/>
      <c r="D48" s="21"/>
      <c r="E48" s="480"/>
      <c r="F48" s="480"/>
      <c r="G48" s="480"/>
      <c r="H48" s="480"/>
      <c r="I48" s="480"/>
      <c r="J48" s="467"/>
      <c r="K48" s="480"/>
      <c r="L48" s="36"/>
      <c r="M48" s="480"/>
      <c r="N48" s="36"/>
      <c r="O48" s="480"/>
      <c r="P48" s="36"/>
      <c r="Q48" s="480"/>
      <c r="R48" s="36"/>
      <c r="S48" s="480"/>
      <c r="T48" s="480"/>
      <c r="U48" s="480"/>
      <c r="V48" s="480"/>
      <c r="W48" s="480"/>
      <c r="X48" s="480"/>
      <c r="Y48" s="480"/>
      <c r="Z48" s="480"/>
      <c r="AA48" s="480"/>
      <c r="AB48" s="116"/>
      <c r="AC48" s="116"/>
      <c r="AD48" s="36"/>
      <c r="AE48" s="37"/>
      <c r="AF48" s="194"/>
      <c r="AG48" s="689"/>
      <c r="AH48" s="40"/>
      <c r="AI48" s="1860"/>
      <c r="AJ48" s="46"/>
      <c r="AK48" s="237"/>
      <c r="AL48" s="38"/>
      <c r="AM48" s="235"/>
      <c r="AN48" s="8"/>
    </row>
    <row r="49" spans="1:40" ht="15.75">
      <c r="A49" s="21"/>
      <c r="B49" s="594" t="s">
        <v>931</v>
      </c>
      <c r="C49" s="21"/>
      <c r="D49" s="21"/>
      <c r="E49" s="480">
        <f>+'Exhibit I State'!E48+'Exhibit I Federal'!E31</f>
        <v>189.2</v>
      </c>
      <c r="F49" s="480"/>
      <c r="G49" s="480">
        <f>+'Exhibit I State'!G48+'Exhibit I Federal'!G31</f>
        <v>559.5</v>
      </c>
      <c r="H49" s="480"/>
      <c r="I49" s="480">
        <f>+'Exhibit I State'!I48+'Exhibit I Federal'!I31</f>
        <v>323</v>
      </c>
      <c r="J49" s="467"/>
      <c r="K49" s="480">
        <f>+'Exhibit I State'!K48+'Exhibit I Federal'!K31</f>
        <v>725.89999999999986</v>
      </c>
      <c r="L49" s="36"/>
      <c r="M49" s="480">
        <f>+'Exhibit I State'!M48+'Exhibit I Federal'!M31</f>
        <v>336.90000000000009</v>
      </c>
      <c r="N49" s="36"/>
      <c r="O49" s="480">
        <f>+'Exhibit I State'!O48+'Exhibit I Federal'!O31</f>
        <v>695.60000000000014</v>
      </c>
      <c r="P49" s="36"/>
      <c r="Q49" s="480"/>
      <c r="R49" s="36"/>
      <c r="S49" s="480"/>
      <c r="T49" s="480"/>
      <c r="U49" s="480"/>
      <c r="V49" s="480"/>
      <c r="W49" s="480"/>
      <c r="X49" s="480"/>
      <c r="Y49" s="480"/>
      <c r="Z49" s="480"/>
      <c r="AA49" s="480"/>
      <c r="AB49" s="116"/>
      <c r="AC49" s="116">
        <v>0</v>
      </c>
      <c r="AD49" s="36"/>
      <c r="AE49" s="37"/>
      <c r="AF49" s="194">
        <f>ROUND(SUM(E49:AC49),1)</f>
        <v>2830.1</v>
      </c>
      <c r="AG49" s="689"/>
      <c r="AH49" s="40"/>
      <c r="AI49" s="1860">
        <f>+'Exhibit I State'!AG48+'Exhibit I Federal'!AG31</f>
        <v>3374.8</v>
      </c>
      <c r="AJ49" s="46"/>
      <c r="AK49" s="237"/>
      <c r="AL49" s="38">
        <f t="shared" si="1"/>
        <v>-544.70000000000005</v>
      </c>
      <c r="AM49" s="235"/>
      <c r="AN49" s="1161">
        <f>ROUND(IF(AI49=0,1,AL49/ABS(AI49)),3)</f>
        <v>-0.161</v>
      </c>
    </row>
    <row r="50" spans="1:40" ht="15.75">
      <c r="A50" s="21"/>
      <c r="B50" s="594" t="s">
        <v>933</v>
      </c>
      <c r="C50" s="21"/>
      <c r="D50" s="21"/>
      <c r="E50" s="480">
        <f>+'Exhibit I State'!E49+'Exhibit I Federal'!E32</f>
        <v>0</v>
      </c>
      <c r="F50" s="480"/>
      <c r="G50" s="480">
        <f>+'Exhibit I State'!G49+'Exhibit I Federal'!G32</f>
        <v>0</v>
      </c>
      <c r="H50" s="480"/>
      <c r="I50" s="480">
        <f>+'Exhibit I State'!I49+'Exhibit I Federal'!I32</f>
        <v>0</v>
      </c>
      <c r="J50" s="480"/>
      <c r="K50" s="480">
        <f>+'Exhibit I State'!K49+'Exhibit I Federal'!K32</f>
        <v>0</v>
      </c>
      <c r="L50" s="116"/>
      <c r="M50" s="480">
        <f>+'Exhibit I State'!M49+'Exhibit I Federal'!M32</f>
        <v>0</v>
      </c>
      <c r="N50" s="116"/>
      <c r="O50" s="480">
        <f>+'Exhibit I State'!O49+'Exhibit I Federal'!O32</f>
        <v>0</v>
      </c>
      <c r="P50" s="116"/>
      <c r="Q50" s="480"/>
      <c r="R50" s="36"/>
      <c r="S50" s="480"/>
      <c r="T50" s="480"/>
      <c r="U50" s="480"/>
      <c r="V50" s="480"/>
      <c r="W50" s="480"/>
      <c r="X50" s="480"/>
      <c r="Y50" s="480"/>
      <c r="Z50" s="480"/>
      <c r="AA50" s="480"/>
      <c r="AB50" s="116"/>
      <c r="AC50" s="116">
        <v>0</v>
      </c>
      <c r="AD50" s="36"/>
      <c r="AE50" s="37"/>
      <c r="AF50" s="194">
        <f>ROUND(SUM(E50:AC50),1)</f>
        <v>0</v>
      </c>
      <c r="AG50" s="972"/>
      <c r="AH50" s="40"/>
      <c r="AI50" s="1860">
        <f>+'Exhibit I State'!AG49+'Exhibit I Federal'!AG32</f>
        <v>0</v>
      </c>
      <c r="AJ50" s="46"/>
      <c r="AK50" s="237"/>
      <c r="AL50" s="38">
        <f t="shared" si="1"/>
        <v>0</v>
      </c>
      <c r="AM50" s="235"/>
      <c r="AN50" s="948">
        <f>ROUND(IF(AI50=0,0,AL50/ABS(AI50)),3)</f>
        <v>0</v>
      </c>
    </row>
    <row r="51" spans="1:40" ht="15.75">
      <c r="A51" s="21"/>
      <c r="B51" s="594" t="s">
        <v>934</v>
      </c>
      <c r="C51" s="21"/>
      <c r="D51" s="21"/>
      <c r="E51" s="480">
        <f>+'Exhibit I State'!E50+'Exhibit I Federal'!E33</f>
        <v>1.3</v>
      </c>
      <c r="F51" s="480"/>
      <c r="G51" s="480">
        <f>+'Exhibit I State'!G50+'Exhibit I Federal'!G33</f>
        <v>0.5</v>
      </c>
      <c r="H51" s="480"/>
      <c r="I51" s="480">
        <f>+'Exhibit I State'!I50+'Exhibit I Federal'!I33</f>
        <v>0.40000000000000013</v>
      </c>
      <c r="J51" s="467"/>
      <c r="K51" s="480">
        <f>+'Exhibit I State'!K50+'Exhibit I Federal'!K33</f>
        <v>0</v>
      </c>
      <c r="L51" s="36"/>
      <c r="M51" s="480">
        <f>+'Exhibit I State'!M50+'Exhibit I Federal'!M33</f>
        <v>0</v>
      </c>
      <c r="N51" s="36"/>
      <c r="O51" s="480">
        <f>+'Exhibit I State'!O50+'Exhibit I Federal'!O33</f>
        <v>0.19999999999999973</v>
      </c>
      <c r="P51" s="36"/>
      <c r="Q51" s="480"/>
      <c r="R51" s="36"/>
      <c r="S51" s="480"/>
      <c r="T51" s="480"/>
      <c r="U51" s="480"/>
      <c r="V51" s="480"/>
      <c r="W51" s="480"/>
      <c r="X51" s="480"/>
      <c r="Y51" s="480"/>
      <c r="Z51" s="480"/>
      <c r="AA51" s="480"/>
      <c r="AB51" s="116"/>
      <c r="AC51" s="116">
        <v>0</v>
      </c>
      <c r="AD51" s="36"/>
      <c r="AE51" s="37"/>
      <c r="AF51" s="194">
        <f>ROUND(SUM(E51:AC51),1)</f>
        <v>2.4</v>
      </c>
      <c r="AG51" s="689"/>
      <c r="AH51" s="40"/>
      <c r="AI51" s="1860">
        <f>+'Exhibit I State'!AG50+'Exhibit I Federal'!AG33</f>
        <v>2</v>
      </c>
      <c r="AJ51" s="46"/>
      <c r="AK51" s="237"/>
      <c r="AL51" s="38">
        <f t="shared" si="1"/>
        <v>0.4</v>
      </c>
      <c r="AM51" s="235"/>
      <c r="AN51" s="1018">
        <f>ROUND(IF(AI51=0,1,AL51/ABS(AI51)),3)</f>
        <v>0.2</v>
      </c>
    </row>
    <row r="52" spans="1:40" ht="15.75">
      <c r="A52" s="21"/>
      <c r="B52" s="594" t="s">
        <v>906</v>
      </c>
      <c r="C52" s="21"/>
      <c r="D52" s="21"/>
      <c r="E52" s="480">
        <f>+'Exhibit I State'!E51+'Exhibit I Federal'!E34</f>
        <v>0.7</v>
      </c>
      <c r="F52" s="480"/>
      <c r="G52" s="480">
        <f>+'Exhibit I State'!G51+'Exhibit I Federal'!G34</f>
        <v>2.0999999999999996</v>
      </c>
      <c r="H52" s="480"/>
      <c r="I52" s="480">
        <f>+'Exhibit I State'!I51+'Exhibit I Federal'!I34</f>
        <v>0.70000000000000018</v>
      </c>
      <c r="J52" s="467"/>
      <c r="K52" s="480">
        <f>+'Exhibit I State'!K51+'Exhibit I Federal'!K34</f>
        <v>0.29999999999999982</v>
      </c>
      <c r="L52" s="36"/>
      <c r="M52" s="480">
        <f>+'Exhibit I State'!M51+'Exhibit I Federal'!M34</f>
        <v>1.6000000000000005</v>
      </c>
      <c r="N52" s="36"/>
      <c r="O52" s="480">
        <f>+'Exhibit I State'!O51+'Exhibit I Federal'!O34</f>
        <v>0.79999999999999982</v>
      </c>
      <c r="P52" s="36"/>
      <c r="Q52" s="480"/>
      <c r="R52" s="36"/>
      <c r="S52" s="480"/>
      <c r="T52" s="480"/>
      <c r="U52" s="480"/>
      <c r="V52" s="480"/>
      <c r="W52" s="480"/>
      <c r="X52" s="480"/>
      <c r="Y52" s="480"/>
      <c r="Z52" s="480"/>
      <c r="AA52" s="480"/>
      <c r="AB52" s="116"/>
      <c r="AC52" s="116">
        <v>0</v>
      </c>
      <c r="AD52" s="36"/>
      <c r="AE52" s="37"/>
      <c r="AF52" s="194">
        <f>ROUND(SUM(E52:AC52),1)</f>
        <v>6.2</v>
      </c>
      <c r="AG52" s="689"/>
      <c r="AH52" s="40"/>
      <c r="AI52" s="1862">
        <f>+'Exhibit I State'!AG51+'Exhibit I Federal'!AG34</f>
        <v>20.9</v>
      </c>
      <c r="AJ52" s="46"/>
      <c r="AK52" s="237"/>
      <c r="AL52" s="38">
        <f t="shared" si="1"/>
        <v>-14.7</v>
      </c>
      <c r="AM52" s="235"/>
      <c r="AN52" s="8">
        <f>ROUND(IF(AI52=0,0,AL52/ABS(AI52)),3)</f>
        <v>-0.70299999999999996</v>
      </c>
    </row>
    <row r="53" spans="1:40" ht="15.75">
      <c r="A53" s="21"/>
      <c r="B53" s="594" t="s">
        <v>1004</v>
      </c>
      <c r="C53" s="21"/>
      <c r="D53" s="21"/>
      <c r="E53" s="480"/>
      <c r="F53" s="480"/>
      <c r="G53" s="480"/>
      <c r="H53" s="480"/>
      <c r="I53" s="480"/>
      <c r="J53" s="467"/>
      <c r="K53" s="480"/>
      <c r="L53" s="36"/>
      <c r="M53" s="480"/>
      <c r="N53" s="36"/>
      <c r="O53" s="480"/>
      <c r="P53" s="36"/>
      <c r="Q53" s="480"/>
      <c r="R53" s="36"/>
      <c r="S53" s="480"/>
      <c r="T53" s="480"/>
      <c r="U53" s="480"/>
      <c r="V53" s="480"/>
      <c r="W53" s="480"/>
      <c r="X53" s="480"/>
      <c r="Y53" s="480"/>
      <c r="Z53" s="480"/>
      <c r="AA53" s="480"/>
      <c r="AB53" s="116"/>
      <c r="AC53" s="480" t="s">
        <v>14</v>
      </c>
      <c r="AD53" s="36"/>
      <c r="AE53" s="37"/>
      <c r="AF53" s="194"/>
      <c r="AG53" s="689"/>
      <c r="AH53" s="40"/>
      <c r="AI53" s="1860"/>
      <c r="AJ53" s="46"/>
      <c r="AK53" s="237"/>
      <c r="AL53" s="38"/>
      <c r="AM53" s="235"/>
      <c r="AN53" s="8"/>
    </row>
    <row r="54" spans="1:40" ht="15.75">
      <c r="A54" s="21"/>
      <c r="B54" s="594" t="s">
        <v>935</v>
      </c>
      <c r="C54" s="21"/>
      <c r="D54" s="21"/>
      <c r="E54" s="480">
        <f>+'Exhibit I State'!E53+'Exhibit I Federal'!E36</f>
        <v>0</v>
      </c>
      <c r="F54" s="480"/>
      <c r="G54" s="480">
        <f>+'Exhibit I State'!G53+'Exhibit I Federal'!G36</f>
        <v>0</v>
      </c>
      <c r="H54" s="480"/>
      <c r="I54" s="480">
        <f>+'Exhibit I State'!I53+'Exhibit I Federal'!I36</f>
        <v>0</v>
      </c>
      <c r="J54" s="467"/>
      <c r="K54" s="480">
        <f>+'Exhibit I State'!K53+'Exhibit I Federal'!K36</f>
        <v>0</v>
      </c>
      <c r="L54" s="36"/>
      <c r="M54" s="480">
        <f>+'Exhibit I State'!M53+'Exhibit I Federal'!M36</f>
        <v>0</v>
      </c>
      <c r="N54" s="36"/>
      <c r="O54" s="480">
        <f>+'Exhibit I State'!O53+'Exhibit I Federal'!O36</f>
        <v>0</v>
      </c>
      <c r="P54" s="36"/>
      <c r="Q54" s="480"/>
      <c r="R54" s="36"/>
      <c r="S54" s="480"/>
      <c r="T54" s="480"/>
      <c r="U54" s="480"/>
      <c r="V54" s="480"/>
      <c r="W54" s="480"/>
      <c r="X54" s="480"/>
      <c r="Y54" s="480"/>
      <c r="Z54" s="480"/>
      <c r="AA54" s="480"/>
      <c r="AB54" s="116"/>
      <c r="AC54" s="116">
        <v>0</v>
      </c>
      <c r="AD54" s="36"/>
      <c r="AE54" s="37"/>
      <c r="AF54" s="194">
        <f t="shared" ref="AF54:AF58" si="3">ROUND(SUM(E54:AC54),1)</f>
        <v>0</v>
      </c>
      <c r="AG54" s="689"/>
      <c r="AH54" s="40"/>
      <c r="AI54" s="1860">
        <f>+'Exhibit I State'!AG53+'Exhibit I Federal'!AG36</f>
        <v>0</v>
      </c>
      <c r="AJ54" s="46"/>
      <c r="AK54" s="237"/>
      <c r="AL54" s="467">
        <f>ROUND(SUM(+AF54-AI54),1)</f>
        <v>0</v>
      </c>
      <c r="AM54" s="467"/>
      <c r="AN54" s="948">
        <f>ROUND(IF(AI54=0,0,AL54/ABS(AI54)),3)</f>
        <v>0</v>
      </c>
    </row>
    <row r="55" spans="1:40" ht="15.75">
      <c r="A55" s="21"/>
      <c r="B55" s="594" t="s">
        <v>937</v>
      </c>
      <c r="C55" s="21"/>
      <c r="D55" s="21"/>
      <c r="E55" s="480">
        <f>+'Exhibit I State'!E54+'Exhibit I Federal'!E37</f>
        <v>3</v>
      </c>
      <c r="F55" s="480"/>
      <c r="G55" s="480">
        <f>+'Exhibit I State'!G54+'Exhibit I Federal'!G37</f>
        <v>0.5</v>
      </c>
      <c r="H55" s="480"/>
      <c r="I55" s="480">
        <f>+'Exhibit I State'!I54+'Exhibit I Federal'!I37</f>
        <v>0.59999999999999964</v>
      </c>
      <c r="J55" s="467"/>
      <c r="K55" s="480">
        <f>+'Exhibit I State'!K54+'Exhibit I Federal'!K37</f>
        <v>0.40000000000000036</v>
      </c>
      <c r="L55" s="36"/>
      <c r="M55" s="480">
        <f>+'Exhibit I State'!M54+'Exhibit I Federal'!M37</f>
        <v>1.0999999999999996</v>
      </c>
      <c r="N55" s="36"/>
      <c r="O55" s="480">
        <f>+'Exhibit I State'!O54+'Exhibit I Federal'!O37</f>
        <v>1.8000000000000007</v>
      </c>
      <c r="P55" s="36"/>
      <c r="Q55" s="480"/>
      <c r="R55" s="36"/>
      <c r="S55" s="480"/>
      <c r="T55" s="480"/>
      <c r="U55" s="480"/>
      <c r="V55" s="480"/>
      <c r="W55" s="480"/>
      <c r="X55" s="480"/>
      <c r="Y55" s="480"/>
      <c r="Z55" s="480"/>
      <c r="AA55" s="480"/>
      <c r="AB55" s="116"/>
      <c r="AC55" s="116">
        <v>0</v>
      </c>
      <c r="AD55" s="36"/>
      <c r="AE55" s="37"/>
      <c r="AF55" s="194">
        <f t="shared" si="3"/>
        <v>7.4</v>
      </c>
      <c r="AG55" s="689"/>
      <c r="AH55" s="40"/>
      <c r="AI55" s="1860">
        <f>+'Exhibit I State'!AG54+'Exhibit I Federal'!AG37</f>
        <v>5.7</v>
      </c>
      <c r="AJ55" s="46"/>
      <c r="AK55" s="237"/>
      <c r="AL55" s="467">
        <f>ROUND(SUM(+AF55-AI55),1)</f>
        <v>1.7</v>
      </c>
      <c r="AM55" s="467"/>
      <c r="AN55" s="964">
        <f>ROUND(IF(AI55=0,1,AL55/ABS(AI55)),3)</f>
        <v>0.29799999999999999</v>
      </c>
    </row>
    <row r="56" spans="1:40" ht="15.75">
      <c r="A56" s="21"/>
      <c r="B56" s="594" t="s">
        <v>938</v>
      </c>
      <c r="C56" s="21"/>
      <c r="D56" s="21"/>
      <c r="E56" s="480">
        <f>+'Exhibit I State'!E55+'Exhibit I Federal'!E38</f>
        <v>5.6</v>
      </c>
      <c r="F56" s="480"/>
      <c r="G56" s="480">
        <f>+'Exhibit I State'!G55+'Exhibit I Federal'!G38</f>
        <v>16.399999999999999</v>
      </c>
      <c r="H56" s="480"/>
      <c r="I56" s="480">
        <f>+'Exhibit I State'!I55+'Exhibit I Federal'!I38</f>
        <v>11</v>
      </c>
      <c r="J56" s="467"/>
      <c r="K56" s="480">
        <f>+'Exhibit I State'!K55+'Exhibit I Federal'!K38</f>
        <v>5.7000000000000028</v>
      </c>
      <c r="L56" s="36"/>
      <c r="M56" s="480">
        <f>+'Exhibit I State'!M55+'Exhibit I Federal'!M38</f>
        <v>9.7999999999999972</v>
      </c>
      <c r="N56" s="36"/>
      <c r="O56" s="480">
        <f>+'Exhibit I State'!O55+'Exhibit I Federal'!O38</f>
        <v>4.7999999999999972</v>
      </c>
      <c r="P56" s="36"/>
      <c r="Q56" s="480"/>
      <c r="R56" s="36"/>
      <c r="S56" s="480"/>
      <c r="T56" s="480"/>
      <c r="U56" s="480"/>
      <c r="V56" s="480"/>
      <c r="W56" s="480"/>
      <c r="X56" s="480"/>
      <c r="Y56" s="480"/>
      <c r="Z56" s="480"/>
      <c r="AA56" s="480"/>
      <c r="AB56" s="116"/>
      <c r="AC56" s="116">
        <v>0</v>
      </c>
      <c r="AD56" s="36"/>
      <c r="AE56" s="37"/>
      <c r="AF56" s="194">
        <f t="shared" si="3"/>
        <v>53.3</v>
      </c>
      <c r="AG56" s="1325"/>
      <c r="AH56" s="40"/>
      <c r="AI56" s="1860">
        <f>+'Exhibit I State'!AG55+'Exhibit I Federal'!AG38</f>
        <v>49.4</v>
      </c>
      <c r="AJ56" s="46"/>
      <c r="AK56" s="237"/>
      <c r="AL56" s="467">
        <f>ROUND(SUM(+AF56-AI56),1)</f>
        <v>3.9</v>
      </c>
      <c r="AM56" s="467"/>
      <c r="AN56" s="948">
        <f>ROUND(IF(AI56=0,1,AL56/ABS(AI56)),3)</f>
        <v>7.9000000000000001E-2</v>
      </c>
    </row>
    <row r="57" spans="1:40" ht="15.75">
      <c r="A57" s="21"/>
      <c r="B57" s="594" t="s">
        <v>940</v>
      </c>
      <c r="C57" s="21"/>
      <c r="D57" s="21"/>
      <c r="E57" s="480">
        <f>+'Exhibit I State'!E56</f>
        <v>0</v>
      </c>
      <c r="F57" s="480"/>
      <c r="G57" s="480">
        <f>+'Exhibit I State'!G56</f>
        <v>0</v>
      </c>
      <c r="H57" s="480"/>
      <c r="I57" s="480">
        <f>+'Exhibit I State'!I56</f>
        <v>0</v>
      </c>
      <c r="J57" s="467"/>
      <c r="K57" s="480">
        <f>+'Exhibit I State'!K56</f>
        <v>0</v>
      </c>
      <c r="L57" s="36"/>
      <c r="M57" s="480">
        <f>+'Exhibit I State'!M56</f>
        <v>0</v>
      </c>
      <c r="N57" s="36"/>
      <c r="O57" s="480">
        <f>+'Exhibit I State'!O56</f>
        <v>0</v>
      </c>
      <c r="P57" s="36"/>
      <c r="Q57" s="480"/>
      <c r="R57" s="36"/>
      <c r="S57" s="480"/>
      <c r="T57" s="480"/>
      <c r="U57" s="480"/>
      <c r="V57" s="480"/>
      <c r="W57" s="480"/>
      <c r="X57" s="480"/>
      <c r="Y57" s="480"/>
      <c r="Z57" s="480"/>
      <c r="AA57" s="480"/>
      <c r="AB57" s="116"/>
      <c r="AC57" s="116">
        <v>0</v>
      </c>
      <c r="AD57" s="36"/>
      <c r="AE57" s="37"/>
      <c r="AF57" s="194">
        <f t="shared" si="3"/>
        <v>0</v>
      </c>
      <c r="AG57" s="1326"/>
      <c r="AH57" s="40"/>
      <c r="AI57" s="1860">
        <f>+'Exhibit I State'!AG56</f>
        <v>0</v>
      </c>
      <c r="AJ57" s="46"/>
      <c r="AK57" s="237"/>
      <c r="AL57" s="467">
        <f>ROUND(SUM(+AF57-AI57),1)</f>
        <v>0</v>
      </c>
      <c r="AM57" s="467"/>
      <c r="AN57" s="948">
        <f>ROUND(IF(AI57=0,0,AL57/ABS(AI57)),3)</f>
        <v>0</v>
      </c>
    </row>
    <row r="58" spans="1:40" ht="15.75">
      <c r="A58" s="21"/>
      <c r="B58" s="594" t="s">
        <v>941</v>
      </c>
      <c r="C58" s="21"/>
      <c r="D58" s="21"/>
      <c r="E58" s="480">
        <f>+'Exhibit I State'!E57+'Exhibit I Federal'!E39</f>
        <v>0.3</v>
      </c>
      <c r="F58" s="480"/>
      <c r="G58" s="480">
        <f>+'Exhibit I State'!G57+'Exhibit I Federal'!G39</f>
        <v>0.39999999999999997</v>
      </c>
      <c r="H58" s="480"/>
      <c r="I58" s="480">
        <f>+'Exhibit I State'!I57+'Exhibit I Federal'!I39</f>
        <v>0.3</v>
      </c>
      <c r="J58" s="467"/>
      <c r="K58" s="480">
        <f>+'Exhibit I State'!K57+'Exhibit I Federal'!K39</f>
        <v>10.199999999999998</v>
      </c>
      <c r="L58" s="36"/>
      <c r="M58" s="480">
        <f>+'Exhibit I State'!M57+'Exhibit I Federal'!M39</f>
        <v>0.20000000000000107</v>
      </c>
      <c r="N58" s="36"/>
      <c r="O58" s="480">
        <f>+'Exhibit I State'!O57+'Exhibit I Federal'!O39</f>
        <v>0</v>
      </c>
      <c r="P58" s="36"/>
      <c r="Q58" s="480"/>
      <c r="R58" s="36"/>
      <c r="S58" s="480"/>
      <c r="T58" s="480"/>
      <c r="U58" s="480"/>
      <c r="V58" s="480"/>
      <c r="W58" s="480"/>
      <c r="X58" s="480"/>
      <c r="Y58" s="480"/>
      <c r="Z58" s="480"/>
      <c r="AA58" s="480"/>
      <c r="AB58" s="116"/>
      <c r="AC58" s="116">
        <v>0</v>
      </c>
      <c r="AD58" s="36"/>
      <c r="AE58" s="37"/>
      <c r="AF58" s="194">
        <f t="shared" si="3"/>
        <v>11.4</v>
      </c>
      <c r="AG58" s="689"/>
      <c r="AH58" s="40"/>
      <c r="AI58" s="1860">
        <f>+'Exhibit I State'!AG57+'Exhibit I Federal'!AG39</f>
        <v>4.4000000000000004</v>
      </c>
      <c r="AJ58" s="46"/>
      <c r="AK58" s="237"/>
      <c r="AL58" s="38">
        <f t="shared" si="1"/>
        <v>7</v>
      </c>
      <c r="AM58" s="235"/>
      <c r="AN58" s="1161">
        <f>ROUND(IF(AI58=0,1,AL58/ABS(AI58)),3)</f>
        <v>1.591</v>
      </c>
    </row>
    <row r="59" spans="1:40" ht="15.75">
      <c r="A59" s="21"/>
      <c r="B59" s="594" t="s">
        <v>943</v>
      </c>
      <c r="C59" s="21"/>
      <c r="D59" s="21"/>
      <c r="E59" s="480">
        <f>+'Exhibit I State'!E58+'Exhibit I Federal'!E40</f>
        <v>5.5</v>
      </c>
      <c r="F59" s="480"/>
      <c r="G59" s="480">
        <f>+'Exhibit I State'!G58+'Exhibit I Federal'!G40</f>
        <v>2.0999999999999996</v>
      </c>
      <c r="H59" s="480"/>
      <c r="I59" s="480">
        <f>+'Exhibit I State'!I58+'Exhibit I Federal'!I40</f>
        <v>20.299999999999997</v>
      </c>
      <c r="J59" s="467"/>
      <c r="K59" s="480">
        <f>+'Exhibit I State'!K58+'Exhibit I Federal'!K40</f>
        <v>7.3000000000000043</v>
      </c>
      <c r="L59" s="36"/>
      <c r="M59" s="480">
        <f>+'Exhibit I State'!M58+'Exhibit I Federal'!M40</f>
        <v>1.3999999999999986</v>
      </c>
      <c r="N59" s="36"/>
      <c r="O59" s="480">
        <f>+'Exhibit I State'!O58+'Exhibit I Federal'!O40</f>
        <v>4.3999999999999986</v>
      </c>
      <c r="P59" s="36"/>
      <c r="Q59" s="480"/>
      <c r="R59" s="36"/>
      <c r="S59" s="480"/>
      <c r="T59" s="480"/>
      <c r="U59" s="480"/>
      <c r="V59" s="480"/>
      <c r="W59" s="480"/>
      <c r="X59" s="480"/>
      <c r="Y59" s="480"/>
      <c r="Z59" s="480"/>
      <c r="AA59" s="480"/>
      <c r="AB59" s="116"/>
      <c r="AC59" s="116">
        <v>0</v>
      </c>
      <c r="AD59" s="36"/>
      <c r="AE59" s="37"/>
      <c r="AF59" s="194">
        <f>ROUND(SUM(E59:AC59),1)</f>
        <v>41</v>
      </c>
      <c r="AG59" s="689"/>
      <c r="AH59" s="40"/>
      <c r="AI59" s="1862">
        <f>+'Exhibit I State'!AG58+'Exhibit I Federal'!AG40</f>
        <v>14</v>
      </c>
      <c r="AJ59" s="46"/>
      <c r="AK59" s="237"/>
      <c r="AL59" s="38">
        <f t="shared" si="1"/>
        <v>27</v>
      </c>
      <c r="AM59" s="235"/>
      <c r="AN59" s="914">
        <f>ROUND(IF(AI59=0,0,AL59/ABS(AI59)),3)</f>
        <v>1.929</v>
      </c>
    </row>
    <row r="60" spans="1:40" ht="15.75">
      <c r="A60" s="21"/>
      <c r="B60" s="594" t="s">
        <v>916</v>
      </c>
      <c r="C60" s="21"/>
      <c r="D60" s="21"/>
      <c r="E60" s="480">
        <f>+'Exhibit I State'!E59+'Exhibit I Federal'!E41</f>
        <v>0</v>
      </c>
      <c r="F60" s="480"/>
      <c r="G60" s="480">
        <f>+'Exhibit I State'!G59+'Exhibit I Federal'!G41</f>
        <v>0.2</v>
      </c>
      <c r="H60" s="480"/>
      <c r="I60" s="480">
        <f>+'Exhibit I State'!I59+'Exhibit I Federal'!I41</f>
        <v>9.9999999999999978E-2</v>
      </c>
      <c r="J60" s="467"/>
      <c r="K60" s="480">
        <f>+'Exhibit I State'!K59+'Exhibit I Federal'!K41</f>
        <v>0</v>
      </c>
      <c r="L60" s="36"/>
      <c r="M60" s="480">
        <f>+'Exhibit I State'!M59+'Exhibit I Federal'!M41</f>
        <v>0</v>
      </c>
      <c r="N60" s="36"/>
      <c r="O60" s="480">
        <f>+'Exhibit I State'!O59+'Exhibit I Federal'!O41</f>
        <v>0</v>
      </c>
      <c r="P60" s="36"/>
      <c r="Q60" s="480"/>
      <c r="R60" s="36"/>
      <c r="S60" s="480"/>
      <c r="T60" s="480"/>
      <c r="U60" s="480"/>
      <c r="V60" s="480"/>
      <c r="W60" s="480"/>
      <c r="X60" s="480"/>
      <c r="Y60" s="480"/>
      <c r="Z60" s="480"/>
      <c r="AA60" s="480"/>
      <c r="AB60" s="116"/>
      <c r="AC60" s="116">
        <v>0</v>
      </c>
      <c r="AD60" s="36"/>
      <c r="AE60" s="37"/>
      <c r="AF60" s="194">
        <f>ROUND(SUM(E60:AC60),1)</f>
        <v>0.3</v>
      </c>
      <c r="AG60" s="689"/>
      <c r="AH60" s="40"/>
      <c r="AI60" s="1860">
        <f>+'Exhibit I State'!AG59+'Exhibit I Federal'!AG41</f>
        <v>0.3</v>
      </c>
      <c r="AJ60" s="46"/>
      <c r="AK60" s="237"/>
      <c r="AL60" s="38">
        <f t="shared" si="1"/>
        <v>0</v>
      </c>
      <c r="AM60" s="235"/>
      <c r="AN60" s="971">
        <f>ROUND(IF(AI60=0,0,AL60/ABS(AI60)),3)</f>
        <v>0</v>
      </c>
    </row>
    <row r="61" spans="1:40" s="19" customFormat="1" ht="15.75">
      <c r="B61" s="218" t="s">
        <v>1040</v>
      </c>
      <c r="E61" s="179">
        <f>ROUND(SUM(E37:E60),1)</f>
        <v>282.5</v>
      </c>
      <c r="F61" s="42"/>
      <c r="G61" s="179">
        <f>ROUND(SUM(G37:G60),1)</f>
        <v>657.4</v>
      </c>
      <c r="H61" s="691"/>
      <c r="I61" s="179">
        <f>ROUND(SUM(I37:I60),1)</f>
        <v>460.6</v>
      </c>
      <c r="J61" s="42"/>
      <c r="K61" s="179">
        <f>ROUND(SUM(K37:K60),1)</f>
        <v>823</v>
      </c>
      <c r="L61" s="42"/>
      <c r="M61" s="179">
        <f>ROUND(SUM(M37:M60),1)</f>
        <v>426.5</v>
      </c>
      <c r="N61" s="42"/>
      <c r="O61" s="179">
        <f>ROUND(SUM(O37:O60),1)</f>
        <v>789.5</v>
      </c>
      <c r="P61" s="42"/>
      <c r="Q61" s="179">
        <f>ROUND(SUM(Q37:Q60),1)</f>
        <v>0</v>
      </c>
      <c r="R61" s="42"/>
      <c r="S61" s="179">
        <f>ROUND(SUM(S37:S60),1)</f>
        <v>0</v>
      </c>
      <c r="T61" s="42"/>
      <c r="U61" s="179">
        <f>ROUND(SUM(U37:U60),1)</f>
        <v>0</v>
      </c>
      <c r="V61" s="42"/>
      <c r="W61" s="179">
        <f>ROUND(SUM(W37:W60),1)</f>
        <v>0</v>
      </c>
      <c r="X61" s="42"/>
      <c r="Y61" s="179">
        <f>ROUND(SUM(Y37:Y60),1)</f>
        <v>0</v>
      </c>
      <c r="Z61" s="42"/>
      <c r="AA61" s="179">
        <f>ROUND(SUM(AA37:AA60),1)</f>
        <v>0</v>
      </c>
      <c r="AB61" s="42"/>
      <c r="AC61" s="179">
        <f>ROUND(SUM(AC37:AC60),1)</f>
        <v>0</v>
      </c>
      <c r="AD61" s="42"/>
      <c r="AE61" s="44"/>
      <c r="AF61" s="179">
        <f>ROUND(SUM(AF37:AF60),1)</f>
        <v>3439.5</v>
      </c>
      <c r="AG61" s="144"/>
      <c r="AH61" s="42"/>
      <c r="AI61" s="179">
        <f>ROUND(SUM(AI37:AI60),1)</f>
        <v>3918</v>
      </c>
      <c r="AJ61" s="57"/>
      <c r="AK61" s="237"/>
      <c r="AL61" s="179">
        <f>ROUND(SUM(AL37:AL60),1)</f>
        <v>-478.5</v>
      </c>
      <c r="AM61" s="112"/>
      <c r="AN61" s="747">
        <f>ROUND(SUM(AL61/AI61),3)</f>
        <v>-0.122</v>
      </c>
    </row>
    <row r="62" spans="1:40" ht="15.75">
      <c r="A62" s="21"/>
      <c r="B62" s="218"/>
      <c r="C62" s="21"/>
      <c r="D62" s="21"/>
      <c r="E62" s="467"/>
      <c r="F62" s="467"/>
      <c r="G62" s="467"/>
      <c r="H62" s="496"/>
      <c r="I62" s="467"/>
      <c r="J62" s="467"/>
      <c r="K62" s="467"/>
      <c r="L62" s="36"/>
      <c r="M62" s="467"/>
      <c r="N62" s="36"/>
      <c r="O62" s="467"/>
      <c r="P62" s="36"/>
      <c r="Q62" s="467"/>
      <c r="R62" s="36"/>
      <c r="S62" s="467"/>
      <c r="T62" s="36"/>
      <c r="U62" s="467"/>
      <c r="V62" s="36"/>
      <c r="W62" s="467"/>
      <c r="X62" s="36"/>
      <c r="Y62" s="467"/>
      <c r="Z62" s="36"/>
      <c r="AA62" s="467"/>
      <c r="AB62" s="467"/>
      <c r="AC62" s="467"/>
      <c r="AD62" s="36"/>
      <c r="AE62" s="37"/>
      <c r="AF62" s="194"/>
      <c r="AG62" s="755"/>
      <c r="AH62" s="36"/>
      <c r="AI62" s="36"/>
      <c r="AJ62" s="46"/>
      <c r="AK62" s="237"/>
      <c r="AL62" s="38"/>
      <c r="AM62" s="113"/>
      <c r="AN62" s="236"/>
    </row>
    <row r="63" spans="1:40" ht="15.75">
      <c r="A63" s="21"/>
      <c r="B63" s="21" t="s">
        <v>146</v>
      </c>
      <c r="C63" s="21"/>
      <c r="D63" s="21"/>
      <c r="E63" s="496">
        <f>+'Exhibit I State'!E62+'Exhibit I Federal'!E44</f>
        <v>219.5</v>
      </c>
      <c r="F63" s="496"/>
      <c r="G63" s="496">
        <f>+'Exhibit I State'!G62+'Exhibit I Federal'!G44</f>
        <v>258.8</v>
      </c>
      <c r="H63" s="467"/>
      <c r="I63" s="496">
        <f>+'Exhibit I State'!I62+'Exhibit I Federal'!I44</f>
        <v>190.4</v>
      </c>
      <c r="J63" s="467"/>
      <c r="K63" s="496">
        <f>+'Exhibit I State'!K62+'Exhibit I Federal'!K44</f>
        <v>352.40000000000003</v>
      </c>
      <c r="L63" s="36"/>
      <c r="M63" s="496">
        <f>+'Exhibit I State'!M62+'Exhibit I Federal'!M44</f>
        <v>220.20000000000005</v>
      </c>
      <c r="N63" s="36"/>
      <c r="O63" s="496">
        <f>+'Exhibit I State'!O62+'Exhibit I Federal'!O44</f>
        <v>191.70000000000005</v>
      </c>
      <c r="P63" s="36"/>
      <c r="Q63" s="496"/>
      <c r="R63" s="36"/>
      <c r="S63" s="496"/>
      <c r="T63" s="496"/>
      <c r="U63" s="496"/>
      <c r="V63" s="496"/>
      <c r="W63" s="496"/>
      <c r="X63" s="496"/>
      <c r="Y63" s="496"/>
      <c r="Z63" s="496"/>
      <c r="AA63" s="496"/>
      <c r="AB63" s="194"/>
      <c r="AC63" s="194">
        <v>0</v>
      </c>
      <c r="AD63" s="36"/>
      <c r="AE63" s="37"/>
      <c r="AF63" s="36">
        <f>ROUND(SUM(E63:AC63),1)</f>
        <v>1433</v>
      </c>
      <c r="AG63" s="52"/>
      <c r="AH63" s="36"/>
      <c r="AI63" s="36">
        <f>+'Exhibit I State'!AG62+'Exhibit I Federal'!AG44</f>
        <v>1167.7</v>
      </c>
      <c r="AJ63" s="46"/>
      <c r="AK63" s="238"/>
      <c r="AL63" s="239">
        <f>ROUND(SUM(+AF63-AI63),1)</f>
        <v>265.3</v>
      </c>
      <c r="AM63" s="113"/>
      <c r="AN63" s="2128">
        <f>ROUND(SUM(AL63/AI63),3)</f>
        <v>0.22700000000000001</v>
      </c>
    </row>
    <row r="64" spans="1:40" ht="15.75">
      <c r="A64" s="21"/>
      <c r="B64" s="21"/>
      <c r="C64" s="21"/>
      <c r="D64" s="21"/>
      <c r="E64" s="497"/>
      <c r="F64" s="467"/>
      <c r="G64" s="497"/>
      <c r="H64" s="467"/>
      <c r="I64" s="497"/>
      <c r="J64" s="467"/>
      <c r="K64" s="497"/>
      <c r="L64" s="36"/>
      <c r="M64" s="497"/>
      <c r="N64" s="36"/>
      <c r="O64" s="497"/>
      <c r="P64" s="36"/>
      <c r="Q64" s="497"/>
      <c r="R64" s="36"/>
      <c r="S64" s="61"/>
      <c r="T64" s="36"/>
      <c r="U64" s="61"/>
      <c r="V64" s="36"/>
      <c r="W64" s="61"/>
      <c r="X64" s="36"/>
      <c r="Y64" s="61"/>
      <c r="Z64" s="36"/>
      <c r="AA64" s="61"/>
      <c r="AB64" s="36"/>
      <c r="AC64" s="61"/>
      <c r="AD64" s="36"/>
      <c r="AE64" s="37"/>
      <c r="AF64" s="61"/>
      <c r="AG64" s="52"/>
      <c r="AH64" s="36"/>
      <c r="AI64" s="61"/>
      <c r="AJ64" s="36"/>
      <c r="AK64" s="238"/>
      <c r="AL64" s="38"/>
      <c r="AN64" s="236"/>
    </row>
    <row r="65" spans="1:44" ht="15.75">
      <c r="A65" s="21"/>
      <c r="B65" s="19" t="s">
        <v>193</v>
      </c>
      <c r="C65" s="21"/>
      <c r="D65" s="21"/>
      <c r="E65" s="1141">
        <f>ROUND(SUM(+E61+E63+E33),1)</f>
        <v>603</v>
      </c>
      <c r="F65" s="42"/>
      <c r="G65" s="1141">
        <f>ROUND(SUM(+G61+G63+G33),1)</f>
        <v>1017</v>
      </c>
      <c r="H65" s="42"/>
      <c r="I65" s="1141">
        <f>ROUND(SUM(+I61+I63+I33),1)</f>
        <v>793.9</v>
      </c>
      <c r="J65" s="42"/>
      <c r="K65" s="1141">
        <f>ROUND(SUM(+K61+K63+K33),1)</f>
        <v>1301.8</v>
      </c>
      <c r="L65" s="42"/>
      <c r="M65" s="1141">
        <f>ROUND(SUM(+M61+M63+M33),1)</f>
        <v>768.2</v>
      </c>
      <c r="N65" s="42"/>
      <c r="O65" s="1141">
        <f>ROUND(SUM(+O61+O63+O33),1)</f>
        <v>1149.4000000000001</v>
      </c>
      <c r="P65" s="42"/>
      <c r="Q65" s="1141">
        <f>ROUND(SUM(+Q61+Q63+Q33),1)</f>
        <v>0</v>
      </c>
      <c r="R65" s="42"/>
      <c r="S65" s="221">
        <f>ROUND(SUM(+S61+S63+S33),1)</f>
        <v>0</v>
      </c>
      <c r="T65" s="42"/>
      <c r="U65" s="221">
        <f>ROUND(SUM(+U61+U63+U33),1)</f>
        <v>0</v>
      </c>
      <c r="V65" s="42"/>
      <c r="W65" s="221">
        <f>ROUND(SUM(+W61+W63+W33),1)</f>
        <v>0</v>
      </c>
      <c r="X65" s="42"/>
      <c r="Y65" s="221">
        <f>ROUND(SUM(+Y61+Y63+Y33),1)</f>
        <v>0</v>
      </c>
      <c r="Z65" s="42"/>
      <c r="AA65" s="221">
        <f>ROUND(SUM(+AA61+AA63+AA33),1)</f>
        <v>0</v>
      </c>
      <c r="AB65" s="741"/>
      <c r="AC65" s="221">
        <f>ROUND(SUM(+AC61+AC63+AC33),1)</f>
        <v>0</v>
      </c>
      <c r="AD65" s="42"/>
      <c r="AE65" s="44"/>
      <c r="AF65" s="221">
        <f>ROUND(SUM(+AF61+AF63+AF33),1)</f>
        <v>5633.3</v>
      </c>
      <c r="AG65" s="144"/>
      <c r="AH65" s="42"/>
      <c r="AI65" s="221">
        <f>ROUND(SUM(+AI61+AI63+AI33),1)</f>
        <v>5694</v>
      </c>
      <c r="AJ65" s="57"/>
      <c r="AK65" s="238"/>
      <c r="AL65" s="221">
        <f>ROUND(SUM(+AL61+AL63+AL33),1)</f>
        <v>-60.7</v>
      </c>
      <c r="AM65" s="112"/>
      <c r="AN65" s="651">
        <f>ROUND(SUM(AL65/AI65),3)</f>
        <v>-1.0999999999999999E-2</v>
      </c>
      <c r="AO65" s="19"/>
      <c r="AP65" s="112"/>
      <c r="AQ65" s="19"/>
      <c r="AR65" s="19"/>
    </row>
    <row r="66" spans="1:44" ht="15.75">
      <c r="A66" s="21"/>
      <c r="B66" s="21"/>
      <c r="C66" s="21"/>
      <c r="D66" s="21"/>
      <c r="E66" s="497"/>
      <c r="F66" s="467"/>
      <c r="G66" s="497"/>
      <c r="H66" s="467"/>
      <c r="I66" s="497"/>
      <c r="J66" s="467"/>
      <c r="K66" s="497"/>
      <c r="L66" s="36"/>
      <c r="M66" s="497"/>
      <c r="N66" s="36"/>
      <c r="O66" s="497"/>
      <c r="P66" s="36"/>
      <c r="Q66" s="497"/>
      <c r="R66" s="36"/>
      <c r="S66" s="61"/>
      <c r="T66" s="36"/>
      <c r="U66" s="61"/>
      <c r="V66" s="36"/>
      <c r="W66" s="61"/>
      <c r="X66" s="36"/>
      <c r="Y66" s="61"/>
      <c r="Z66" s="36"/>
      <c r="AA66" s="61"/>
      <c r="AB66" s="36"/>
      <c r="AC66" s="61"/>
      <c r="AD66" s="36"/>
      <c r="AE66" s="37"/>
      <c r="AF66" s="61"/>
      <c r="AG66" s="52"/>
      <c r="AH66" s="36"/>
      <c r="AI66" s="61"/>
      <c r="AJ66" s="36"/>
      <c r="AK66" s="238"/>
      <c r="AL66" s="38"/>
      <c r="AN66" s="236"/>
    </row>
    <row r="67" spans="1:44" ht="15.75">
      <c r="A67" s="21"/>
      <c r="B67" s="19" t="s">
        <v>22</v>
      </c>
      <c r="C67" s="21"/>
      <c r="D67" s="21"/>
      <c r="E67" s="467"/>
      <c r="F67" s="467"/>
      <c r="G67" s="467"/>
      <c r="H67" s="467"/>
      <c r="I67" s="467"/>
      <c r="J67" s="467"/>
      <c r="K67" s="467"/>
      <c r="L67" s="36"/>
      <c r="M67" s="467"/>
      <c r="N67" s="36"/>
      <c r="O67" s="467"/>
      <c r="P67" s="36"/>
      <c r="Q67" s="467"/>
      <c r="R67" s="36"/>
      <c r="S67" s="36"/>
      <c r="T67" s="36"/>
      <c r="U67" s="36"/>
      <c r="V67" s="36"/>
      <c r="W67" s="36"/>
      <c r="X67" s="36"/>
      <c r="Y67" s="36"/>
      <c r="Z67" s="36"/>
      <c r="AA67" s="36"/>
      <c r="AB67" s="36"/>
      <c r="AC67" s="36"/>
      <c r="AD67" s="36"/>
      <c r="AE67" s="37"/>
      <c r="AF67" s="36"/>
      <c r="AG67" s="52"/>
      <c r="AH67" s="36"/>
      <c r="AI67" s="36"/>
      <c r="AJ67" s="36"/>
      <c r="AK67" s="238"/>
      <c r="AL67" s="38"/>
      <c r="AN67" s="236"/>
    </row>
    <row r="68" spans="1:44" ht="15.75">
      <c r="A68" s="21"/>
      <c r="B68" s="21" t="s">
        <v>148</v>
      </c>
      <c r="C68" s="21"/>
      <c r="D68" s="21"/>
      <c r="E68" s="467"/>
      <c r="F68" s="467"/>
      <c r="G68" s="467"/>
      <c r="H68" s="467"/>
      <c r="I68" s="467"/>
      <c r="J68" s="467"/>
      <c r="K68" s="467"/>
      <c r="L68" s="36"/>
      <c r="M68" s="467"/>
      <c r="N68" s="36"/>
      <c r="O68" s="467"/>
      <c r="P68" s="36"/>
      <c r="Q68" s="467"/>
      <c r="R68" s="36"/>
      <c r="S68" s="36"/>
      <c r="T68" s="36"/>
      <c r="U68" s="36"/>
      <c r="V68" s="36"/>
      <c r="W68" s="36"/>
      <c r="X68" s="36"/>
      <c r="Y68" s="36"/>
      <c r="Z68" s="36"/>
      <c r="AA68" s="467" t="s">
        <v>14</v>
      </c>
      <c r="AB68" s="36"/>
      <c r="AC68" s="36"/>
      <c r="AD68" s="36"/>
      <c r="AE68" s="37"/>
      <c r="AF68" s="46"/>
      <c r="AG68" s="52"/>
      <c r="AH68" s="36"/>
      <c r="AI68" s="36"/>
      <c r="AJ68" s="36"/>
      <c r="AK68" s="238"/>
      <c r="AL68" s="38"/>
      <c r="AN68" s="236"/>
    </row>
    <row r="69" spans="1:44" ht="15.75">
      <c r="A69" s="21"/>
      <c r="B69" s="21" t="s">
        <v>24</v>
      </c>
      <c r="C69" s="21"/>
      <c r="D69" s="21"/>
      <c r="E69" s="496">
        <f>+'Exhibit I State'!E68+'Exhibit I Federal'!E50</f>
        <v>7</v>
      </c>
      <c r="F69" s="496"/>
      <c r="G69" s="496">
        <f>+'Exhibit I State'!G68+'Exhibit I Federal'!G50</f>
        <v>26.9</v>
      </c>
      <c r="H69" s="496"/>
      <c r="I69" s="496">
        <f>+'Exhibit I State'!I68+'Exhibit I Federal'!I50</f>
        <v>10.600000000000001</v>
      </c>
      <c r="J69" s="467"/>
      <c r="K69" s="496">
        <f>+'Exhibit I State'!K68+'Exhibit I Federal'!K50</f>
        <v>18.100000000000001</v>
      </c>
      <c r="L69" s="36"/>
      <c r="M69" s="496">
        <f>+'Exhibit I State'!M68+'Exhibit I Federal'!M50</f>
        <v>3.3000000000000043</v>
      </c>
      <c r="N69" s="36"/>
      <c r="O69" s="496">
        <f>+'Exhibit I State'!O68+'Exhibit I Federal'!O50</f>
        <v>39.199999999999982</v>
      </c>
      <c r="P69" s="36"/>
      <c r="Q69" s="496"/>
      <c r="R69" s="36"/>
      <c r="S69" s="496"/>
      <c r="T69" s="496"/>
      <c r="U69" s="496"/>
      <c r="V69" s="496"/>
      <c r="W69" s="496"/>
      <c r="X69" s="496"/>
      <c r="Y69" s="496"/>
      <c r="Z69" s="496"/>
      <c r="AA69" s="496"/>
      <c r="AB69" s="194"/>
      <c r="AC69" s="194">
        <v>0</v>
      </c>
      <c r="AD69" s="36"/>
      <c r="AE69" s="37"/>
      <c r="AF69" s="36">
        <f>ROUND(SUM(E69:AC69),1)</f>
        <v>105.1</v>
      </c>
      <c r="AG69" s="52"/>
      <c r="AH69" s="36"/>
      <c r="AI69" s="36">
        <f>+'Exhibit I State'!AG68+'Exhibit I Federal'!AG50</f>
        <v>62.9</v>
      </c>
      <c r="AJ69" s="46"/>
      <c r="AK69" s="237"/>
      <c r="AL69" s="38">
        <f>ROUND(SUM(+AF69-AI69),1)</f>
        <v>42.2</v>
      </c>
      <c r="AM69" s="113"/>
      <c r="AN69" s="1161">
        <f>ROUND(IF(AI69=0,1,AL69/ABS(AI69)),3)</f>
        <v>0.67100000000000004</v>
      </c>
    </row>
    <row r="70" spans="1:44" ht="15.75">
      <c r="A70" s="21"/>
      <c r="B70" s="21" t="s">
        <v>25</v>
      </c>
      <c r="C70" s="21"/>
      <c r="D70" s="21"/>
      <c r="E70" s="496">
        <f>+'Exhibit I State'!E69+'Exhibit I Federal'!E51</f>
        <v>82.3</v>
      </c>
      <c r="F70" s="496"/>
      <c r="G70" s="496">
        <f>+'Exhibit I State'!G69+'Exhibit I Federal'!G51</f>
        <v>13.200000000000006</v>
      </c>
      <c r="H70" s="496"/>
      <c r="I70" s="496">
        <f>+'Exhibit I State'!I69+'Exhibit I Federal'!I51</f>
        <v>12</v>
      </c>
      <c r="J70" s="467"/>
      <c r="K70" s="496">
        <f>+'Exhibit I State'!K69+'Exhibit I Federal'!K51</f>
        <v>204.2</v>
      </c>
      <c r="L70" s="36"/>
      <c r="M70" s="496">
        <f>+'Exhibit I State'!M69+'Exhibit I Federal'!M51</f>
        <v>55.599999999999994</v>
      </c>
      <c r="N70" s="36"/>
      <c r="O70" s="496">
        <f>+'Exhibit I State'!O69+'Exhibit I Federal'!O51</f>
        <v>12.600000000000009</v>
      </c>
      <c r="P70" s="36"/>
      <c r="Q70" s="496"/>
      <c r="R70" s="36"/>
      <c r="S70" s="496"/>
      <c r="T70" s="496"/>
      <c r="U70" s="496"/>
      <c r="V70" s="496"/>
      <c r="W70" s="496"/>
      <c r="X70" s="496"/>
      <c r="Y70" s="496"/>
      <c r="Z70" s="496"/>
      <c r="AA70" s="496"/>
      <c r="AB70" s="194"/>
      <c r="AC70" s="194">
        <v>0</v>
      </c>
      <c r="AD70" s="36"/>
      <c r="AE70" s="37"/>
      <c r="AF70" s="36">
        <f>ROUND(SUM(E70:AC70),1)</f>
        <v>379.9</v>
      </c>
      <c r="AG70" s="52"/>
      <c r="AH70" s="36"/>
      <c r="AI70" s="36">
        <f>+'Exhibit I State'!AG69+'Exhibit I Federal'!AG51</f>
        <v>193.6</v>
      </c>
      <c r="AJ70" s="46"/>
      <c r="AK70" s="237"/>
      <c r="AL70" s="38">
        <f t="shared" ref="AL70:AL77" si="4">ROUND(SUM(+AF70-AI70),1)</f>
        <v>186.3</v>
      </c>
      <c r="AM70" s="113"/>
      <c r="AN70" s="964">
        <f>ROUND(IF(AI70=0,0,AL70/ABS(AI70)),3)</f>
        <v>0.96199999999999997</v>
      </c>
    </row>
    <row r="71" spans="1:44" ht="15.75">
      <c r="A71" s="21"/>
      <c r="B71" s="21" t="s">
        <v>26</v>
      </c>
      <c r="C71" s="21"/>
      <c r="D71" s="21"/>
      <c r="E71" s="496">
        <f>+'Exhibit I State'!E70+'Exhibit I Federal'!E52</f>
        <v>35.799999999999997</v>
      </c>
      <c r="F71" s="496"/>
      <c r="G71" s="496">
        <f>+'Exhibit I State'!G70+'Exhibit I Federal'!G52</f>
        <v>46.100000000000009</v>
      </c>
      <c r="H71" s="496"/>
      <c r="I71" s="496">
        <f>+'Exhibit I State'!I70+'Exhibit I Federal'!I52</f>
        <v>52.199999999999989</v>
      </c>
      <c r="J71" s="467"/>
      <c r="K71" s="496">
        <f>+'Exhibit I State'!K70+'Exhibit I Federal'!K52</f>
        <v>15.599999999999994</v>
      </c>
      <c r="L71" s="36"/>
      <c r="M71" s="496">
        <f>+'Exhibit I State'!M70+'Exhibit I Federal'!M52</f>
        <v>26.40000000000002</v>
      </c>
      <c r="N71" s="36"/>
      <c r="O71" s="496">
        <f>+'Exhibit I State'!O70+'Exhibit I Federal'!O52</f>
        <v>93.899999999999963</v>
      </c>
      <c r="P71" s="36"/>
      <c r="Q71" s="496"/>
      <c r="R71" s="36"/>
      <c r="S71" s="496"/>
      <c r="T71" s="496"/>
      <c r="U71" s="496"/>
      <c r="V71" s="496"/>
      <c r="W71" s="496"/>
      <c r="X71" s="496"/>
      <c r="Y71" s="496"/>
      <c r="Z71" s="496"/>
      <c r="AA71" s="496"/>
      <c r="AB71" s="496" t="s">
        <v>1109</v>
      </c>
      <c r="AC71" s="496">
        <v>0</v>
      </c>
      <c r="AD71" s="36"/>
      <c r="AE71" s="37"/>
      <c r="AF71" s="36">
        <f>ROUND(SUM(E71:AC71),1)</f>
        <v>270</v>
      </c>
      <c r="AG71" s="52"/>
      <c r="AH71" s="36"/>
      <c r="AI71" s="36">
        <f>+'Exhibit I State'!AG70+'Exhibit I Federal'!AG52</f>
        <v>292.2</v>
      </c>
      <c r="AJ71" s="46"/>
      <c r="AK71" s="237"/>
      <c r="AL71" s="38">
        <f t="shared" si="4"/>
        <v>-22.2</v>
      </c>
      <c r="AM71" s="113"/>
      <c r="AN71" s="948">
        <f>ROUND(IF(AI71=0,0,AL71/ABS(AI71)),3)</f>
        <v>-7.5999999999999998E-2</v>
      </c>
    </row>
    <row r="72" spans="1:44" ht="15.75">
      <c r="A72" s="21"/>
      <c r="B72" s="21" t="s">
        <v>27</v>
      </c>
      <c r="C72" s="21"/>
      <c r="D72" s="21"/>
      <c r="E72" s="496"/>
      <c r="F72" s="496"/>
      <c r="G72" s="496"/>
      <c r="H72" s="496"/>
      <c r="I72" s="496"/>
      <c r="J72" s="467"/>
      <c r="K72" s="496"/>
      <c r="L72" s="36"/>
      <c r="M72" s="496"/>
      <c r="N72" s="36"/>
      <c r="O72" s="496"/>
      <c r="P72" s="36"/>
      <c r="Q72" s="496"/>
      <c r="R72" s="36"/>
      <c r="S72" s="496"/>
      <c r="T72" s="496"/>
      <c r="U72" s="496"/>
      <c r="V72" s="496"/>
      <c r="W72" s="496"/>
      <c r="X72" s="496"/>
      <c r="Y72" s="496"/>
      <c r="Z72" s="496"/>
      <c r="AA72" s="496"/>
      <c r="AB72" s="194"/>
      <c r="AC72" s="194"/>
      <c r="AD72" s="36"/>
      <c r="AE72" s="37"/>
      <c r="AF72" s="467" t="s">
        <v>14</v>
      </c>
      <c r="AG72" s="52"/>
      <c r="AH72" s="36"/>
      <c r="AI72" s="40"/>
      <c r="AJ72" s="36"/>
      <c r="AK72" s="238"/>
      <c r="AL72" s="38" t="s">
        <v>14</v>
      </c>
      <c r="AM72" s="113"/>
      <c r="AN72" s="240" t="s">
        <v>14</v>
      </c>
    </row>
    <row r="73" spans="1:44" ht="15.75">
      <c r="A73" s="21"/>
      <c r="B73" s="21" t="s">
        <v>28</v>
      </c>
      <c r="C73" s="19"/>
      <c r="D73" s="21"/>
      <c r="E73" s="496">
        <f>+'Exhibit I State'!E72+'Exhibit I Federal'!E54</f>
        <v>0</v>
      </c>
      <c r="F73" s="496"/>
      <c r="G73" s="496">
        <f>+'Exhibit I State'!G72+'Exhibit I Federal'!G54</f>
        <v>0</v>
      </c>
      <c r="H73" s="496"/>
      <c r="I73" s="496">
        <f>+'Exhibit I State'!I72+'Exhibit I Federal'!I54</f>
        <v>0</v>
      </c>
      <c r="J73" s="467"/>
      <c r="K73" s="496">
        <f>+'Exhibit I State'!K72+'Exhibit I Federal'!K54</f>
        <v>0</v>
      </c>
      <c r="L73" s="36"/>
      <c r="M73" s="496">
        <f>+'Exhibit I State'!M72+'Exhibit I Federal'!M54</f>
        <v>0</v>
      </c>
      <c r="N73" s="36"/>
      <c r="O73" s="496">
        <f>+'Exhibit I State'!O72+'Exhibit I Federal'!O54</f>
        <v>0</v>
      </c>
      <c r="P73" s="36"/>
      <c r="Q73" s="496"/>
      <c r="R73" s="36"/>
      <c r="S73" s="496"/>
      <c r="T73" s="496"/>
      <c r="U73" s="496"/>
      <c r="V73" s="496"/>
      <c r="W73" s="496"/>
      <c r="X73" s="496"/>
      <c r="Y73" s="496"/>
      <c r="Z73" s="496"/>
      <c r="AA73" s="496"/>
      <c r="AB73" s="194"/>
      <c r="AC73" s="194">
        <v>0</v>
      </c>
      <c r="AD73" s="36"/>
      <c r="AE73" s="37"/>
      <c r="AF73" s="36">
        <f t="shared" ref="AF73:AF77" si="5">ROUND(SUM(E73:AC73),1)</f>
        <v>0</v>
      </c>
      <c r="AG73" s="52"/>
      <c r="AH73" s="36"/>
      <c r="AI73" s="40">
        <f>+'Exhibit I State'!AG72+'Exhibit I Federal'!AG54</f>
        <v>0</v>
      </c>
      <c r="AJ73" s="36"/>
      <c r="AK73" s="238"/>
      <c r="AL73" s="38">
        <f t="shared" si="4"/>
        <v>0</v>
      </c>
      <c r="AM73" s="113"/>
      <c r="AN73" s="8">
        <f>ROUND(IF(AI73=0,0,AL73/ABS(AI73)),3)</f>
        <v>0</v>
      </c>
    </row>
    <row r="74" spans="1:44" ht="15.75">
      <c r="A74" s="21"/>
      <c r="B74" s="21" t="s">
        <v>29</v>
      </c>
      <c r="C74" s="21"/>
      <c r="D74" s="21"/>
      <c r="E74" s="496">
        <f>+'Exhibit I State'!E73+'Exhibit I Federal'!E55</f>
        <v>7.9</v>
      </c>
      <c r="F74" s="496"/>
      <c r="G74" s="496">
        <f>+'Exhibit I State'!G73+'Exhibit I Federal'!G55</f>
        <v>113.5</v>
      </c>
      <c r="H74" s="496"/>
      <c r="I74" s="496">
        <f>+'Exhibit I State'!I73+'Exhibit I Federal'!I55</f>
        <v>20.699999999999996</v>
      </c>
      <c r="J74" s="467"/>
      <c r="K74" s="496">
        <f>+'Exhibit I State'!K73+'Exhibit I Federal'!K55</f>
        <v>51.299999999999976</v>
      </c>
      <c r="L74" s="36"/>
      <c r="M74" s="496">
        <f>+'Exhibit I State'!M73+'Exhibit I Federal'!M55</f>
        <v>25.500000000000007</v>
      </c>
      <c r="N74" s="36"/>
      <c r="O74" s="496">
        <f>+'Exhibit I State'!O73+'Exhibit I Federal'!O55</f>
        <v>17.600000000000023</v>
      </c>
      <c r="P74" s="36"/>
      <c r="Q74" s="496"/>
      <c r="R74" s="36"/>
      <c r="S74" s="496"/>
      <c r="T74" s="496"/>
      <c r="U74" s="496"/>
      <c r="V74" s="496"/>
      <c r="W74" s="496"/>
      <c r="X74" s="496"/>
      <c r="Y74" s="496"/>
      <c r="Z74" s="496"/>
      <c r="AA74" s="496"/>
      <c r="AB74" s="194"/>
      <c r="AC74" s="194">
        <v>0</v>
      </c>
      <c r="AD74" s="36"/>
      <c r="AE74" s="37"/>
      <c r="AF74" s="467">
        <f t="shared" si="5"/>
        <v>236.5</v>
      </c>
      <c r="AG74" s="52"/>
      <c r="AH74" s="36"/>
      <c r="AI74" s="40">
        <f>+'Exhibit I State'!AG73+'Exhibit I Federal'!AG55</f>
        <v>209.3</v>
      </c>
      <c r="AJ74" s="46"/>
      <c r="AK74" s="237"/>
      <c r="AL74" s="38">
        <f t="shared" si="4"/>
        <v>27.2</v>
      </c>
      <c r="AM74" s="113"/>
      <c r="AN74" s="8">
        <f>ROUND(IF(AI74=0,0,AL74/ABS(AI74)),3)</f>
        <v>0.13</v>
      </c>
    </row>
    <row r="75" spans="1:44" ht="15.75">
      <c r="A75" s="21"/>
      <c r="B75" s="21" t="s">
        <v>30</v>
      </c>
      <c r="C75" s="21"/>
      <c r="D75" s="21"/>
      <c r="E75" s="496">
        <f>+'Exhibit I State'!E74+'Exhibit I Federal'!E56</f>
        <v>1</v>
      </c>
      <c r="F75" s="496"/>
      <c r="G75" s="496">
        <f>+'Exhibit I State'!G74+'Exhibit I Federal'!G56</f>
        <v>1</v>
      </c>
      <c r="H75" s="496"/>
      <c r="I75" s="496">
        <f>+'Exhibit I State'!I74+'Exhibit I Federal'!I56</f>
        <v>1.9</v>
      </c>
      <c r="J75" s="467"/>
      <c r="K75" s="496">
        <f>+'Exhibit I State'!K74+'Exhibit I Federal'!K56</f>
        <v>0.80000000000000027</v>
      </c>
      <c r="L75" s="36"/>
      <c r="M75" s="496">
        <f>+'Exhibit I State'!M74+'Exhibit I Federal'!M56</f>
        <v>4.6999999999999993</v>
      </c>
      <c r="N75" s="36"/>
      <c r="O75" s="496">
        <f>+'Exhibit I State'!O74+'Exhibit I Federal'!O56</f>
        <v>1</v>
      </c>
      <c r="P75" s="36"/>
      <c r="Q75" s="496"/>
      <c r="R75" s="36"/>
      <c r="S75" s="496"/>
      <c r="T75" s="496"/>
      <c r="U75" s="496"/>
      <c r="V75" s="496"/>
      <c r="W75" s="496"/>
      <c r="X75" s="496"/>
      <c r="Y75" s="496"/>
      <c r="Z75" s="496"/>
      <c r="AA75" s="496"/>
      <c r="AB75" s="194"/>
      <c r="AC75" s="194">
        <v>0</v>
      </c>
      <c r="AD75" s="36"/>
      <c r="AE75" s="37"/>
      <c r="AF75" s="36">
        <f>ROUND(SUM(E75:AC75),1)</f>
        <v>10.4</v>
      </c>
      <c r="AG75" s="52"/>
      <c r="AH75" s="36"/>
      <c r="AI75" s="40">
        <f>+'Exhibit I State'!AG74+'Exhibit I Federal'!AG56</f>
        <v>45</v>
      </c>
      <c r="AJ75" s="46"/>
      <c r="AK75" s="237"/>
      <c r="AL75" s="38">
        <f t="shared" si="4"/>
        <v>-34.6</v>
      </c>
      <c r="AM75" s="113"/>
      <c r="AN75" s="964">
        <f>ROUND(IF(AI75=0,1,AL75/ABS(AI75)),3)</f>
        <v>-0.76900000000000002</v>
      </c>
    </row>
    <row r="76" spans="1:44" ht="15.75">
      <c r="A76" s="21"/>
      <c r="B76" s="21" t="s">
        <v>31</v>
      </c>
      <c r="C76" s="21"/>
      <c r="D76" s="21"/>
      <c r="E76" s="496">
        <f>+'Exhibit I State'!E75+'Exhibit I Federal'!E57</f>
        <v>76.099999999999994</v>
      </c>
      <c r="F76" s="496"/>
      <c r="G76" s="496">
        <f>+'Exhibit I State'!G75+'Exhibit I Federal'!G57</f>
        <v>29.5</v>
      </c>
      <c r="H76" s="496"/>
      <c r="I76" s="496">
        <f>+'Exhibit I State'!I75+'Exhibit I Federal'!I57</f>
        <v>175.79999999999998</v>
      </c>
      <c r="J76" s="467"/>
      <c r="K76" s="496">
        <f>+'Exhibit I State'!K75+'Exhibit I Federal'!K57</f>
        <v>37.700000000000045</v>
      </c>
      <c r="L76" s="36"/>
      <c r="M76" s="496">
        <f>+'Exhibit I State'!M75+'Exhibit I Federal'!M57</f>
        <v>91.6</v>
      </c>
      <c r="N76" s="36"/>
      <c r="O76" s="496">
        <f>+'Exhibit I State'!O75+'Exhibit I Federal'!O57</f>
        <v>59.799999999999955</v>
      </c>
      <c r="P76" s="36"/>
      <c r="Q76" s="496"/>
      <c r="R76" s="36"/>
      <c r="S76" s="496"/>
      <c r="T76" s="496"/>
      <c r="U76" s="496"/>
      <c r="V76" s="496"/>
      <c r="W76" s="496"/>
      <c r="X76" s="496"/>
      <c r="Y76" s="496"/>
      <c r="Z76" s="496"/>
      <c r="AA76" s="496"/>
      <c r="AB76" s="194"/>
      <c r="AC76" s="194">
        <v>0</v>
      </c>
      <c r="AD76" s="36"/>
      <c r="AE76" s="37"/>
      <c r="AF76" s="36">
        <f t="shared" si="5"/>
        <v>470.5</v>
      </c>
      <c r="AG76" s="52"/>
      <c r="AH76" s="36"/>
      <c r="AI76" s="40">
        <f>+'Exhibit I State'!AG75+'Exhibit I Federal'!AG57</f>
        <v>298.89999999999998</v>
      </c>
      <c r="AJ76" s="36"/>
      <c r="AK76" s="238"/>
      <c r="AL76" s="38">
        <f t="shared" si="4"/>
        <v>171.6</v>
      </c>
      <c r="AM76" s="113"/>
      <c r="AN76" s="1018">
        <f>ROUND(IF(AI76=0,1,AL76/ABS(AI76)),3)</f>
        <v>0.57399999999999995</v>
      </c>
    </row>
    <row r="77" spans="1:44" ht="15.75">
      <c r="A77" s="21"/>
      <c r="B77" s="21" t="s">
        <v>32</v>
      </c>
      <c r="C77" s="19"/>
      <c r="D77" s="21"/>
      <c r="E77" s="496">
        <f>+'Exhibit I State'!E76+'Exhibit I Federal'!E58</f>
        <v>29.5</v>
      </c>
      <c r="F77" s="496"/>
      <c r="G77" s="496">
        <f>+'Exhibit I State'!G76+'Exhibit I Federal'!G58</f>
        <v>17.2</v>
      </c>
      <c r="H77" s="496"/>
      <c r="I77" s="496">
        <f>+'Exhibit I State'!I76+'Exhibit I Federal'!I58</f>
        <v>78.099999999999994</v>
      </c>
      <c r="J77" s="467"/>
      <c r="K77" s="496">
        <f>+'Exhibit I State'!K76+'Exhibit I Federal'!K58</f>
        <v>165.8</v>
      </c>
      <c r="L77" s="36"/>
      <c r="M77" s="496">
        <f>+'Exhibit I State'!M76+'Exhibit I Federal'!M58</f>
        <v>48.499999999999986</v>
      </c>
      <c r="N77" s="36"/>
      <c r="O77" s="496">
        <f>+'Exhibit I State'!O76+'Exhibit I Federal'!O58</f>
        <v>70.300000000000068</v>
      </c>
      <c r="P77" s="36"/>
      <c r="Q77" s="496"/>
      <c r="R77" s="36"/>
      <c r="S77" s="496"/>
      <c r="T77" s="496"/>
      <c r="U77" s="496"/>
      <c r="V77" s="496"/>
      <c r="W77" s="496"/>
      <c r="X77" s="496"/>
      <c r="Y77" s="496"/>
      <c r="Z77" s="496"/>
      <c r="AA77" s="496"/>
      <c r="AB77" s="194"/>
      <c r="AC77" s="194">
        <v>0</v>
      </c>
      <c r="AD77" s="36"/>
      <c r="AE77" s="37"/>
      <c r="AF77" s="36">
        <f t="shared" si="5"/>
        <v>409.4</v>
      </c>
      <c r="AG77" s="52"/>
      <c r="AH77" s="36"/>
      <c r="AI77" s="40">
        <f>+'Exhibit I State'!AG76+'Exhibit I Federal'!AG58</f>
        <v>256.10000000000002</v>
      </c>
      <c r="AJ77" s="36"/>
      <c r="AK77" s="238"/>
      <c r="AL77" s="38">
        <f t="shared" si="4"/>
        <v>153.30000000000001</v>
      </c>
      <c r="AM77" s="113"/>
      <c r="AN77" s="1018">
        <f>ROUND(IF(AI77=0,0,AL77/ABS(AI77)),3)</f>
        <v>0.59899999999999998</v>
      </c>
    </row>
    <row r="78" spans="1:44" ht="15.75">
      <c r="A78" s="21"/>
      <c r="B78" s="21" t="s">
        <v>33</v>
      </c>
      <c r="C78" s="21"/>
      <c r="D78" s="21"/>
      <c r="E78" s="496">
        <f>+'Exhibit I State'!E77+'Exhibit I Federal'!E59</f>
        <v>36.9</v>
      </c>
      <c r="F78" s="496"/>
      <c r="G78" s="496">
        <f>+'Exhibit I State'!G77+'Exhibit I Federal'!G59</f>
        <v>29.1</v>
      </c>
      <c r="H78" s="496"/>
      <c r="I78" s="496">
        <f>+'Exhibit I State'!I77+'Exhibit I Federal'!I59</f>
        <v>121.9</v>
      </c>
      <c r="J78" s="467"/>
      <c r="K78" s="496">
        <f>+'Exhibit I State'!K77+'Exhibit I Federal'!K59</f>
        <v>50.600000000000009</v>
      </c>
      <c r="L78" s="36"/>
      <c r="M78" s="496">
        <f>+'Exhibit I State'!M77+'Exhibit I Federal'!M59</f>
        <v>52.499999999999986</v>
      </c>
      <c r="N78" s="36"/>
      <c r="O78" s="496">
        <f>+'Exhibit I State'!O77+'Exhibit I Federal'!O59</f>
        <v>167.39999999999995</v>
      </c>
      <c r="P78" s="36"/>
      <c r="Q78" s="496"/>
      <c r="R78" s="36"/>
      <c r="S78" s="496"/>
      <c r="T78" s="496"/>
      <c r="U78" s="496"/>
      <c r="V78" s="496"/>
      <c r="W78" s="496"/>
      <c r="X78" s="496"/>
      <c r="Y78" s="496"/>
      <c r="Z78" s="496"/>
      <c r="AA78" s="496"/>
      <c r="AB78" s="194"/>
      <c r="AC78" s="194">
        <v>0</v>
      </c>
      <c r="AD78" s="36"/>
      <c r="AE78" s="37"/>
      <c r="AF78" s="36">
        <f>ROUND(SUM(E78:AC78),1)</f>
        <v>458.4</v>
      </c>
      <c r="AG78" s="52"/>
      <c r="AH78" s="36"/>
      <c r="AI78" s="647">
        <f>+'Exhibit I State'!AG77+'Exhibit I Federal'!AG59</f>
        <v>452.8</v>
      </c>
      <c r="AJ78" s="36"/>
      <c r="AK78" s="238"/>
      <c r="AL78" s="38">
        <f>ROUND(SUM(+AF78-AI78),1)</f>
        <v>5.6</v>
      </c>
      <c r="AN78" s="654">
        <f>ROUND(IF(AI78=0,0,AL78/ABS(AI78)),3)</f>
        <v>1.2E-2</v>
      </c>
    </row>
    <row r="79" spans="1:44" ht="15.75">
      <c r="A79" s="21"/>
      <c r="B79" s="19" t="s">
        <v>194</v>
      </c>
      <c r="C79" s="21"/>
      <c r="D79" s="21"/>
      <c r="E79" s="207">
        <f>ROUND(SUM(E69:E78),1)</f>
        <v>276.5</v>
      </c>
      <c r="F79" s="42"/>
      <c r="G79" s="207">
        <f>ROUND(SUM(G69:G78),1)</f>
        <v>276.5</v>
      </c>
      <c r="H79" s="42"/>
      <c r="I79" s="207">
        <f>ROUND(SUM(I69:I78),1)</f>
        <v>473.2</v>
      </c>
      <c r="J79" s="42"/>
      <c r="K79" s="207">
        <f>ROUND(SUM(K69:K78),1)</f>
        <v>544.1</v>
      </c>
      <c r="L79" s="42"/>
      <c r="M79" s="207">
        <f>ROUND(SUM(M69:M78),1)</f>
        <v>308.10000000000002</v>
      </c>
      <c r="N79" s="42"/>
      <c r="O79" s="207">
        <f>ROUND(SUM(O69:O78),1)</f>
        <v>461.8</v>
      </c>
      <c r="P79" s="42"/>
      <c r="Q79" s="207">
        <f>ROUND(SUM(Q69:Q78),1)</f>
        <v>0</v>
      </c>
      <c r="R79" s="42"/>
      <c r="S79" s="207">
        <f>ROUND(SUM(S69:S78),1)</f>
        <v>0</v>
      </c>
      <c r="T79" s="42"/>
      <c r="U79" s="207">
        <f>ROUND(SUM(U69:U78),1)</f>
        <v>0</v>
      </c>
      <c r="V79" s="42"/>
      <c r="W79" s="207">
        <f>ROUND(SUM(W69:W78),1)</f>
        <v>0</v>
      </c>
      <c r="X79" s="42"/>
      <c r="Y79" s="207">
        <f>ROUND(SUM(Y69:Y78),1)</f>
        <v>0</v>
      </c>
      <c r="Z79" s="42"/>
      <c r="AA79" s="207">
        <f>ROUND(SUM(AA69:AA78),1)</f>
        <v>0</v>
      </c>
      <c r="AB79" s="42"/>
      <c r="AC79" s="207">
        <f>ROUND(SUM(AC69:AC78),1)</f>
        <v>0</v>
      </c>
      <c r="AD79" s="42"/>
      <c r="AE79" s="44"/>
      <c r="AF79" s="207">
        <f>ROUND(SUM(AF69:AF78),1)</f>
        <v>2340.1999999999998</v>
      </c>
      <c r="AG79" s="144"/>
      <c r="AH79" s="42"/>
      <c r="AI79" s="207">
        <f>ROUND(SUM(AI69:AI78),1)</f>
        <v>1810.8</v>
      </c>
      <c r="AJ79" s="42"/>
      <c r="AK79" s="238"/>
      <c r="AL79" s="207">
        <f>ROUND(SUM(AL69:AL78),1)</f>
        <v>529.4</v>
      </c>
      <c r="AM79" s="19"/>
      <c r="AN79" s="651">
        <f>ROUND(SUM(AL79/AI79),3)</f>
        <v>0.29199999999999998</v>
      </c>
      <c r="AO79" s="19"/>
      <c r="AP79" s="112"/>
      <c r="AQ79" s="19"/>
      <c r="AR79" s="19"/>
    </row>
    <row r="80" spans="1:44" ht="15.75">
      <c r="A80" s="21"/>
      <c r="B80" s="21" t="s">
        <v>195</v>
      </c>
      <c r="C80" s="21"/>
      <c r="D80" s="21"/>
      <c r="E80" s="467"/>
      <c r="F80" s="467"/>
      <c r="G80" s="467"/>
      <c r="H80" s="467"/>
      <c r="I80" s="467"/>
      <c r="J80" s="467"/>
      <c r="K80" s="467"/>
      <c r="L80" s="36"/>
      <c r="M80" s="467"/>
      <c r="N80" s="36"/>
      <c r="O80" s="467"/>
      <c r="P80" s="36"/>
      <c r="Q80" s="467"/>
      <c r="R80" s="36"/>
      <c r="S80" s="36"/>
      <c r="T80" s="36"/>
      <c r="U80" s="36"/>
      <c r="V80" s="36"/>
      <c r="W80" s="36"/>
      <c r="X80" s="36"/>
      <c r="Y80" s="36"/>
      <c r="Z80" s="36"/>
      <c r="AA80" s="36"/>
      <c r="AB80" s="36"/>
      <c r="AC80" s="36"/>
      <c r="AD80" s="36"/>
      <c r="AE80" s="37"/>
      <c r="AF80" s="36"/>
      <c r="AG80" s="52"/>
      <c r="AH80" s="36"/>
      <c r="AI80" s="36"/>
      <c r="AJ80" s="36"/>
      <c r="AK80" s="238"/>
      <c r="AL80" s="38"/>
      <c r="AN80" s="236"/>
    </row>
    <row r="81" spans="1:44" ht="15.75">
      <c r="A81" s="21"/>
      <c r="B81" s="21" t="s">
        <v>196</v>
      </c>
      <c r="C81" s="21"/>
      <c r="D81" s="21"/>
      <c r="E81" s="496">
        <f>+'Exhibit I State'!E80+'Exhibit I Federal'!E62</f>
        <v>0</v>
      </c>
      <c r="F81" s="496"/>
      <c r="G81" s="496">
        <f>+'Exhibit I State'!G80+'Exhibit I Federal'!G62</f>
        <v>0</v>
      </c>
      <c r="H81" s="496"/>
      <c r="I81" s="496">
        <f>+'Exhibit I State'!I80+'Exhibit I Federal'!I62</f>
        <v>0</v>
      </c>
      <c r="J81" s="467"/>
      <c r="K81" s="496">
        <f>+'Exhibit I State'!K80+'Exhibit I Federal'!K62</f>
        <v>0</v>
      </c>
      <c r="L81" s="36"/>
      <c r="M81" s="496">
        <f>+'Exhibit I State'!M80+'Exhibit I Federal'!M62</f>
        <v>0</v>
      </c>
      <c r="N81" s="36"/>
      <c r="O81" s="496">
        <f>+'Exhibit I State'!O80+'Exhibit I Federal'!O62</f>
        <v>0</v>
      </c>
      <c r="P81" s="36"/>
      <c r="Q81" s="496"/>
      <c r="R81" s="36"/>
      <c r="S81" s="496"/>
      <c r="T81" s="496"/>
      <c r="U81" s="496"/>
      <c r="V81" s="496"/>
      <c r="W81" s="496"/>
      <c r="X81" s="496"/>
      <c r="Y81" s="496"/>
      <c r="Z81" s="496"/>
      <c r="AA81" s="496"/>
      <c r="AB81" s="194"/>
      <c r="AC81" s="194">
        <v>0</v>
      </c>
      <c r="AD81" s="36"/>
      <c r="AE81" s="37"/>
      <c r="AF81" s="46">
        <f>ROUND(SUM(E81:AC81),1)</f>
        <v>0</v>
      </c>
      <c r="AG81" s="52"/>
      <c r="AH81" s="36"/>
      <c r="AI81" s="116">
        <f>+'Exhibit I State'!AG80+'Exhibit I Federal'!AG62</f>
        <v>0</v>
      </c>
      <c r="AJ81" s="40"/>
      <c r="AK81" s="241"/>
      <c r="AL81" s="36">
        <f>ROUND(SUM(+AF81-AI81),1)</f>
        <v>0</v>
      </c>
      <c r="AN81" s="8">
        <f>ROUND(IF(AI81=0,0,AL81/ABS(AI81)),3)</f>
        <v>0</v>
      </c>
    </row>
    <row r="82" spans="1:44" ht="15.75">
      <c r="A82" s="21"/>
      <c r="B82" s="21" t="s">
        <v>197</v>
      </c>
      <c r="C82" s="21"/>
      <c r="D82" s="21"/>
      <c r="E82" s="496">
        <f>+'Exhibit I State'!E81+'Exhibit I Federal'!E63</f>
        <v>0</v>
      </c>
      <c r="F82" s="496"/>
      <c r="G82" s="496">
        <f>+'Exhibit I State'!G81+'Exhibit I Federal'!G63</f>
        <v>0</v>
      </c>
      <c r="H82" s="496"/>
      <c r="I82" s="496">
        <f>+'Exhibit I State'!I81+'Exhibit I Federal'!I63</f>
        <v>0</v>
      </c>
      <c r="J82" s="467"/>
      <c r="K82" s="496">
        <f>+'Exhibit I State'!K81+'Exhibit I Federal'!K63</f>
        <v>0</v>
      </c>
      <c r="L82" s="36"/>
      <c r="M82" s="496">
        <f>+'Exhibit I State'!M81+'Exhibit I Federal'!M63</f>
        <v>0</v>
      </c>
      <c r="N82" s="36"/>
      <c r="O82" s="496">
        <f>+'Exhibit I State'!O81+'Exhibit I Federal'!O63</f>
        <v>0</v>
      </c>
      <c r="P82" s="36"/>
      <c r="Q82" s="496"/>
      <c r="R82" s="36"/>
      <c r="S82" s="496"/>
      <c r="T82" s="496"/>
      <c r="U82" s="496"/>
      <c r="V82" s="496"/>
      <c r="W82" s="496"/>
      <c r="X82" s="496"/>
      <c r="Y82" s="496"/>
      <c r="Z82" s="496"/>
      <c r="AA82" s="496"/>
      <c r="AB82" s="194"/>
      <c r="AC82" s="194">
        <v>0</v>
      </c>
      <c r="AD82" s="36"/>
      <c r="AE82" s="37"/>
      <c r="AF82" s="2059">
        <f>ROUND(SUM(E82:AC82),1)</f>
        <v>0</v>
      </c>
      <c r="AG82" s="52"/>
      <c r="AH82" s="36"/>
      <c r="AI82" s="116">
        <f>+'Exhibit I State'!AG81+'Exhibit I Federal'!AG63</f>
        <v>0</v>
      </c>
      <c r="AJ82" s="40"/>
      <c r="AK82" s="241"/>
      <c r="AL82" s="36">
        <f>ROUND(SUM(+AF82-AI82),1)</f>
        <v>0</v>
      </c>
      <c r="AN82" s="8">
        <f>ROUND(IF(AI82=0,0,AL82/ABS(AI82)),3)</f>
        <v>0</v>
      </c>
    </row>
    <row r="83" spans="1:44" ht="15.75">
      <c r="A83" s="21"/>
      <c r="B83" s="21" t="s">
        <v>198</v>
      </c>
      <c r="C83" s="21"/>
      <c r="D83" s="21"/>
      <c r="E83" s="496">
        <f>+'Exhibit I State'!E82+'Exhibit I Federal'!E64</f>
        <v>0</v>
      </c>
      <c r="F83" s="496"/>
      <c r="G83" s="496">
        <f>+'Exhibit I State'!G82+'Exhibit I Federal'!G64</f>
        <v>0</v>
      </c>
      <c r="H83" s="496"/>
      <c r="I83" s="496">
        <f>+'Exhibit I State'!I82+'Exhibit I Federal'!I64</f>
        <v>0</v>
      </c>
      <c r="J83" s="467"/>
      <c r="K83" s="496">
        <f>+'Exhibit I State'!K82+'Exhibit I Federal'!K64</f>
        <v>0</v>
      </c>
      <c r="L83" s="36"/>
      <c r="M83" s="496">
        <f>+'Exhibit I State'!M82+'Exhibit I Federal'!M64</f>
        <v>0</v>
      </c>
      <c r="N83" s="36"/>
      <c r="O83" s="496">
        <f>+'Exhibit I State'!O82+'Exhibit I Federal'!O64</f>
        <v>0</v>
      </c>
      <c r="P83" s="36"/>
      <c r="Q83" s="496"/>
      <c r="R83" s="36"/>
      <c r="S83" s="496"/>
      <c r="T83" s="496"/>
      <c r="U83" s="496"/>
      <c r="V83" s="496"/>
      <c r="W83" s="496"/>
      <c r="X83" s="496"/>
      <c r="Y83" s="496"/>
      <c r="Z83" s="496"/>
      <c r="AA83" s="496"/>
      <c r="AB83" s="194"/>
      <c r="AC83" s="194">
        <v>0</v>
      </c>
      <c r="AD83" s="242"/>
      <c r="AE83" s="243"/>
      <c r="AF83" s="46">
        <f>ROUND(SUM(E83:AC83),1)</f>
        <v>0</v>
      </c>
      <c r="AG83" s="52"/>
      <c r="AH83" s="36"/>
      <c r="AI83" s="116">
        <f>+'Exhibit I State'!AG82+'Exhibit I Federal'!AG64</f>
        <v>0</v>
      </c>
      <c r="AJ83" s="40"/>
      <c r="AK83" s="241"/>
      <c r="AL83" s="36">
        <f>ROUND(SUM(+AF83-AI83),1)</f>
        <v>0</v>
      </c>
      <c r="AN83" s="8">
        <f>ROUND(IF(AI83=0,0,AL83/ABS(AI83)),3)</f>
        <v>0</v>
      </c>
    </row>
    <row r="84" spans="1:44" ht="15.75">
      <c r="A84" s="21"/>
      <c r="B84" s="34" t="s">
        <v>169</v>
      </c>
      <c r="C84" s="21"/>
      <c r="D84" s="21"/>
      <c r="E84" s="496">
        <f>+'Exhibit I State'!E83+'Exhibit I Federal'!E65</f>
        <v>410.1</v>
      </c>
      <c r="F84" s="496"/>
      <c r="G84" s="496">
        <f>+'Exhibit I State'!G83+'Exhibit I Federal'!G65</f>
        <v>744.3</v>
      </c>
      <c r="H84" s="496"/>
      <c r="I84" s="496">
        <f>+'Exhibit I State'!I83+'Exhibit I Federal'!I65</f>
        <v>816.9</v>
      </c>
      <c r="J84" s="480"/>
      <c r="K84" s="496">
        <f>+'Exhibit I State'!K83+'Exhibit I Federal'!K65</f>
        <v>614.69999999999993</v>
      </c>
      <c r="L84" s="36"/>
      <c r="M84" s="496">
        <f>+'Exhibit I State'!M83+'Exhibit I Federal'!M65</f>
        <v>878.60000000000025</v>
      </c>
      <c r="N84" s="36"/>
      <c r="O84" s="496">
        <f>+'Exhibit I State'!O83+'Exhibit I Federal'!O65</f>
        <v>732.3</v>
      </c>
      <c r="P84" s="36"/>
      <c r="Q84" s="496"/>
      <c r="R84" s="36"/>
      <c r="S84" s="496"/>
      <c r="T84" s="496"/>
      <c r="U84" s="496"/>
      <c r="V84" s="496"/>
      <c r="W84" s="496"/>
      <c r="X84" s="496"/>
      <c r="Y84" s="496"/>
      <c r="Z84" s="496"/>
      <c r="AA84" s="496"/>
      <c r="AB84" s="194"/>
      <c r="AC84" s="194">
        <v>0</v>
      </c>
      <c r="AD84" s="36"/>
      <c r="AE84" s="37"/>
      <c r="AF84" s="46">
        <f>ROUND(SUM(E84:AC84),1)</f>
        <v>4196.8999999999996</v>
      </c>
      <c r="AG84" s="52"/>
      <c r="AH84" s="36"/>
      <c r="AI84" s="1863">
        <f>+'Exhibit I State'!AG83+'Exhibit I Federal'!AG65</f>
        <v>3922.2</v>
      </c>
      <c r="AJ84" s="46"/>
      <c r="AK84" s="237"/>
      <c r="AL84" s="239">
        <f>ROUND(SUM(+AF84-AI84),1)</f>
        <v>274.7</v>
      </c>
      <c r="AN84" s="654">
        <f>ROUND(IF(AI84=0,1,AL84/ABS(AI84)),3)</f>
        <v>7.0000000000000007E-2</v>
      </c>
    </row>
    <row r="85" spans="1:44" ht="15.75">
      <c r="A85" s="21"/>
      <c r="B85" s="21"/>
      <c r="C85" s="21"/>
      <c r="D85" s="21"/>
      <c r="E85" s="497"/>
      <c r="F85" s="467"/>
      <c r="G85" s="497"/>
      <c r="H85" s="467"/>
      <c r="I85" s="497"/>
      <c r="J85" s="467"/>
      <c r="K85" s="497"/>
      <c r="L85" s="36"/>
      <c r="M85" s="497"/>
      <c r="N85" s="36"/>
      <c r="O85" s="497"/>
      <c r="P85" s="36"/>
      <c r="Q85" s="497"/>
      <c r="R85" s="36"/>
      <c r="S85" s="61"/>
      <c r="T85" s="36"/>
      <c r="U85" s="61"/>
      <c r="V85" s="36"/>
      <c r="W85" s="61"/>
      <c r="X85" s="36"/>
      <c r="Y85" s="61"/>
      <c r="Z85" s="36"/>
      <c r="AA85" s="61"/>
      <c r="AB85" s="36"/>
      <c r="AC85" s="61"/>
      <c r="AD85" s="36"/>
      <c r="AE85" s="37"/>
      <c r="AF85" s="61"/>
      <c r="AG85" s="52"/>
      <c r="AH85" s="36"/>
      <c r="AI85" s="38"/>
      <c r="AJ85" s="38"/>
      <c r="AK85" s="238"/>
      <c r="AL85" s="38"/>
      <c r="AN85" s="236"/>
    </row>
    <row r="86" spans="1:44" ht="15.75">
      <c r="A86" s="21"/>
      <c r="B86" s="19" t="s">
        <v>199</v>
      </c>
      <c r="C86" s="21"/>
      <c r="D86" s="21"/>
      <c r="E86" s="42">
        <f>ROUND(SUM(+E84+E79),1)</f>
        <v>686.6</v>
      </c>
      <c r="F86" s="42"/>
      <c r="G86" s="42">
        <f>ROUND(SUM(G79:G84),1)</f>
        <v>1020.8</v>
      </c>
      <c r="H86" s="42"/>
      <c r="I86" s="42">
        <f>ROUND(SUM(I79:I84),1)</f>
        <v>1290.0999999999999</v>
      </c>
      <c r="J86" s="42"/>
      <c r="K86" s="42">
        <f>ROUND(SUM(+K84+K79),1)</f>
        <v>1158.8</v>
      </c>
      <c r="L86" s="42"/>
      <c r="M86" s="42">
        <f>ROUND(SUM(+M84+M79),1)</f>
        <v>1186.7</v>
      </c>
      <c r="N86" s="42"/>
      <c r="O86" s="42">
        <f>ROUND(SUM(+O84+O79),1)</f>
        <v>1194.0999999999999</v>
      </c>
      <c r="P86" s="42"/>
      <c r="Q86" s="42">
        <f>ROUND(SUM(+Q84+Q79),1)</f>
        <v>0</v>
      </c>
      <c r="R86" s="42"/>
      <c r="S86" s="42">
        <f>ROUND(SUM(+S84+S79),1)</f>
        <v>0</v>
      </c>
      <c r="T86" s="42"/>
      <c r="U86" s="42">
        <f>ROUND(SUM(+U84+U79),1)</f>
        <v>0</v>
      </c>
      <c r="V86" s="42"/>
      <c r="W86" s="42">
        <f>ROUND(SUM(+W84+W79),1)</f>
        <v>0</v>
      </c>
      <c r="X86" s="42"/>
      <c r="Y86" s="42">
        <f>ROUND(SUM(+Y84+Y79),1)</f>
        <v>0</v>
      </c>
      <c r="Z86" s="42"/>
      <c r="AA86" s="42">
        <f>ROUND(SUM(+AA84+AA79),1)</f>
        <v>0</v>
      </c>
      <c r="AB86" s="42"/>
      <c r="AC86" s="42">
        <f>ROUND(SUM(+AC84+AC79),1)</f>
        <v>0</v>
      </c>
      <c r="AD86" s="42"/>
      <c r="AE86" s="44"/>
      <c r="AF86" s="2090">
        <f>ROUND(SUM(+AF84+AF79+AF81+AF82+AF83),1)</f>
        <v>6537.1</v>
      </c>
      <c r="AG86" s="144"/>
      <c r="AH86" s="42"/>
      <c r="AI86" s="42">
        <f>ROUND(SUM(+AI84+AI79+AI81+AI82+AI83),1)</f>
        <v>5733</v>
      </c>
      <c r="AJ86" s="42"/>
      <c r="AK86" s="238"/>
      <c r="AL86" s="50">
        <f>ROUND(SUM(AL79+AL84+AL81+AL82+AL83),1)</f>
        <v>804.1</v>
      </c>
      <c r="AM86" s="19"/>
      <c r="AN86" s="211">
        <f>ROUND(SUM(AL86/AI86),3)</f>
        <v>0.14000000000000001</v>
      </c>
      <c r="AO86" s="19"/>
      <c r="AP86" s="112"/>
      <c r="AQ86" s="19"/>
      <c r="AR86" s="19"/>
    </row>
    <row r="87" spans="1:44" ht="15.75">
      <c r="A87" s="21"/>
      <c r="B87" s="21"/>
      <c r="C87" s="21"/>
      <c r="D87" s="21"/>
      <c r="E87" s="497"/>
      <c r="F87" s="467"/>
      <c r="G87" s="497"/>
      <c r="H87" s="467"/>
      <c r="I87" s="497"/>
      <c r="J87" s="467"/>
      <c r="K87" s="497"/>
      <c r="L87" s="36"/>
      <c r="M87" s="497"/>
      <c r="N87" s="36"/>
      <c r="O87" s="497"/>
      <c r="P87" s="36"/>
      <c r="Q87" s="497"/>
      <c r="R87" s="36"/>
      <c r="S87" s="61"/>
      <c r="T87" s="36"/>
      <c r="U87" s="61"/>
      <c r="V87" s="36"/>
      <c r="W87" s="61"/>
      <c r="X87" s="36"/>
      <c r="Y87" s="61"/>
      <c r="Z87" s="36"/>
      <c r="AA87" s="61"/>
      <c r="AB87" s="36"/>
      <c r="AC87" s="61"/>
      <c r="AD87" s="36"/>
      <c r="AE87" s="37"/>
      <c r="AF87" s="61"/>
      <c r="AG87" s="52"/>
      <c r="AH87" s="36"/>
      <c r="AI87" s="61"/>
      <c r="AJ87" s="36"/>
      <c r="AK87" s="238"/>
      <c r="AL87" s="38"/>
      <c r="AN87" s="236"/>
    </row>
    <row r="88" spans="1:44" ht="15.75">
      <c r="A88" s="21"/>
      <c r="B88" s="19" t="s">
        <v>200</v>
      </c>
      <c r="C88" s="21"/>
      <c r="D88" s="21"/>
      <c r="E88" s="467"/>
      <c r="F88" s="467"/>
      <c r="G88" s="467"/>
      <c r="H88" s="467"/>
      <c r="I88" s="467"/>
      <c r="J88" s="467"/>
      <c r="K88" s="467"/>
      <c r="L88" s="36"/>
      <c r="M88" s="467"/>
      <c r="N88" s="36"/>
      <c r="O88" s="467"/>
      <c r="P88" s="36"/>
      <c r="Q88" s="467"/>
      <c r="R88" s="36"/>
      <c r="S88" s="36"/>
      <c r="T88" s="36"/>
      <c r="U88" s="36"/>
      <c r="V88" s="36"/>
      <c r="W88" s="36"/>
      <c r="X88" s="36"/>
      <c r="Y88" s="36"/>
      <c r="Z88" s="36"/>
      <c r="AA88" s="36"/>
      <c r="AB88" s="36"/>
      <c r="AC88" s="36"/>
      <c r="AD88" s="36"/>
      <c r="AE88" s="37"/>
      <c r="AF88" s="38"/>
      <c r="AG88" s="52"/>
      <c r="AH88" s="36"/>
      <c r="AI88" s="38"/>
      <c r="AJ88" s="38"/>
      <c r="AK88" s="238"/>
      <c r="AL88" s="38"/>
      <c r="AN88" s="236"/>
    </row>
    <row r="89" spans="1:44" ht="15.75">
      <c r="A89" s="21"/>
      <c r="B89" s="19" t="s">
        <v>201</v>
      </c>
      <c r="C89" s="21"/>
      <c r="D89" s="21"/>
      <c r="E89" s="42">
        <f>ROUND(SUM(E65-E86),1)</f>
        <v>-83.6</v>
      </c>
      <c r="F89" s="42"/>
      <c r="G89" s="42">
        <f>ROUND(SUM(G65-G86),1)</f>
        <v>-3.8</v>
      </c>
      <c r="H89" s="42"/>
      <c r="I89" s="42">
        <f>ROUND(SUM(I65-I86),1)</f>
        <v>-496.2</v>
      </c>
      <c r="J89" s="42"/>
      <c r="K89" s="42">
        <f>ROUND(SUM(K65-K86),1)</f>
        <v>143</v>
      </c>
      <c r="L89" s="42"/>
      <c r="M89" s="42">
        <f>ROUND(SUM(M65-M86),1)</f>
        <v>-418.5</v>
      </c>
      <c r="N89" s="42"/>
      <c r="O89" s="42">
        <f>ROUND(SUM(O65-O86),1)</f>
        <v>-44.7</v>
      </c>
      <c r="P89" s="42"/>
      <c r="Q89" s="42">
        <f>ROUND(SUM(Q65-Q86),1)</f>
        <v>0</v>
      </c>
      <c r="R89" s="42"/>
      <c r="S89" s="42">
        <f>ROUND(SUM(S65-S86),1)</f>
        <v>0</v>
      </c>
      <c r="T89" s="42"/>
      <c r="U89" s="42">
        <f>ROUND(SUM(U65-U86),1)</f>
        <v>0</v>
      </c>
      <c r="V89" s="42"/>
      <c r="W89" s="42">
        <f>ROUND(SUM(W65-W86),1)</f>
        <v>0</v>
      </c>
      <c r="X89" s="42"/>
      <c r="Y89" s="42">
        <f>ROUND(SUM(Y65-Y86),1)</f>
        <v>0</v>
      </c>
      <c r="Z89" s="42"/>
      <c r="AA89" s="42">
        <f>ROUND(SUM(AA65-AA86),1)</f>
        <v>0</v>
      </c>
      <c r="AB89" s="42"/>
      <c r="AC89" s="42">
        <f>ROUND(SUM(AC65-AC86),1)</f>
        <v>0</v>
      </c>
      <c r="AD89" s="42"/>
      <c r="AE89" s="44"/>
      <c r="AF89" s="42">
        <f>ROUND(SUM(AF65-AF86),1)</f>
        <v>-903.8</v>
      </c>
      <c r="AG89" s="144"/>
      <c r="AH89" s="42"/>
      <c r="AI89" s="42">
        <f>ROUND(SUM(AI65-AI86),1)</f>
        <v>-39</v>
      </c>
      <c r="AJ89" s="42"/>
      <c r="AK89" s="238"/>
      <c r="AL89" s="50">
        <f>ROUND(SUM(AL65-AL86),1)</f>
        <v>-864.8</v>
      </c>
      <c r="AM89" s="19"/>
      <c r="AN89" s="245">
        <f>ROUND(IF(AI89=0,0,AL89/ABS(AI89)),3)</f>
        <v>-22.173999999999999</v>
      </c>
      <c r="AO89" s="19"/>
      <c r="AP89" s="19"/>
      <c r="AQ89" s="19"/>
      <c r="AR89" s="19"/>
    </row>
    <row r="90" spans="1:44" ht="15.75">
      <c r="A90" s="21"/>
      <c r="B90" s="21"/>
      <c r="C90" s="21"/>
      <c r="D90" s="21"/>
      <c r="E90" s="497"/>
      <c r="F90" s="467"/>
      <c r="G90" s="497"/>
      <c r="H90" s="467"/>
      <c r="I90" s="497"/>
      <c r="J90" s="467"/>
      <c r="K90" s="497"/>
      <c r="L90" s="36"/>
      <c r="M90" s="497"/>
      <c r="N90" s="36"/>
      <c r="O90" s="497"/>
      <c r="P90" s="36"/>
      <c r="Q90" s="497"/>
      <c r="R90" s="36"/>
      <c r="S90" s="61"/>
      <c r="T90" s="36"/>
      <c r="U90" s="61"/>
      <c r="V90" s="36"/>
      <c r="W90" s="61"/>
      <c r="X90" s="36"/>
      <c r="Y90" s="61"/>
      <c r="Z90" s="36"/>
      <c r="AA90" s="61"/>
      <c r="AB90" s="36"/>
      <c r="AC90" s="61"/>
      <c r="AD90" s="36"/>
      <c r="AE90" s="37"/>
      <c r="AF90" s="61"/>
      <c r="AG90" s="52"/>
      <c r="AH90" s="36"/>
      <c r="AI90" s="61"/>
      <c r="AJ90" s="36"/>
      <c r="AK90" s="238"/>
      <c r="AL90" s="38"/>
      <c r="AN90" s="236"/>
    </row>
    <row r="91" spans="1:44" ht="15.75">
      <c r="A91" s="21"/>
      <c r="B91" s="19" t="s">
        <v>202</v>
      </c>
      <c r="C91" s="21"/>
      <c r="D91" s="21"/>
      <c r="E91" s="467"/>
      <c r="F91" s="467"/>
      <c r="G91" s="467"/>
      <c r="H91" s="467"/>
      <c r="I91" s="467"/>
      <c r="J91" s="467"/>
      <c r="K91" s="467"/>
      <c r="L91" s="36"/>
      <c r="M91" s="467"/>
      <c r="N91" s="36"/>
      <c r="O91" s="467"/>
      <c r="P91" s="36"/>
      <c r="Q91" s="467"/>
      <c r="R91" s="36"/>
      <c r="S91" s="36"/>
      <c r="T91" s="36"/>
      <c r="U91" s="36"/>
      <c r="V91" s="36"/>
      <c r="W91" s="36"/>
      <c r="X91" s="36"/>
      <c r="Y91" s="36"/>
      <c r="Z91" s="36"/>
      <c r="AA91" s="36"/>
      <c r="AB91" s="36"/>
      <c r="AC91" s="36"/>
      <c r="AD91" s="36"/>
      <c r="AE91" s="37"/>
      <c r="AF91" s="36"/>
      <c r="AG91" s="52"/>
      <c r="AH91" s="36"/>
      <c r="AI91" s="40"/>
      <c r="AJ91" s="40"/>
      <c r="AK91" s="241"/>
      <c r="AL91" s="38"/>
      <c r="AN91" s="236"/>
    </row>
    <row r="92" spans="1:44" ht="15.75">
      <c r="A92" s="21"/>
      <c r="B92" s="499" t="s">
        <v>1288</v>
      </c>
      <c r="C92" s="21"/>
      <c r="D92" s="21"/>
      <c r="E92" s="496">
        <f>+'Exhibit I State'!E91</f>
        <v>0</v>
      </c>
      <c r="F92" s="496"/>
      <c r="G92" s="496">
        <f>+'Exhibit I State'!G91</f>
        <v>0</v>
      </c>
      <c r="H92" s="496"/>
      <c r="I92" s="496">
        <f>+'Exhibit I State'!I91</f>
        <v>0</v>
      </c>
      <c r="J92" s="467"/>
      <c r="K92" s="496">
        <f>+'Exhibit I State'!K91</f>
        <v>0</v>
      </c>
      <c r="L92" s="36"/>
      <c r="M92" s="496">
        <f>+'Exhibit I State'!M91</f>
        <v>0</v>
      </c>
      <c r="N92" s="116"/>
      <c r="O92" s="496">
        <f>+'Exhibit I State'!O91</f>
        <v>0</v>
      </c>
      <c r="P92" s="36"/>
      <c r="Q92" s="496"/>
      <c r="R92" s="36"/>
      <c r="S92" s="496"/>
      <c r="T92" s="496"/>
      <c r="U92" s="496"/>
      <c r="V92" s="496"/>
      <c r="W92" s="496"/>
      <c r="X92" s="496"/>
      <c r="Y92" s="496"/>
      <c r="Z92" s="496"/>
      <c r="AA92" s="496"/>
      <c r="AB92" s="194"/>
      <c r="AC92" s="194">
        <v>0</v>
      </c>
      <c r="AD92" s="36"/>
      <c r="AE92" s="37"/>
      <c r="AF92" s="46">
        <f>ROUND(SUM(E92:AC92),1)</f>
        <v>0</v>
      </c>
      <c r="AG92" s="52"/>
      <c r="AH92" s="36"/>
      <c r="AI92" s="40">
        <f>+'Exhibit I State'!AG91</f>
        <v>0</v>
      </c>
      <c r="AJ92" s="40"/>
      <c r="AK92" s="241"/>
      <c r="AL92" s="36">
        <f>ROUND(SUM(+AF92-AI92),1)</f>
        <v>0</v>
      </c>
      <c r="AM92" s="113"/>
      <c r="AN92" s="948">
        <f>ROUND(IF(AI92=0,0,AL92/ABS(AI92)),3)</f>
        <v>0</v>
      </c>
      <c r="AP92" s="38"/>
    </row>
    <row r="93" spans="1:44" ht="15.75">
      <c r="A93" s="21"/>
      <c r="B93" s="34" t="s">
        <v>170</v>
      </c>
      <c r="C93" s="21"/>
      <c r="D93" s="21"/>
      <c r="E93" s="496">
        <f>+'Exhibit I State'!E92+'Exhibit I Federal'!E73</f>
        <v>107.2</v>
      </c>
      <c r="F93" s="496"/>
      <c r="G93" s="496">
        <f>+'Exhibit I State'!G92+'Exhibit I Federal'!G73</f>
        <v>-38.799999999999997</v>
      </c>
      <c r="H93" s="496"/>
      <c r="I93" s="496">
        <f>+'Exhibit I State'!I92+'Exhibit I Federal'!I73</f>
        <v>308.70000000000005</v>
      </c>
      <c r="J93" s="467"/>
      <c r="K93" s="496">
        <f>+'Exhibit I State'!K92+'Exhibit I Federal'!K73</f>
        <v>-236.60000000000005</v>
      </c>
      <c r="L93" s="36"/>
      <c r="M93" s="496">
        <f>+'Exhibit I State'!M92+'Exhibit I Federal'!M73</f>
        <v>402.70000000000005</v>
      </c>
      <c r="N93" s="36"/>
      <c r="O93" s="496">
        <f>+'Exhibit I State'!O92+'Exhibit I Federal'!O73</f>
        <v>40.599999999999909</v>
      </c>
      <c r="P93" s="36"/>
      <c r="Q93" s="496"/>
      <c r="R93" s="36"/>
      <c r="S93" s="496"/>
      <c r="T93" s="496"/>
      <c r="U93" s="496"/>
      <c r="V93" s="496"/>
      <c r="W93" s="496"/>
      <c r="X93" s="496"/>
      <c r="Y93" s="496"/>
      <c r="Z93" s="496"/>
      <c r="AA93" s="496"/>
      <c r="AB93" s="1846"/>
      <c r="AC93" s="912">
        <v>0</v>
      </c>
      <c r="AD93" s="36"/>
      <c r="AE93" s="37"/>
      <c r="AF93" s="46">
        <f>ROUND(SUM(E93:AC93),1)</f>
        <v>583.79999999999995</v>
      </c>
      <c r="AG93" s="52"/>
      <c r="AH93" s="36"/>
      <c r="AI93" s="36">
        <v>-2.5</v>
      </c>
      <c r="AJ93" s="46"/>
      <c r="AK93" s="237"/>
      <c r="AL93" s="36">
        <f>ROUND(SUM(+AF93-AI93),1)</f>
        <v>586.29999999999995</v>
      </c>
      <c r="AN93" s="1018">
        <f>ROUND(IF(AI93=0,0,AL93/ABS(AI93)),3)</f>
        <v>234.52</v>
      </c>
      <c r="AP93" s="113"/>
    </row>
    <row r="94" spans="1:44" ht="15.75">
      <c r="A94" s="21"/>
      <c r="B94" s="34" t="s">
        <v>203</v>
      </c>
      <c r="C94" s="21"/>
      <c r="D94" s="21"/>
      <c r="E94" s="496">
        <f>+'Exhibit I State'!E93+'Exhibit I Federal'!E74</f>
        <v>-5.6</v>
      </c>
      <c r="F94" s="496"/>
      <c r="G94" s="496">
        <f>+'Exhibit I State'!G93+'Exhibit I Federal'!G74</f>
        <v>-6.5</v>
      </c>
      <c r="H94" s="496"/>
      <c r="I94" s="496">
        <f>+'Exhibit I State'!I93+'Exhibit I Federal'!I74</f>
        <v>-6.1</v>
      </c>
      <c r="J94" s="467"/>
      <c r="K94" s="496">
        <f>+'Exhibit I State'!K93+'Exhibit I Federal'!K74</f>
        <v>-5.7999999999999989</v>
      </c>
      <c r="L94" s="36"/>
      <c r="M94" s="496">
        <f>+'Exhibit I State'!M93+'Exhibit I Federal'!M74</f>
        <v>-26.599999999999998</v>
      </c>
      <c r="N94" s="36"/>
      <c r="O94" s="496">
        <f>+'Exhibit I State'!O93+'Exhibit I Federal'!O74</f>
        <v>-4.6000000000000014</v>
      </c>
      <c r="P94" s="36"/>
      <c r="Q94" s="496"/>
      <c r="R94" s="36"/>
      <c r="S94" s="496"/>
      <c r="T94" s="496"/>
      <c r="U94" s="496"/>
      <c r="V94" s="496"/>
      <c r="W94" s="496"/>
      <c r="X94" s="496"/>
      <c r="Y94" s="496"/>
      <c r="Z94" s="496"/>
      <c r="AA94" s="496"/>
      <c r="AB94" s="1846"/>
      <c r="AC94" s="1839">
        <v>0</v>
      </c>
      <c r="AD94" s="36"/>
      <c r="AE94" s="37"/>
      <c r="AF94" s="46">
        <f>ROUND(SUM(E94:AC94),1)</f>
        <v>-55.2</v>
      </c>
      <c r="AG94" s="52"/>
      <c r="AH94" s="36"/>
      <c r="AI94" s="2054">
        <v>-263.7</v>
      </c>
      <c r="AJ94" s="36"/>
      <c r="AK94" s="238"/>
      <c r="AL94" s="648">
        <f>ROUND(-SUM(+AF94-AI94),1)</f>
        <v>-208.5</v>
      </c>
      <c r="AN94" s="654">
        <f>ROUND(IF(AI94=0,0,AL94/ABS(AI94)),3)</f>
        <v>-0.79100000000000004</v>
      </c>
      <c r="AO94" s="38"/>
      <c r="AP94" s="113"/>
      <c r="AQ94" s="113"/>
    </row>
    <row r="95" spans="1:44" ht="15.75">
      <c r="A95" s="21"/>
      <c r="B95" s="21"/>
      <c r="C95" s="21"/>
      <c r="D95" s="21"/>
      <c r="E95" s="61"/>
      <c r="F95" s="36"/>
      <c r="G95" s="61"/>
      <c r="H95" s="36"/>
      <c r="I95" s="61"/>
      <c r="J95" s="36"/>
      <c r="K95" s="61"/>
      <c r="L95" s="36"/>
      <c r="M95" s="61"/>
      <c r="N95" s="36"/>
      <c r="O95" s="61"/>
      <c r="P95" s="36"/>
      <c r="Q95" s="61"/>
      <c r="R95" s="36"/>
      <c r="S95" s="61"/>
      <c r="T95" s="36"/>
      <c r="U95" s="61"/>
      <c r="V95" s="36"/>
      <c r="W95" s="61"/>
      <c r="X95" s="36"/>
      <c r="Y95" s="61"/>
      <c r="Z95" s="36"/>
      <c r="AA95" s="61"/>
      <c r="AB95" s="36"/>
      <c r="AC95" s="36"/>
      <c r="AD95" s="36"/>
      <c r="AE95" s="37"/>
      <c r="AF95" s="61"/>
      <c r="AG95" s="52"/>
      <c r="AH95" s="36"/>
      <c r="AI95" s="38"/>
      <c r="AJ95" s="38"/>
      <c r="AK95" s="238"/>
      <c r="AL95" s="38"/>
      <c r="AN95" s="236"/>
      <c r="AO95" s="113"/>
    </row>
    <row r="96" spans="1:44" ht="15.75">
      <c r="A96" s="21"/>
      <c r="B96" s="19" t="s">
        <v>1047</v>
      </c>
      <c r="C96" s="21"/>
      <c r="D96" s="21"/>
      <c r="E96" s="42">
        <f>ROUND(SUM(E92:E95),1)</f>
        <v>101.6</v>
      </c>
      <c r="F96" s="42"/>
      <c r="G96" s="42">
        <f>ROUND(SUM(G92:G95),1)</f>
        <v>-45.3</v>
      </c>
      <c r="H96" s="42"/>
      <c r="I96" s="42">
        <f>ROUND(SUM(I92:I95),1)</f>
        <v>302.60000000000002</v>
      </c>
      <c r="J96" s="42"/>
      <c r="K96" s="42">
        <f>ROUND(SUM(K92:K95),1)</f>
        <v>-242.4</v>
      </c>
      <c r="L96" s="42"/>
      <c r="M96" s="42">
        <f>ROUND(SUM(M92:M95),1)</f>
        <v>376.1</v>
      </c>
      <c r="N96" s="42"/>
      <c r="O96" s="42">
        <f>ROUND(SUM(O92:O95),1)</f>
        <v>36</v>
      </c>
      <c r="P96" s="42"/>
      <c r="Q96" s="42">
        <f>ROUND(SUM(Q92:Q95),1)</f>
        <v>0</v>
      </c>
      <c r="R96" s="42"/>
      <c r="S96" s="42">
        <f>ROUND(SUM(S92:S95),1)</f>
        <v>0</v>
      </c>
      <c r="T96" s="42"/>
      <c r="U96" s="42">
        <f>ROUND(SUM(U92:U95),1)</f>
        <v>0</v>
      </c>
      <c r="V96" s="42"/>
      <c r="W96" s="42">
        <f>ROUND(SUM(W92:W95),1)</f>
        <v>0</v>
      </c>
      <c r="X96" s="42"/>
      <c r="Y96" s="42">
        <f>ROUND(SUM(Y92:Y95),1)</f>
        <v>0</v>
      </c>
      <c r="Z96" s="42"/>
      <c r="AA96" s="42">
        <f>ROUND(SUM(AA92:AA95),1)</f>
        <v>0</v>
      </c>
      <c r="AB96" s="42"/>
      <c r="AC96" s="42">
        <f>ROUND(SUM(AC92:AC95),1)</f>
        <v>0</v>
      </c>
      <c r="AD96" s="42"/>
      <c r="AE96" s="44"/>
      <c r="AF96" s="42">
        <f>ROUND(SUM(AF92:AF95),1)</f>
        <v>528.6</v>
      </c>
      <c r="AG96" s="144"/>
      <c r="AH96" s="42"/>
      <c r="AI96" s="42">
        <f>ROUND(SUM(AI92:AI95),1)</f>
        <v>-266.2</v>
      </c>
      <c r="AJ96" s="42"/>
      <c r="AK96" s="238"/>
      <c r="AL96" s="50">
        <f>ROUND(SUM(AF96-AI96),1)</f>
        <v>794.8</v>
      </c>
      <c r="AM96" s="19"/>
      <c r="AN96" s="245">
        <f>ROUND(SUM(AL96/ABS(AI96)),3)</f>
        <v>2.9860000000000002</v>
      </c>
      <c r="AO96" s="19"/>
      <c r="AP96" s="19"/>
      <c r="AQ96" s="19"/>
      <c r="AR96" s="19"/>
    </row>
    <row r="97" spans="1:55" ht="15.75">
      <c r="A97" s="21"/>
      <c r="B97" s="21"/>
      <c r="C97" s="21"/>
      <c r="D97" s="21"/>
      <c r="E97" s="61"/>
      <c r="F97" s="36"/>
      <c r="G97" s="61"/>
      <c r="H97" s="36"/>
      <c r="I97" s="61"/>
      <c r="J97" s="36"/>
      <c r="K97" s="61"/>
      <c r="L97" s="36"/>
      <c r="M97" s="61"/>
      <c r="N97" s="36"/>
      <c r="O97" s="61"/>
      <c r="P97" s="36"/>
      <c r="Q97" s="61"/>
      <c r="R97" s="36"/>
      <c r="S97" s="61"/>
      <c r="T97" s="36"/>
      <c r="U97" s="61"/>
      <c r="V97" s="36"/>
      <c r="W97" s="61"/>
      <c r="X97" s="36"/>
      <c r="Y97" s="61"/>
      <c r="Z97" s="36"/>
      <c r="AA97" s="61"/>
      <c r="AB97" s="36"/>
      <c r="AC97" s="61"/>
      <c r="AD97" s="36"/>
      <c r="AE97" s="37"/>
      <c r="AF97" s="61"/>
      <c r="AG97" s="52"/>
      <c r="AH97" s="36"/>
      <c r="AI97" s="61"/>
      <c r="AJ97" s="36"/>
      <c r="AK97" s="238"/>
      <c r="AL97" s="38"/>
      <c r="AN97" s="236"/>
    </row>
    <row r="98" spans="1:55" ht="15.75">
      <c r="A98" s="21"/>
      <c r="B98" s="21"/>
      <c r="C98" s="21"/>
      <c r="D98" s="21"/>
      <c r="E98" s="36"/>
      <c r="F98" s="36"/>
      <c r="G98" s="36"/>
      <c r="H98" s="36"/>
      <c r="I98" s="36"/>
      <c r="J98" s="36"/>
      <c r="K98" s="36" t="s">
        <v>14</v>
      </c>
      <c r="L98" s="36"/>
      <c r="M98" s="36" t="s">
        <v>14</v>
      </c>
      <c r="N98" s="36"/>
      <c r="O98" s="36" t="s">
        <v>14</v>
      </c>
      <c r="P98" s="36"/>
      <c r="Q98" s="36" t="s">
        <v>14</v>
      </c>
      <c r="R98" s="36"/>
      <c r="S98" s="36" t="s">
        <v>14</v>
      </c>
      <c r="T98" s="36"/>
      <c r="U98" s="36" t="s">
        <v>14</v>
      </c>
      <c r="V98" s="36"/>
      <c r="W98" s="36" t="s">
        <v>14</v>
      </c>
      <c r="X98" s="36"/>
      <c r="Y98" s="36" t="s">
        <v>14</v>
      </c>
      <c r="Z98" s="36"/>
      <c r="AA98" s="36" t="s">
        <v>14</v>
      </c>
      <c r="AB98" s="36"/>
      <c r="AC98" s="467" t="s">
        <v>14</v>
      </c>
      <c r="AD98" s="36"/>
      <c r="AE98" s="37"/>
      <c r="AF98" s="36" t="s">
        <v>14</v>
      </c>
      <c r="AG98" s="52"/>
      <c r="AH98" s="36"/>
      <c r="AI98" s="36" t="s">
        <v>14</v>
      </c>
      <c r="AJ98" s="36"/>
      <c r="AK98" s="238"/>
      <c r="AL98" s="38" t="s">
        <v>14</v>
      </c>
      <c r="AN98" s="236"/>
    </row>
    <row r="99" spans="1:55" ht="15.75">
      <c r="A99" s="21"/>
      <c r="B99" s="19" t="s">
        <v>205</v>
      </c>
      <c r="C99" s="21"/>
      <c r="D99" s="21"/>
      <c r="E99" s="36"/>
      <c r="F99" s="36"/>
      <c r="G99" s="36"/>
      <c r="H99" s="36"/>
      <c r="I99" s="36"/>
      <c r="J99" s="36"/>
      <c r="K99" s="36" t="s">
        <v>14</v>
      </c>
      <c r="L99" s="36"/>
      <c r="M99" s="36" t="s">
        <v>14</v>
      </c>
      <c r="N99" s="36"/>
      <c r="O99" s="36" t="s">
        <v>14</v>
      </c>
      <c r="P99" s="36"/>
      <c r="Q99" s="36" t="s">
        <v>14</v>
      </c>
      <c r="R99" s="36"/>
      <c r="S99" s="36" t="s">
        <v>14</v>
      </c>
      <c r="T99" s="36"/>
      <c r="U99" s="36" t="s">
        <v>14</v>
      </c>
      <c r="V99" s="36"/>
      <c r="W99" s="36" t="s">
        <v>14</v>
      </c>
      <c r="X99" s="36"/>
      <c r="Y99" s="36" t="s">
        <v>14</v>
      </c>
      <c r="Z99" s="36"/>
      <c r="AA99" s="36" t="s">
        <v>14</v>
      </c>
      <c r="AB99" s="36"/>
      <c r="AC99" s="36" t="s">
        <v>14</v>
      </c>
      <c r="AD99" s="36"/>
      <c r="AE99" s="37"/>
      <c r="AF99" s="36"/>
      <c r="AG99" s="52"/>
      <c r="AH99" s="36"/>
      <c r="AI99" s="36" t="s">
        <v>14</v>
      </c>
      <c r="AJ99" s="36"/>
      <c r="AK99" s="238"/>
      <c r="AL99" s="38"/>
      <c r="AN99" s="236"/>
    </row>
    <row r="100" spans="1:55" ht="15.75">
      <c r="A100" s="21"/>
      <c r="B100" s="19" t="s">
        <v>206</v>
      </c>
      <c r="C100" s="21"/>
      <c r="D100" s="21"/>
      <c r="E100" s="42" t="s">
        <v>14</v>
      </c>
      <c r="F100" s="42"/>
      <c r="G100" s="42" t="s">
        <v>14</v>
      </c>
      <c r="H100" s="42"/>
      <c r="I100" s="42" t="s">
        <v>14</v>
      </c>
      <c r="J100" s="42"/>
      <c r="K100" s="42"/>
      <c r="L100" s="42"/>
      <c r="M100" s="42"/>
      <c r="N100" s="42"/>
      <c r="O100" s="42"/>
      <c r="P100" s="42"/>
      <c r="Q100" s="42"/>
      <c r="R100" s="42"/>
      <c r="S100" s="42"/>
      <c r="T100" s="42"/>
      <c r="U100" s="42"/>
      <c r="V100" s="42"/>
      <c r="W100" s="42"/>
      <c r="X100" s="42"/>
      <c r="Y100" s="42"/>
      <c r="Z100" s="42"/>
      <c r="AA100" s="42"/>
      <c r="AB100" s="42"/>
      <c r="AC100" s="42"/>
      <c r="AD100" s="42"/>
      <c r="AE100" s="44"/>
      <c r="AF100" s="42" t="s">
        <v>14</v>
      </c>
      <c r="AG100" s="144"/>
      <c r="AH100" s="42"/>
      <c r="AI100" s="42"/>
      <c r="AJ100" s="42"/>
      <c r="AK100" s="238"/>
      <c r="AL100" s="42"/>
      <c r="AM100" s="19"/>
      <c r="AN100" s="190"/>
      <c r="AO100" s="19"/>
      <c r="AP100" s="19"/>
      <c r="AQ100" s="19"/>
      <c r="AR100" s="19"/>
      <c r="AS100" s="19"/>
      <c r="AT100" s="19"/>
      <c r="AU100" s="19"/>
      <c r="AV100" s="19"/>
      <c r="AW100" s="19"/>
      <c r="AX100" s="19"/>
      <c r="AY100" s="19"/>
    </row>
    <row r="101" spans="1:55" ht="15.75">
      <c r="A101" s="21"/>
      <c r="B101" s="19" t="s">
        <v>1038</v>
      </c>
      <c r="C101" s="21"/>
      <c r="D101" s="21"/>
      <c r="E101" s="244">
        <f>ROUND(SUM(E89+E96),1)</f>
        <v>18</v>
      </c>
      <c r="F101" s="42"/>
      <c r="G101" s="244">
        <f>ROUND(SUM(G89+G96),1)</f>
        <v>-49.1</v>
      </c>
      <c r="H101" s="42"/>
      <c r="I101" s="244">
        <f>ROUND(SUM(I89+I96),1)</f>
        <v>-193.6</v>
      </c>
      <c r="J101" s="42"/>
      <c r="K101" s="244">
        <f>ROUND(SUM(K89+K96),1)</f>
        <v>-99.4</v>
      </c>
      <c r="L101" s="42"/>
      <c r="M101" s="244">
        <f>ROUND(SUM(M89+M96),1)</f>
        <v>-42.4</v>
      </c>
      <c r="N101" s="42"/>
      <c r="O101" s="244">
        <f>ROUND(SUM(O89+O96),1)</f>
        <v>-8.6999999999999993</v>
      </c>
      <c r="P101" s="42"/>
      <c r="Q101" s="244">
        <f>ROUND(SUM(Q89+Q96),1)</f>
        <v>0</v>
      </c>
      <c r="R101" s="42"/>
      <c r="S101" s="244">
        <f>ROUND(SUM(S89+S96),1)</f>
        <v>0</v>
      </c>
      <c r="T101" s="42"/>
      <c r="U101" s="244">
        <f>ROUND(SUM(U89+U96),1)</f>
        <v>0</v>
      </c>
      <c r="V101" s="42"/>
      <c r="W101" s="244">
        <f>ROUND(SUM(W89+W96),1)</f>
        <v>0</v>
      </c>
      <c r="X101" s="42"/>
      <c r="Y101" s="244">
        <f>ROUND(SUM(Y89+Y96),1)</f>
        <v>0</v>
      </c>
      <c r="Z101" s="42"/>
      <c r="AA101" s="244">
        <f>ROUND(SUM(AA89+AA96),1)</f>
        <v>0</v>
      </c>
      <c r="AB101" s="1214"/>
      <c r="AC101" s="244">
        <f>ROUND(SUM(AC89+AC96),1)</f>
        <v>0</v>
      </c>
      <c r="AD101" s="42"/>
      <c r="AE101" s="44"/>
      <c r="AF101" s="244">
        <f>ROUND(AF89+AF96,1)</f>
        <v>-375.2</v>
      </c>
      <c r="AG101" s="144"/>
      <c r="AH101" s="42"/>
      <c r="AI101" s="2055">
        <f>ROUND(SUM(AI89+AI96),1)</f>
        <v>-305.2</v>
      </c>
      <c r="AJ101" s="42"/>
      <c r="AK101" s="238"/>
      <c r="AL101" s="244">
        <f>ROUND(SUM(+AF101-AI101),1)</f>
        <v>-70</v>
      </c>
      <c r="AM101" s="19"/>
      <c r="AN101" s="1049">
        <f>ROUND(IF(AI101=0,0,AL101/ABS(AI101)),3)</f>
        <v>-0.22900000000000001</v>
      </c>
      <c r="AO101" s="19"/>
      <c r="AP101" s="246"/>
      <c r="AQ101" s="19"/>
      <c r="AR101" s="19"/>
      <c r="AS101" s="19"/>
      <c r="AT101" s="19"/>
      <c r="AU101" s="19"/>
      <c r="AV101" s="19"/>
      <c r="AW101" s="19"/>
      <c r="AX101" s="19"/>
      <c r="AY101" s="19"/>
    </row>
    <row r="102" spans="1:55">
      <c r="A102" s="21"/>
      <c r="B102" s="21" t="s">
        <v>14</v>
      </c>
      <c r="C102" s="21"/>
      <c r="D102" s="21"/>
      <c r="E102" s="21"/>
      <c r="F102" s="21"/>
      <c r="G102" s="21"/>
      <c r="H102" s="21"/>
      <c r="I102" s="21"/>
      <c r="J102" s="21"/>
      <c r="K102" s="21"/>
      <c r="L102" s="21"/>
      <c r="M102" s="21"/>
      <c r="N102" s="21"/>
      <c r="O102" s="21"/>
      <c r="P102" s="21"/>
      <c r="Q102" s="21"/>
      <c r="R102" s="21"/>
      <c r="S102" s="186" t="s">
        <v>14</v>
      </c>
      <c r="T102" s="21"/>
      <c r="U102" s="186" t="s">
        <v>14</v>
      </c>
      <c r="V102" s="21"/>
      <c r="W102" s="186" t="s">
        <v>14</v>
      </c>
      <c r="X102" s="21"/>
      <c r="Y102" s="186" t="s">
        <v>14</v>
      </c>
      <c r="Z102" s="21"/>
      <c r="AA102" s="21"/>
      <c r="AB102" s="21"/>
      <c r="AC102" s="21"/>
      <c r="AD102" s="33"/>
      <c r="AE102" s="247"/>
      <c r="AF102" s="21"/>
      <c r="AG102" s="33"/>
      <c r="AH102" s="247"/>
      <c r="AI102" s="499" t="s">
        <v>180</v>
      </c>
      <c r="AJ102" s="191"/>
      <c r="AK102" s="20"/>
      <c r="AN102" s="236"/>
    </row>
    <row r="103" spans="1:55" s="20" customFormat="1" ht="15" customHeight="1" thickBot="1">
      <c r="A103" s="21"/>
      <c r="B103" s="19" t="s">
        <v>1048</v>
      </c>
      <c r="C103" s="21"/>
      <c r="E103" s="182">
        <f>ROUND(SUM(+E101+E15),1)</f>
        <v>-1576.5</v>
      </c>
      <c r="F103" s="65"/>
      <c r="G103" s="182">
        <f>ROUND(SUM(+G101+G15),1)</f>
        <v>-1625.6</v>
      </c>
      <c r="H103" s="65"/>
      <c r="I103" s="182">
        <f>ROUND(SUM(+I101+I15),1)</f>
        <v>-1819.2</v>
      </c>
      <c r="J103" s="65"/>
      <c r="K103" s="182">
        <f>ROUND(SUM(+K101+K15),1)</f>
        <v>-1918.6</v>
      </c>
      <c r="L103" s="65"/>
      <c r="M103" s="182">
        <f>ROUND(SUM(+M101+M15),1)</f>
        <v>-1961</v>
      </c>
      <c r="N103" s="65"/>
      <c r="O103" s="182">
        <f>ROUND(SUM(+O101+O15),1)</f>
        <v>-1969.7</v>
      </c>
      <c r="P103" s="65"/>
      <c r="Q103" s="182">
        <f>ROUND(SUM(+Q101+Q15),1)</f>
        <v>0</v>
      </c>
      <c r="R103" s="65"/>
      <c r="S103" s="182">
        <f>ROUND(SUM(+S101+S15),1)</f>
        <v>0</v>
      </c>
      <c r="T103" s="65"/>
      <c r="U103" s="182">
        <f>ROUND(SUM(+U101+U15),1)</f>
        <v>0</v>
      </c>
      <c r="V103" s="65"/>
      <c r="W103" s="182">
        <f>ROUND(SUM(+W101+W15),1)</f>
        <v>0</v>
      </c>
      <c r="X103" s="65"/>
      <c r="Y103" s="182">
        <f>ROUND(SUM(+Y101+Y15),1)</f>
        <v>0</v>
      </c>
      <c r="Z103" s="65"/>
      <c r="AA103" s="182">
        <f>ROUND(SUM(+AA101+AA15),1)</f>
        <v>0</v>
      </c>
      <c r="AB103" s="65"/>
      <c r="AC103" s="182">
        <f>ROUND(SUM(+AC101+AC15),1)</f>
        <v>0</v>
      </c>
      <c r="AD103" s="65"/>
      <c r="AE103" s="66"/>
      <c r="AF103" s="182">
        <f>ROUND(SUM(+AF101+AF15),1)</f>
        <v>-1969.7</v>
      </c>
      <c r="AG103" s="65"/>
      <c r="AH103" s="66"/>
      <c r="AI103" s="182">
        <f>ROUND(SUM(+AI101+AI15),1)</f>
        <v>-1849.1</v>
      </c>
      <c r="AJ103" s="189"/>
      <c r="AK103" s="65"/>
      <c r="AL103" s="182">
        <f>ROUND(SUM(+AL101+AL15),1)</f>
        <v>-120.6</v>
      </c>
      <c r="AM103" s="123"/>
      <c r="AN103" s="201">
        <f>ROUND(SUM(-(+AF103-AI103)/AI103),3)</f>
        <v>-6.5000000000000002E-2</v>
      </c>
      <c r="AO103" s="19"/>
      <c r="AP103" s="19"/>
      <c r="AQ103" s="19"/>
      <c r="AR103" s="19"/>
      <c r="AS103" s="186"/>
      <c r="AT103" s="186"/>
      <c r="AU103" s="186"/>
      <c r="AV103" s="186"/>
      <c r="AW103" s="186"/>
      <c r="AX103" s="186"/>
      <c r="AY103" s="186"/>
      <c r="AZ103" s="186"/>
      <c r="BA103" s="186"/>
      <c r="BB103" s="186"/>
      <c r="BC103" s="186"/>
    </row>
    <row r="104" spans="1:55" ht="15.75" thickTop="1">
      <c r="B104" s="147"/>
    </row>
    <row r="105" spans="1:55">
      <c r="B105" s="815" t="s">
        <v>1131</v>
      </c>
      <c r="C105" s="249"/>
      <c r="D105" s="249"/>
      <c r="E105" s="249"/>
      <c r="F105" s="249"/>
      <c r="G105" s="249"/>
      <c r="AI105" s="1864"/>
      <c r="AL105" s="113"/>
    </row>
    <row r="106" spans="1:55">
      <c r="B106" s="248"/>
      <c r="C106" s="249"/>
      <c r="D106" s="249"/>
      <c r="E106" s="249"/>
      <c r="F106" s="249"/>
      <c r="G106" s="249"/>
      <c r="AL106" s="113"/>
    </row>
    <row r="107" spans="1:55">
      <c r="B107" s="250"/>
      <c r="AL107" s="113"/>
    </row>
    <row r="108" spans="1:55">
      <c r="B108" s="250"/>
    </row>
    <row r="109" spans="1:55">
      <c r="B109" s="248"/>
    </row>
    <row r="110" spans="1:55">
      <c r="B110" s="250"/>
    </row>
    <row r="111" spans="1:55">
      <c r="B111" s="250"/>
    </row>
    <row r="112" spans="1:55">
      <c r="B112" s="248"/>
    </row>
  </sheetData>
  <mergeCells count="1">
    <mergeCell ref="AF11:AN11"/>
  </mergeCells>
  <pageMargins left="0.25" right="0.25" top="0.5" bottom="0.25" header="0" footer="0.25"/>
  <pageSetup scale="40" firstPageNumber="29" orientation="landscape" useFirstPageNumber="1" r:id="rId1"/>
  <headerFooter scaleWithDoc="0" alignWithMargins="0">
    <oddFooter>&amp;C&amp;8&amp;P</oddFooter>
  </headerFooter>
  <rowBreaks count="1" manualBreakCount="1">
    <brk id="66" min="1" max="39" man="1"/>
  </rowBreaks>
  <customProperties>
    <customPr name="SheetOptions" r:id="rId2"/>
  </customProperties>
  <ignoredErrors>
    <ignoredError sqref="AN40 AN29 AN32 AN34:AN36 AN90:AN91 AN20:AN21 AN93:AN95 AN23:AN25 AN85:AN88 AN79:AN83 AN72:AN74 AN68 AN47 AN69:AN71 AN75:AN78 AN84 AN89 AN49" unlockedFormula="1"/>
    <ignoredError sqref="AN26 AN48 AN56:AN57 AN60 AN50:AN51 AN54 AN63 AN61:AN62 AN64:AN67 AN52 AN53 AN58:AN59 AN55" formula="1" unlockedFormula="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2"/>
  <dimension ref="A1:AO109"/>
  <sheetViews>
    <sheetView showGridLines="0" zoomScale="90" zoomScaleNormal="90" workbookViewId="0"/>
  </sheetViews>
  <sheetFormatPr defaultColWidth="8.88671875" defaultRowHeight="15"/>
  <cols>
    <col min="1" max="1" width="2.5546875" style="71" customWidth="1"/>
    <col min="2" max="2" width="14.109375" style="71" customWidth="1"/>
    <col min="3" max="3" width="26.109375" style="71" customWidth="1"/>
    <col min="4" max="4" width="2" style="71" customWidth="1"/>
    <col min="5" max="5" width="11.109375" style="71" bestFit="1" customWidth="1"/>
    <col min="6" max="6" width="1.88671875" style="71" customWidth="1"/>
    <col min="7" max="7" width="11.88671875" style="71" customWidth="1"/>
    <col min="8" max="8" width="1.88671875" style="71" customWidth="1"/>
    <col min="9" max="9" width="11.109375" style="71" bestFit="1" customWidth="1"/>
    <col min="10" max="10" width="1.88671875" style="71" customWidth="1"/>
    <col min="11" max="11" width="12" style="71" customWidth="1"/>
    <col min="12" max="12" width="1.109375" style="71" customWidth="1"/>
    <col min="13" max="13" width="10.109375" style="71" bestFit="1" customWidth="1"/>
    <col min="14" max="14" width="1.88671875" style="71" customWidth="1"/>
    <col min="15" max="15" width="11.109375" style="71" customWidth="1"/>
    <col min="16" max="16" width="1.88671875" style="71" customWidth="1"/>
    <col min="17" max="17" width="12.88671875" style="71" customWidth="1"/>
    <col min="18" max="18" width="1.88671875" style="71" customWidth="1"/>
    <col min="19" max="19" width="10.5546875" style="71" customWidth="1"/>
    <col min="20" max="20" width="1.88671875" style="71" customWidth="1"/>
    <col min="21" max="21" width="10.88671875" style="71" customWidth="1"/>
    <col min="22" max="22" width="1.88671875" style="71" customWidth="1"/>
    <col min="23" max="23" width="10.88671875" style="71" customWidth="1"/>
    <col min="24" max="24" width="1.88671875" style="71" customWidth="1"/>
    <col min="25" max="25" width="10.88671875" style="71" customWidth="1"/>
    <col min="26" max="26" width="1.88671875" style="71" customWidth="1"/>
    <col min="27" max="27" width="10.109375" style="71" customWidth="1"/>
    <col min="28" max="29" width="1.88671875" style="71" customWidth="1"/>
    <col min="30" max="30" width="11.109375" style="71" bestFit="1" customWidth="1"/>
    <col min="31" max="32" width="1.109375" style="71" customWidth="1"/>
    <col min="33" max="33" width="11.109375" style="71" customWidth="1"/>
    <col min="34" max="35" width="1" style="71" customWidth="1"/>
    <col min="36" max="36" width="13.44140625" style="71" bestFit="1" customWidth="1"/>
    <col min="37" max="37" width="1.109375" style="71" customWidth="1"/>
    <col min="38" max="38" width="12.88671875" style="71" customWidth="1"/>
    <col min="39" max="40" width="8.88671875" style="71"/>
    <col min="41" max="41" width="19.88671875" style="71" bestFit="1" customWidth="1"/>
    <col min="42" max="16384" width="8.88671875" style="71"/>
  </cols>
  <sheetData>
    <row r="1" spans="1:39">
      <c r="B1" s="489" t="s">
        <v>841</v>
      </c>
    </row>
    <row r="2" spans="1:39">
      <c r="B2" s="644"/>
    </row>
    <row r="3" spans="1:39" ht="19.5" customHeight="1">
      <c r="A3" s="223"/>
      <c r="B3" s="129" t="s">
        <v>0</v>
      </c>
      <c r="C3" s="224"/>
      <c r="D3" s="224"/>
      <c r="E3" s="224"/>
      <c r="F3" s="225"/>
      <c r="G3" s="225"/>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c r="AH3" s="225"/>
      <c r="AI3" s="225"/>
      <c r="AL3" s="277" t="s">
        <v>191</v>
      </c>
    </row>
    <row r="4" spans="1:39" ht="19.5" customHeight="1">
      <c r="A4" s="223"/>
      <c r="B4" s="129" t="s">
        <v>207</v>
      </c>
      <c r="C4" s="224"/>
      <c r="D4" s="224"/>
      <c r="E4" s="224"/>
      <c r="F4" s="225"/>
      <c r="G4" s="225"/>
      <c r="H4" s="225"/>
      <c r="I4" s="225"/>
      <c r="J4" s="225"/>
      <c r="K4" s="225"/>
      <c r="L4" s="225"/>
      <c r="M4" s="225"/>
      <c r="N4" s="225"/>
      <c r="O4" s="225"/>
      <c r="P4" s="225"/>
      <c r="Q4" s="225"/>
      <c r="R4" s="225"/>
      <c r="S4" s="225"/>
      <c r="T4" s="225"/>
      <c r="U4" s="225"/>
      <c r="V4" s="225"/>
      <c r="W4" s="225"/>
      <c r="X4" s="225"/>
      <c r="Y4" s="225"/>
      <c r="Z4" s="225"/>
      <c r="AA4" s="225"/>
      <c r="AB4" s="225"/>
      <c r="AC4" s="225"/>
      <c r="AE4" s="226"/>
      <c r="AF4" s="226"/>
    </row>
    <row r="5" spans="1:39" ht="19.5" customHeight="1">
      <c r="A5" s="223"/>
      <c r="B5" s="967" t="s">
        <v>145</v>
      </c>
      <c r="C5" s="224"/>
      <c r="D5" s="224"/>
      <c r="E5" s="224"/>
      <c r="F5" s="225"/>
      <c r="G5" s="225"/>
      <c r="H5" s="225"/>
      <c r="I5" s="225"/>
      <c r="J5" s="225"/>
      <c r="K5" s="225"/>
      <c r="L5" s="225"/>
      <c r="M5" s="225"/>
      <c r="N5" s="225"/>
      <c r="O5" s="225"/>
      <c r="P5" s="225"/>
      <c r="Q5" s="225"/>
      <c r="R5" s="225"/>
      <c r="S5" s="225"/>
      <c r="T5" s="225"/>
      <c r="U5" s="225"/>
      <c r="V5" s="225"/>
      <c r="W5" s="225"/>
      <c r="X5" s="225"/>
      <c r="Y5" s="225"/>
      <c r="Z5" s="225"/>
      <c r="AA5" s="225"/>
      <c r="AB5" s="225"/>
      <c r="AC5" s="225"/>
      <c r="AD5" s="225"/>
      <c r="AE5" s="225"/>
      <c r="AF5" s="225"/>
      <c r="AG5" s="225"/>
      <c r="AH5" s="225"/>
      <c r="AI5" s="225"/>
      <c r="AL5" s="187"/>
    </row>
    <row r="6" spans="1:39" ht="19.5" customHeight="1">
      <c r="A6" s="223"/>
      <c r="B6" s="967" t="str">
        <f>'Cashflow Governmental'!A6</f>
        <v xml:space="preserve">FISCAL YEAR 2023-2024   </v>
      </c>
      <c r="C6" s="224"/>
      <c r="D6" s="224"/>
      <c r="E6" s="224"/>
      <c r="F6" s="225"/>
      <c r="G6" s="225"/>
      <c r="H6" s="227"/>
      <c r="I6" s="225"/>
      <c r="J6" s="225"/>
      <c r="K6" s="225"/>
      <c r="L6" s="225"/>
      <c r="M6" s="225"/>
      <c r="N6" s="225"/>
      <c r="O6" s="225"/>
      <c r="P6" s="225"/>
      <c r="Q6" s="225"/>
      <c r="R6" s="225"/>
      <c r="S6" s="225"/>
      <c r="T6" s="225"/>
      <c r="U6" s="225"/>
      <c r="V6" s="225"/>
      <c r="W6" s="225"/>
      <c r="X6" s="225"/>
      <c r="Y6" s="225"/>
      <c r="Z6" s="225"/>
      <c r="AA6" s="225"/>
      <c r="AB6" s="225"/>
      <c r="AC6" s="225"/>
      <c r="AD6" s="225"/>
      <c r="AE6" s="228"/>
      <c r="AF6" s="228"/>
      <c r="AG6" s="228"/>
      <c r="AH6" s="228"/>
      <c r="AI6" s="228"/>
    </row>
    <row r="7" spans="1:39" ht="19.5" customHeight="1">
      <c r="A7" s="223"/>
      <c r="B7" s="129" t="s">
        <v>1200</v>
      </c>
      <c r="C7" s="224"/>
      <c r="D7" s="224"/>
      <c r="E7" s="224"/>
      <c r="F7" s="225"/>
      <c r="G7" s="225"/>
      <c r="H7" s="227"/>
      <c r="I7" s="225"/>
      <c r="J7" s="225"/>
      <c r="K7" s="225"/>
      <c r="L7" s="225"/>
      <c r="M7" s="225"/>
      <c r="N7" s="225"/>
      <c r="O7" s="225"/>
      <c r="P7" s="225"/>
      <c r="Q7" s="225"/>
      <c r="R7" s="225"/>
      <c r="S7" s="225"/>
      <c r="T7" s="225"/>
      <c r="U7" s="225"/>
      <c r="V7" s="225"/>
      <c r="W7" s="225"/>
      <c r="X7" s="225"/>
      <c r="Y7" s="225"/>
      <c r="Z7" s="225"/>
      <c r="AA7" s="225"/>
      <c r="AB7" s="225"/>
      <c r="AC7" s="225"/>
      <c r="AD7" s="225"/>
      <c r="AE7" s="228"/>
      <c r="AF7" s="228"/>
      <c r="AG7" s="228"/>
      <c r="AH7" s="228"/>
      <c r="AI7" s="228"/>
    </row>
    <row r="8" spans="1:39" ht="19.5" customHeight="1">
      <c r="A8" s="223"/>
      <c r="C8" s="224"/>
      <c r="D8" s="224"/>
      <c r="E8" s="224"/>
      <c r="F8" s="225"/>
      <c r="G8" s="225"/>
      <c r="H8" s="225"/>
      <c r="I8" s="225"/>
      <c r="J8" s="225"/>
      <c r="K8" s="225"/>
      <c r="L8" s="225"/>
      <c r="M8" s="225"/>
      <c r="N8" s="225"/>
      <c r="O8" s="225"/>
      <c r="P8" s="225"/>
      <c r="Q8" s="225"/>
      <c r="R8" s="225"/>
      <c r="S8" s="225"/>
      <c r="T8" s="225"/>
      <c r="U8" s="225"/>
      <c r="V8" s="225"/>
      <c r="W8" s="225"/>
      <c r="X8" s="225"/>
      <c r="Y8" s="225"/>
      <c r="Z8" s="225"/>
      <c r="AA8" s="225"/>
      <c r="AB8" s="225"/>
      <c r="AC8" s="229"/>
    </row>
    <row r="9" spans="1:39" ht="15.75" customHeight="1">
      <c r="A9" s="223"/>
      <c r="B9" s="129"/>
      <c r="C9" s="224"/>
      <c r="D9" s="224"/>
      <c r="E9" s="224"/>
      <c r="F9" s="225"/>
      <c r="G9" s="225"/>
      <c r="H9" s="225"/>
      <c r="I9" s="225"/>
      <c r="J9" s="225"/>
      <c r="K9" s="225"/>
      <c r="L9" s="225"/>
      <c r="M9" s="225"/>
      <c r="N9" s="225"/>
      <c r="O9" s="225"/>
      <c r="P9" s="225"/>
      <c r="Q9" s="225"/>
      <c r="R9" s="225"/>
      <c r="S9" s="225"/>
      <c r="T9" s="225"/>
      <c r="U9" s="225"/>
      <c r="V9" s="225"/>
      <c r="W9" s="225"/>
      <c r="X9" s="225"/>
      <c r="Y9" s="225"/>
      <c r="Z9" s="225"/>
      <c r="AA9" s="225"/>
      <c r="AB9" s="225"/>
      <c r="AC9" s="229"/>
    </row>
    <row r="10" spans="1:39" ht="15.75" customHeight="1">
      <c r="A10" s="223"/>
      <c r="B10" s="230"/>
      <c r="C10" s="224"/>
      <c r="D10" s="224"/>
      <c r="E10" s="224"/>
      <c r="F10" s="225"/>
      <c r="G10" s="225"/>
      <c r="H10" s="225"/>
      <c r="I10" s="225"/>
      <c r="J10" s="225"/>
      <c r="K10" s="225"/>
      <c r="L10" s="225"/>
      <c r="M10" s="225"/>
      <c r="N10" s="225"/>
      <c r="O10" s="225"/>
      <c r="P10" s="225"/>
      <c r="Q10" s="225"/>
      <c r="R10" s="225"/>
      <c r="S10" s="225"/>
      <c r="T10" s="225"/>
      <c r="U10" s="225"/>
      <c r="V10" s="225"/>
      <c r="W10" s="225"/>
      <c r="X10" s="225"/>
      <c r="Y10" s="225"/>
      <c r="Z10" s="225"/>
      <c r="AA10" s="225"/>
      <c r="AB10" s="225"/>
      <c r="AC10" s="229"/>
      <c r="AD10" s="2333" t="s">
        <v>1515</v>
      </c>
      <c r="AE10" s="2333"/>
      <c r="AF10" s="2333"/>
      <c r="AG10" s="2333"/>
      <c r="AH10" s="2333"/>
      <c r="AI10" s="2333"/>
      <c r="AJ10" s="2333"/>
      <c r="AK10" s="2333"/>
      <c r="AL10" s="2333"/>
    </row>
    <row r="11" spans="1:39" ht="15.75" customHeight="1">
      <c r="A11" s="231"/>
      <c r="B11" s="231"/>
      <c r="C11" s="231"/>
      <c r="D11" s="231"/>
      <c r="E11" s="537" t="str">
        <f>'Cashflow Governmental'!C13</f>
        <v>2023</v>
      </c>
      <c r="F11" s="553"/>
      <c r="G11" s="553"/>
      <c r="H11" s="553"/>
      <c r="I11" s="553"/>
      <c r="J11" s="553"/>
      <c r="K11" s="553"/>
      <c r="L11" s="553"/>
      <c r="M11" s="553"/>
      <c r="N11" s="553"/>
      <c r="O11" s="553"/>
      <c r="P11" s="553"/>
      <c r="Q11" s="553"/>
      <c r="R11" s="553"/>
      <c r="S11" s="553"/>
      <c r="T11" s="553"/>
      <c r="U11" s="553"/>
      <c r="V11" s="553"/>
      <c r="W11" s="537">
        <f>'Cashflow Governmental'!U13</f>
        <v>2024</v>
      </c>
      <c r="X11" s="553"/>
      <c r="Y11" s="553"/>
      <c r="Z11" s="553"/>
      <c r="AA11" s="553"/>
      <c r="AB11" s="553"/>
      <c r="AC11" s="553"/>
      <c r="AD11" s="553"/>
      <c r="AE11" s="553"/>
      <c r="AF11" s="553"/>
      <c r="AG11" s="553"/>
      <c r="AH11" s="553"/>
      <c r="AI11" s="553"/>
      <c r="AJ11" s="545" t="s">
        <v>7</v>
      </c>
      <c r="AK11" s="545"/>
      <c r="AL11" s="543" t="s">
        <v>8</v>
      </c>
      <c r="AM11" s="555"/>
    </row>
    <row r="12" spans="1:39" ht="15.75" customHeight="1">
      <c r="A12" s="21"/>
      <c r="B12" s="21"/>
      <c r="C12" s="21"/>
      <c r="D12" s="21"/>
      <c r="E12" s="554" t="s">
        <v>122</v>
      </c>
      <c r="F12" s="19"/>
      <c r="G12" s="554" t="s">
        <v>123</v>
      </c>
      <c r="H12" s="19"/>
      <c r="I12" s="554" t="s">
        <v>124</v>
      </c>
      <c r="J12" s="19"/>
      <c r="K12" s="554" t="s">
        <v>125</v>
      </c>
      <c r="L12" s="19"/>
      <c r="M12" s="554" t="s">
        <v>126</v>
      </c>
      <c r="N12" s="19"/>
      <c r="O12" s="554" t="s">
        <v>141</v>
      </c>
      <c r="P12" s="19"/>
      <c r="Q12" s="554" t="s">
        <v>142</v>
      </c>
      <c r="R12" s="19"/>
      <c r="S12" s="554" t="s">
        <v>129</v>
      </c>
      <c r="T12" s="19"/>
      <c r="U12" s="554" t="s">
        <v>130</v>
      </c>
      <c r="V12" s="19"/>
      <c r="W12" s="554" t="s">
        <v>131</v>
      </c>
      <c r="X12" s="19"/>
      <c r="Y12" s="554" t="s">
        <v>132</v>
      </c>
      <c r="Z12" s="19"/>
      <c r="AA12" s="554" t="s">
        <v>182</v>
      </c>
      <c r="AB12" s="19"/>
      <c r="AC12" s="19"/>
      <c r="AD12" s="554">
        <f>'Cashflow Governmental'!AB14</f>
        <v>2023</v>
      </c>
      <c r="AE12" s="19"/>
      <c r="AF12" s="19"/>
      <c r="AG12" s="554">
        <f>'Cashflow Governmental'!AE14</f>
        <v>2022</v>
      </c>
      <c r="AH12" s="133"/>
      <c r="AI12" s="133"/>
      <c r="AJ12" s="549" t="s">
        <v>11</v>
      </c>
      <c r="AK12" s="545"/>
      <c r="AL12" s="549" t="s">
        <v>12</v>
      </c>
      <c r="AM12" s="555"/>
    </row>
    <row r="13" spans="1:39" ht="5.25" customHeight="1">
      <c r="A13" s="21"/>
      <c r="B13" s="19"/>
      <c r="C13" s="19"/>
      <c r="D13" s="21"/>
      <c r="E13" s="39"/>
      <c r="F13" s="39"/>
      <c r="G13" s="39"/>
      <c r="H13" s="39"/>
      <c r="I13" s="39"/>
      <c r="J13" s="39"/>
      <c r="K13" s="39"/>
      <c r="L13" s="39"/>
      <c r="M13" s="39"/>
      <c r="N13" s="39"/>
      <c r="O13" s="39"/>
      <c r="P13" s="39"/>
      <c r="Q13" s="39"/>
      <c r="R13" s="39"/>
      <c r="S13" s="39"/>
      <c r="T13" s="39"/>
      <c r="U13" s="39"/>
      <c r="V13" s="39"/>
      <c r="W13" s="39"/>
      <c r="X13" s="39"/>
      <c r="Y13" s="39"/>
      <c r="Z13" s="39"/>
      <c r="AA13" s="39"/>
      <c r="AB13" s="39"/>
      <c r="AC13" s="175"/>
      <c r="AD13" s="39"/>
      <c r="AE13" s="39"/>
      <c r="AF13" s="1225"/>
      <c r="AG13" s="39"/>
      <c r="AH13" s="39"/>
      <c r="AI13" s="232"/>
      <c r="AJ13" s="499"/>
      <c r="AK13" s="499"/>
      <c r="AL13" s="499"/>
    </row>
    <row r="14" spans="1:39" ht="15.75">
      <c r="A14" s="21"/>
      <c r="B14" s="19" t="s">
        <v>1107</v>
      </c>
      <c r="C14" s="19"/>
      <c r="D14" s="21"/>
      <c r="E14" s="217">
        <v>-1114.7</v>
      </c>
      <c r="F14" s="39"/>
      <c r="G14" s="65">
        <f>E102</f>
        <v>-1111.3</v>
      </c>
      <c r="H14" s="65"/>
      <c r="I14" s="65">
        <f t="shared" ref="I14:O14" si="0">G102</f>
        <v>-1160.0999999999999</v>
      </c>
      <c r="J14" s="32"/>
      <c r="K14" s="65">
        <f t="shared" si="0"/>
        <v>-1359</v>
      </c>
      <c r="L14" s="32"/>
      <c r="M14" s="65">
        <f t="shared" si="0"/>
        <v>-1458.6</v>
      </c>
      <c r="N14" s="39"/>
      <c r="O14" s="65">
        <f t="shared" si="0"/>
        <v>-1426.9</v>
      </c>
      <c r="P14" s="39"/>
      <c r="Q14" s="65"/>
      <c r="R14" s="65"/>
      <c r="S14" s="65"/>
      <c r="T14" s="65"/>
      <c r="U14" s="65"/>
      <c r="V14" s="65"/>
      <c r="W14" s="65"/>
      <c r="X14" s="65"/>
      <c r="Y14" s="65"/>
      <c r="Z14" s="65"/>
      <c r="AA14" s="65"/>
      <c r="AB14" s="39"/>
      <c r="AC14" s="175"/>
      <c r="AD14" s="65">
        <f>E14</f>
        <v>-1114.7</v>
      </c>
      <c r="AE14" s="39"/>
      <c r="AF14" s="1225"/>
      <c r="AG14" s="1148">
        <v>-756.8</v>
      </c>
      <c r="AH14" s="39"/>
      <c r="AI14" s="232"/>
      <c r="AJ14" s="65">
        <f>ROUND(AD14-AG14,1)</f>
        <v>-357.9</v>
      </c>
      <c r="AK14" s="199"/>
      <c r="AL14" s="486">
        <f>ROUND(IF(AG14=0,0,AJ14/ABS(AG14)),3)</f>
        <v>-0.47299999999999998</v>
      </c>
    </row>
    <row r="15" spans="1:39" ht="15.75">
      <c r="A15" s="21"/>
      <c r="B15" s="19"/>
      <c r="C15" s="19"/>
      <c r="D15" s="21"/>
      <c r="E15" s="39"/>
      <c r="F15" s="39"/>
      <c r="G15" s="39"/>
      <c r="H15" s="39"/>
      <c r="I15" s="39"/>
      <c r="J15" s="39"/>
      <c r="K15" s="39"/>
      <c r="L15" s="39"/>
      <c r="M15" s="39"/>
      <c r="N15" s="39"/>
      <c r="O15" s="39"/>
      <c r="P15" s="39"/>
      <c r="Q15" s="39"/>
      <c r="R15" s="39"/>
      <c r="S15" s="39"/>
      <c r="T15" s="39"/>
      <c r="U15" s="39"/>
      <c r="V15" s="39"/>
      <c r="W15" s="39"/>
      <c r="X15" s="39"/>
      <c r="Y15" s="39"/>
      <c r="Z15" s="39"/>
      <c r="AA15" s="39"/>
      <c r="AB15" s="39"/>
      <c r="AC15" s="175"/>
      <c r="AD15" s="39"/>
      <c r="AE15" s="39"/>
      <c r="AF15" s="1225"/>
      <c r="AG15" s="39"/>
      <c r="AH15" s="39"/>
      <c r="AI15" s="232"/>
      <c r="AJ15" s="499"/>
      <c r="AK15" s="499"/>
      <c r="AL15" s="499"/>
    </row>
    <row r="16" spans="1:39" ht="15.75">
      <c r="A16" s="21"/>
      <c r="B16" s="19" t="s">
        <v>192</v>
      </c>
      <c r="C16" s="21"/>
      <c r="D16" s="21"/>
      <c r="E16" s="39"/>
      <c r="F16" s="39"/>
      <c r="G16" s="39"/>
      <c r="H16" s="39"/>
      <c r="I16" s="39"/>
      <c r="J16" s="39"/>
      <c r="K16" s="39"/>
      <c r="L16" s="39"/>
      <c r="M16" s="39"/>
      <c r="N16" s="39"/>
      <c r="O16" s="39"/>
      <c r="P16" s="39"/>
      <c r="Q16" s="39"/>
      <c r="R16" s="39"/>
      <c r="S16" s="39"/>
      <c r="T16" s="39"/>
      <c r="U16" s="39"/>
      <c r="V16" s="39"/>
      <c r="W16" s="39"/>
      <c r="X16" s="39"/>
      <c r="Y16" s="39"/>
      <c r="Z16" s="39"/>
      <c r="AA16" s="39"/>
      <c r="AB16" s="39"/>
      <c r="AC16" s="175"/>
      <c r="AD16" s="39"/>
      <c r="AE16" s="181"/>
      <c r="AF16" s="39"/>
      <c r="AG16" s="39"/>
      <c r="AH16" s="39"/>
      <c r="AI16" s="232"/>
    </row>
    <row r="17" spans="1:38" ht="15.75">
      <c r="A17" s="21"/>
      <c r="B17" s="118" t="s">
        <v>947</v>
      </c>
      <c r="C17" s="21"/>
      <c r="D17" s="21"/>
      <c r="E17" s="39"/>
      <c r="F17" s="39"/>
      <c r="G17" s="39"/>
      <c r="H17" s="39"/>
      <c r="I17" s="39"/>
      <c r="J17" s="39"/>
      <c r="K17" s="39"/>
      <c r="L17" s="39"/>
      <c r="M17" s="39"/>
      <c r="N17" s="39"/>
      <c r="O17" s="39"/>
      <c r="P17" s="39"/>
      <c r="Q17" s="39"/>
      <c r="R17" s="39"/>
      <c r="S17" s="39"/>
      <c r="T17" s="39"/>
      <c r="U17" s="39"/>
      <c r="V17" s="39"/>
      <c r="W17" s="39"/>
      <c r="X17" s="39"/>
      <c r="Y17" s="39"/>
      <c r="Z17" s="39"/>
      <c r="AA17" s="39"/>
      <c r="AB17" s="39"/>
      <c r="AC17" s="175"/>
      <c r="AD17" s="39"/>
      <c r="AE17" s="746"/>
      <c r="AF17" s="39"/>
      <c r="AG17" s="39"/>
      <c r="AH17" s="39"/>
      <c r="AI17" s="232"/>
    </row>
    <row r="18" spans="1:38" ht="15.75">
      <c r="A18" s="21"/>
      <c r="B18" s="737" t="s">
        <v>960</v>
      </c>
      <c r="C18" s="21"/>
      <c r="D18" s="21"/>
      <c r="E18" s="1469"/>
      <c r="F18" s="39"/>
      <c r="G18" s="36"/>
      <c r="H18" s="36"/>
      <c r="I18" s="36"/>
      <c r="J18" s="36"/>
      <c r="K18" s="36"/>
      <c r="L18" s="36"/>
      <c r="M18" s="36"/>
      <c r="N18" s="36"/>
      <c r="O18" s="36"/>
      <c r="P18" s="36"/>
      <c r="Q18" s="36"/>
      <c r="R18" s="36"/>
      <c r="S18" s="36"/>
      <c r="T18" s="36"/>
      <c r="U18" s="36"/>
      <c r="V18" s="36"/>
      <c r="W18" s="36"/>
      <c r="X18" s="36"/>
      <c r="Y18" s="36"/>
      <c r="Z18" s="36"/>
      <c r="AA18" s="36"/>
      <c r="AB18" s="36"/>
      <c r="AC18" s="37"/>
      <c r="AD18" s="38" t="s">
        <v>14</v>
      </c>
      <c r="AE18" s="52"/>
      <c r="AF18" s="36"/>
      <c r="AG18" s="467" t="s">
        <v>14</v>
      </c>
      <c r="AH18" s="36"/>
      <c r="AI18" s="238"/>
      <c r="AJ18" s="38"/>
    </row>
    <row r="19" spans="1:38">
      <c r="A19" s="21"/>
      <c r="B19" s="489" t="s">
        <v>963</v>
      </c>
      <c r="C19" s="21"/>
      <c r="D19" s="109" t="s">
        <v>14</v>
      </c>
      <c r="E19" s="467">
        <v>9.5</v>
      </c>
      <c r="F19" s="467"/>
      <c r="G19" s="467">
        <v>9.9999999999999645E-2</v>
      </c>
      <c r="H19" s="467"/>
      <c r="I19" s="467">
        <v>21.6</v>
      </c>
      <c r="J19" s="467"/>
      <c r="K19" s="467">
        <v>0.10000000000000142</v>
      </c>
      <c r="L19" s="1004"/>
      <c r="M19" s="467">
        <v>0</v>
      </c>
      <c r="N19" s="1119"/>
      <c r="O19" s="467">
        <f>$AD19-$E19-$G19-$I19-$K19-$M19</f>
        <v>30.299999999999997</v>
      </c>
      <c r="P19" s="1119"/>
      <c r="Q19" s="467"/>
      <c r="R19" s="1119"/>
      <c r="S19" s="467"/>
      <c r="T19" s="467"/>
      <c r="U19" s="467"/>
      <c r="V19" s="467"/>
      <c r="W19" s="467"/>
      <c r="X19" s="467"/>
      <c r="Y19" s="467"/>
      <c r="Z19" s="467"/>
      <c r="AA19" s="467"/>
      <c r="AB19" s="467"/>
      <c r="AC19" s="932"/>
      <c r="AD19" s="467">
        <v>61.6</v>
      </c>
      <c r="AE19" s="1763"/>
      <c r="AF19" s="1764"/>
      <c r="AG19" s="467">
        <v>60.7</v>
      </c>
      <c r="AH19" s="1470"/>
      <c r="AI19" s="1471"/>
      <c r="AJ19" s="467">
        <f>ROUND(AD19-AG19,1)</f>
        <v>0.9</v>
      </c>
      <c r="AK19" s="672"/>
      <c r="AL19" s="971">
        <f>ROUND(IF(AG19=0,0,AJ19/ABS(AG19)),3)</f>
        <v>1.4999999999999999E-2</v>
      </c>
    </row>
    <row r="20" spans="1:38" ht="15.75">
      <c r="A20" s="21"/>
      <c r="B20" s="489" t="s">
        <v>965</v>
      </c>
      <c r="C20" s="21"/>
      <c r="D20" s="21"/>
      <c r="E20" s="467">
        <v>28</v>
      </c>
      <c r="F20" s="467"/>
      <c r="G20" s="467">
        <v>34.4</v>
      </c>
      <c r="H20" s="467"/>
      <c r="I20" s="467">
        <v>30.300000000000004</v>
      </c>
      <c r="J20" s="467"/>
      <c r="K20" s="467">
        <v>34.199999999999996</v>
      </c>
      <c r="L20" s="1003"/>
      <c r="M20" s="467">
        <v>34.199999999999982</v>
      </c>
      <c r="N20" s="1003"/>
      <c r="O20" s="467">
        <f t="shared" ref="O20:O21" si="1">$AD20-$E20-$G20-$I20-$K20-$M20</f>
        <v>35.400000000000013</v>
      </c>
      <c r="P20" s="1003"/>
      <c r="Q20" s="467"/>
      <c r="R20" s="1003"/>
      <c r="S20" s="467"/>
      <c r="T20" s="467"/>
      <c r="U20" s="467"/>
      <c r="V20" s="1003"/>
      <c r="W20" s="467"/>
      <c r="X20" s="1003"/>
      <c r="Y20" s="467"/>
      <c r="Z20" s="1003"/>
      <c r="AA20" s="467"/>
      <c r="AB20" s="467"/>
      <c r="AC20" s="37"/>
      <c r="AD20" s="467">
        <v>196.5</v>
      </c>
      <c r="AE20" s="52"/>
      <c r="AF20" s="36"/>
      <c r="AG20" s="467">
        <v>63.1</v>
      </c>
      <c r="AH20" s="36"/>
      <c r="AI20" s="238"/>
      <c r="AJ20" s="36">
        <f>ROUND(AD20-AG20,1)</f>
        <v>133.4</v>
      </c>
      <c r="AK20" s="113"/>
      <c r="AL20" s="948">
        <f>ROUND(IF(AG20=0,0,AJ20/ABS(AG20)),3)</f>
        <v>2.1139999999999999</v>
      </c>
    </row>
    <row r="21" spans="1:38" ht="15.75">
      <c r="A21" s="21"/>
      <c r="B21" s="489" t="s">
        <v>967</v>
      </c>
      <c r="C21" s="21"/>
      <c r="D21" s="21"/>
      <c r="E21" s="467">
        <v>12.5</v>
      </c>
      <c r="F21" s="467"/>
      <c r="G21" s="467">
        <v>11.600000000000001</v>
      </c>
      <c r="H21" s="467"/>
      <c r="I21" s="467">
        <v>10</v>
      </c>
      <c r="J21" s="467"/>
      <c r="K21" s="467">
        <v>11.699999999999996</v>
      </c>
      <c r="L21" s="1003"/>
      <c r="M21" s="467">
        <v>11.100000000000001</v>
      </c>
      <c r="N21" s="1003"/>
      <c r="O21" s="467">
        <f t="shared" si="1"/>
        <v>10.300000000000004</v>
      </c>
      <c r="P21" s="1003"/>
      <c r="Q21" s="467"/>
      <c r="R21" s="1003"/>
      <c r="S21" s="467"/>
      <c r="T21" s="467"/>
      <c r="U21" s="467"/>
      <c r="V21" s="1003"/>
      <c r="W21" s="467"/>
      <c r="X21" s="1003"/>
      <c r="Y21" s="467"/>
      <c r="Z21" s="1003"/>
      <c r="AA21" s="467"/>
      <c r="AB21" s="467"/>
      <c r="AC21" s="37"/>
      <c r="AD21" s="467">
        <v>67.2</v>
      </c>
      <c r="AE21" s="52"/>
      <c r="AF21" s="36"/>
      <c r="AG21" s="467">
        <v>64.8</v>
      </c>
      <c r="AH21" s="36"/>
      <c r="AI21" s="238"/>
      <c r="AJ21" s="36">
        <f>ROUND(AD21-AG21,1)</f>
        <v>2.4</v>
      </c>
      <c r="AK21" s="113"/>
      <c r="AL21" s="964">
        <f>ROUND(IF(AG21=0,0,AJ21/ABS(AG21)),3)</f>
        <v>3.6999999999999998E-2</v>
      </c>
    </row>
    <row r="22" spans="1:38" ht="15.75">
      <c r="A22" s="21"/>
      <c r="B22" s="218" t="s">
        <v>1044</v>
      </c>
      <c r="C22" s="21"/>
      <c r="D22" s="21"/>
      <c r="E22" s="179">
        <f>ROUND(SUM(E19:E21),1)</f>
        <v>50</v>
      </c>
      <c r="F22" s="467"/>
      <c r="G22" s="179">
        <f>ROUND(SUM(G19:G21),1)</f>
        <v>46.1</v>
      </c>
      <c r="H22" s="467"/>
      <c r="I22" s="179">
        <f>ROUND(SUM(I19:I21),1)</f>
        <v>61.9</v>
      </c>
      <c r="J22" s="467"/>
      <c r="K22" s="179">
        <f>ROUND(SUM(K19:K21),1)</f>
        <v>46</v>
      </c>
      <c r="L22" s="467"/>
      <c r="M22" s="179">
        <f>ROUND(SUM(M19:M21),1)</f>
        <v>45.3</v>
      </c>
      <c r="N22" s="467"/>
      <c r="O22" s="179">
        <f>ROUND(SUM(O19:O21),1)</f>
        <v>76</v>
      </c>
      <c r="P22" s="36"/>
      <c r="Q22" s="179">
        <f>ROUND(SUM(Q19:Q21),1)</f>
        <v>0</v>
      </c>
      <c r="R22" s="36"/>
      <c r="S22" s="179">
        <f>ROUND(SUM(S19:S21),1)</f>
        <v>0</v>
      </c>
      <c r="T22" s="42"/>
      <c r="U22" s="179">
        <f t="shared" ref="U22" si="2">ROUND(SUM(U19:U21),1)</f>
        <v>0</v>
      </c>
      <c r="V22" s="36"/>
      <c r="W22" s="179">
        <f>ROUND(SUM(W19:W21),1)</f>
        <v>0</v>
      </c>
      <c r="X22" s="36"/>
      <c r="Y22" s="179">
        <f>ROUND(SUM(Y19:Y21),1)</f>
        <v>0</v>
      </c>
      <c r="Z22" s="36"/>
      <c r="AA22" s="179">
        <f>ROUND(SUM(AA19:AA21),1)</f>
        <v>0</v>
      </c>
      <c r="AB22" s="36"/>
      <c r="AC22" s="37"/>
      <c r="AD22" s="179">
        <f>ROUND(SUM(AD19:AD21),1)</f>
        <v>325.3</v>
      </c>
      <c r="AE22" s="755"/>
      <c r="AF22" s="36"/>
      <c r="AG22" s="179">
        <f>ROUND(SUM(AG19:AG21),1)</f>
        <v>188.6</v>
      </c>
      <c r="AH22" s="36"/>
      <c r="AI22" s="238"/>
      <c r="AJ22" s="179">
        <f>ROUND(SUM(AJ19:AJ21),1)</f>
        <v>136.69999999999999</v>
      </c>
      <c r="AK22" s="113"/>
      <c r="AL22" s="955">
        <f>ROUND(IF(AG22=0,0,AJ22/ABS(AG22)),3)</f>
        <v>0.72499999999999998</v>
      </c>
    </row>
    <row r="23" spans="1:38" ht="15.75">
      <c r="A23" s="21"/>
      <c r="B23" s="737" t="s">
        <v>951</v>
      </c>
      <c r="C23" s="21"/>
      <c r="D23" s="21"/>
      <c r="E23" s="467"/>
      <c r="F23" s="467"/>
      <c r="G23" s="467"/>
      <c r="H23" s="467"/>
      <c r="I23" s="467"/>
      <c r="J23" s="467"/>
      <c r="K23" s="467"/>
      <c r="L23" s="467"/>
      <c r="M23" s="467"/>
      <c r="N23" s="467"/>
      <c r="O23" s="467"/>
      <c r="P23" s="36"/>
      <c r="Q23" s="194"/>
      <c r="R23" s="36"/>
      <c r="S23" s="194"/>
      <c r="T23" s="36"/>
      <c r="U23" s="194"/>
      <c r="V23" s="36"/>
      <c r="W23" s="1967"/>
      <c r="X23" s="36"/>
      <c r="Y23" s="194"/>
      <c r="Z23" s="36"/>
      <c r="AA23" s="1967"/>
      <c r="AB23" s="36"/>
      <c r="AC23" s="37"/>
      <c r="AD23" s="46"/>
      <c r="AE23" s="52"/>
      <c r="AF23" s="36"/>
      <c r="AG23" s="46"/>
      <c r="AH23" s="36"/>
      <c r="AI23" s="238"/>
      <c r="AJ23" s="46"/>
      <c r="AL23" s="236"/>
    </row>
    <row r="24" spans="1:38" ht="15.75">
      <c r="A24" s="21"/>
      <c r="B24" s="489" t="s">
        <v>969</v>
      </c>
      <c r="C24" s="21"/>
      <c r="D24" s="21"/>
      <c r="E24" s="467">
        <v>0</v>
      </c>
      <c r="F24" s="467"/>
      <c r="G24" s="467">
        <v>0</v>
      </c>
      <c r="H24" s="467"/>
      <c r="I24" s="467">
        <v>0</v>
      </c>
      <c r="J24" s="467"/>
      <c r="K24" s="467">
        <v>0</v>
      </c>
      <c r="L24" s="1003"/>
      <c r="M24" s="467">
        <v>0</v>
      </c>
      <c r="N24" s="1003"/>
      <c r="O24" s="467">
        <f>$AD24-$E24-$G24-$I24-$K24-$M24</f>
        <v>0</v>
      </c>
      <c r="P24" s="1003"/>
      <c r="Q24" s="467"/>
      <c r="R24" s="1003"/>
      <c r="S24" s="467"/>
      <c r="T24" s="467"/>
      <c r="U24" s="467"/>
      <c r="V24" s="1003"/>
      <c r="W24" s="467"/>
      <c r="X24" s="1003"/>
      <c r="Y24" s="467"/>
      <c r="Z24" s="1003"/>
      <c r="AA24" s="467"/>
      <c r="AB24" s="36"/>
      <c r="AC24" s="37"/>
      <c r="AD24" s="467">
        <v>0</v>
      </c>
      <c r="AE24" s="755"/>
      <c r="AF24" s="36"/>
      <c r="AG24" s="467">
        <v>0</v>
      </c>
      <c r="AH24" s="36"/>
      <c r="AI24" s="238"/>
      <c r="AJ24" s="36">
        <f>ROUND(AD24-AG24,1)</f>
        <v>0</v>
      </c>
      <c r="AL24" s="948">
        <f>ROUND(IF(AG24=0,0,AJ24/ABS(AG24)),3)</f>
        <v>0</v>
      </c>
    </row>
    <row r="25" spans="1:38" ht="15.75">
      <c r="A25" s="21"/>
      <c r="B25" s="489" t="s">
        <v>970</v>
      </c>
      <c r="C25" s="21"/>
      <c r="D25" s="21"/>
      <c r="E25" s="467">
        <v>5</v>
      </c>
      <c r="F25" s="467"/>
      <c r="G25" s="467">
        <v>0</v>
      </c>
      <c r="H25" s="467"/>
      <c r="I25" s="467">
        <v>1.5999999999999996</v>
      </c>
      <c r="J25" s="467"/>
      <c r="K25" s="467">
        <v>0</v>
      </c>
      <c r="L25" s="1003"/>
      <c r="M25" s="467">
        <v>0.10000000000000053</v>
      </c>
      <c r="N25" s="1003"/>
      <c r="O25" s="467">
        <f t="shared" ref="O25:O26" si="3">$AD25-$E25-$G25-$I25-$K25-$M25</f>
        <v>1.7000000000000002</v>
      </c>
      <c r="P25" s="1003"/>
      <c r="Q25" s="467"/>
      <c r="R25" s="1003"/>
      <c r="S25" s="467"/>
      <c r="T25" s="467"/>
      <c r="U25" s="467"/>
      <c r="V25" s="1003"/>
      <c r="W25" s="467"/>
      <c r="X25" s="1003"/>
      <c r="Y25" s="467"/>
      <c r="Z25" s="1003"/>
      <c r="AA25" s="467"/>
      <c r="AB25" s="36"/>
      <c r="AC25" s="37"/>
      <c r="AD25" s="467">
        <v>8.4</v>
      </c>
      <c r="AE25" s="755"/>
      <c r="AF25" s="36"/>
      <c r="AG25" s="467">
        <v>4.7</v>
      </c>
      <c r="AH25" s="36"/>
      <c r="AI25" s="238"/>
      <c r="AJ25" s="36">
        <f>ROUND(AD25-AG25,1)</f>
        <v>3.7</v>
      </c>
      <c r="AL25" s="971">
        <f>ROUND(IF(AG25=0,1,AJ25/ABS(AG25)),3)</f>
        <v>0.78700000000000003</v>
      </c>
    </row>
    <row r="26" spans="1:38" ht="15.75">
      <c r="A26" s="21"/>
      <c r="B26" s="489" t="s">
        <v>973</v>
      </c>
      <c r="C26" s="19"/>
      <c r="D26" s="21"/>
      <c r="E26" s="467">
        <v>46</v>
      </c>
      <c r="F26" s="467"/>
      <c r="G26" s="467">
        <v>54.7</v>
      </c>
      <c r="H26" s="467"/>
      <c r="I26" s="467">
        <v>53.7</v>
      </c>
      <c r="J26" s="467"/>
      <c r="K26" s="467">
        <v>54.599999999999994</v>
      </c>
      <c r="L26" s="1003"/>
      <c r="M26" s="467">
        <v>50.399999999999991</v>
      </c>
      <c r="N26" s="1003"/>
      <c r="O26" s="467">
        <f t="shared" si="3"/>
        <v>64.800000000000026</v>
      </c>
      <c r="P26" s="1003"/>
      <c r="Q26" s="467"/>
      <c r="R26" s="1003"/>
      <c r="S26" s="467"/>
      <c r="T26" s="467"/>
      <c r="U26" s="467"/>
      <c r="V26" s="1003"/>
      <c r="W26" s="467"/>
      <c r="X26" s="1003"/>
      <c r="Y26" s="467"/>
      <c r="Z26" s="1003"/>
      <c r="AA26" s="467"/>
      <c r="AB26" s="36"/>
      <c r="AC26" s="37"/>
      <c r="AD26" s="467">
        <v>324.2</v>
      </c>
      <c r="AE26" s="52"/>
      <c r="AF26" s="36"/>
      <c r="AG26" s="467">
        <v>312</v>
      </c>
      <c r="AH26" s="36"/>
      <c r="AI26" s="238"/>
      <c r="AJ26" s="36">
        <f>ROUND(AD26-AG26,1)</f>
        <v>12.2</v>
      </c>
      <c r="AK26" s="113"/>
      <c r="AL26" s="949">
        <f>ROUND(IF(AG26=0,0,AJ26/ABS(AG26)),3)</f>
        <v>3.9E-2</v>
      </c>
    </row>
    <row r="27" spans="1:38" ht="15.75">
      <c r="A27" s="21"/>
      <c r="B27" s="218" t="s">
        <v>1045</v>
      </c>
      <c r="C27" s="19"/>
      <c r="D27" s="21"/>
      <c r="E27" s="179">
        <f>ROUND(SUM(E24:E26),1)</f>
        <v>51</v>
      </c>
      <c r="F27" s="467"/>
      <c r="G27" s="179">
        <f>ROUND(SUM(G24:G26),1)</f>
        <v>54.7</v>
      </c>
      <c r="H27" s="467"/>
      <c r="I27" s="179">
        <f>ROUND(SUM(I24:I26),1)</f>
        <v>55.3</v>
      </c>
      <c r="J27" s="467"/>
      <c r="K27" s="179">
        <f>ROUND(SUM(K24:K26),1)</f>
        <v>54.6</v>
      </c>
      <c r="L27" s="467"/>
      <c r="M27" s="179">
        <f>ROUND(SUM(M24:M26),1)</f>
        <v>50.5</v>
      </c>
      <c r="N27" s="467"/>
      <c r="O27" s="179">
        <f>ROUND(SUM(O24:O26),1)</f>
        <v>66.5</v>
      </c>
      <c r="P27" s="36"/>
      <c r="Q27" s="179">
        <f>ROUND(SUM(Q24:Q26),1)</f>
        <v>0</v>
      </c>
      <c r="R27" s="36"/>
      <c r="S27" s="179">
        <f>ROUND(SUM(S24:S26),1)</f>
        <v>0</v>
      </c>
      <c r="T27" s="42"/>
      <c r="U27" s="179">
        <f t="shared" ref="U27" si="4">ROUND(SUM(U24:U26),1)</f>
        <v>0</v>
      </c>
      <c r="V27" s="36"/>
      <c r="W27" s="179">
        <f>ROUND(SUM(W24:W26),1)</f>
        <v>0</v>
      </c>
      <c r="X27" s="36"/>
      <c r="Y27" s="179">
        <f>ROUND(SUM(Y24:Y26),1)</f>
        <v>0</v>
      </c>
      <c r="Z27" s="36"/>
      <c r="AA27" s="179">
        <f>ROUND(SUM(AA24:AA26),1)</f>
        <v>0</v>
      </c>
      <c r="AB27" s="36"/>
      <c r="AC27" s="37"/>
      <c r="AD27" s="179">
        <f>ROUND(SUM(AD24:AD26),1)</f>
        <v>332.6</v>
      </c>
      <c r="AE27" s="755"/>
      <c r="AF27" s="36"/>
      <c r="AG27" s="179">
        <f>ROUND(SUM(AG24:AG26),1)</f>
        <v>316.7</v>
      </c>
      <c r="AH27" s="36"/>
      <c r="AI27" s="238"/>
      <c r="AJ27" s="179">
        <f>ROUND(SUM(AJ24:AJ26),1)</f>
        <v>15.9</v>
      </c>
      <c r="AK27" s="113"/>
      <c r="AL27" s="962">
        <f>ROUND(IF(AG27=0,0,AJ27/ABS(AG27)),3)</f>
        <v>0.05</v>
      </c>
    </row>
    <row r="28" spans="1:38" ht="15.75">
      <c r="A28" s="21"/>
      <c r="B28" s="737" t="s">
        <v>952</v>
      </c>
      <c r="C28" s="21"/>
      <c r="D28" s="21"/>
      <c r="E28" s="480"/>
      <c r="F28" s="467"/>
      <c r="G28" s="480"/>
      <c r="H28" s="467"/>
      <c r="I28" s="496"/>
      <c r="J28" s="467"/>
      <c r="K28" s="496"/>
      <c r="L28" s="467"/>
      <c r="M28" s="467"/>
      <c r="N28" s="467"/>
      <c r="O28" s="467"/>
      <c r="P28" s="36"/>
      <c r="Q28" s="194"/>
      <c r="R28" s="36"/>
      <c r="S28" s="194"/>
      <c r="T28" s="36"/>
      <c r="U28" s="194"/>
      <c r="V28" s="36"/>
      <c r="W28" s="194"/>
      <c r="X28" s="36"/>
      <c r="Y28" s="194"/>
      <c r="Z28" s="36"/>
      <c r="AA28" s="194"/>
      <c r="AB28" s="36"/>
      <c r="AC28" s="37"/>
      <c r="AD28" s="36"/>
      <c r="AE28" s="1765"/>
      <c r="AF28" s="40"/>
      <c r="AG28" s="36"/>
      <c r="AH28" s="46"/>
      <c r="AI28" s="237"/>
      <c r="AJ28" s="46"/>
      <c r="AK28" s="235"/>
      <c r="AL28" s="948"/>
    </row>
    <row r="29" spans="1:38" ht="15.75">
      <c r="A29" s="21"/>
      <c r="B29" s="489" t="s">
        <v>979</v>
      </c>
      <c r="C29" s="21"/>
      <c r="D29" s="21"/>
      <c r="E29" s="467">
        <v>0</v>
      </c>
      <c r="F29" s="467"/>
      <c r="G29" s="467">
        <v>0</v>
      </c>
      <c r="H29" s="467"/>
      <c r="I29" s="467">
        <v>25.7</v>
      </c>
      <c r="J29" s="467"/>
      <c r="K29" s="467">
        <v>25.8</v>
      </c>
      <c r="L29" s="1003"/>
      <c r="M29" s="467">
        <v>25.7</v>
      </c>
      <c r="N29" s="1003"/>
      <c r="O29" s="467">
        <f t="shared" ref="O29" si="5">$AD29-$E29-$G29-$I29-$K29-$M29</f>
        <v>25.700000000000006</v>
      </c>
      <c r="P29" s="1003"/>
      <c r="Q29" s="467"/>
      <c r="R29" s="1003"/>
      <c r="S29" s="467"/>
      <c r="T29" s="1003"/>
      <c r="U29" s="467"/>
      <c r="V29" s="1003"/>
      <c r="W29" s="467"/>
      <c r="X29" s="1003"/>
      <c r="Y29" s="467"/>
      <c r="Z29" s="1003"/>
      <c r="AA29" s="467"/>
      <c r="AB29" s="36"/>
      <c r="AC29" s="37"/>
      <c r="AD29" s="467">
        <v>102.9</v>
      </c>
      <c r="AE29" s="689"/>
      <c r="AF29" s="40"/>
      <c r="AG29" s="467">
        <v>103</v>
      </c>
      <c r="AH29" s="46"/>
      <c r="AI29" s="237"/>
      <c r="AJ29" s="36">
        <f>ROUND(AD29-AG29,1)</f>
        <v>-0.1</v>
      </c>
      <c r="AK29" s="235"/>
      <c r="AL29" s="949">
        <f>ROUND(IF(AG29=0,0,AJ29/ABS(AG29)),3)</f>
        <v>-1E-3</v>
      </c>
    </row>
    <row r="30" spans="1:38" ht="15.75">
      <c r="B30" s="218" t="s">
        <v>1046</v>
      </c>
      <c r="C30" s="21"/>
      <c r="D30" s="21"/>
      <c r="E30" s="179">
        <f>ROUND(SUM(E29:E29),1)</f>
        <v>0</v>
      </c>
      <c r="F30" s="467"/>
      <c r="G30" s="179">
        <f>ROUND(SUM(G29:G29),1)</f>
        <v>0</v>
      </c>
      <c r="H30" s="467"/>
      <c r="I30" s="179">
        <f>ROUND(SUM(I29:I29),1)</f>
        <v>25.7</v>
      </c>
      <c r="J30" s="467"/>
      <c r="K30" s="179">
        <f>ROUND(SUM(K29:K29),1)</f>
        <v>25.8</v>
      </c>
      <c r="L30" s="467"/>
      <c r="M30" s="179">
        <f>ROUND(SUM(M29:M29),1)</f>
        <v>25.7</v>
      </c>
      <c r="N30" s="467"/>
      <c r="O30" s="179">
        <f>ROUND(SUM(O29:O29),1)</f>
        <v>25.7</v>
      </c>
      <c r="P30" s="36"/>
      <c r="Q30" s="179">
        <f>ROUND(SUM(Q29:Q29),1)</f>
        <v>0</v>
      </c>
      <c r="R30" s="36"/>
      <c r="S30" s="179">
        <f>ROUND(SUM(S29:S29),1)</f>
        <v>0</v>
      </c>
      <c r="T30" s="42"/>
      <c r="U30" s="179">
        <f t="shared" ref="U30" si="6">ROUND(SUM(U29:U29),1)</f>
        <v>0</v>
      </c>
      <c r="V30" s="36"/>
      <c r="W30" s="179">
        <f>ROUND(SUM(W29:W29),1)</f>
        <v>0</v>
      </c>
      <c r="X30" s="36"/>
      <c r="Y30" s="179">
        <f>ROUND(SUM(Y29:Y29),1)</f>
        <v>0</v>
      </c>
      <c r="Z30" s="36"/>
      <c r="AA30" s="179">
        <f>ROUND(SUM(AA29:AA29),1)</f>
        <v>0</v>
      </c>
      <c r="AB30" s="36"/>
      <c r="AC30" s="37"/>
      <c r="AD30" s="179">
        <f>ROUND(SUM(AD29:AD29),1)</f>
        <v>102.9</v>
      </c>
      <c r="AE30" s="689"/>
      <c r="AF30" s="40"/>
      <c r="AG30" s="179">
        <f>ROUND(SUM(AG29:AG29),1)</f>
        <v>103</v>
      </c>
      <c r="AH30" s="46"/>
      <c r="AI30" s="237"/>
      <c r="AJ30" s="179">
        <f>ROUND(SUM(AJ29:AJ29),1)</f>
        <v>-0.1</v>
      </c>
      <c r="AK30" s="235"/>
      <c r="AL30" s="955">
        <f>ROUND(IF(AG30=0,0,AJ30/ABS(AG30)),3)</f>
        <v>-1E-3</v>
      </c>
    </row>
    <row r="31" spans="1:38" ht="15.75">
      <c r="A31" s="21"/>
      <c r="B31" s="19"/>
      <c r="C31" s="21"/>
      <c r="D31" s="21"/>
      <c r="E31" s="480"/>
      <c r="F31" s="467"/>
      <c r="G31" s="480"/>
      <c r="H31" s="467"/>
      <c r="I31" s="496"/>
      <c r="J31" s="467"/>
      <c r="K31" s="496"/>
      <c r="L31" s="467"/>
      <c r="M31" s="467"/>
      <c r="N31" s="467"/>
      <c r="O31" s="467"/>
      <c r="P31" s="36"/>
      <c r="Q31" s="194"/>
      <c r="R31" s="36"/>
      <c r="S31" s="194"/>
      <c r="T31" s="36"/>
      <c r="U31" s="194"/>
      <c r="V31" s="36"/>
      <c r="W31" s="194"/>
      <c r="X31" s="36"/>
      <c r="Y31" s="194"/>
      <c r="Z31" s="36"/>
      <c r="AA31" s="194"/>
      <c r="AB31" s="36"/>
      <c r="AC31" s="37"/>
      <c r="AD31" s="36"/>
      <c r="AE31" s="689"/>
      <c r="AF31" s="40"/>
      <c r="AG31" s="36"/>
      <c r="AH31" s="46"/>
      <c r="AI31" s="237"/>
      <c r="AJ31" s="46"/>
      <c r="AK31" s="235"/>
      <c r="AL31" s="1968"/>
    </row>
    <row r="32" spans="1:38" s="19" customFormat="1" ht="15.75">
      <c r="B32" s="218" t="s">
        <v>975</v>
      </c>
      <c r="E32" s="1472">
        <f>ROUND(SUM(+E27+E22+E30),1)</f>
        <v>101</v>
      </c>
      <c r="F32" s="42"/>
      <c r="G32" s="1472">
        <f>ROUND(SUM(+G27+G22+G30),1)</f>
        <v>100.8</v>
      </c>
      <c r="H32" s="42"/>
      <c r="I32" s="1472">
        <f>ROUND(SUM(+I27+I22+I30),1)</f>
        <v>142.9</v>
      </c>
      <c r="J32" s="42"/>
      <c r="K32" s="1472">
        <f>ROUND(SUM(+K27+K22+K30),1)</f>
        <v>126.4</v>
      </c>
      <c r="L32" s="42"/>
      <c r="M32" s="1239">
        <f>ROUND(SUM(+M27+M22+M30),1)</f>
        <v>121.5</v>
      </c>
      <c r="N32" s="42"/>
      <c r="O32" s="1239">
        <f>ROUND(SUM(+O27+O22+O30),1)</f>
        <v>168.2</v>
      </c>
      <c r="P32" s="42"/>
      <c r="Q32" s="1239">
        <f>ROUND(SUM(+Q27+Q22+Q30),1)</f>
        <v>0</v>
      </c>
      <c r="R32" s="42"/>
      <c r="S32" s="1239">
        <f>ROUND(SUM(+S27+S22+S30),1)</f>
        <v>0</v>
      </c>
      <c r="T32" s="1240"/>
      <c r="U32" s="1239">
        <f t="shared" ref="U32" si="7">ROUND(SUM(+U27+U22+U30),1)</f>
        <v>0</v>
      </c>
      <c r="V32" s="42"/>
      <c r="W32" s="1239">
        <f>ROUND(SUM(+W27+W22+W30),1)</f>
        <v>0</v>
      </c>
      <c r="X32" s="42"/>
      <c r="Y32" s="1239">
        <f>ROUND(SUM(+Y27+Y22+Y30),1)</f>
        <v>0</v>
      </c>
      <c r="Z32" s="42"/>
      <c r="AA32" s="1239">
        <f>ROUND(SUM(+AA27+AA22+AA30),1)</f>
        <v>0</v>
      </c>
      <c r="AB32" s="42"/>
      <c r="AC32" s="44"/>
      <c r="AD32" s="1239">
        <f>ROUND(SUM(+AD27+AD22+AD30),1)</f>
        <v>760.8</v>
      </c>
      <c r="AE32" s="1766"/>
      <c r="AF32" s="55"/>
      <c r="AG32" s="1239">
        <f>ROUND(SUM(+AG27+AG22+AG30),1)</f>
        <v>608.29999999999995</v>
      </c>
      <c r="AH32" s="57"/>
      <c r="AI32" s="237"/>
      <c r="AJ32" s="1239">
        <f>ROUND(SUM(+AJ27+AJ22+AJ30),1)</f>
        <v>152.5</v>
      </c>
      <c r="AK32" s="544"/>
      <c r="AL32" s="962">
        <f>ROUND(IF(AG32=0,1,AJ32/ABS(AG32)),3)</f>
        <v>0.251</v>
      </c>
    </row>
    <row r="33" spans="1:38" ht="15.75">
      <c r="A33" s="21"/>
      <c r="B33" s="499"/>
      <c r="C33" s="21"/>
      <c r="D33" s="21"/>
      <c r="E33" s="480"/>
      <c r="F33" s="467"/>
      <c r="G33" s="480"/>
      <c r="H33" s="467"/>
      <c r="I33" s="496"/>
      <c r="J33" s="467"/>
      <c r="K33" s="496"/>
      <c r="L33" s="467"/>
      <c r="M33" s="467"/>
      <c r="N33" s="467"/>
      <c r="O33" s="467"/>
      <c r="P33" s="36"/>
      <c r="Q33" s="194"/>
      <c r="R33" s="36"/>
      <c r="S33" s="194"/>
      <c r="T33" s="36"/>
      <c r="U33" s="194"/>
      <c r="V33" s="36"/>
      <c r="W33" s="194"/>
      <c r="X33" s="36"/>
      <c r="Y33" s="194"/>
      <c r="Z33" s="36"/>
      <c r="AA33" s="194"/>
      <c r="AB33" s="36"/>
      <c r="AC33" s="37"/>
      <c r="AD33" s="36"/>
      <c r="AE33" s="689"/>
      <c r="AF33" s="40"/>
      <c r="AG33" s="36"/>
      <c r="AH33" s="46"/>
      <c r="AI33" s="237"/>
      <c r="AJ33" s="46"/>
      <c r="AK33" s="235"/>
      <c r="AL33" s="948"/>
    </row>
    <row r="34" spans="1:38" ht="15.75">
      <c r="A34" s="21"/>
      <c r="B34" s="118" t="s">
        <v>886</v>
      </c>
      <c r="C34" s="21"/>
      <c r="D34" s="21"/>
      <c r="E34" s="496"/>
      <c r="F34" s="467"/>
      <c r="G34" s="496"/>
      <c r="H34" s="467"/>
      <c r="I34" s="496"/>
      <c r="J34" s="467"/>
      <c r="K34" s="496"/>
      <c r="L34" s="467"/>
      <c r="M34" s="467"/>
      <c r="N34" s="467"/>
      <c r="O34" s="467"/>
      <c r="P34" s="36"/>
      <c r="Q34" s="194"/>
      <c r="R34" s="36"/>
      <c r="S34" s="194"/>
      <c r="T34" s="36"/>
      <c r="U34" s="194"/>
      <c r="V34" s="36"/>
      <c r="W34" s="194"/>
      <c r="X34" s="36"/>
      <c r="Y34" s="194"/>
      <c r="Z34" s="36"/>
      <c r="AA34" s="194"/>
      <c r="AB34" s="36"/>
      <c r="AC34" s="37"/>
      <c r="AD34" s="36"/>
      <c r="AE34" s="52"/>
      <c r="AF34" s="36"/>
      <c r="AG34" s="36"/>
      <c r="AH34" s="46"/>
      <c r="AI34" s="237"/>
      <c r="AJ34" s="46"/>
      <c r="AK34" s="113"/>
      <c r="AL34" s="236"/>
    </row>
    <row r="35" spans="1:38" ht="15.75">
      <c r="A35" s="21"/>
      <c r="B35" s="594" t="s">
        <v>1000</v>
      </c>
      <c r="C35" s="499"/>
      <c r="D35" s="21"/>
      <c r="E35" s="496"/>
      <c r="F35" s="467"/>
      <c r="G35" s="496"/>
      <c r="H35" s="467"/>
      <c r="I35" s="496"/>
      <c r="J35" s="467"/>
      <c r="K35" s="496"/>
      <c r="L35" s="467"/>
      <c r="M35" s="467"/>
      <c r="N35" s="467"/>
      <c r="O35" s="467"/>
      <c r="P35" s="36"/>
      <c r="Q35" s="194"/>
      <c r="R35" s="36"/>
      <c r="S35" s="194"/>
      <c r="T35" s="36"/>
      <c r="U35" s="194"/>
      <c r="V35" s="36"/>
      <c r="W35" s="194"/>
      <c r="X35" s="36"/>
      <c r="Y35" s="194"/>
      <c r="Z35" s="36"/>
      <c r="AA35" s="194"/>
      <c r="AB35" s="36"/>
      <c r="AC35" s="37"/>
      <c r="AD35" s="36"/>
      <c r="AE35" s="755"/>
      <c r="AF35" s="36"/>
      <c r="AG35" s="36"/>
      <c r="AH35" s="46"/>
      <c r="AI35" s="237"/>
      <c r="AJ35" s="46"/>
      <c r="AK35" s="113"/>
      <c r="AL35" s="236"/>
    </row>
    <row r="36" spans="1:38" ht="15.75">
      <c r="A36" s="21"/>
      <c r="B36" s="594" t="s">
        <v>919</v>
      </c>
      <c r="C36" s="499"/>
      <c r="D36" s="21"/>
      <c r="E36" s="467">
        <v>0</v>
      </c>
      <c r="F36" s="467"/>
      <c r="G36" s="467">
        <v>0</v>
      </c>
      <c r="H36" s="467"/>
      <c r="I36" s="467">
        <v>23</v>
      </c>
      <c r="J36" s="467"/>
      <c r="K36" s="467">
        <v>0</v>
      </c>
      <c r="L36" s="1003"/>
      <c r="M36" s="467">
        <v>0</v>
      </c>
      <c r="N36" s="1003"/>
      <c r="O36" s="467">
        <f t="shared" ref="O36:O59" si="8">$AD36-$E36-$G36-$I36-$K36-$M36</f>
        <v>0</v>
      </c>
      <c r="P36" s="1003"/>
      <c r="Q36" s="467"/>
      <c r="R36" s="1003"/>
      <c r="S36" s="467"/>
      <c r="T36" s="1003"/>
      <c r="U36" s="467"/>
      <c r="V36" s="1003"/>
      <c r="W36" s="467"/>
      <c r="X36" s="1003"/>
      <c r="Y36" s="467"/>
      <c r="Z36" s="1003"/>
      <c r="AA36" s="467"/>
      <c r="AB36" s="36"/>
      <c r="AC36" s="37"/>
      <c r="AD36" s="467">
        <v>23</v>
      </c>
      <c r="AE36" s="755"/>
      <c r="AF36" s="36"/>
      <c r="AG36" s="467">
        <v>23</v>
      </c>
      <c r="AH36" s="46"/>
      <c r="AI36" s="237"/>
      <c r="AJ36" s="36">
        <f t="shared" ref="AJ36:AJ59" si="9">ROUND(AD36-AG36,1)</f>
        <v>0</v>
      </c>
      <c r="AK36" s="113"/>
      <c r="AL36" s="948">
        <f>ROUND(IF(AG36=0,0,AJ36/ABS(AG36)),3)</f>
        <v>0</v>
      </c>
    </row>
    <row r="37" spans="1:38" ht="15.75">
      <c r="A37" s="21"/>
      <c r="B37" s="594" t="s">
        <v>1001</v>
      </c>
      <c r="C37" s="499"/>
      <c r="D37" s="21"/>
      <c r="E37" s="467" t="s">
        <v>14</v>
      </c>
      <c r="F37" s="467"/>
      <c r="G37" s="467"/>
      <c r="H37" s="467"/>
      <c r="I37" s="467"/>
      <c r="J37" s="467"/>
      <c r="K37" s="467"/>
      <c r="L37" s="1003"/>
      <c r="M37" s="467"/>
      <c r="N37" s="1003"/>
      <c r="O37" s="467"/>
      <c r="P37" s="1003"/>
      <c r="Q37" s="467"/>
      <c r="R37" s="1003"/>
      <c r="S37" s="467"/>
      <c r="T37" s="1003"/>
      <c r="U37" s="467"/>
      <c r="V37" s="1003"/>
      <c r="W37" s="467"/>
      <c r="X37" s="1003"/>
      <c r="Y37" s="467"/>
      <c r="Z37" s="1003"/>
      <c r="AA37" s="467"/>
      <c r="AB37" s="36"/>
      <c r="AC37" s="37"/>
      <c r="AD37" s="194"/>
      <c r="AE37" s="755"/>
      <c r="AF37" s="36"/>
      <c r="AG37" s="194"/>
      <c r="AH37" s="46"/>
      <c r="AI37" s="237"/>
      <c r="AJ37" s="36"/>
      <c r="AK37" s="113"/>
      <c r="AL37" s="236"/>
    </row>
    <row r="38" spans="1:38" ht="15.75">
      <c r="A38" s="21"/>
      <c r="B38" s="594" t="s">
        <v>920</v>
      </c>
      <c r="C38" s="499"/>
      <c r="D38" s="21"/>
      <c r="E38" s="467">
        <v>6.6999999999999993</v>
      </c>
      <c r="F38" s="467"/>
      <c r="G38" s="467">
        <v>5.5</v>
      </c>
      <c r="H38" s="467"/>
      <c r="I38" s="467">
        <v>5.9000000000000021</v>
      </c>
      <c r="J38" s="467"/>
      <c r="K38" s="467">
        <v>5.3999999999999986</v>
      </c>
      <c r="L38" s="1003"/>
      <c r="M38" s="467">
        <v>5.1999999999999993</v>
      </c>
      <c r="N38" s="1003"/>
      <c r="O38" s="467">
        <f t="shared" si="8"/>
        <v>5.5000000000000036</v>
      </c>
      <c r="P38" s="1003"/>
      <c r="Q38" s="467"/>
      <c r="R38" s="1003"/>
      <c r="S38" s="467"/>
      <c r="T38" s="1003"/>
      <c r="U38" s="467"/>
      <c r="V38" s="1003"/>
      <c r="W38" s="467"/>
      <c r="X38" s="1003"/>
      <c r="Y38" s="467"/>
      <c r="Z38" s="1003"/>
      <c r="AA38" s="467"/>
      <c r="AB38" s="36"/>
      <c r="AC38" s="37"/>
      <c r="AD38" s="467">
        <v>34.200000000000003</v>
      </c>
      <c r="AE38" s="755"/>
      <c r="AF38" s="36"/>
      <c r="AG38" s="467">
        <v>35.1</v>
      </c>
      <c r="AH38" s="46"/>
      <c r="AI38" s="237"/>
      <c r="AJ38" s="36">
        <f t="shared" si="9"/>
        <v>-0.9</v>
      </c>
      <c r="AK38" s="113"/>
      <c r="AL38" s="948">
        <f>ROUND(IF(AG38=0,0,AJ38/ABS(AG38)),3)</f>
        <v>-2.5999999999999999E-2</v>
      </c>
    </row>
    <row r="39" spans="1:38" ht="15.75">
      <c r="A39" s="21"/>
      <c r="B39" s="594" t="s">
        <v>1005</v>
      </c>
      <c r="C39" s="499"/>
      <c r="D39" s="21"/>
      <c r="E39" s="467" t="s">
        <v>14</v>
      </c>
      <c r="F39" s="467"/>
      <c r="G39" s="467"/>
      <c r="H39" s="467"/>
      <c r="I39" s="467"/>
      <c r="J39" s="467"/>
      <c r="K39" s="467"/>
      <c r="L39" s="1003"/>
      <c r="M39" s="467"/>
      <c r="N39" s="1003"/>
      <c r="O39" s="467"/>
      <c r="P39" s="1003"/>
      <c r="Q39" s="467"/>
      <c r="R39" s="1003"/>
      <c r="S39" s="467"/>
      <c r="T39" s="1003"/>
      <c r="U39" s="467"/>
      <c r="V39" s="1003"/>
      <c r="W39" s="467"/>
      <c r="X39" s="1003"/>
      <c r="Y39" s="467"/>
      <c r="Z39" s="1003"/>
      <c r="AA39" s="467"/>
      <c r="AB39" s="36"/>
      <c r="AC39" s="37"/>
      <c r="AD39" s="194"/>
      <c r="AE39" s="755"/>
      <c r="AF39" s="36"/>
      <c r="AG39" s="194"/>
      <c r="AH39" s="46"/>
      <c r="AI39" s="237"/>
      <c r="AJ39" s="36"/>
      <c r="AK39" s="113"/>
      <c r="AL39" s="236"/>
    </row>
    <row r="40" spans="1:38" ht="15.75">
      <c r="A40" s="21"/>
      <c r="B40" s="594" t="s">
        <v>924</v>
      </c>
      <c r="C40" s="499"/>
      <c r="D40" s="21"/>
      <c r="E40" s="467">
        <v>1.4000000000000001</v>
      </c>
      <c r="F40" s="467"/>
      <c r="G40" s="467">
        <v>3.1999999999999993</v>
      </c>
      <c r="H40" s="467"/>
      <c r="I40" s="467">
        <v>1.8000000000000007</v>
      </c>
      <c r="J40" s="467"/>
      <c r="K40" s="467">
        <v>1.9000000000000004</v>
      </c>
      <c r="L40" s="1003"/>
      <c r="M40" s="467">
        <v>8.5</v>
      </c>
      <c r="N40" s="1003"/>
      <c r="O40" s="467">
        <f t="shared" si="8"/>
        <v>3.5000000000000018</v>
      </c>
      <c r="P40" s="1003"/>
      <c r="Q40" s="467"/>
      <c r="R40" s="1003"/>
      <c r="S40" s="467"/>
      <c r="T40" s="1003"/>
      <c r="U40" s="467"/>
      <c r="V40" s="1003"/>
      <c r="W40" s="467"/>
      <c r="X40" s="1003"/>
      <c r="Y40" s="467"/>
      <c r="Z40" s="1003"/>
      <c r="AA40" s="467"/>
      <c r="AB40" s="36"/>
      <c r="AC40" s="37"/>
      <c r="AD40" s="467">
        <v>20.3</v>
      </c>
      <c r="AE40" s="755"/>
      <c r="AF40" s="36"/>
      <c r="AG40" s="467">
        <v>11.1</v>
      </c>
      <c r="AH40" s="46"/>
      <c r="AI40" s="237"/>
      <c r="AJ40" s="36">
        <f t="shared" si="9"/>
        <v>9.1999999999999993</v>
      </c>
      <c r="AK40" s="113"/>
      <c r="AL40" s="948">
        <f>ROUND(IF(AG40=0,0,AJ40/ABS(AG40)),3)</f>
        <v>0.82899999999999996</v>
      </c>
    </row>
    <row r="41" spans="1:38" ht="15.75">
      <c r="A41" s="21"/>
      <c r="B41" s="594" t="s">
        <v>1056</v>
      </c>
      <c r="C41" s="499"/>
      <c r="D41" s="21"/>
      <c r="E41" s="467">
        <v>0</v>
      </c>
      <c r="F41" s="467"/>
      <c r="G41" s="467">
        <v>0</v>
      </c>
      <c r="H41" s="467"/>
      <c r="I41" s="467">
        <v>0</v>
      </c>
      <c r="J41" s="467"/>
      <c r="K41" s="467">
        <v>0</v>
      </c>
      <c r="L41" s="1003"/>
      <c r="M41" s="467">
        <v>0</v>
      </c>
      <c r="N41" s="1003"/>
      <c r="O41" s="467">
        <f t="shared" si="8"/>
        <v>0</v>
      </c>
      <c r="P41" s="1003"/>
      <c r="Q41" s="467"/>
      <c r="R41" s="1003"/>
      <c r="S41" s="467"/>
      <c r="T41" s="1003"/>
      <c r="U41" s="467"/>
      <c r="V41" s="1003"/>
      <c r="W41" s="467"/>
      <c r="X41" s="1003"/>
      <c r="Y41" s="467"/>
      <c r="Z41" s="1003"/>
      <c r="AA41" s="467"/>
      <c r="AB41" s="36"/>
      <c r="AC41" s="37"/>
      <c r="AD41" s="467">
        <v>0</v>
      </c>
      <c r="AE41" s="1767"/>
      <c r="AF41" s="36"/>
      <c r="AG41" s="467">
        <v>0</v>
      </c>
      <c r="AH41" s="46"/>
      <c r="AI41" s="237"/>
      <c r="AJ41" s="36">
        <f>ROUND(AD41-AG41,1)</f>
        <v>0</v>
      </c>
      <c r="AK41" s="113"/>
      <c r="AL41" s="469">
        <f>ROUND(IF(AG41=0,0,AJ41/ABS(AG41)),3)</f>
        <v>0</v>
      </c>
    </row>
    <row r="42" spans="1:38" ht="15.75">
      <c r="A42" s="21"/>
      <c r="B42" s="594" t="s">
        <v>927</v>
      </c>
      <c r="C42" s="499"/>
      <c r="D42" s="21"/>
      <c r="E42" s="467">
        <v>63.8</v>
      </c>
      <c r="F42" s="467"/>
      <c r="G42" s="467">
        <v>61.600000000000009</v>
      </c>
      <c r="H42" s="467"/>
      <c r="I42" s="467">
        <v>63.900000000000006</v>
      </c>
      <c r="J42" s="467"/>
      <c r="K42" s="467">
        <v>52.199999999999974</v>
      </c>
      <c r="L42" s="1003"/>
      <c r="M42" s="467">
        <v>55.600000000000009</v>
      </c>
      <c r="N42" s="1003"/>
      <c r="O42" s="467">
        <f t="shared" si="8"/>
        <v>64.899999999999977</v>
      </c>
      <c r="P42" s="1003"/>
      <c r="Q42" s="467"/>
      <c r="R42" s="1003"/>
      <c r="S42" s="467"/>
      <c r="T42" s="1003"/>
      <c r="U42" s="467"/>
      <c r="V42" s="1003"/>
      <c r="W42" s="467"/>
      <c r="X42" s="1003"/>
      <c r="Y42" s="467"/>
      <c r="Z42" s="1003"/>
      <c r="AA42" s="467"/>
      <c r="AB42" s="36"/>
      <c r="AC42" s="37"/>
      <c r="AD42" s="1856">
        <v>362</v>
      </c>
      <c r="AE42" s="755"/>
      <c r="AF42" s="36"/>
      <c r="AG42" s="467">
        <v>340.8</v>
      </c>
      <c r="AH42" s="46"/>
      <c r="AI42" s="237"/>
      <c r="AJ42" s="36">
        <f t="shared" si="9"/>
        <v>21.2</v>
      </c>
      <c r="AK42" s="113"/>
      <c r="AL42" s="948">
        <f>ROUND(IF(AG42=0,0,AJ42/ABS(AG42)),3)</f>
        <v>6.2E-2</v>
      </c>
    </row>
    <row r="43" spans="1:38" ht="15.75">
      <c r="A43" s="21"/>
      <c r="B43" s="594" t="s">
        <v>928</v>
      </c>
      <c r="C43" s="499"/>
      <c r="D43" s="21"/>
      <c r="E43" s="467">
        <v>0.2</v>
      </c>
      <c r="F43" s="467"/>
      <c r="G43" s="467">
        <v>0.3</v>
      </c>
      <c r="H43" s="467"/>
      <c r="I43" s="467">
        <v>1.5</v>
      </c>
      <c r="J43" s="467"/>
      <c r="K43" s="467">
        <v>6.3000000000000016</v>
      </c>
      <c r="L43" s="1003"/>
      <c r="M43" s="467">
        <v>0.59999999999999876</v>
      </c>
      <c r="N43" s="1003"/>
      <c r="O43" s="467">
        <f t="shared" si="8"/>
        <v>1.2999999999999989</v>
      </c>
      <c r="P43" s="1003"/>
      <c r="Q43" s="467"/>
      <c r="R43" s="1003"/>
      <c r="S43" s="467"/>
      <c r="T43" s="1003"/>
      <c r="U43" s="467"/>
      <c r="V43" s="1003"/>
      <c r="W43" s="467"/>
      <c r="X43" s="1003"/>
      <c r="Y43" s="467"/>
      <c r="Z43" s="1003"/>
      <c r="AA43" s="467"/>
      <c r="AB43" s="36"/>
      <c r="AC43" s="37"/>
      <c r="AD43" s="467">
        <v>10.199999999999999</v>
      </c>
      <c r="AE43" s="755"/>
      <c r="AF43" s="36"/>
      <c r="AG43" s="467">
        <v>22.2</v>
      </c>
      <c r="AH43" s="46"/>
      <c r="AI43" s="237"/>
      <c r="AJ43" s="36">
        <f t="shared" si="9"/>
        <v>-12</v>
      </c>
      <c r="AK43" s="113"/>
      <c r="AL43" s="971">
        <f>ROUND(IF(AG43=0,1,AJ43/ABS(AG43)),3)</f>
        <v>-0.54100000000000004</v>
      </c>
    </row>
    <row r="44" spans="1:38" ht="15.75">
      <c r="A44" s="21"/>
      <c r="B44" s="594" t="s">
        <v>887</v>
      </c>
      <c r="C44" s="499"/>
      <c r="D44" s="21"/>
      <c r="E44" s="467">
        <v>2.4</v>
      </c>
      <c r="F44" s="467"/>
      <c r="G44" s="467">
        <v>2.4</v>
      </c>
      <c r="H44" s="467"/>
      <c r="I44" s="467">
        <v>5.0999999999999996</v>
      </c>
      <c r="J44" s="467"/>
      <c r="K44" s="467">
        <v>4.1999999999999993</v>
      </c>
      <c r="L44" s="1003"/>
      <c r="M44" s="467">
        <v>2.0000000000000018</v>
      </c>
      <c r="N44" s="1003"/>
      <c r="O44" s="467">
        <f t="shared" si="8"/>
        <v>3.0999999999999996</v>
      </c>
      <c r="P44" s="1003"/>
      <c r="Q44" s="467"/>
      <c r="R44" s="1003"/>
      <c r="S44" s="467"/>
      <c r="T44" s="1003"/>
      <c r="U44" s="467"/>
      <c r="V44" s="1003"/>
      <c r="W44" s="467"/>
      <c r="X44" s="1003"/>
      <c r="Y44" s="467"/>
      <c r="Z44" s="1003"/>
      <c r="AA44" s="467"/>
      <c r="AB44" s="36"/>
      <c r="AC44" s="37"/>
      <c r="AD44" s="467">
        <v>19.2</v>
      </c>
      <c r="AE44" s="755"/>
      <c r="AF44" s="36"/>
      <c r="AG44" s="467">
        <v>11.2</v>
      </c>
      <c r="AH44" s="46"/>
      <c r="AI44" s="237"/>
      <c r="AJ44" s="36">
        <f t="shared" si="9"/>
        <v>8</v>
      </c>
      <c r="AK44" s="113"/>
      <c r="AL44" s="971">
        <f>ROUND(IF(AG44=0,1,AJ44/ABS(AG44)),3)</f>
        <v>0.71399999999999997</v>
      </c>
    </row>
    <row r="45" spans="1:38" ht="15.75">
      <c r="A45" s="21"/>
      <c r="B45" s="594" t="s">
        <v>888</v>
      </c>
      <c r="C45" s="499"/>
      <c r="D45" s="21"/>
      <c r="E45" s="467">
        <v>2.4</v>
      </c>
      <c r="F45" s="467"/>
      <c r="G45" s="467">
        <v>2.6999999999999997</v>
      </c>
      <c r="H45" s="467"/>
      <c r="I45" s="467">
        <v>2.9999999999999996</v>
      </c>
      <c r="J45" s="467"/>
      <c r="K45" s="467">
        <v>3.2000000000000015</v>
      </c>
      <c r="L45" s="1003"/>
      <c r="M45" s="467">
        <v>3.5999999999999992</v>
      </c>
      <c r="N45" s="1003"/>
      <c r="O45" s="467">
        <f t="shared" si="8"/>
        <v>3.6000000000000019</v>
      </c>
      <c r="P45" s="1003"/>
      <c r="Q45" s="467"/>
      <c r="R45" s="1003"/>
      <c r="S45" s="467"/>
      <c r="T45" s="1003"/>
      <c r="U45" s="467"/>
      <c r="V45" s="1003"/>
      <c r="W45" s="467"/>
      <c r="X45" s="1003"/>
      <c r="Y45" s="467"/>
      <c r="Z45" s="1003"/>
      <c r="AA45" s="467"/>
      <c r="AB45" s="36"/>
      <c r="AC45" s="37"/>
      <c r="AD45" s="467">
        <v>18.5</v>
      </c>
      <c r="AE45" s="755"/>
      <c r="AF45" s="36"/>
      <c r="AG45" s="467">
        <v>2.5</v>
      </c>
      <c r="AH45" s="46"/>
      <c r="AI45" s="237"/>
      <c r="AJ45" s="36">
        <f t="shared" si="9"/>
        <v>16</v>
      </c>
      <c r="AK45" s="113"/>
      <c r="AL45" s="2026">
        <f>ROUND(IF(AG45=0,1,AJ45/ABS(AG45)),3)</f>
        <v>6.4</v>
      </c>
    </row>
    <row r="46" spans="1:38" ht="15.75">
      <c r="A46" s="21"/>
      <c r="B46" s="594" t="s">
        <v>905</v>
      </c>
      <c r="C46" s="499"/>
      <c r="D46" s="21"/>
      <c r="E46" s="467">
        <v>0</v>
      </c>
      <c r="F46" s="467"/>
      <c r="G46" s="467">
        <v>0</v>
      </c>
      <c r="H46" s="467"/>
      <c r="I46" s="467">
        <v>0</v>
      </c>
      <c r="J46" s="467"/>
      <c r="K46" s="467">
        <v>0</v>
      </c>
      <c r="L46" s="1003"/>
      <c r="M46" s="467">
        <v>0</v>
      </c>
      <c r="N46" s="1003"/>
      <c r="O46" s="467">
        <f t="shared" si="8"/>
        <v>0</v>
      </c>
      <c r="P46" s="1003"/>
      <c r="Q46" s="467"/>
      <c r="R46" s="1003"/>
      <c r="S46" s="467"/>
      <c r="T46" s="1003"/>
      <c r="U46" s="467"/>
      <c r="V46" s="1003"/>
      <c r="W46" s="467"/>
      <c r="X46" s="1003"/>
      <c r="Y46" s="467"/>
      <c r="Z46" s="1003"/>
      <c r="AA46" s="467"/>
      <c r="AB46" s="36"/>
      <c r="AC46" s="37"/>
      <c r="AD46" s="467">
        <v>0</v>
      </c>
      <c r="AE46" s="755"/>
      <c r="AF46" s="36"/>
      <c r="AG46" s="467">
        <v>0.6</v>
      </c>
      <c r="AH46" s="46"/>
      <c r="AI46" s="237"/>
      <c r="AJ46" s="36">
        <f>ROUND(AD46-AG46,1)</f>
        <v>-0.6</v>
      </c>
      <c r="AK46" s="113"/>
      <c r="AL46" s="948">
        <f>ROUND(IF(AG46=0,0,AJ46/ABS(AG46)),3)</f>
        <v>-1</v>
      </c>
    </row>
    <row r="47" spans="1:38" ht="15.75">
      <c r="A47" s="21"/>
      <c r="B47" s="594" t="s">
        <v>1003</v>
      </c>
      <c r="C47" s="499"/>
      <c r="D47" s="21"/>
      <c r="E47" s="467" t="s">
        <v>14</v>
      </c>
      <c r="F47" s="467"/>
      <c r="G47" s="467"/>
      <c r="H47" s="467"/>
      <c r="I47" s="467"/>
      <c r="J47" s="467"/>
      <c r="K47" s="467"/>
      <c r="L47" s="1003"/>
      <c r="M47" s="467"/>
      <c r="N47" s="1003"/>
      <c r="O47" s="467"/>
      <c r="P47" s="1003"/>
      <c r="Q47" s="467"/>
      <c r="R47" s="1003"/>
      <c r="S47" s="467"/>
      <c r="T47" s="1003"/>
      <c r="U47" s="467"/>
      <c r="V47" s="1003"/>
      <c r="W47" s="467"/>
      <c r="X47" s="1003"/>
      <c r="Y47" s="467"/>
      <c r="Z47" s="1003"/>
      <c r="AA47" s="467"/>
      <c r="AB47" s="36"/>
      <c r="AC47" s="37"/>
      <c r="AD47" s="194"/>
      <c r="AE47" s="755"/>
      <c r="AF47" s="36"/>
      <c r="AG47" s="194"/>
      <c r="AH47" s="46"/>
      <c r="AI47" s="237"/>
      <c r="AJ47" s="36"/>
      <c r="AK47" s="113"/>
      <c r="AL47" s="236"/>
    </row>
    <row r="48" spans="1:38" ht="15.75">
      <c r="A48" s="21"/>
      <c r="B48" s="594" t="s">
        <v>931</v>
      </c>
      <c r="C48" s="499"/>
      <c r="D48" s="21"/>
      <c r="E48" s="467">
        <v>189.2</v>
      </c>
      <c r="F48" s="467"/>
      <c r="G48" s="467">
        <v>559.5</v>
      </c>
      <c r="H48" s="467"/>
      <c r="I48" s="467">
        <v>323</v>
      </c>
      <c r="J48" s="467"/>
      <c r="K48" s="467">
        <v>725.89999999999986</v>
      </c>
      <c r="L48" s="1003"/>
      <c r="M48" s="467">
        <v>336.90000000000009</v>
      </c>
      <c r="N48" s="1003"/>
      <c r="O48" s="467">
        <f t="shared" si="8"/>
        <v>695.60000000000014</v>
      </c>
      <c r="P48" s="1003"/>
      <c r="Q48" s="467"/>
      <c r="R48" s="1003"/>
      <c r="S48" s="467"/>
      <c r="T48" s="1003"/>
      <c r="U48" s="467"/>
      <c r="V48" s="1003"/>
      <c r="W48" s="467"/>
      <c r="X48" s="1003"/>
      <c r="Y48" s="467"/>
      <c r="Z48" s="1003"/>
      <c r="AA48" s="467"/>
      <c r="AB48" s="36"/>
      <c r="AC48" s="37"/>
      <c r="AD48" s="467">
        <v>2830.1</v>
      </c>
      <c r="AE48" s="755"/>
      <c r="AF48" s="36"/>
      <c r="AG48" s="467">
        <v>3374.8</v>
      </c>
      <c r="AH48" s="46"/>
      <c r="AI48" s="237"/>
      <c r="AJ48" s="36">
        <f t="shared" si="9"/>
        <v>-544.70000000000005</v>
      </c>
      <c r="AK48" s="113"/>
      <c r="AL48" s="1969">
        <f>ROUND(IF(AG48=0,0,AJ48/ABS(AG48)),3)</f>
        <v>-0.161</v>
      </c>
    </row>
    <row r="49" spans="1:41" s="658" customFormat="1" ht="15.75">
      <c r="B49" s="594" t="s">
        <v>933</v>
      </c>
      <c r="C49" s="499"/>
      <c r="D49" s="499"/>
      <c r="E49" s="467">
        <v>0</v>
      </c>
      <c r="F49" s="496"/>
      <c r="G49" s="467">
        <v>0</v>
      </c>
      <c r="H49" s="496"/>
      <c r="I49" s="467">
        <v>0</v>
      </c>
      <c r="J49" s="496"/>
      <c r="K49" s="467">
        <v>0</v>
      </c>
      <c r="L49" s="1003"/>
      <c r="M49" s="467">
        <v>0</v>
      </c>
      <c r="N49" s="1003"/>
      <c r="O49" s="467">
        <f t="shared" si="8"/>
        <v>0</v>
      </c>
      <c r="P49" s="1003"/>
      <c r="Q49" s="467"/>
      <c r="R49" s="1003"/>
      <c r="S49" s="467"/>
      <c r="T49" s="1003"/>
      <c r="U49" s="467"/>
      <c r="V49" s="1003"/>
      <c r="W49" s="467"/>
      <c r="X49" s="1003"/>
      <c r="Y49" s="467"/>
      <c r="Z49" s="1003"/>
      <c r="AA49" s="467"/>
      <c r="AB49" s="467"/>
      <c r="AC49" s="932"/>
      <c r="AD49" s="467">
        <v>0</v>
      </c>
      <c r="AE49" s="1768"/>
      <c r="AF49" s="467"/>
      <c r="AG49" s="467">
        <v>0</v>
      </c>
      <c r="AH49" s="493"/>
      <c r="AI49" s="237"/>
      <c r="AJ49" s="467">
        <f t="shared" si="9"/>
        <v>0</v>
      </c>
      <c r="AK49" s="472"/>
      <c r="AL49" s="469">
        <f>ROUND(IF(AG49=0,0,AJ49/ABS(AG49)),3)</f>
        <v>0</v>
      </c>
    </row>
    <row r="50" spans="1:41" ht="15.75">
      <c r="A50" s="21"/>
      <c r="B50" s="594" t="s">
        <v>934</v>
      </c>
      <c r="C50" s="499"/>
      <c r="D50" s="21"/>
      <c r="E50" s="467">
        <v>1.3</v>
      </c>
      <c r="F50" s="467"/>
      <c r="G50" s="467">
        <v>0.5</v>
      </c>
      <c r="H50" s="467"/>
      <c r="I50" s="467">
        <v>0.40000000000000013</v>
      </c>
      <c r="J50" s="467"/>
      <c r="K50" s="467">
        <v>0</v>
      </c>
      <c r="L50" s="1003"/>
      <c r="M50" s="467">
        <v>0</v>
      </c>
      <c r="N50" s="1003"/>
      <c r="O50" s="467">
        <f t="shared" si="8"/>
        <v>0.19999999999999973</v>
      </c>
      <c r="P50" s="1003"/>
      <c r="Q50" s="467"/>
      <c r="R50" s="1003"/>
      <c r="S50" s="467"/>
      <c r="T50" s="1003"/>
      <c r="U50" s="467"/>
      <c r="V50" s="1003"/>
      <c r="W50" s="467"/>
      <c r="X50" s="1003"/>
      <c r="Y50" s="467"/>
      <c r="Z50" s="1003"/>
      <c r="AA50" s="467"/>
      <c r="AB50" s="36"/>
      <c r="AC50" s="37"/>
      <c r="AD50" s="467">
        <v>2.4</v>
      </c>
      <c r="AE50" s="755"/>
      <c r="AF50" s="36"/>
      <c r="AG50" s="467">
        <v>2</v>
      </c>
      <c r="AH50" s="46"/>
      <c r="AI50" s="237"/>
      <c r="AJ50" s="36">
        <f t="shared" si="9"/>
        <v>0.4</v>
      </c>
      <c r="AK50" s="113"/>
      <c r="AL50" s="971">
        <f>ROUND(IF(AG50=0,1,AJ50/ABS(AG50)),3)</f>
        <v>0.2</v>
      </c>
    </row>
    <row r="51" spans="1:41" ht="15.75">
      <c r="A51" s="21"/>
      <c r="B51" s="594" t="s">
        <v>906</v>
      </c>
      <c r="C51" s="499"/>
      <c r="D51" s="21"/>
      <c r="E51" s="467">
        <v>0.7</v>
      </c>
      <c r="F51" s="467"/>
      <c r="G51" s="467">
        <v>2.0999999999999996</v>
      </c>
      <c r="H51" s="467"/>
      <c r="I51" s="467">
        <v>0.70000000000000018</v>
      </c>
      <c r="J51" s="467"/>
      <c r="K51" s="467">
        <v>0.29999999999999982</v>
      </c>
      <c r="L51" s="1003"/>
      <c r="M51" s="467">
        <v>1.6000000000000005</v>
      </c>
      <c r="N51" s="1003"/>
      <c r="O51" s="467">
        <f t="shared" si="8"/>
        <v>0.79999999999999982</v>
      </c>
      <c r="P51" s="1003"/>
      <c r="Q51" s="467"/>
      <c r="R51" s="1003"/>
      <c r="S51" s="467"/>
      <c r="T51" s="1003"/>
      <c r="U51" s="467"/>
      <c r="V51" s="1003"/>
      <c r="W51" s="467"/>
      <c r="X51" s="1003"/>
      <c r="Y51" s="467"/>
      <c r="Z51" s="1003"/>
      <c r="AA51" s="467"/>
      <c r="AB51" s="36"/>
      <c r="AC51" s="37"/>
      <c r="AD51" s="467">
        <v>6.2</v>
      </c>
      <c r="AE51" s="755"/>
      <c r="AF51" s="36"/>
      <c r="AG51" s="467">
        <v>20.9</v>
      </c>
      <c r="AH51" s="46"/>
      <c r="AI51" s="237"/>
      <c r="AJ51" s="36">
        <f t="shared" si="9"/>
        <v>-14.7</v>
      </c>
      <c r="AK51" s="113"/>
      <c r="AL51" s="948">
        <f>ROUND(IF(AG51=0,0,AJ51/ABS(AG51)),3)</f>
        <v>-0.70299999999999996</v>
      </c>
    </row>
    <row r="52" spans="1:41" ht="15.75">
      <c r="A52" s="21"/>
      <c r="B52" s="594" t="s">
        <v>1004</v>
      </c>
      <c r="C52" s="499"/>
      <c r="D52" s="21"/>
      <c r="E52" s="467" t="s">
        <v>14</v>
      </c>
      <c r="F52" s="467"/>
      <c r="G52" s="467"/>
      <c r="H52" s="467"/>
      <c r="I52" s="467"/>
      <c r="J52" s="467"/>
      <c r="K52" s="467"/>
      <c r="L52" s="1003"/>
      <c r="M52" s="467"/>
      <c r="N52" s="1003"/>
      <c r="O52" s="467"/>
      <c r="P52" s="1003"/>
      <c r="Q52" s="467"/>
      <c r="R52" s="1003"/>
      <c r="S52" s="467"/>
      <c r="T52" s="1003"/>
      <c r="U52" s="467"/>
      <c r="V52" s="1003"/>
      <c r="W52" s="467"/>
      <c r="X52" s="1003"/>
      <c r="Y52" s="467"/>
      <c r="Z52" s="1003"/>
      <c r="AA52" s="467"/>
      <c r="AB52" s="36"/>
      <c r="AC52" s="37"/>
      <c r="AD52" s="194"/>
      <c r="AE52" s="755"/>
      <c r="AF52" s="36"/>
      <c r="AG52" s="194"/>
      <c r="AH52" s="46"/>
      <c r="AI52" s="237"/>
      <c r="AJ52" s="36"/>
      <c r="AK52" s="113"/>
      <c r="AL52" s="236"/>
    </row>
    <row r="53" spans="1:41" ht="15.75">
      <c r="A53" s="21"/>
      <c r="B53" s="594" t="s">
        <v>935</v>
      </c>
      <c r="C53" s="499"/>
      <c r="D53" s="21"/>
      <c r="E53" s="467">
        <v>0</v>
      </c>
      <c r="F53" s="496"/>
      <c r="G53" s="467">
        <v>0</v>
      </c>
      <c r="H53" s="467"/>
      <c r="I53" s="467">
        <v>0</v>
      </c>
      <c r="J53" s="467"/>
      <c r="K53" s="467">
        <v>0</v>
      </c>
      <c r="L53" s="1003"/>
      <c r="M53" s="467">
        <v>0</v>
      </c>
      <c r="N53" s="1003"/>
      <c r="O53" s="467">
        <f t="shared" si="8"/>
        <v>0</v>
      </c>
      <c r="P53" s="1003"/>
      <c r="Q53" s="467"/>
      <c r="R53" s="1003"/>
      <c r="S53" s="467"/>
      <c r="T53" s="1003"/>
      <c r="U53" s="467"/>
      <c r="V53" s="1003"/>
      <c r="W53" s="467"/>
      <c r="X53" s="1003"/>
      <c r="Y53" s="467"/>
      <c r="Z53" s="1003"/>
      <c r="AA53" s="467"/>
      <c r="AB53" s="36"/>
      <c r="AC53" s="37"/>
      <c r="AD53" s="467">
        <v>0</v>
      </c>
      <c r="AE53" s="755"/>
      <c r="AF53" s="36"/>
      <c r="AG53" s="467">
        <v>0</v>
      </c>
      <c r="AH53" s="46"/>
      <c r="AI53" s="237"/>
      <c r="AJ53" s="36">
        <f t="shared" si="9"/>
        <v>0</v>
      </c>
      <c r="AK53" s="113"/>
      <c r="AL53" s="948">
        <f>ROUND(IF(AG53=0,0,AJ53/ABS(AG53)),3)</f>
        <v>0</v>
      </c>
    </row>
    <row r="54" spans="1:41" ht="15.75">
      <c r="A54" s="21"/>
      <c r="B54" s="594" t="s">
        <v>937</v>
      </c>
      <c r="C54" s="499"/>
      <c r="D54" s="21"/>
      <c r="E54" s="467">
        <v>3</v>
      </c>
      <c r="F54" s="496"/>
      <c r="G54" s="467">
        <v>0.5</v>
      </c>
      <c r="H54" s="467"/>
      <c r="I54" s="467">
        <v>0.59999999999999964</v>
      </c>
      <c r="J54" s="467"/>
      <c r="K54" s="467">
        <v>0.40000000000000036</v>
      </c>
      <c r="L54" s="1003"/>
      <c r="M54" s="467">
        <v>1.0999999999999996</v>
      </c>
      <c r="N54" s="1003"/>
      <c r="O54" s="467">
        <f t="shared" si="8"/>
        <v>1.8000000000000007</v>
      </c>
      <c r="P54" s="1003"/>
      <c r="Q54" s="467"/>
      <c r="R54" s="1003"/>
      <c r="S54" s="467"/>
      <c r="T54" s="1003"/>
      <c r="U54" s="467"/>
      <c r="V54" s="1003"/>
      <c r="W54" s="467"/>
      <c r="X54" s="1003"/>
      <c r="Y54" s="467"/>
      <c r="Z54" s="1003"/>
      <c r="AA54" s="467"/>
      <c r="AB54" s="36"/>
      <c r="AC54" s="37"/>
      <c r="AD54" s="467">
        <v>7.4</v>
      </c>
      <c r="AE54" s="755"/>
      <c r="AF54" s="36"/>
      <c r="AG54" s="467">
        <v>5.7</v>
      </c>
      <c r="AH54" s="46"/>
      <c r="AI54" s="237"/>
      <c r="AJ54" s="36">
        <f t="shared" si="9"/>
        <v>1.7</v>
      </c>
      <c r="AK54" s="113"/>
      <c r="AL54" s="964">
        <f>ROUND(IF(AG54=0,1,AJ54/ABS(AG54)),3)</f>
        <v>0.29799999999999999</v>
      </c>
    </row>
    <row r="55" spans="1:41" ht="15.75">
      <c r="A55" s="21"/>
      <c r="B55" s="594" t="s">
        <v>938</v>
      </c>
      <c r="C55" s="499"/>
      <c r="D55" s="21"/>
      <c r="E55" s="467">
        <v>5.6</v>
      </c>
      <c r="F55" s="496"/>
      <c r="G55" s="467">
        <v>16.399999999999999</v>
      </c>
      <c r="H55" s="467"/>
      <c r="I55" s="467">
        <v>11</v>
      </c>
      <c r="J55" s="467"/>
      <c r="K55" s="467">
        <v>5.7000000000000028</v>
      </c>
      <c r="L55" s="1003"/>
      <c r="M55" s="467">
        <v>9.7999999999999972</v>
      </c>
      <c r="N55" s="1003"/>
      <c r="O55" s="467">
        <f t="shared" si="8"/>
        <v>4.7999999999999972</v>
      </c>
      <c r="P55" s="1003"/>
      <c r="Q55" s="467"/>
      <c r="R55" s="1003"/>
      <c r="S55" s="467"/>
      <c r="T55" s="1003"/>
      <c r="U55" s="467"/>
      <c r="V55" s="1003"/>
      <c r="W55" s="467"/>
      <c r="X55" s="1003"/>
      <c r="Y55" s="467"/>
      <c r="Z55" s="1003"/>
      <c r="AA55" s="467"/>
      <c r="AB55" s="36"/>
      <c r="AC55" s="37"/>
      <c r="AD55" s="1856">
        <v>53.3</v>
      </c>
      <c r="AE55" s="1152"/>
      <c r="AF55" s="36"/>
      <c r="AG55" s="467">
        <v>49.4</v>
      </c>
      <c r="AH55" s="46"/>
      <c r="AI55" s="237"/>
      <c r="AJ55" s="36">
        <f t="shared" si="9"/>
        <v>3.9</v>
      </c>
      <c r="AK55" s="113"/>
      <c r="AL55" s="948">
        <f>ROUND(IF(AG55=0,1,AJ55/ABS(AG55)),3)</f>
        <v>7.9000000000000001E-2</v>
      </c>
    </row>
    <row r="56" spans="1:41" ht="15.75">
      <c r="A56" s="21"/>
      <c r="B56" s="594" t="s">
        <v>940</v>
      </c>
      <c r="C56" s="499"/>
      <c r="D56" s="21"/>
      <c r="E56" s="467">
        <v>0</v>
      </c>
      <c r="F56" s="496"/>
      <c r="G56" s="467">
        <v>0</v>
      </c>
      <c r="H56" s="467"/>
      <c r="I56" s="467">
        <v>0</v>
      </c>
      <c r="J56" s="467"/>
      <c r="K56" s="467">
        <v>0</v>
      </c>
      <c r="L56" s="1003"/>
      <c r="M56" s="467">
        <v>0</v>
      </c>
      <c r="N56" s="1003"/>
      <c r="O56" s="467">
        <f t="shared" si="8"/>
        <v>0</v>
      </c>
      <c r="P56" s="1003"/>
      <c r="Q56" s="467"/>
      <c r="R56" s="1003"/>
      <c r="S56" s="467"/>
      <c r="T56" s="1003"/>
      <c r="U56" s="467"/>
      <c r="V56" s="1003"/>
      <c r="W56" s="467"/>
      <c r="X56" s="1003"/>
      <c r="Y56" s="467"/>
      <c r="Z56" s="1003"/>
      <c r="AA56" s="467"/>
      <c r="AB56" s="36"/>
      <c r="AC56" s="37"/>
      <c r="AD56" s="467">
        <v>0</v>
      </c>
      <c r="AE56" s="1769"/>
      <c r="AF56" s="36"/>
      <c r="AG56" s="467">
        <v>0</v>
      </c>
      <c r="AH56" s="46"/>
      <c r="AI56" s="237"/>
      <c r="AJ56" s="36">
        <f>ROUND(AD56-AG56,1)</f>
        <v>0</v>
      </c>
      <c r="AK56" s="113"/>
      <c r="AL56" s="948">
        <f>ROUND(IF(AG56=0,0,AJ56/ABS(AG56)),3)</f>
        <v>0</v>
      </c>
    </row>
    <row r="57" spans="1:41" ht="15.75">
      <c r="A57" s="21"/>
      <c r="B57" s="594" t="s">
        <v>941</v>
      </c>
      <c r="C57" s="499"/>
      <c r="D57" s="21"/>
      <c r="E57" s="467">
        <v>0.3</v>
      </c>
      <c r="F57" s="496"/>
      <c r="G57" s="467">
        <v>0.39999999999999997</v>
      </c>
      <c r="H57" s="467"/>
      <c r="I57" s="467">
        <v>0.3</v>
      </c>
      <c r="J57" s="467"/>
      <c r="K57" s="467">
        <v>10.199999999999998</v>
      </c>
      <c r="L57" s="1003"/>
      <c r="M57" s="467">
        <v>0.20000000000000107</v>
      </c>
      <c r="N57" s="1003"/>
      <c r="O57" s="467">
        <f t="shared" si="8"/>
        <v>0</v>
      </c>
      <c r="P57" s="1003"/>
      <c r="Q57" s="467"/>
      <c r="R57" s="1003"/>
      <c r="S57" s="467"/>
      <c r="T57" s="1003"/>
      <c r="U57" s="467"/>
      <c r="V57" s="1003"/>
      <c r="W57" s="467"/>
      <c r="X57" s="1003"/>
      <c r="Y57" s="467"/>
      <c r="Z57" s="1003"/>
      <c r="AA57" s="467"/>
      <c r="AB57" s="36"/>
      <c r="AC57" s="37"/>
      <c r="AD57" s="467">
        <v>11.4</v>
      </c>
      <c r="AE57" s="755"/>
      <c r="AF57" s="36"/>
      <c r="AG57" s="467">
        <v>4.4000000000000004</v>
      </c>
      <c r="AH57" s="46"/>
      <c r="AI57" s="237"/>
      <c r="AJ57" s="36">
        <f t="shared" si="9"/>
        <v>7</v>
      </c>
      <c r="AK57" s="113"/>
      <c r="AL57" s="1969">
        <f>ROUND(IF(AG57=0,1,AJ57/ABS(AG57)),3)</f>
        <v>1.591</v>
      </c>
    </row>
    <row r="58" spans="1:41" ht="15.75">
      <c r="A58" s="21"/>
      <c r="B58" s="594" t="s">
        <v>943</v>
      </c>
      <c r="C58" s="499"/>
      <c r="D58" s="21"/>
      <c r="E58" s="467">
        <v>5.5</v>
      </c>
      <c r="F58" s="496"/>
      <c r="G58" s="467">
        <v>2.0999999999999996</v>
      </c>
      <c r="H58" s="467"/>
      <c r="I58" s="467">
        <v>20.299999999999997</v>
      </c>
      <c r="J58" s="467"/>
      <c r="K58" s="467">
        <v>7.3000000000000043</v>
      </c>
      <c r="L58" s="1003"/>
      <c r="M58" s="467">
        <v>1.3999999999999986</v>
      </c>
      <c r="N58" s="1003"/>
      <c r="O58" s="467">
        <f t="shared" si="8"/>
        <v>4.3999999999999986</v>
      </c>
      <c r="P58" s="1003"/>
      <c r="Q58" s="467"/>
      <c r="R58" s="1003"/>
      <c r="S58" s="467"/>
      <c r="T58" s="1003"/>
      <c r="U58" s="467"/>
      <c r="V58" s="1003"/>
      <c r="W58" s="467"/>
      <c r="X58" s="1003"/>
      <c r="Y58" s="467"/>
      <c r="Z58" s="1003"/>
      <c r="AA58" s="467"/>
      <c r="AB58" s="36"/>
      <c r="AC58" s="37"/>
      <c r="AD58" s="1118">
        <v>41</v>
      </c>
      <c r="AE58" s="755"/>
      <c r="AF58" s="36"/>
      <c r="AG58" s="1118">
        <v>14</v>
      </c>
      <c r="AH58" s="46"/>
      <c r="AI58" s="237"/>
      <c r="AJ58" s="36">
        <f t="shared" si="9"/>
        <v>27</v>
      </c>
      <c r="AK58" s="113"/>
      <c r="AL58" s="964">
        <f>ROUND(IF(AG58=0,0,AJ58/ABS(AG58)),3)</f>
        <v>1.929</v>
      </c>
    </row>
    <row r="59" spans="1:41" ht="15.75">
      <c r="A59" s="21"/>
      <c r="B59" s="594" t="s">
        <v>916</v>
      </c>
      <c r="C59" s="499"/>
      <c r="D59" s="21"/>
      <c r="E59" s="467">
        <v>0</v>
      </c>
      <c r="F59" s="496"/>
      <c r="G59" s="467">
        <v>0.2</v>
      </c>
      <c r="H59" s="467"/>
      <c r="I59" s="467">
        <v>9.9999999999999978E-2</v>
      </c>
      <c r="J59" s="467"/>
      <c r="K59" s="467">
        <v>0</v>
      </c>
      <c r="L59" s="1003"/>
      <c r="M59" s="467">
        <v>0</v>
      </c>
      <c r="N59" s="1003"/>
      <c r="O59" s="467">
        <f t="shared" si="8"/>
        <v>0</v>
      </c>
      <c r="P59" s="1003"/>
      <c r="Q59" s="467"/>
      <c r="R59" s="1003"/>
      <c r="S59" s="467"/>
      <c r="T59" s="1003"/>
      <c r="U59" s="467"/>
      <c r="V59" s="1003"/>
      <c r="W59" s="467"/>
      <c r="X59" s="1003"/>
      <c r="Y59" s="467"/>
      <c r="Z59" s="1003"/>
      <c r="AA59" s="467"/>
      <c r="AB59" s="36"/>
      <c r="AC59" s="37"/>
      <c r="AD59" s="1118">
        <v>0.3</v>
      </c>
      <c r="AE59" s="755"/>
      <c r="AF59" s="36"/>
      <c r="AG59" s="1118">
        <v>0.3</v>
      </c>
      <c r="AH59" s="46"/>
      <c r="AI59" s="237"/>
      <c r="AJ59" s="36">
        <f t="shared" si="9"/>
        <v>0</v>
      </c>
      <c r="AK59" s="113"/>
      <c r="AL59" s="1018">
        <f>ROUND(IF(AG59=0,0,AJ59/ABS(AG59)),3)</f>
        <v>0</v>
      </c>
      <c r="AN59" s="1473"/>
    </row>
    <row r="60" spans="1:41" s="19" customFormat="1" ht="15.75" collapsed="1">
      <c r="B60" s="218" t="s">
        <v>1040</v>
      </c>
      <c r="E60" s="179">
        <f>ROUND(SUM(E34:E59),1)</f>
        <v>282.5</v>
      </c>
      <c r="F60" s="42"/>
      <c r="G60" s="179">
        <f>ROUND(SUM(G34:G59),1)</f>
        <v>657.4</v>
      </c>
      <c r="H60" s="691"/>
      <c r="I60" s="179">
        <f>ROUND(SUM(I34:I59),1)</f>
        <v>460.6</v>
      </c>
      <c r="J60" s="42"/>
      <c r="K60" s="179">
        <f>ROUND(SUM(K34:K59),1)</f>
        <v>823</v>
      </c>
      <c r="L60" s="467"/>
      <c r="M60" s="179">
        <f>ROUND(SUM(M34:M59),1)</f>
        <v>426.5</v>
      </c>
      <c r="N60" s="467"/>
      <c r="O60" s="179">
        <f>ROUND(SUM(O34:O59),1)</f>
        <v>789.5</v>
      </c>
      <c r="P60" s="36"/>
      <c r="Q60" s="179">
        <f>ROUND(SUM(Q34:Q59),1)</f>
        <v>0</v>
      </c>
      <c r="R60" s="36"/>
      <c r="S60" s="179">
        <f>ROUND(SUM(S34:S59),1)</f>
        <v>0</v>
      </c>
      <c r="T60" s="42"/>
      <c r="U60" s="179">
        <f t="shared" ref="U60" si="10">ROUND(SUM(U34:U59),1)</f>
        <v>0</v>
      </c>
      <c r="V60" s="36"/>
      <c r="W60" s="179">
        <f>ROUND(SUM(W34:W59),1)</f>
        <v>0</v>
      </c>
      <c r="X60" s="36"/>
      <c r="Y60" s="179">
        <f>ROUND(SUM(Y34:Y59),1)</f>
        <v>0</v>
      </c>
      <c r="Z60" s="36"/>
      <c r="AA60" s="179">
        <f>ROUND(SUM(AA34:AA59),1)</f>
        <v>0</v>
      </c>
      <c r="AB60" s="42"/>
      <c r="AC60" s="44"/>
      <c r="AD60" s="179">
        <f>ROUND(SUM(AD34:AD59),1)</f>
        <v>3439.5</v>
      </c>
      <c r="AE60" s="144"/>
      <c r="AF60" s="42"/>
      <c r="AG60" s="179">
        <f>ROUND(SUM(AG34:AG59),1)</f>
        <v>3918</v>
      </c>
      <c r="AH60" s="57"/>
      <c r="AI60" s="237"/>
      <c r="AJ60" s="179">
        <f>ROUND(SUM(AJ34:AJ59),1)</f>
        <v>-478.5</v>
      </c>
      <c r="AK60" s="112"/>
      <c r="AL60" s="955">
        <f>ROUND(IF(AG60=0,0,AJ60/ABS(AG60)),3)</f>
        <v>-0.122</v>
      </c>
    </row>
    <row r="61" spans="1:41" s="19" customFormat="1" ht="15.75">
      <c r="B61" s="218"/>
      <c r="E61" s="42"/>
      <c r="F61" s="42"/>
      <c r="G61" s="42"/>
      <c r="H61" s="691"/>
      <c r="I61" s="42"/>
      <c r="J61" s="42"/>
      <c r="K61" s="42"/>
      <c r="L61" s="1003"/>
      <c r="M61" s="912"/>
      <c r="N61" s="1003"/>
      <c r="O61" s="912"/>
      <c r="P61" s="1003"/>
      <c r="Q61" s="912"/>
      <c r="R61" s="1003"/>
      <c r="S61" s="912"/>
      <c r="T61" s="1003"/>
      <c r="U61" s="912"/>
      <c r="V61" s="1003"/>
      <c r="W61" s="912"/>
      <c r="X61" s="1003"/>
      <c r="Y61" s="912"/>
      <c r="Z61" s="1003"/>
      <c r="AA61" s="912"/>
      <c r="AB61" s="42"/>
      <c r="AC61" s="44"/>
      <c r="AD61" s="42"/>
      <c r="AE61" s="1770"/>
      <c r="AF61" s="42"/>
      <c r="AG61" s="42"/>
      <c r="AH61" s="57"/>
      <c r="AI61" s="237"/>
      <c r="AJ61" s="42"/>
      <c r="AK61" s="112"/>
      <c r="AL61" s="190"/>
    </row>
    <row r="62" spans="1:41" ht="15.75">
      <c r="A62" s="21"/>
      <c r="B62" s="21" t="s">
        <v>146</v>
      </c>
      <c r="C62" s="21"/>
      <c r="D62" s="21"/>
      <c r="E62" s="467">
        <v>0</v>
      </c>
      <c r="F62" s="467"/>
      <c r="G62" s="467">
        <v>0</v>
      </c>
      <c r="H62" s="467"/>
      <c r="I62" s="467">
        <v>0.1</v>
      </c>
      <c r="J62" s="467"/>
      <c r="K62" s="467">
        <v>0</v>
      </c>
      <c r="L62" s="449"/>
      <c r="M62" s="467">
        <v>2.1999999999999997</v>
      </c>
      <c r="N62" s="449"/>
      <c r="O62" s="467">
        <f t="shared" ref="O62" si="11">$AD62-$E62-$G62-$I62-$K62-$M62</f>
        <v>0</v>
      </c>
      <c r="P62" s="449"/>
      <c r="Q62" s="467"/>
      <c r="R62" s="449"/>
      <c r="S62" s="467"/>
      <c r="T62" s="1862"/>
      <c r="U62" s="467"/>
      <c r="V62" s="1862"/>
      <c r="W62" s="467"/>
      <c r="X62" s="1862"/>
      <c r="Y62" s="467"/>
      <c r="Z62" s="1862"/>
      <c r="AA62" s="467"/>
      <c r="AB62" s="21"/>
      <c r="AC62" s="37"/>
      <c r="AD62" s="467">
        <v>2.2999999999999998</v>
      </c>
      <c r="AE62" s="52"/>
      <c r="AF62" s="36"/>
      <c r="AG62" s="467">
        <v>2.2000000000000002</v>
      </c>
      <c r="AH62" s="46"/>
      <c r="AI62" s="238"/>
      <c r="AJ62" s="2054">
        <f>ROUND(AD62-AG62,1)</f>
        <v>0.1</v>
      </c>
      <c r="AK62" s="113"/>
      <c r="AL62" s="2071">
        <f>ROUND(IF(AG62=0,1,AJ62/ABS(AG62)),3)</f>
        <v>4.4999999999999998E-2</v>
      </c>
    </row>
    <row r="63" spans="1:41" ht="15.75">
      <c r="A63" s="21"/>
      <c r="B63" s="21"/>
      <c r="C63" s="21"/>
      <c r="D63" s="21"/>
      <c r="E63" s="1158"/>
      <c r="F63" s="467"/>
      <c r="G63" s="1158"/>
      <c r="H63" s="467"/>
      <c r="I63" s="1158"/>
      <c r="J63" s="467"/>
      <c r="K63" s="1158"/>
      <c r="L63" s="449"/>
      <c r="M63" s="1158"/>
      <c r="N63" s="449"/>
      <c r="O63" s="1158"/>
      <c r="P63" s="449"/>
      <c r="Q63" s="1158"/>
      <c r="R63" s="449"/>
      <c r="S63" s="1158"/>
      <c r="T63" s="449"/>
      <c r="U63" s="1158"/>
      <c r="V63" s="449"/>
      <c r="W63" s="1158"/>
      <c r="X63" s="449"/>
      <c r="Y63" s="1158"/>
      <c r="Z63" s="449"/>
      <c r="AA63" s="1158"/>
      <c r="AB63" s="21"/>
      <c r="AC63" s="37"/>
      <c r="AD63" s="1158"/>
      <c r="AE63" s="2119"/>
      <c r="AF63" s="36"/>
      <c r="AG63" s="1158"/>
      <c r="AH63" s="36"/>
      <c r="AI63" s="238"/>
      <c r="AJ63" s="36"/>
      <c r="AL63" s="469"/>
    </row>
    <row r="64" spans="1:41" ht="15.75">
      <c r="A64" s="21"/>
      <c r="B64" s="19" t="s">
        <v>193</v>
      </c>
      <c r="C64" s="21"/>
      <c r="D64" s="21"/>
      <c r="E64" s="50">
        <f>ROUND(SUM(E32+E60+E62),1)</f>
        <v>383.5</v>
      </c>
      <c r="F64" s="42"/>
      <c r="G64" s="50">
        <f>ROUND(SUM(G32+G60+G62),1)</f>
        <v>758.2</v>
      </c>
      <c r="H64" s="42"/>
      <c r="I64" s="1474">
        <f>ROUND(SUM(I32+I60+I62),1)</f>
        <v>603.6</v>
      </c>
      <c r="J64" s="42"/>
      <c r="K64" s="1474">
        <f>ROUND(SUM(K32+K60+K62),1)</f>
        <v>949.4</v>
      </c>
      <c r="L64" s="42"/>
      <c r="M64" s="601">
        <f>ROUND(SUM(M32+M60+M62),1)</f>
        <v>550.20000000000005</v>
      </c>
      <c r="N64" s="42"/>
      <c r="O64" s="601">
        <f>ROUND(SUM(O32+O60+O62),1)</f>
        <v>957.7</v>
      </c>
      <c r="P64" s="42"/>
      <c r="Q64" s="601">
        <f>ROUND(SUM(Q32+Q60+Q62),1)</f>
        <v>0</v>
      </c>
      <c r="R64" s="42"/>
      <c r="S64" s="601">
        <f>ROUND(SUM(S32+S60+S62),1)</f>
        <v>0</v>
      </c>
      <c r="T64" s="42"/>
      <c r="U64" s="601">
        <f>ROUND(SUM(U32+U60+U62),1)</f>
        <v>0</v>
      </c>
      <c r="V64" s="42"/>
      <c r="W64" s="601">
        <f>ROUND(SUM(W32+W60+W62),1)</f>
        <v>0</v>
      </c>
      <c r="X64" s="42"/>
      <c r="Y64" s="601">
        <f>ROUND(SUM(Y32+Y60+Y62),1)</f>
        <v>0</v>
      </c>
      <c r="Z64" s="42"/>
      <c r="AA64" s="601">
        <f>ROUND(SUM(AA32+AA60+AA62),1)</f>
        <v>0</v>
      </c>
      <c r="AB64" s="42"/>
      <c r="AC64" s="44"/>
      <c r="AD64" s="601">
        <f>ROUND(SUM(AD32+AD60+AD62),1)</f>
        <v>4202.6000000000004</v>
      </c>
      <c r="AE64" s="144"/>
      <c r="AF64" s="42"/>
      <c r="AG64" s="601">
        <f>ROUND(SUM(AG32+AG60+AG62),1)</f>
        <v>4528.5</v>
      </c>
      <c r="AH64" s="57"/>
      <c r="AI64" s="238"/>
      <c r="AJ64" s="601">
        <f>ROUND(SUM(AJ32+AJ60+AJ62),1)</f>
        <v>-325.89999999999998</v>
      </c>
      <c r="AK64" s="112"/>
      <c r="AL64" s="962">
        <f>ROUND(IF(AG64=0,0,AJ64/ABS(AG64)),3)</f>
        <v>-7.1999999999999995E-2</v>
      </c>
      <c r="AM64" s="19"/>
      <c r="AO64" s="113"/>
    </row>
    <row r="65" spans="1:41" ht="15.75">
      <c r="A65" s="21"/>
      <c r="B65" s="21"/>
      <c r="C65" s="21"/>
      <c r="D65" s="21"/>
      <c r="E65" s="467"/>
      <c r="F65" s="467"/>
      <c r="G65" s="497"/>
      <c r="H65" s="467"/>
      <c r="I65" s="497"/>
      <c r="J65" s="467"/>
      <c r="K65" s="497"/>
      <c r="L65" s="1003"/>
      <c r="M65" s="912"/>
      <c r="N65" s="1003"/>
      <c r="O65" s="912"/>
      <c r="P65" s="1003"/>
      <c r="Q65" s="912"/>
      <c r="R65" s="1003"/>
      <c r="S65" s="912"/>
      <c r="T65" s="1003"/>
      <c r="U65" s="912"/>
      <c r="V65" s="1003"/>
      <c r="W65" s="912"/>
      <c r="X65" s="1003"/>
      <c r="Y65" s="912"/>
      <c r="Z65" s="1003"/>
      <c r="AA65" s="912"/>
      <c r="AB65" s="1152"/>
      <c r="AC65" s="36"/>
      <c r="AD65" s="61"/>
      <c r="AE65" s="1152"/>
      <c r="AF65" s="36"/>
      <c r="AG65" s="61"/>
      <c r="AH65" s="36"/>
      <c r="AI65" s="238"/>
      <c r="AJ65" s="38"/>
      <c r="AL65" s="236"/>
    </row>
    <row r="66" spans="1:41" ht="15.75">
      <c r="A66" s="21"/>
      <c r="B66" s="19" t="s">
        <v>22</v>
      </c>
      <c r="C66" s="21"/>
      <c r="D66" s="21"/>
      <c r="E66" s="467"/>
      <c r="F66" s="467"/>
      <c r="G66" s="467"/>
      <c r="H66" s="467"/>
      <c r="I66" s="467"/>
      <c r="J66" s="467"/>
      <c r="K66" s="467"/>
      <c r="L66" s="1003"/>
      <c r="M66" s="912"/>
      <c r="N66" s="1003"/>
      <c r="O66" s="912"/>
      <c r="P66" s="1003"/>
      <c r="Q66" s="912"/>
      <c r="R66" s="1003"/>
      <c r="S66" s="912"/>
      <c r="T66" s="1003"/>
      <c r="U66" s="912"/>
      <c r="V66" s="1003"/>
      <c r="W66" s="912"/>
      <c r="X66" s="1003"/>
      <c r="Y66" s="912"/>
      <c r="Z66" s="1003"/>
      <c r="AA66" s="912"/>
      <c r="AB66" s="1152"/>
      <c r="AC66" s="36"/>
      <c r="AD66" s="36"/>
      <c r="AE66" s="1152"/>
      <c r="AF66" s="36"/>
      <c r="AG66" s="36"/>
      <c r="AH66" s="36"/>
      <c r="AI66" s="238"/>
      <c r="AJ66" s="38"/>
      <c r="AL66" s="236"/>
    </row>
    <row r="67" spans="1:41" ht="15.75">
      <c r="A67" s="21"/>
      <c r="B67" s="21" t="s">
        <v>148</v>
      </c>
      <c r="C67" s="21"/>
      <c r="D67" s="21"/>
      <c r="E67" s="467"/>
      <c r="F67" s="467"/>
      <c r="G67" s="467"/>
      <c r="H67" s="467"/>
      <c r="I67" s="467"/>
      <c r="J67" s="467"/>
      <c r="K67" s="467"/>
      <c r="L67" s="1003"/>
      <c r="M67" s="912"/>
      <c r="N67" s="1003"/>
      <c r="O67" s="912"/>
      <c r="P67" s="1003"/>
      <c r="Q67" s="912"/>
      <c r="R67" s="1003"/>
      <c r="S67" s="912"/>
      <c r="T67" s="1003"/>
      <c r="U67" s="912"/>
      <c r="V67" s="1003"/>
      <c r="W67" s="912"/>
      <c r="X67" s="1003"/>
      <c r="Y67" s="912"/>
      <c r="Z67" s="1003"/>
      <c r="AA67" s="912"/>
      <c r="AB67" s="36"/>
      <c r="AC67" s="37"/>
      <c r="AD67" s="36"/>
      <c r="AE67" s="52"/>
      <c r="AF67" s="36"/>
      <c r="AG67" s="36"/>
      <c r="AH67" s="36"/>
      <c r="AI67" s="238"/>
      <c r="AJ67" s="38"/>
      <c r="AL67" s="236"/>
    </row>
    <row r="68" spans="1:41" ht="15.75">
      <c r="A68" s="21"/>
      <c r="B68" s="21" t="s">
        <v>24</v>
      </c>
      <c r="C68" s="21"/>
      <c r="D68" s="21"/>
      <c r="E68" s="467">
        <v>7</v>
      </c>
      <c r="F68" s="467"/>
      <c r="G68" s="467">
        <v>26.9</v>
      </c>
      <c r="H68" s="467"/>
      <c r="I68" s="467">
        <v>10.600000000000001</v>
      </c>
      <c r="J68" s="467"/>
      <c r="K68" s="467">
        <v>18.100000000000001</v>
      </c>
      <c r="L68" s="1003"/>
      <c r="M68" s="467">
        <v>3.3000000000000043</v>
      </c>
      <c r="N68" s="1003"/>
      <c r="O68" s="467">
        <f t="shared" ref="O68:O77" si="12">$AD68-$E68-$G68-$I68-$K68-$M68</f>
        <v>39.199999999999982</v>
      </c>
      <c r="P68" s="1003"/>
      <c r="Q68" s="467"/>
      <c r="R68" s="1003"/>
      <c r="S68" s="467"/>
      <c r="T68" s="1003"/>
      <c r="U68" s="467"/>
      <c r="V68" s="1003"/>
      <c r="W68" s="467"/>
      <c r="X68" s="1003"/>
      <c r="Y68" s="467"/>
      <c r="Z68" s="1003"/>
      <c r="AA68" s="467"/>
      <c r="AB68" s="36"/>
      <c r="AC68" s="37"/>
      <c r="AD68" s="467">
        <v>105.1</v>
      </c>
      <c r="AE68" s="52"/>
      <c r="AF68" s="36"/>
      <c r="AG68" s="467">
        <v>62.9</v>
      </c>
      <c r="AH68" s="46"/>
      <c r="AI68" s="237"/>
      <c r="AJ68" s="36">
        <f t="shared" ref="AJ68:AJ77" si="13">ROUND(AD68-AG68,1)</f>
        <v>42.2</v>
      </c>
      <c r="AK68" s="113"/>
      <c r="AL68" s="1969">
        <f>ROUND(IF(AG68=0,1,AJ68/ABS(AG68)),3)</f>
        <v>0.67100000000000004</v>
      </c>
    </row>
    <row r="69" spans="1:41" ht="15.75">
      <c r="A69" s="21"/>
      <c r="B69" s="21" t="s">
        <v>25</v>
      </c>
      <c r="C69" s="21"/>
      <c r="D69" s="21"/>
      <c r="E69" s="467">
        <v>16.2</v>
      </c>
      <c r="F69" s="467"/>
      <c r="G69" s="467">
        <v>8.3000000000000007</v>
      </c>
      <c r="H69" s="467"/>
      <c r="I69" s="467">
        <v>12</v>
      </c>
      <c r="J69" s="467"/>
      <c r="K69" s="467">
        <v>29.5</v>
      </c>
      <c r="L69" s="1003"/>
      <c r="M69" s="467">
        <v>37.099999999999994</v>
      </c>
      <c r="N69" s="1003"/>
      <c r="O69" s="467">
        <f t="shared" si="12"/>
        <v>12.600000000000009</v>
      </c>
      <c r="P69" s="1003"/>
      <c r="Q69" s="467"/>
      <c r="R69" s="1003"/>
      <c r="S69" s="467"/>
      <c r="T69" s="1003"/>
      <c r="U69" s="467"/>
      <c r="V69" s="1003"/>
      <c r="W69" s="467"/>
      <c r="X69" s="1003"/>
      <c r="Y69" s="467"/>
      <c r="Z69" s="1003"/>
      <c r="AA69" s="467"/>
      <c r="AB69" s="36"/>
      <c r="AC69" s="37"/>
      <c r="AD69" s="1856">
        <v>115.7</v>
      </c>
      <c r="AE69" s="52"/>
      <c r="AF69" s="36"/>
      <c r="AG69" s="467">
        <v>85.3</v>
      </c>
      <c r="AH69" s="46"/>
      <c r="AI69" s="237"/>
      <c r="AJ69" s="36">
        <f t="shared" si="13"/>
        <v>30.4</v>
      </c>
      <c r="AK69" s="113"/>
      <c r="AL69" s="948">
        <f>ROUND(IF(AG69=0,0,AJ69/ABS(AG69)),3)</f>
        <v>0.35599999999999998</v>
      </c>
    </row>
    <row r="70" spans="1:41" ht="15.75">
      <c r="A70" s="21"/>
      <c r="B70" s="21" t="s">
        <v>26</v>
      </c>
      <c r="C70" s="21"/>
      <c r="D70" s="21"/>
      <c r="E70" s="467">
        <v>35.799999999999997</v>
      </c>
      <c r="F70" s="467"/>
      <c r="G70" s="467">
        <v>46.100000000000009</v>
      </c>
      <c r="H70" s="467"/>
      <c r="I70" s="467">
        <v>52.199999999999989</v>
      </c>
      <c r="J70" s="467"/>
      <c r="K70" s="467">
        <v>15.599999999999994</v>
      </c>
      <c r="L70" s="1003"/>
      <c r="M70" s="467">
        <v>26.40000000000002</v>
      </c>
      <c r="N70" s="1003"/>
      <c r="O70" s="467">
        <f t="shared" si="12"/>
        <v>93.899999999999963</v>
      </c>
      <c r="P70" s="1003"/>
      <c r="Q70" s="467"/>
      <c r="R70" s="1003"/>
      <c r="S70" s="467"/>
      <c r="T70" s="1003"/>
      <c r="U70" s="467"/>
      <c r="V70" s="1003"/>
      <c r="W70" s="467"/>
      <c r="X70" s="1003"/>
      <c r="Y70" s="467"/>
      <c r="Z70" s="1003"/>
      <c r="AA70" s="467"/>
      <c r="AB70" s="36"/>
      <c r="AC70" s="37"/>
      <c r="AD70" s="1856">
        <v>270</v>
      </c>
      <c r="AE70" s="52"/>
      <c r="AF70" s="36"/>
      <c r="AG70" s="467">
        <v>292.2</v>
      </c>
      <c r="AH70" s="46"/>
      <c r="AI70" s="237"/>
      <c r="AJ70" s="36">
        <f t="shared" si="13"/>
        <v>-22.2</v>
      </c>
      <c r="AK70" s="113"/>
      <c r="AL70" s="948">
        <f>ROUND(IF(AG70=0,0,AJ70/ABS(AG70)),3)</f>
        <v>-7.5999999999999998E-2</v>
      </c>
    </row>
    <row r="71" spans="1:41" ht="15.75">
      <c r="A71" s="21"/>
      <c r="B71" s="21" t="s">
        <v>27</v>
      </c>
      <c r="C71" s="21"/>
      <c r="D71" s="21"/>
      <c r="E71" s="467" t="s">
        <v>14</v>
      </c>
      <c r="F71" s="467"/>
      <c r="G71" s="467"/>
      <c r="H71" s="467"/>
      <c r="I71" s="467"/>
      <c r="J71" s="467"/>
      <c r="K71" s="467"/>
      <c r="L71" s="1003"/>
      <c r="M71" s="467"/>
      <c r="N71" s="1003"/>
      <c r="O71" s="467"/>
      <c r="P71" s="1003"/>
      <c r="Q71" s="467"/>
      <c r="R71" s="1003"/>
      <c r="S71" s="467"/>
      <c r="T71" s="1003"/>
      <c r="U71" s="467"/>
      <c r="V71" s="1003"/>
      <c r="W71" s="467"/>
      <c r="X71" s="1003"/>
      <c r="Y71" s="467"/>
      <c r="Z71" s="1003"/>
      <c r="AA71" s="467"/>
      <c r="AB71" s="36"/>
      <c r="AC71" s="37"/>
      <c r="AD71" s="1856"/>
      <c r="AE71" s="52"/>
      <c r="AF71" s="36"/>
      <c r="AG71" s="467"/>
      <c r="AH71" s="36"/>
      <c r="AI71" s="238"/>
      <c r="AJ71" s="467"/>
      <c r="AK71" s="113"/>
      <c r="AL71" s="236"/>
    </row>
    <row r="72" spans="1:41" ht="15.75">
      <c r="A72" s="21"/>
      <c r="B72" s="21" t="s">
        <v>28</v>
      </c>
      <c r="C72" s="19"/>
      <c r="D72" s="21"/>
      <c r="E72" s="467">
        <v>0</v>
      </c>
      <c r="F72" s="467"/>
      <c r="G72" s="467">
        <v>0</v>
      </c>
      <c r="H72" s="467"/>
      <c r="I72" s="467">
        <v>0</v>
      </c>
      <c r="J72" s="467"/>
      <c r="K72" s="467">
        <v>0</v>
      </c>
      <c r="L72" s="1003"/>
      <c r="M72" s="467">
        <v>0</v>
      </c>
      <c r="N72" s="1003"/>
      <c r="O72" s="467">
        <f t="shared" si="12"/>
        <v>0</v>
      </c>
      <c r="P72" s="1003"/>
      <c r="Q72" s="467"/>
      <c r="R72" s="1003"/>
      <c r="S72" s="467"/>
      <c r="T72" s="1003"/>
      <c r="U72" s="467"/>
      <c r="V72" s="1003"/>
      <c r="W72" s="467"/>
      <c r="X72" s="1003"/>
      <c r="Y72" s="467"/>
      <c r="Z72" s="1003"/>
      <c r="AA72" s="467"/>
      <c r="AB72" s="36"/>
      <c r="AC72" s="37"/>
      <c r="AD72" s="1856">
        <v>0</v>
      </c>
      <c r="AE72" s="52"/>
      <c r="AF72" s="36"/>
      <c r="AG72" s="467">
        <v>0</v>
      </c>
      <c r="AH72" s="36"/>
      <c r="AI72" s="238"/>
      <c r="AJ72" s="36">
        <f t="shared" si="13"/>
        <v>0</v>
      </c>
      <c r="AL72" s="964">
        <f>ROUND(IF(AG72=0,0,AJ72/ABS(AG72)),3)</f>
        <v>0</v>
      </c>
    </row>
    <row r="73" spans="1:41" ht="15.75">
      <c r="A73" s="21"/>
      <c r="B73" s="21" t="s">
        <v>29</v>
      </c>
      <c r="C73" s="21"/>
      <c r="D73" s="21"/>
      <c r="E73" s="467">
        <v>7.9</v>
      </c>
      <c r="F73" s="467"/>
      <c r="G73" s="467">
        <v>49.4</v>
      </c>
      <c r="H73" s="467"/>
      <c r="I73" s="467">
        <v>20.699999999999996</v>
      </c>
      <c r="J73" s="467"/>
      <c r="K73" s="467">
        <v>51.199999999999982</v>
      </c>
      <c r="L73" s="1003"/>
      <c r="M73" s="467">
        <v>25.500000000000007</v>
      </c>
      <c r="N73" s="1003"/>
      <c r="O73" s="467">
        <f t="shared" si="12"/>
        <v>17.600000000000023</v>
      </c>
      <c r="P73" s="1003"/>
      <c r="Q73" s="467"/>
      <c r="R73" s="1003"/>
      <c r="S73" s="467"/>
      <c r="T73" s="1003"/>
      <c r="U73" s="467"/>
      <c r="V73" s="1003"/>
      <c r="W73" s="467"/>
      <c r="X73" s="1003"/>
      <c r="Y73" s="467"/>
      <c r="Z73" s="1003"/>
      <c r="AA73" s="467"/>
      <c r="AB73" s="36"/>
      <c r="AC73" s="37"/>
      <c r="AD73" s="1856">
        <v>172.3</v>
      </c>
      <c r="AE73" s="52"/>
      <c r="AF73" s="36"/>
      <c r="AG73" s="467">
        <v>206.8</v>
      </c>
      <c r="AH73" s="46"/>
      <c r="AI73" s="237"/>
      <c r="AJ73" s="36">
        <f t="shared" si="13"/>
        <v>-34.5</v>
      </c>
      <c r="AK73" s="113"/>
      <c r="AL73" s="948">
        <f>ROUND(IF(AG73=0,0,AJ73/ABS(AG73)),3)</f>
        <v>-0.16700000000000001</v>
      </c>
    </row>
    <row r="74" spans="1:41" ht="15.75">
      <c r="A74" s="21"/>
      <c r="B74" s="21" t="s">
        <v>30</v>
      </c>
      <c r="C74" s="21"/>
      <c r="D74" s="21"/>
      <c r="E74" s="467">
        <v>1</v>
      </c>
      <c r="F74" s="467"/>
      <c r="G74" s="467">
        <v>1</v>
      </c>
      <c r="H74" s="467"/>
      <c r="I74" s="467">
        <v>1.9</v>
      </c>
      <c r="J74" s="467"/>
      <c r="K74" s="467">
        <v>0.80000000000000027</v>
      </c>
      <c r="L74" s="1003"/>
      <c r="M74" s="467">
        <v>4.6999999999999993</v>
      </c>
      <c r="N74" s="1003"/>
      <c r="O74" s="467">
        <f t="shared" si="12"/>
        <v>1</v>
      </c>
      <c r="P74" s="1003"/>
      <c r="Q74" s="467"/>
      <c r="R74" s="1003"/>
      <c r="S74" s="467"/>
      <c r="T74" s="1003"/>
      <c r="U74" s="467"/>
      <c r="V74" s="1003"/>
      <c r="W74" s="467"/>
      <c r="X74" s="1003"/>
      <c r="Y74" s="467"/>
      <c r="Z74" s="1003"/>
      <c r="AA74" s="467"/>
      <c r="AB74" s="36"/>
      <c r="AC74" s="37"/>
      <c r="AD74" s="1856">
        <v>10.4</v>
      </c>
      <c r="AE74" s="52"/>
      <c r="AF74" s="36"/>
      <c r="AG74" s="467">
        <v>8.6999999999999993</v>
      </c>
      <c r="AH74" s="46"/>
      <c r="AI74" s="237"/>
      <c r="AJ74" s="36">
        <f t="shared" si="13"/>
        <v>1.7</v>
      </c>
      <c r="AK74" s="113"/>
      <c r="AL74" s="971">
        <f>ROUND(IF(AG74=0,1,AJ74/ABS(AG74)),3)</f>
        <v>0.19500000000000001</v>
      </c>
    </row>
    <row r="75" spans="1:41" ht="15.75">
      <c r="A75" s="21"/>
      <c r="B75" s="21" t="s">
        <v>31</v>
      </c>
      <c r="C75" s="21"/>
      <c r="D75" s="21"/>
      <c r="E75" s="467">
        <v>76.099999999999994</v>
      </c>
      <c r="F75" s="467"/>
      <c r="G75" s="467">
        <v>29.5</v>
      </c>
      <c r="H75" s="467"/>
      <c r="I75" s="467">
        <v>175.79999999999998</v>
      </c>
      <c r="J75" s="467"/>
      <c r="K75" s="467">
        <v>37.700000000000045</v>
      </c>
      <c r="L75" s="1003"/>
      <c r="M75" s="467">
        <v>91.6</v>
      </c>
      <c r="N75" s="1003"/>
      <c r="O75" s="467">
        <f t="shared" si="12"/>
        <v>59.799999999999955</v>
      </c>
      <c r="P75" s="1003"/>
      <c r="Q75" s="467"/>
      <c r="R75" s="1003"/>
      <c r="S75" s="467"/>
      <c r="T75" s="1003"/>
      <c r="U75" s="467"/>
      <c r="V75" s="1003"/>
      <c r="W75" s="467"/>
      <c r="X75" s="1003"/>
      <c r="Y75" s="467"/>
      <c r="Z75" s="1003"/>
      <c r="AA75" s="467"/>
      <c r="AB75" s="36"/>
      <c r="AC75" s="37"/>
      <c r="AD75" s="1856">
        <v>470.5</v>
      </c>
      <c r="AE75" s="52"/>
      <c r="AF75" s="36"/>
      <c r="AG75" s="467">
        <v>298.89999999999998</v>
      </c>
      <c r="AH75" s="36"/>
      <c r="AI75" s="238"/>
      <c r="AJ75" s="36">
        <f t="shared" si="13"/>
        <v>171.6</v>
      </c>
      <c r="AK75" s="113"/>
      <c r="AL75" s="1018">
        <f>ROUND(IF(AG75=0,1,AJ75/ABS(AG75)),3)</f>
        <v>0.57399999999999995</v>
      </c>
    </row>
    <row r="76" spans="1:41" ht="15.75">
      <c r="A76" s="21"/>
      <c r="B76" s="21" t="s">
        <v>32</v>
      </c>
      <c r="C76" s="19"/>
      <c r="D76" s="21"/>
      <c r="E76" s="467">
        <v>29.5</v>
      </c>
      <c r="F76" s="467"/>
      <c r="G76" s="467">
        <v>17</v>
      </c>
      <c r="H76" s="467"/>
      <c r="I76" s="467">
        <v>78.099999999999994</v>
      </c>
      <c r="J76" s="467"/>
      <c r="K76" s="467">
        <v>165.70000000000002</v>
      </c>
      <c r="L76" s="1003"/>
      <c r="M76" s="467">
        <v>48.199999999999989</v>
      </c>
      <c r="N76" s="1003"/>
      <c r="O76" s="467">
        <f t="shared" si="12"/>
        <v>66.900000000000063</v>
      </c>
      <c r="P76" s="1003"/>
      <c r="Q76" s="467"/>
      <c r="R76" s="1003"/>
      <c r="S76" s="467"/>
      <c r="T76" s="1003"/>
      <c r="U76" s="467"/>
      <c r="V76" s="1003"/>
      <c r="W76" s="467"/>
      <c r="X76" s="1003"/>
      <c r="Y76" s="467"/>
      <c r="Z76" s="1003"/>
      <c r="AA76" s="467"/>
      <c r="AB76" s="36"/>
      <c r="AC76" s="37"/>
      <c r="AD76" s="1856">
        <v>405.40000000000003</v>
      </c>
      <c r="AE76" s="52"/>
      <c r="AF76" s="36"/>
      <c r="AG76" s="467">
        <v>256.10000000000002</v>
      </c>
      <c r="AH76" s="36"/>
      <c r="AI76" s="238"/>
      <c r="AJ76" s="36">
        <f t="shared" si="13"/>
        <v>149.30000000000001</v>
      </c>
      <c r="AL76" s="1018">
        <f>ROUND(IF(AG76=0,0,AJ76/ABS(AG76)),3)</f>
        <v>0.58299999999999996</v>
      </c>
    </row>
    <row r="77" spans="1:41" ht="15.75">
      <c r="A77" s="21"/>
      <c r="B77" s="21" t="s">
        <v>33</v>
      </c>
      <c r="C77" s="21"/>
      <c r="D77" s="21"/>
      <c r="E77" s="467">
        <v>3.1</v>
      </c>
      <c r="F77" s="467"/>
      <c r="G77" s="467">
        <v>2.6</v>
      </c>
      <c r="H77" s="467"/>
      <c r="I77" s="467">
        <v>98.600000000000009</v>
      </c>
      <c r="J77" s="467"/>
      <c r="K77" s="467">
        <v>15.600000000000009</v>
      </c>
      <c r="L77" s="1003"/>
      <c r="M77" s="467">
        <v>5.0999999999999943</v>
      </c>
      <c r="N77" s="1003"/>
      <c r="O77" s="467">
        <f t="shared" si="12"/>
        <v>145.79999999999993</v>
      </c>
      <c r="P77" s="1003"/>
      <c r="Q77" s="467"/>
      <c r="R77" s="1003"/>
      <c r="S77" s="467"/>
      <c r="T77" s="1003"/>
      <c r="U77" s="467"/>
      <c r="V77" s="1003"/>
      <c r="W77" s="467"/>
      <c r="X77" s="1003"/>
      <c r="Y77" s="467"/>
      <c r="Z77" s="1003"/>
      <c r="AA77" s="467"/>
      <c r="AB77" s="36"/>
      <c r="AC77" s="37"/>
      <c r="AD77" s="1856">
        <v>270.8</v>
      </c>
      <c r="AE77" s="52"/>
      <c r="AF77" s="36"/>
      <c r="AG77" s="467">
        <v>252.9</v>
      </c>
      <c r="AH77" s="36"/>
      <c r="AI77" s="238"/>
      <c r="AJ77" s="36">
        <f t="shared" si="13"/>
        <v>17.899999999999999</v>
      </c>
      <c r="AK77" s="113"/>
      <c r="AL77" s="964">
        <f>ROUND(IF(AG77=0,0,AJ77/ABS(AG77)),3)</f>
        <v>7.0999999999999994E-2</v>
      </c>
      <c r="AM77" s="71" t="s">
        <v>14</v>
      </c>
      <c r="AN77" s="71" t="s">
        <v>14</v>
      </c>
      <c r="AO77" s="71" t="s">
        <v>14</v>
      </c>
    </row>
    <row r="78" spans="1:41" ht="15.75">
      <c r="A78" s="21"/>
      <c r="B78" s="19" t="s">
        <v>194</v>
      </c>
      <c r="C78" s="21"/>
      <c r="D78" s="21"/>
      <c r="E78" s="207">
        <f>ROUND(SUM(E68:E77),1)</f>
        <v>176.6</v>
      </c>
      <c r="F78" s="42"/>
      <c r="G78" s="207">
        <f>ROUND(SUM(G68:G77),1)</f>
        <v>180.8</v>
      </c>
      <c r="H78" s="42"/>
      <c r="I78" s="207">
        <f>ROUND(SUM(I68:I77),1)</f>
        <v>449.9</v>
      </c>
      <c r="J78" s="42"/>
      <c r="K78" s="207">
        <f>ROUND(SUM(K68:K77),1)</f>
        <v>334.2</v>
      </c>
      <c r="L78" s="42"/>
      <c r="M78" s="207">
        <f>ROUND(SUM(M68:M77),1)</f>
        <v>241.9</v>
      </c>
      <c r="N78" s="42"/>
      <c r="O78" s="207">
        <f>ROUND(SUM(O68:O77),1)</f>
        <v>436.8</v>
      </c>
      <c r="P78" s="42"/>
      <c r="Q78" s="207">
        <f>ROUND(SUM(Q68:Q77),1)</f>
        <v>0</v>
      </c>
      <c r="R78" s="42"/>
      <c r="S78" s="207">
        <f>ROUND(SUM(S68:S77),1)</f>
        <v>0</v>
      </c>
      <c r="T78" s="42"/>
      <c r="U78" s="207">
        <f t="shared" ref="U78" si="14">ROUND(SUM(U68:U77),1)</f>
        <v>0</v>
      </c>
      <c r="V78" s="42"/>
      <c r="W78" s="207">
        <f>ROUND(SUM(W68:W77),1)</f>
        <v>0</v>
      </c>
      <c r="X78" s="42"/>
      <c r="Y78" s="207">
        <f>ROUND(SUM(Y68:Y77),1)</f>
        <v>0</v>
      </c>
      <c r="Z78" s="42"/>
      <c r="AA78" s="207">
        <f>ROUND(SUM(AA68:AA77),1)</f>
        <v>0</v>
      </c>
      <c r="AB78" s="42"/>
      <c r="AC78" s="44"/>
      <c r="AD78" s="207">
        <f>ROUND(SUM(AD68:AD77),1)</f>
        <v>1820.2</v>
      </c>
      <c r="AE78" s="144"/>
      <c r="AF78" s="42"/>
      <c r="AG78" s="207">
        <f>ROUND(SUM(AG68:AG77),1)</f>
        <v>1463.8</v>
      </c>
      <c r="AH78" s="42"/>
      <c r="AI78" s="238"/>
      <c r="AJ78" s="207">
        <f>ROUND(SUM(AJ68:AJ77),1)</f>
        <v>356.4</v>
      </c>
      <c r="AK78" s="19"/>
      <c r="AL78" s="955">
        <f>ROUND(IF(AG78=0,0,AJ78/ABS(AG78)),3)</f>
        <v>0.24299999999999999</v>
      </c>
      <c r="AO78" s="113"/>
    </row>
    <row r="79" spans="1:41" ht="15.75">
      <c r="A79" s="21"/>
      <c r="B79" s="21" t="s">
        <v>195</v>
      </c>
      <c r="C79" s="21"/>
      <c r="D79" s="21"/>
      <c r="E79" s="467"/>
      <c r="F79" s="467"/>
      <c r="G79" s="467"/>
      <c r="H79" s="467"/>
      <c r="I79" s="467"/>
      <c r="J79" s="467"/>
      <c r="K79" s="467"/>
      <c r="L79" s="36"/>
      <c r="M79" s="36"/>
      <c r="N79" s="36"/>
      <c r="O79" s="36"/>
      <c r="P79" s="36"/>
      <c r="Q79" s="36"/>
      <c r="R79" s="36"/>
      <c r="S79" s="36"/>
      <c r="T79" s="36"/>
      <c r="U79" s="36"/>
      <c r="V79" s="36"/>
      <c r="W79" s="36"/>
      <c r="X79" s="36"/>
      <c r="Y79" s="36"/>
      <c r="Z79" s="36"/>
      <c r="AA79" s="36"/>
      <c r="AB79" s="36"/>
      <c r="AC79" s="37"/>
      <c r="AD79" s="36"/>
      <c r="AE79" s="52"/>
      <c r="AF79" s="36"/>
      <c r="AG79" s="36"/>
      <c r="AH79" s="36"/>
      <c r="AI79" s="238"/>
      <c r="AJ79" s="38"/>
      <c r="AL79" s="236"/>
    </row>
    <row r="80" spans="1:41" ht="15.75">
      <c r="A80" s="21"/>
      <c r="B80" s="21" t="s">
        <v>196</v>
      </c>
      <c r="C80" s="21"/>
      <c r="D80" s="21"/>
      <c r="E80" s="467">
        <v>0</v>
      </c>
      <c r="F80" s="467"/>
      <c r="G80" s="467">
        <v>0</v>
      </c>
      <c r="H80" s="467"/>
      <c r="I80" s="467">
        <v>0</v>
      </c>
      <c r="J80" s="467"/>
      <c r="K80" s="467">
        <v>0</v>
      </c>
      <c r="L80" s="1003"/>
      <c r="M80" s="467">
        <v>0</v>
      </c>
      <c r="N80" s="1003"/>
      <c r="O80" s="467">
        <f t="shared" ref="O80:O83" si="15">$AD80-$E80-$G80-$I80-$K80-$M80</f>
        <v>0</v>
      </c>
      <c r="P80" s="1003"/>
      <c r="Q80" s="467"/>
      <c r="R80" s="1003"/>
      <c r="S80" s="467"/>
      <c r="T80" s="1003"/>
      <c r="U80" s="467"/>
      <c r="V80" s="1003"/>
      <c r="W80" s="467"/>
      <c r="X80" s="1003"/>
      <c r="Y80" s="467"/>
      <c r="Z80" s="1003"/>
      <c r="AA80" s="467"/>
      <c r="AB80" s="36"/>
      <c r="AC80" s="37"/>
      <c r="AD80" s="467">
        <v>0</v>
      </c>
      <c r="AE80" s="52"/>
      <c r="AF80" s="36"/>
      <c r="AG80" s="467">
        <v>0</v>
      </c>
      <c r="AH80" s="40"/>
      <c r="AI80" s="241"/>
      <c r="AJ80" s="36">
        <f>ROUND(AD80-AG80,1)</f>
        <v>0</v>
      </c>
      <c r="AL80" s="948">
        <f>ROUND(IF(AG80=0,0,AJ80/ABS(AG80)),3)</f>
        <v>0</v>
      </c>
    </row>
    <row r="81" spans="1:41" ht="15.75">
      <c r="A81" s="21"/>
      <c r="B81" s="21" t="s">
        <v>197</v>
      </c>
      <c r="C81" s="21"/>
      <c r="D81" s="21"/>
      <c r="E81" s="467">
        <v>0</v>
      </c>
      <c r="F81" s="467"/>
      <c r="G81" s="467">
        <v>0</v>
      </c>
      <c r="H81" s="467"/>
      <c r="I81" s="467">
        <v>0</v>
      </c>
      <c r="J81" s="467"/>
      <c r="K81" s="467">
        <v>0</v>
      </c>
      <c r="L81" s="1003"/>
      <c r="M81" s="467">
        <v>0</v>
      </c>
      <c r="N81" s="1003"/>
      <c r="O81" s="467">
        <f t="shared" si="15"/>
        <v>0</v>
      </c>
      <c r="P81" s="1003"/>
      <c r="Q81" s="467"/>
      <c r="R81" s="1003"/>
      <c r="S81" s="467"/>
      <c r="T81" s="1003"/>
      <c r="U81" s="467"/>
      <c r="V81" s="1003"/>
      <c r="W81" s="467"/>
      <c r="X81" s="1003"/>
      <c r="Y81" s="467"/>
      <c r="Z81" s="1003"/>
      <c r="AA81" s="467"/>
      <c r="AB81" s="36"/>
      <c r="AC81" s="37"/>
      <c r="AD81" s="1856">
        <v>0</v>
      </c>
      <c r="AE81" s="52"/>
      <c r="AF81" s="36"/>
      <c r="AG81" s="1856">
        <v>0</v>
      </c>
      <c r="AH81" s="40"/>
      <c r="AI81" s="241"/>
      <c r="AJ81" s="36">
        <f>ROUND(AD81-AG81,1)</f>
        <v>0</v>
      </c>
      <c r="AL81" s="948">
        <f>ROUND(IF(AG81=0,0,AJ81/ABS(AG81)),3)</f>
        <v>0</v>
      </c>
    </row>
    <row r="82" spans="1:41" ht="15.75">
      <c r="A82" s="21"/>
      <c r="B82" s="21" t="s">
        <v>198</v>
      </c>
      <c r="C82" s="21"/>
      <c r="D82" s="21"/>
      <c r="E82" s="467">
        <v>0</v>
      </c>
      <c r="F82" s="467"/>
      <c r="G82" s="467">
        <v>0</v>
      </c>
      <c r="H82" s="467"/>
      <c r="I82" s="467">
        <v>0</v>
      </c>
      <c r="J82" s="467"/>
      <c r="K82" s="467">
        <v>0</v>
      </c>
      <c r="L82" s="1003"/>
      <c r="M82" s="467">
        <v>0</v>
      </c>
      <c r="N82" s="1003"/>
      <c r="O82" s="467">
        <f t="shared" si="15"/>
        <v>0</v>
      </c>
      <c r="P82" s="1003"/>
      <c r="Q82" s="467"/>
      <c r="R82" s="1003"/>
      <c r="S82" s="467"/>
      <c r="T82" s="1003"/>
      <c r="U82" s="467"/>
      <c r="V82" s="1003"/>
      <c r="W82" s="467"/>
      <c r="X82" s="1003"/>
      <c r="Y82" s="467"/>
      <c r="Z82" s="1003"/>
      <c r="AA82" s="467"/>
      <c r="AB82" s="242"/>
      <c r="AC82" s="243"/>
      <c r="AD82" s="467">
        <v>0</v>
      </c>
      <c r="AE82" s="52"/>
      <c r="AF82" s="36"/>
      <c r="AG82" s="467">
        <v>0</v>
      </c>
      <c r="AH82" s="40"/>
      <c r="AI82" s="241"/>
      <c r="AJ82" s="36">
        <f>ROUND(AD82-AG82,1)</f>
        <v>0</v>
      </c>
      <c r="AL82" s="948">
        <f>ROUND(IF(AG82=0,0,AJ82/ABS(AG82)),3)</f>
        <v>0</v>
      </c>
    </row>
    <row r="83" spans="1:41" ht="15.75">
      <c r="A83" s="21"/>
      <c r="B83" s="34" t="s">
        <v>169</v>
      </c>
      <c r="C83" s="21"/>
      <c r="D83" s="21"/>
      <c r="E83" s="467">
        <v>305.10000000000002</v>
      </c>
      <c r="F83" s="467"/>
      <c r="G83" s="467">
        <v>580.9</v>
      </c>
      <c r="H83" s="467"/>
      <c r="I83" s="467">
        <v>655.19999999999993</v>
      </c>
      <c r="J83" s="467"/>
      <c r="K83" s="467">
        <v>472.4</v>
      </c>
      <c r="L83" s="1003"/>
      <c r="M83" s="467">
        <v>652.9000000000002</v>
      </c>
      <c r="N83" s="1003"/>
      <c r="O83" s="467">
        <f t="shared" si="15"/>
        <v>571.9</v>
      </c>
      <c r="P83" s="1003"/>
      <c r="Q83" s="467"/>
      <c r="R83" s="1003"/>
      <c r="S83" s="467"/>
      <c r="T83" s="1003"/>
      <c r="U83" s="467"/>
      <c r="V83" s="1003"/>
      <c r="W83" s="467"/>
      <c r="X83" s="1003"/>
      <c r="Y83" s="467"/>
      <c r="Z83" s="1003"/>
      <c r="AA83" s="467"/>
      <c r="AB83" s="36"/>
      <c r="AC83" s="37"/>
      <c r="AD83" s="671">
        <v>3238.4</v>
      </c>
      <c r="AE83" s="52"/>
      <c r="AF83" s="36"/>
      <c r="AG83" s="671">
        <v>3253</v>
      </c>
      <c r="AH83" s="46"/>
      <c r="AI83" s="237"/>
      <c r="AJ83" s="648">
        <f>ROUND(AD83-AG83,1)</f>
        <v>-14.6</v>
      </c>
      <c r="AL83" s="949">
        <f>ROUND(IF(AG83=0,0,AJ83/ABS(AG83)),3)</f>
        <v>-4.0000000000000001E-3</v>
      </c>
      <c r="AM83" s="71" t="s">
        <v>14</v>
      </c>
      <c r="AN83" s="38" t="s">
        <v>14</v>
      </c>
    </row>
    <row r="84" spans="1:41" ht="15.75">
      <c r="A84" s="21"/>
      <c r="B84" s="21"/>
      <c r="C84" s="21"/>
      <c r="D84" s="21"/>
      <c r="E84" s="497"/>
      <c r="F84" s="467"/>
      <c r="G84" s="497"/>
      <c r="H84" s="467"/>
      <c r="I84" s="497"/>
      <c r="J84" s="467"/>
      <c r="K84" s="497"/>
      <c r="L84" s="36"/>
      <c r="M84" s="61"/>
      <c r="N84" s="36"/>
      <c r="O84" s="61"/>
      <c r="P84" s="36"/>
      <c r="Q84" s="61"/>
      <c r="R84" s="36"/>
      <c r="S84" s="61"/>
      <c r="T84" s="36"/>
      <c r="U84" s="61"/>
      <c r="V84" s="36"/>
      <c r="W84" s="61"/>
      <c r="X84" s="36"/>
      <c r="Y84" s="61"/>
      <c r="Z84" s="36"/>
      <c r="AA84" s="61"/>
      <c r="AB84" s="36"/>
      <c r="AC84" s="37"/>
      <c r="AD84" s="38"/>
      <c r="AE84" s="52"/>
      <c r="AF84" s="36"/>
      <c r="AG84" s="38"/>
      <c r="AH84" s="38"/>
      <c r="AI84" s="238"/>
      <c r="AJ84" s="38"/>
      <c r="AL84" s="236"/>
    </row>
    <row r="85" spans="1:41" ht="15.75">
      <c r="A85" s="21"/>
      <c r="B85" s="19" t="s">
        <v>199</v>
      </c>
      <c r="C85" s="21"/>
      <c r="D85" s="21"/>
      <c r="E85" s="42">
        <f>ROUND(SUM(E78:E83),1)</f>
        <v>481.7</v>
      </c>
      <c r="F85" s="42"/>
      <c r="G85" s="42">
        <f>ROUND(SUM(G78:G83),1)</f>
        <v>761.7</v>
      </c>
      <c r="H85" s="42"/>
      <c r="I85" s="42">
        <f>ROUND(SUM(I78:I83),1)</f>
        <v>1105.0999999999999</v>
      </c>
      <c r="J85" s="42"/>
      <c r="K85" s="42">
        <f>ROUND(SUM(K78:K83),1)</f>
        <v>806.6</v>
      </c>
      <c r="L85" s="42"/>
      <c r="M85" s="42">
        <f>ROUND(SUM(M78:M83),1)</f>
        <v>894.8</v>
      </c>
      <c r="N85" s="42"/>
      <c r="O85" s="42">
        <f>ROUND(SUM(O78:O83),1)</f>
        <v>1008.7</v>
      </c>
      <c r="P85" s="42"/>
      <c r="Q85" s="42">
        <f>ROUND(SUM(Q78:Q83),1)</f>
        <v>0</v>
      </c>
      <c r="R85" s="42"/>
      <c r="S85" s="42">
        <f>ROUND(SUM(S78:S83),1)</f>
        <v>0</v>
      </c>
      <c r="T85" s="42"/>
      <c r="U85" s="42">
        <f t="shared" ref="U85" si="16">ROUND(SUM(U78:U83),1)</f>
        <v>0</v>
      </c>
      <c r="V85" s="42"/>
      <c r="W85" s="42">
        <f>ROUND(SUM(W78:W83),1)</f>
        <v>0</v>
      </c>
      <c r="X85" s="42"/>
      <c r="Y85" s="42">
        <f>ROUND(SUM(Y78:Y83),1)</f>
        <v>0</v>
      </c>
      <c r="Z85" s="42"/>
      <c r="AA85" s="42">
        <f>ROUND(SUM(AA78:AA83),1)</f>
        <v>0</v>
      </c>
      <c r="AB85" s="42"/>
      <c r="AC85" s="44"/>
      <c r="AD85" s="42">
        <f>ROUND(SUM(AD78:AD83),1)</f>
        <v>5058.6000000000004</v>
      </c>
      <c r="AE85" s="144"/>
      <c r="AF85" s="42"/>
      <c r="AG85" s="42">
        <f>ROUND(SUM(AG78:AG83),1)</f>
        <v>4716.8</v>
      </c>
      <c r="AH85" s="42"/>
      <c r="AI85" s="238"/>
      <c r="AJ85" s="50">
        <f>ROUND(AD85-AG85,1)</f>
        <v>341.8</v>
      </c>
      <c r="AK85" s="19"/>
      <c r="AL85" s="962">
        <f>ROUND(IF(AG85=0,0,AJ85/ABS(AG85)),3)</f>
        <v>7.1999999999999995E-2</v>
      </c>
      <c r="AM85" s="19"/>
      <c r="AN85" s="19"/>
      <c r="AO85" s="19"/>
    </row>
    <row r="86" spans="1:41" ht="15.75">
      <c r="A86" s="21"/>
      <c r="B86" s="21"/>
      <c r="C86" s="21"/>
      <c r="D86" s="21"/>
      <c r="E86" s="497"/>
      <c r="F86" s="467"/>
      <c r="G86" s="497"/>
      <c r="H86" s="467"/>
      <c r="I86" s="497"/>
      <c r="J86" s="467"/>
      <c r="K86" s="497"/>
      <c r="L86" s="36"/>
      <c r="M86" s="61"/>
      <c r="N86" s="36"/>
      <c r="O86" s="61"/>
      <c r="P86" s="36"/>
      <c r="Q86" s="61"/>
      <c r="R86" s="36"/>
      <c r="S86" s="61"/>
      <c r="T86" s="36"/>
      <c r="U86" s="61"/>
      <c r="V86" s="36"/>
      <c r="W86" s="61"/>
      <c r="X86" s="36"/>
      <c r="Y86" s="61"/>
      <c r="Z86" s="36"/>
      <c r="AA86" s="61"/>
      <c r="AB86" s="36"/>
      <c r="AC86" s="37"/>
      <c r="AD86" s="61"/>
      <c r="AE86" s="52"/>
      <c r="AF86" s="36"/>
      <c r="AG86" s="61"/>
      <c r="AH86" s="36"/>
      <c r="AI86" s="238"/>
      <c r="AJ86" s="38"/>
      <c r="AL86" s="236"/>
    </row>
    <row r="87" spans="1:41" ht="15.75">
      <c r="A87" s="21"/>
      <c r="B87" s="19" t="s">
        <v>200</v>
      </c>
      <c r="C87" s="21"/>
      <c r="D87" s="21"/>
      <c r="E87" s="467"/>
      <c r="F87" s="467"/>
      <c r="G87" s="467"/>
      <c r="H87" s="467"/>
      <c r="I87" s="467"/>
      <c r="J87" s="467"/>
      <c r="K87" s="467"/>
      <c r="L87" s="36"/>
      <c r="M87" s="36"/>
      <c r="N87" s="36"/>
      <c r="O87" s="36"/>
      <c r="P87" s="36"/>
      <c r="Q87" s="36"/>
      <c r="R87" s="36"/>
      <c r="S87" s="36"/>
      <c r="T87" s="36"/>
      <c r="U87" s="36"/>
      <c r="V87" s="36"/>
      <c r="W87" s="36"/>
      <c r="X87" s="36"/>
      <c r="Y87" s="36"/>
      <c r="Z87" s="36"/>
      <c r="AA87" s="36"/>
      <c r="AB87" s="36"/>
      <c r="AC87" s="37"/>
      <c r="AD87" s="38"/>
      <c r="AE87" s="52"/>
      <c r="AF87" s="36"/>
      <c r="AG87" s="38"/>
      <c r="AH87" s="38"/>
      <c r="AI87" s="238"/>
      <c r="AJ87" s="38"/>
      <c r="AL87" s="236"/>
    </row>
    <row r="88" spans="1:41" ht="15.75">
      <c r="A88" s="21"/>
      <c r="B88" s="19" t="s">
        <v>201</v>
      </c>
      <c r="C88" s="21"/>
      <c r="D88" s="21"/>
      <c r="E88" s="42">
        <f>ROUND(SUM(E64-E85),1)</f>
        <v>-98.2</v>
      </c>
      <c r="F88" s="42"/>
      <c r="G88" s="42">
        <f>ROUND(SUM(G64-G85),1)</f>
        <v>-3.5</v>
      </c>
      <c r="H88" s="42"/>
      <c r="I88" s="42">
        <f>ROUND(SUM(I64-I85),1)</f>
        <v>-501.5</v>
      </c>
      <c r="J88" s="42"/>
      <c r="K88" s="42">
        <f>ROUND(SUM(K64-K85),1)</f>
        <v>142.80000000000001</v>
      </c>
      <c r="L88" s="42"/>
      <c r="M88" s="42">
        <f>ROUND(SUM(M64-M85),1)</f>
        <v>-344.6</v>
      </c>
      <c r="N88" s="42"/>
      <c r="O88" s="42">
        <f>ROUND(SUM(O64-O85),1)</f>
        <v>-51</v>
      </c>
      <c r="P88" s="42"/>
      <c r="Q88" s="42">
        <f>ROUND(SUM(Q64-Q85),1)</f>
        <v>0</v>
      </c>
      <c r="R88" s="42"/>
      <c r="S88" s="42">
        <f>ROUND(SUM(S64-S85),1)</f>
        <v>0</v>
      </c>
      <c r="T88" s="42"/>
      <c r="U88" s="42">
        <f t="shared" ref="U88" si="17">ROUND(SUM(U64-U85),1)</f>
        <v>0</v>
      </c>
      <c r="V88" s="42"/>
      <c r="W88" s="42">
        <f>ROUND(SUM(W64-W85),1)</f>
        <v>0</v>
      </c>
      <c r="X88" s="42"/>
      <c r="Y88" s="42">
        <f>ROUND(SUM(Y64-Y85),1)</f>
        <v>0</v>
      </c>
      <c r="Z88" s="42"/>
      <c r="AA88" s="42">
        <f>ROUND(SUM(AA64-AA85),1)</f>
        <v>0</v>
      </c>
      <c r="AB88" s="42"/>
      <c r="AC88" s="44"/>
      <c r="AD88" s="42">
        <f>ROUND(SUM(AD64-AD85),1)</f>
        <v>-856</v>
      </c>
      <c r="AE88" s="144"/>
      <c r="AF88" s="42"/>
      <c r="AG88" s="42">
        <f>ROUND(SUM(AG64-AG85),1)</f>
        <v>-188.3</v>
      </c>
      <c r="AH88" s="42"/>
      <c r="AI88" s="238"/>
      <c r="AJ88" s="50">
        <f>ROUND(AD88-AG88,1)</f>
        <v>-667.7</v>
      </c>
      <c r="AK88" s="19"/>
      <c r="AL88" s="965">
        <f>ROUND(IF(AG88=0,0,AJ88/ABS(AG88)),3)</f>
        <v>-3.5459999999999998</v>
      </c>
      <c r="AM88" s="19"/>
      <c r="AN88" s="112"/>
    </row>
    <row r="89" spans="1:41" ht="15.75">
      <c r="A89" s="21"/>
      <c r="B89" s="21"/>
      <c r="C89" s="21"/>
      <c r="D89" s="21"/>
      <c r="E89" s="497"/>
      <c r="F89" s="467"/>
      <c r="G89" s="497"/>
      <c r="H89" s="467"/>
      <c r="I89" s="497"/>
      <c r="J89" s="467"/>
      <c r="K89" s="497"/>
      <c r="L89" s="36"/>
      <c r="M89" s="61"/>
      <c r="N89" s="36"/>
      <c r="O89" s="61"/>
      <c r="P89" s="36"/>
      <c r="Q89" s="61"/>
      <c r="R89" s="36"/>
      <c r="S89" s="61"/>
      <c r="T89" s="36"/>
      <c r="U89" s="61"/>
      <c r="V89" s="36"/>
      <c r="W89" s="61"/>
      <c r="X89" s="36"/>
      <c r="Y89" s="61"/>
      <c r="Z89" s="36"/>
      <c r="AA89" s="61"/>
      <c r="AB89" s="36"/>
      <c r="AC89" s="37"/>
      <c r="AD89" s="61"/>
      <c r="AE89" s="52"/>
      <c r="AF89" s="36"/>
      <c r="AG89" s="61"/>
      <c r="AH89" s="36"/>
      <c r="AI89" s="238"/>
      <c r="AJ89" s="38"/>
      <c r="AL89" s="236"/>
    </row>
    <row r="90" spans="1:41" ht="15.75">
      <c r="A90" s="21"/>
      <c r="B90" s="19" t="s">
        <v>202</v>
      </c>
      <c r="C90" s="21"/>
      <c r="D90" s="21"/>
      <c r="E90" s="467"/>
      <c r="F90" s="467"/>
      <c r="G90" s="467"/>
      <c r="H90" s="467"/>
      <c r="I90" s="467"/>
      <c r="J90" s="467"/>
      <c r="K90" s="467"/>
      <c r="L90" s="36"/>
      <c r="M90" s="36"/>
      <c r="N90" s="36"/>
      <c r="O90" s="36"/>
      <c r="P90" s="36"/>
      <c r="Q90" s="36"/>
      <c r="R90" s="36"/>
      <c r="S90" s="36"/>
      <c r="T90" s="36"/>
      <c r="U90" s="36"/>
      <c r="V90" s="36"/>
      <c r="W90" s="36"/>
      <c r="X90" s="36"/>
      <c r="Y90" s="36"/>
      <c r="Z90" s="36"/>
      <c r="AA90" s="36"/>
      <c r="AB90" s="36"/>
      <c r="AC90" s="37"/>
      <c r="AD90" s="40"/>
      <c r="AE90" s="52"/>
      <c r="AF90" s="36"/>
      <c r="AG90" s="40"/>
      <c r="AH90" s="40"/>
      <c r="AI90" s="241"/>
      <c r="AJ90" s="38"/>
      <c r="AL90" s="236"/>
    </row>
    <row r="91" spans="1:41" ht="15.75">
      <c r="A91" s="21"/>
      <c r="B91" s="499" t="s">
        <v>1288</v>
      </c>
      <c r="C91" s="21"/>
      <c r="D91" s="21"/>
      <c r="E91" s="467">
        <v>0</v>
      </c>
      <c r="F91" s="467"/>
      <c r="G91" s="467">
        <v>0</v>
      </c>
      <c r="H91" s="467"/>
      <c r="I91" s="467">
        <v>0</v>
      </c>
      <c r="J91" s="467"/>
      <c r="K91" s="467">
        <v>0</v>
      </c>
      <c r="L91" s="1003"/>
      <c r="M91" s="467">
        <v>0</v>
      </c>
      <c r="N91" s="1003"/>
      <c r="O91" s="467">
        <f t="shared" ref="O91:O93" si="18">$AD91-$E91-$G91-$I91-$K91-$M91</f>
        <v>0</v>
      </c>
      <c r="P91" s="1003"/>
      <c r="Q91" s="467"/>
      <c r="R91" s="1003"/>
      <c r="S91" s="467"/>
      <c r="T91" s="1003"/>
      <c r="U91" s="467"/>
      <c r="V91" s="1003"/>
      <c r="W91" s="467"/>
      <c r="X91" s="1003"/>
      <c r="Y91" s="467"/>
      <c r="Z91" s="1003"/>
      <c r="AA91" s="467"/>
      <c r="AB91" s="36"/>
      <c r="AC91" s="37"/>
      <c r="AD91" s="467">
        <v>0</v>
      </c>
      <c r="AE91" s="52"/>
      <c r="AF91" s="36"/>
      <c r="AG91" s="467">
        <v>0</v>
      </c>
      <c r="AH91" s="40"/>
      <c r="AI91" s="241"/>
      <c r="AJ91" s="36">
        <f>ROUND(AD91-AG91,1)</f>
        <v>0</v>
      </c>
      <c r="AK91" s="113"/>
      <c r="AL91" s="469">
        <f>ROUND(IF(AG91=0,0,AJ91/ABS(AG91)),3)</f>
        <v>0</v>
      </c>
    </row>
    <row r="92" spans="1:41" ht="15.75">
      <c r="A92" s="21"/>
      <c r="B92" s="34" t="s">
        <v>170</v>
      </c>
      <c r="C92" s="21"/>
      <c r="D92" s="21"/>
      <c r="E92" s="467">
        <v>107.2</v>
      </c>
      <c r="F92" s="467"/>
      <c r="G92" s="467">
        <v>-38.799999999999997</v>
      </c>
      <c r="H92" s="467"/>
      <c r="I92" s="467">
        <v>308.70000000000005</v>
      </c>
      <c r="J92" s="467"/>
      <c r="K92" s="467">
        <v>-236.60000000000005</v>
      </c>
      <c r="L92" s="1003"/>
      <c r="M92" s="467">
        <v>402.70000000000005</v>
      </c>
      <c r="N92" s="1003"/>
      <c r="O92" s="467">
        <f t="shared" si="18"/>
        <v>40.599999999999909</v>
      </c>
      <c r="P92" s="1003"/>
      <c r="Q92" s="467"/>
      <c r="R92" s="1003"/>
      <c r="S92" s="467"/>
      <c r="T92" s="1003"/>
      <c r="U92" s="467"/>
      <c r="V92" s="1003"/>
      <c r="W92" s="467"/>
      <c r="X92" s="1003"/>
      <c r="Y92" s="467"/>
      <c r="Z92" s="1003"/>
      <c r="AA92" s="467"/>
      <c r="AB92" s="36"/>
      <c r="AC92" s="37"/>
      <c r="AD92" s="467">
        <v>583.79999999999995</v>
      </c>
      <c r="AE92" s="52"/>
      <c r="AF92" s="36"/>
      <c r="AG92" s="467">
        <v>-2.5</v>
      </c>
      <c r="AH92" s="46"/>
      <c r="AI92" s="237"/>
      <c r="AJ92" s="36">
        <f>ROUND(AD92-AG92,1)</f>
        <v>586.29999999999995</v>
      </c>
      <c r="AL92" s="964">
        <f>ROUND(IF(AG92=0,0,AJ92/ABS(AG92)),3)</f>
        <v>234.52</v>
      </c>
    </row>
    <row r="93" spans="1:41" ht="15.75">
      <c r="A93" s="21"/>
      <c r="B93" s="34" t="s">
        <v>203</v>
      </c>
      <c r="C93" s="21"/>
      <c r="D93" s="21"/>
      <c r="E93" s="467">
        <v>-5.6</v>
      </c>
      <c r="F93" s="467"/>
      <c r="G93" s="467">
        <v>-6.5</v>
      </c>
      <c r="H93" s="467"/>
      <c r="I93" s="467">
        <v>-6.1</v>
      </c>
      <c r="J93" s="467"/>
      <c r="K93" s="467">
        <v>-5.7999999999999989</v>
      </c>
      <c r="L93" s="1003"/>
      <c r="M93" s="467">
        <v>-26.4</v>
      </c>
      <c r="N93" s="1003"/>
      <c r="O93" s="467">
        <f t="shared" si="18"/>
        <v>-4.6000000000000014</v>
      </c>
      <c r="P93" s="1003"/>
      <c r="Q93" s="467"/>
      <c r="R93" s="1003"/>
      <c r="S93" s="467"/>
      <c r="T93" s="1003"/>
      <c r="U93" s="467"/>
      <c r="V93" s="1003"/>
      <c r="W93" s="467"/>
      <c r="X93" s="1003"/>
      <c r="Y93" s="467"/>
      <c r="Z93" s="1003"/>
      <c r="AA93" s="467"/>
      <c r="AB93" s="36"/>
      <c r="AC93" s="37"/>
      <c r="AD93" s="671">
        <v>-55</v>
      </c>
      <c r="AE93" s="52"/>
      <c r="AF93" s="36"/>
      <c r="AG93" s="671">
        <v>-263.5</v>
      </c>
      <c r="AH93" s="36"/>
      <c r="AI93" s="238"/>
      <c r="AJ93" s="648">
        <f>ROUND(-AD93+AG93,1)</f>
        <v>-208.5</v>
      </c>
      <c r="AL93" s="949">
        <f>ROUND(IF(AG93=0,0,AJ93/ABS(AG93)),3)</f>
        <v>-0.79100000000000004</v>
      </c>
    </row>
    <row r="94" spans="1:41" ht="15.75">
      <c r="A94" s="21"/>
      <c r="B94" s="21"/>
      <c r="C94" s="21"/>
      <c r="D94" s="21"/>
      <c r="E94" s="61"/>
      <c r="F94" s="36"/>
      <c r="G94" s="61"/>
      <c r="H94" s="36"/>
      <c r="I94" s="61"/>
      <c r="J94" s="36"/>
      <c r="K94" s="61"/>
      <c r="L94" s="36"/>
      <c r="M94" s="61"/>
      <c r="N94" s="36"/>
      <c r="O94" s="61"/>
      <c r="P94" s="36"/>
      <c r="Q94" s="61"/>
      <c r="R94" s="36"/>
      <c r="S94" s="61"/>
      <c r="T94" s="36"/>
      <c r="U94" s="61"/>
      <c r="V94" s="36"/>
      <c r="W94" s="61"/>
      <c r="X94" s="36"/>
      <c r="Y94" s="61"/>
      <c r="Z94" s="36"/>
      <c r="AA94" s="61"/>
      <c r="AB94" s="36"/>
      <c r="AC94" s="37"/>
      <c r="AD94" s="38"/>
      <c r="AE94" s="52"/>
      <c r="AF94" s="36"/>
      <c r="AG94" s="38"/>
      <c r="AH94" s="38"/>
      <c r="AI94" s="238"/>
      <c r="AJ94" s="38"/>
      <c r="AL94" s="236"/>
    </row>
    <row r="95" spans="1:41" ht="15.75">
      <c r="A95" s="21"/>
      <c r="B95" s="19" t="s">
        <v>1049</v>
      </c>
      <c r="C95" s="21"/>
      <c r="D95" s="21"/>
      <c r="E95" s="42">
        <f>ROUND(SUM(E91:E93),1)</f>
        <v>101.6</v>
      </c>
      <c r="F95" s="42"/>
      <c r="G95" s="42">
        <f>ROUND(SUM(G91:G93),1)</f>
        <v>-45.3</v>
      </c>
      <c r="H95" s="42"/>
      <c r="I95" s="42">
        <f>ROUND(SUM(I91:I93),1)</f>
        <v>302.60000000000002</v>
      </c>
      <c r="J95" s="42"/>
      <c r="K95" s="42">
        <f>ROUND(SUM(K91:K93),1)</f>
        <v>-242.4</v>
      </c>
      <c r="L95" s="42"/>
      <c r="M95" s="42">
        <f>ROUND(SUM(M91:M93),1)</f>
        <v>376.3</v>
      </c>
      <c r="N95" s="42"/>
      <c r="O95" s="42">
        <f>ROUND(SUM(O91:O93),1)</f>
        <v>36</v>
      </c>
      <c r="P95" s="42"/>
      <c r="Q95" s="42">
        <f>ROUND(SUM(Q91:Q93),1)</f>
        <v>0</v>
      </c>
      <c r="R95" s="42"/>
      <c r="S95" s="42">
        <f>ROUND(SUM(S91:S93),1)</f>
        <v>0</v>
      </c>
      <c r="T95" s="42"/>
      <c r="U95" s="42">
        <f>ROUND(SUM(U91:U93),1)</f>
        <v>0</v>
      </c>
      <c r="V95" s="42"/>
      <c r="W95" s="42">
        <f>ROUND(SUM(W91:W93),1)</f>
        <v>0</v>
      </c>
      <c r="X95" s="42"/>
      <c r="Y95" s="42">
        <f>ROUND(SUM(Y91:Y93),1)</f>
        <v>0</v>
      </c>
      <c r="Z95" s="42"/>
      <c r="AA95" s="42">
        <f>ROUND(SUM(AA91:AA93),1)</f>
        <v>0</v>
      </c>
      <c r="AB95" s="42"/>
      <c r="AC95" s="44"/>
      <c r="AD95" s="42">
        <f>ROUND(SUM(AD91:AD93),1)</f>
        <v>528.79999999999995</v>
      </c>
      <c r="AE95" s="144"/>
      <c r="AF95" s="42"/>
      <c r="AG95" s="42">
        <f>ROUND(SUM(AG91:AG93),1)</f>
        <v>-266</v>
      </c>
      <c r="AH95" s="42"/>
      <c r="AI95" s="238"/>
      <c r="AJ95" s="50">
        <f>ROUND(AD95-AG95,1)</f>
        <v>794.8</v>
      </c>
      <c r="AK95" s="19"/>
      <c r="AL95" s="965">
        <f>ROUND(IF(AG95=0,0,AJ95/ABS(AG95)),3)</f>
        <v>2.988</v>
      </c>
      <c r="AM95" s="19"/>
      <c r="AN95" s="19"/>
      <c r="AO95" s="112"/>
    </row>
    <row r="96" spans="1:41" ht="15.75">
      <c r="A96" s="21"/>
      <c r="B96" s="21"/>
      <c r="C96" s="21"/>
      <c r="D96" s="21"/>
      <c r="E96" s="61"/>
      <c r="F96" s="36"/>
      <c r="G96" s="61"/>
      <c r="H96" s="36"/>
      <c r="I96" s="61"/>
      <c r="J96" s="36"/>
      <c r="K96" s="61"/>
      <c r="L96" s="36"/>
      <c r="M96" s="61"/>
      <c r="N96" s="36"/>
      <c r="O96" s="61"/>
      <c r="P96" s="36"/>
      <c r="Q96" s="61"/>
      <c r="R96" s="36"/>
      <c r="S96" s="61"/>
      <c r="T96" s="36"/>
      <c r="U96" s="61"/>
      <c r="V96" s="36"/>
      <c r="W96" s="61"/>
      <c r="X96" s="36"/>
      <c r="Y96" s="61"/>
      <c r="Z96" s="36"/>
      <c r="AA96" s="61"/>
      <c r="AB96" s="36"/>
      <c r="AC96" s="37"/>
      <c r="AD96" s="61"/>
      <c r="AE96" s="52"/>
      <c r="AF96" s="36"/>
      <c r="AG96" s="61"/>
      <c r="AH96" s="36"/>
      <c r="AI96" s="238"/>
      <c r="AJ96" s="38"/>
      <c r="AL96" s="236"/>
      <c r="AO96" s="113"/>
    </row>
    <row r="97" spans="1:41" ht="15.75">
      <c r="A97" s="21"/>
      <c r="B97" s="21"/>
      <c r="C97" s="21"/>
      <c r="D97" s="21"/>
      <c r="E97" s="36" t="s">
        <v>14</v>
      </c>
      <c r="F97" s="36" t="s">
        <v>14</v>
      </c>
      <c r="G97" s="36" t="s">
        <v>14</v>
      </c>
      <c r="H97" s="36"/>
      <c r="I97" s="36" t="s">
        <v>14</v>
      </c>
      <c r="J97" s="36"/>
      <c r="K97" s="36" t="s">
        <v>14</v>
      </c>
      <c r="L97" s="36"/>
      <c r="M97" s="36" t="s">
        <v>14</v>
      </c>
      <c r="N97" s="36"/>
      <c r="O97" s="36" t="s">
        <v>14</v>
      </c>
      <c r="P97" s="36"/>
      <c r="Q97" s="36" t="s">
        <v>14</v>
      </c>
      <c r="R97" s="36"/>
      <c r="S97" s="36" t="s">
        <v>14</v>
      </c>
      <c r="T97" s="36"/>
      <c r="U97" s="36" t="s">
        <v>14</v>
      </c>
      <c r="V97" s="36"/>
      <c r="W97" s="36" t="s">
        <v>14</v>
      </c>
      <c r="X97" s="36"/>
      <c r="Y97" s="36" t="s">
        <v>14</v>
      </c>
      <c r="Z97" s="36"/>
      <c r="AA97" s="36" t="s">
        <v>14</v>
      </c>
      <c r="AB97" s="36"/>
      <c r="AC97" s="37"/>
      <c r="AD97" s="36"/>
      <c r="AE97" s="52"/>
      <c r="AF97" s="36"/>
      <c r="AG97" s="36"/>
      <c r="AH97" s="36"/>
      <c r="AI97" s="238"/>
      <c r="AJ97" s="38" t="s">
        <v>14</v>
      </c>
      <c r="AL97" s="236"/>
    </row>
    <row r="98" spans="1:41" ht="15.75">
      <c r="A98" s="21"/>
      <c r="B98" s="19" t="s">
        <v>205</v>
      </c>
      <c r="C98" s="21"/>
      <c r="D98" s="21"/>
      <c r="E98" s="36"/>
      <c r="F98" s="36"/>
      <c r="G98" s="36" t="s">
        <v>14</v>
      </c>
      <c r="H98" s="36"/>
      <c r="I98" s="36" t="s">
        <v>14</v>
      </c>
      <c r="J98" s="36"/>
      <c r="K98" s="36" t="s">
        <v>14</v>
      </c>
      <c r="L98" s="36"/>
      <c r="M98" s="36" t="s">
        <v>14</v>
      </c>
      <c r="N98" s="36"/>
      <c r="O98" s="36" t="s">
        <v>14</v>
      </c>
      <c r="P98" s="36"/>
      <c r="Q98" s="36" t="s">
        <v>14</v>
      </c>
      <c r="R98" s="36"/>
      <c r="S98" s="36" t="s">
        <v>14</v>
      </c>
      <c r="T98" s="36"/>
      <c r="U98" s="36" t="s">
        <v>14</v>
      </c>
      <c r="V98" s="36"/>
      <c r="W98" s="36" t="s">
        <v>14</v>
      </c>
      <c r="X98" s="36"/>
      <c r="Y98" s="36" t="s">
        <v>14</v>
      </c>
      <c r="Z98" s="36"/>
      <c r="AA98" s="36" t="s">
        <v>14</v>
      </c>
      <c r="AB98" s="36"/>
      <c r="AC98" s="37"/>
      <c r="AD98" s="36"/>
      <c r="AE98" s="52"/>
      <c r="AF98" s="36"/>
      <c r="AG98" s="36"/>
      <c r="AH98" s="36"/>
      <c r="AI98" s="238"/>
      <c r="AJ98" s="38"/>
      <c r="AL98" s="236"/>
    </row>
    <row r="99" spans="1:41" ht="15.75">
      <c r="A99" s="21"/>
      <c r="B99" s="19" t="s">
        <v>206</v>
      </c>
      <c r="C99" s="21"/>
      <c r="D99" s="21"/>
      <c r="E99" s="36" t="s">
        <v>14</v>
      </c>
      <c r="F99" s="36"/>
      <c r="G99" s="36"/>
      <c r="H99" s="36"/>
      <c r="I99" s="36"/>
      <c r="J99" s="36"/>
      <c r="K99" s="36"/>
      <c r="L99" s="36"/>
      <c r="M99" s="36"/>
      <c r="N99" s="36"/>
      <c r="O99" s="36"/>
      <c r="P99" s="36"/>
      <c r="Q99" s="36"/>
      <c r="R99" s="36"/>
      <c r="S99" s="36"/>
      <c r="T99" s="36"/>
      <c r="U99" s="36"/>
      <c r="V99" s="36"/>
      <c r="W99" s="36"/>
      <c r="X99" s="36"/>
      <c r="Y99" s="36"/>
      <c r="Z99" s="36"/>
      <c r="AA99" s="36"/>
      <c r="AB99" s="36"/>
      <c r="AC99" s="37"/>
      <c r="AD99" s="38"/>
      <c r="AE99" s="52"/>
      <c r="AF99" s="36"/>
      <c r="AG99" s="38"/>
      <c r="AH99" s="38"/>
      <c r="AI99" s="238"/>
      <c r="AJ99" s="38"/>
      <c r="AL99" s="236"/>
      <c r="AO99" s="1970"/>
    </row>
    <row r="100" spans="1:41" s="38" customFormat="1" ht="15.75">
      <c r="A100" s="36"/>
      <c r="B100" s="42" t="s">
        <v>1050</v>
      </c>
      <c r="C100" s="36"/>
      <c r="D100" s="36"/>
      <c r="E100" s="1475">
        <f>ROUND(SUM(E88+E95),1)</f>
        <v>3.4</v>
      </c>
      <c r="F100" s="1476"/>
      <c r="G100" s="1475">
        <f>ROUND(SUM(G88+G95),1)</f>
        <v>-48.8</v>
      </c>
      <c r="H100" s="1476"/>
      <c r="I100" s="1475">
        <f>ROUND(SUM(I88+I95),1)</f>
        <v>-198.9</v>
      </c>
      <c r="J100" s="1476"/>
      <c r="K100" s="1475">
        <f>ROUND(SUM(K88+K95),1)</f>
        <v>-99.6</v>
      </c>
      <c r="L100" s="1476"/>
      <c r="M100" s="1475">
        <f>ROUND(SUM(M88+M95),1)</f>
        <v>31.7</v>
      </c>
      <c r="N100" s="1476"/>
      <c r="O100" s="1475">
        <f>ROUND(SUM(O88+O95),1)</f>
        <v>-15</v>
      </c>
      <c r="P100" s="1476"/>
      <c r="Q100" s="1475">
        <f>ROUND(SUM(Q88+Q95),1)</f>
        <v>0</v>
      </c>
      <c r="R100" s="1476"/>
      <c r="S100" s="1475">
        <f>ROUND(SUM(S88+S95),1)</f>
        <v>0</v>
      </c>
      <c r="T100" s="1476"/>
      <c r="U100" s="1475">
        <f>ROUND(SUM(U88+U95),1)</f>
        <v>0</v>
      </c>
      <c r="V100" s="1476"/>
      <c r="W100" s="1475">
        <f>ROUND(SUM(W88+W95),1)</f>
        <v>0</v>
      </c>
      <c r="X100" s="1971"/>
      <c r="Y100" s="1475">
        <f>ROUND(SUM(Y88+Y95),1)</f>
        <v>0</v>
      </c>
      <c r="Z100" s="1476"/>
      <c r="AA100" s="1475">
        <f>ROUND(SUM(AA88+AA95),1)</f>
        <v>0</v>
      </c>
      <c r="AB100" s="1476"/>
      <c r="AC100" s="1477"/>
      <c r="AD100" s="1475">
        <f>ROUND(SUM(AD88+AD95),1)</f>
        <v>-327.2</v>
      </c>
      <c r="AE100" s="1771"/>
      <c r="AF100" s="42"/>
      <c r="AG100" s="1475">
        <f>ROUND(SUM(AG88+AG95),1)</f>
        <v>-454.3</v>
      </c>
      <c r="AH100" s="42"/>
      <c r="AI100" s="238"/>
      <c r="AJ100" s="1475">
        <f>ROUND(SUM(AJ88+AJ95),1)</f>
        <v>127.1</v>
      </c>
      <c r="AK100" s="42"/>
      <c r="AL100" s="965">
        <f>ROUND(IF(AG100=0,0,AJ100/ABS(AG100)),3)</f>
        <v>0.28000000000000003</v>
      </c>
      <c r="AM100" s="42"/>
    </row>
    <row r="101" spans="1:41">
      <c r="B101" s="147"/>
      <c r="X101" s="1972"/>
      <c r="AC101" s="1478"/>
      <c r="AF101" s="1478"/>
      <c r="AI101" s="1479"/>
    </row>
    <row r="102" spans="1:41" ht="16.5" thickBot="1">
      <c r="B102" s="19" t="s">
        <v>1048</v>
      </c>
      <c r="C102" s="249"/>
      <c r="D102" s="249"/>
      <c r="E102" s="1147">
        <f>ROUND(SUM(E14+E100),1)</f>
        <v>-1111.3</v>
      </c>
      <c r="F102" s="249"/>
      <c r="G102" s="1147">
        <f>ROUND(SUM(G14+G100),1)</f>
        <v>-1160.0999999999999</v>
      </c>
      <c r="I102" s="1147">
        <f>ROUND(SUM(I14+I100),1)</f>
        <v>-1359</v>
      </c>
      <c r="K102" s="1147">
        <f>ROUND(SUM(K14+K100),1)</f>
        <v>-1458.6</v>
      </c>
      <c r="M102" s="1147">
        <f>ROUND(SUM(M14+M100),1)</f>
        <v>-1426.9</v>
      </c>
      <c r="O102" s="1147">
        <f>ROUND(SUM(O14+O100),1)</f>
        <v>-1441.9</v>
      </c>
      <c r="Q102" s="1147">
        <f>ROUND(SUM(Q14+Q100),1)</f>
        <v>0</v>
      </c>
      <c r="S102" s="1147">
        <f>ROUND(SUM(S14+S100),1)</f>
        <v>0</v>
      </c>
      <c r="U102" s="1147">
        <f>ROUND(SUM(U14+U100),1)</f>
        <v>0</v>
      </c>
      <c r="W102" s="1147">
        <f>ROUND(SUM(W14+W100),1)</f>
        <v>0</v>
      </c>
      <c r="Y102" s="1147">
        <f>ROUND(SUM(Y14+Y100),1)</f>
        <v>0</v>
      </c>
      <c r="AA102" s="1147">
        <f>ROUND(SUM(AA14+AA100),1)</f>
        <v>0</v>
      </c>
      <c r="AC102" s="1478"/>
      <c r="AD102" s="1147">
        <f>ROUND(SUM(AD14+AD100),1)</f>
        <v>-1441.9</v>
      </c>
      <c r="AF102" s="1478"/>
      <c r="AG102" s="1147">
        <f>ROUND(SUM(AG14+AG100),1)</f>
        <v>-1211.0999999999999</v>
      </c>
      <c r="AI102" s="1479"/>
      <c r="AJ102" s="1147">
        <f>ROUND(SUM(AJ14+AJ100),1)</f>
        <v>-230.8</v>
      </c>
      <c r="AL102" s="1149">
        <f>ROUND(IF(AG102=0,0,AJ102/ABS(AG102)),3)</f>
        <v>-0.191</v>
      </c>
    </row>
    <row r="103" spans="1:41" ht="15.75" thickTop="1">
      <c r="B103" s="1973"/>
      <c r="C103" s="249"/>
      <c r="D103" s="249"/>
      <c r="E103" s="249"/>
      <c r="F103" s="249"/>
      <c r="G103" s="249"/>
      <c r="AG103" s="804"/>
      <c r="AJ103" s="113"/>
    </row>
    <row r="104" spans="1:41">
      <c r="B104" s="250"/>
    </row>
    <row r="105" spans="1:41">
      <c r="B105" s="250"/>
      <c r="AD105" s="38"/>
    </row>
    <row r="106" spans="1:41">
      <c r="B106" s="248"/>
    </row>
    <row r="107" spans="1:41">
      <c r="B107" s="250"/>
    </row>
    <row r="108" spans="1:41">
      <c r="B108" s="250"/>
    </row>
    <row r="109" spans="1:41">
      <c r="B109" s="248"/>
    </row>
  </sheetData>
  <mergeCells count="1">
    <mergeCell ref="AD10:AL10"/>
  </mergeCells>
  <pageMargins left="0.25" right="0.25" top="0.5" bottom="0.25" header="0" footer="0.25"/>
  <pageSetup scale="44" firstPageNumber="31" orientation="landscape" useFirstPageNumber="1" r:id="rId1"/>
  <headerFooter scaleWithDoc="0" alignWithMargins="0">
    <oddFooter>&amp;C&amp;8&amp;P</oddFooter>
  </headerFooter>
  <rowBreaks count="1" manualBreakCount="1">
    <brk id="65" min="1" max="37" man="1"/>
  </rowBreaks>
  <customProperties>
    <customPr name="SheetOptions" r:id="rId2"/>
  </customProperties>
  <ignoredErrors>
    <ignoredError sqref="AL39 AL32:AL35 AL37 AL94 AL96:AL100 AL89:AL90 AL86:AL87 AL92:AL93 AL79 AL84 AL85 AL80:AL83 AL76 AL23 AL31 AL28 AL20 AL29:AL30 AL24 AL26:AL27 AL22 AL78" unlockedFormula="1"/>
    <ignoredError sqref="AL47 AL64 AL72:AL73 AL69:AL70 AL71 AL65:AL67 AL61 AL52" formula="1" unlockedFormula="1"/>
    <ignoredError sqref="AL49:AL50 AL53:AL54 AL51 AL56:AL58 AL60 AL25" formula="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3"/>
  <dimension ref="A1:AO90"/>
  <sheetViews>
    <sheetView showGridLines="0" zoomScale="80" zoomScaleNormal="70" workbookViewId="0"/>
  </sheetViews>
  <sheetFormatPr defaultColWidth="8.88671875" defaultRowHeight="15"/>
  <cols>
    <col min="1" max="1" width="2.5546875" style="71" customWidth="1"/>
    <col min="2" max="2" width="14.109375" style="71" customWidth="1"/>
    <col min="3" max="3" width="26.5546875" style="71" customWidth="1"/>
    <col min="4" max="4" width="2.109375" style="71" customWidth="1"/>
    <col min="5" max="5" width="11.109375" style="71" customWidth="1"/>
    <col min="6" max="6" width="1.88671875" style="71" customWidth="1"/>
    <col min="7" max="7" width="11" style="71" bestFit="1" customWidth="1"/>
    <col min="8" max="8" width="1.88671875" style="71" customWidth="1"/>
    <col min="9" max="9" width="11" style="71" bestFit="1" customWidth="1"/>
    <col min="10" max="10" width="1.88671875" style="71" customWidth="1"/>
    <col min="11" max="11" width="12.109375" style="71" customWidth="1"/>
    <col min="12" max="12" width="1.88671875" style="71" customWidth="1"/>
    <col min="13" max="13" width="11" style="71" customWidth="1"/>
    <col min="14" max="14" width="1.88671875" style="71" customWidth="1"/>
    <col min="15" max="15" width="13.88671875" style="71" customWidth="1"/>
    <col min="16" max="16" width="1.88671875" style="71" customWidth="1"/>
    <col min="17" max="17" width="12.44140625" style="71" customWidth="1"/>
    <col min="18" max="18" width="1.88671875" style="71" customWidth="1"/>
    <col min="19" max="19" width="12.5546875" style="71" customWidth="1"/>
    <col min="20" max="20" width="1.88671875" style="71" customWidth="1"/>
    <col min="21" max="21" width="10.88671875" style="71" customWidth="1"/>
    <col min="22" max="22" width="1.88671875" style="71" customWidth="1"/>
    <col min="23" max="23" width="10.5546875" style="71" customWidth="1"/>
    <col min="24" max="24" width="1.88671875" style="71" customWidth="1"/>
    <col min="25" max="25" width="10.88671875" style="71" customWidth="1"/>
    <col min="26" max="26" width="1.88671875" style="71" customWidth="1"/>
    <col min="27" max="27" width="11.88671875" style="71" customWidth="1"/>
    <col min="28" max="29" width="1.88671875" style="71" customWidth="1"/>
    <col min="30" max="30" width="10.5546875" style="71" customWidth="1"/>
    <col min="31" max="32" width="1" style="71" customWidth="1"/>
    <col min="33" max="33" width="12.88671875" style="71" customWidth="1"/>
    <col min="34" max="35" width="1" style="71" customWidth="1"/>
    <col min="36" max="36" width="13.109375" style="71" bestFit="1" customWidth="1"/>
    <col min="37" max="37" width="1.109375" style="71" customWidth="1"/>
    <col min="38" max="38" width="11.5546875" style="71" customWidth="1"/>
    <col min="39" max="16384" width="8.88671875" style="71"/>
  </cols>
  <sheetData>
    <row r="1" spans="1:39">
      <c r="B1" s="468" t="s">
        <v>841</v>
      </c>
    </row>
    <row r="2" spans="1:39">
      <c r="B2" s="598"/>
    </row>
    <row r="3" spans="1:39" ht="19.5" customHeight="1">
      <c r="A3" s="223"/>
      <c r="B3" s="129" t="s">
        <v>0</v>
      </c>
      <c r="C3" s="224"/>
      <c r="D3" s="224"/>
      <c r="E3" s="224"/>
      <c r="F3" s="225"/>
      <c r="G3" s="225"/>
      <c r="H3" s="225"/>
      <c r="I3" s="225"/>
      <c r="J3" s="225"/>
      <c r="K3" s="225"/>
      <c r="L3" s="225"/>
      <c r="M3" s="225"/>
      <c r="N3" s="225"/>
      <c r="O3" s="225"/>
      <c r="P3" s="225"/>
      <c r="Q3" s="225"/>
      <c r="R3" s="225"/>
      <c r="S3" s="1982"/>
      <c r="T3" s="225"/>
      <c r="U3" s="225"/>
      <c r="V3" s="225"/>
      <c r="W3" s="225"/>
      <c r="X3" s="225"/>
      <c r="Y3" s="225"/>
      <c r="Z3" s="225"/>
      <c r="AA3" s="225"/>
      <c r="AB3" s="225"/>
      <c r="AC3" s="225"/>
      <c r="AD3" s="225"/>
      <c r="AE3" s="225"/>
      <c r="AF3" s="225"/>
      <c r="AG3" s="225"/>
      <c r="AH3" s="225"/>
      <c r="AI3" s="225"/>
      <c r="AL3" s="187" t="s">
        <v>191</v>
      </c>
    </row>
    <row r="4" spans="1:39" ht="19.5" customHeight="1">
      <c r="A4" s="223"/>
      <c r="B4" s="129" t="s">
        <v>208</v>
      </c>
      <c r="C4" s="224"/>
      <c r="D4" s="224"/>
      <c r="E4" s="224"/>
      <c r="F4" s="225"/>
      <c r="G4" s="225"/>
      <c r="H4" s="225"/>
      <c r="I4" s="225"/>
      <c r="J4" s="225"/>
      <c r="K4" s="225"/>
      <c r="L4" s="225"/>
      <c r="M4" s="225"/>
      <c r="N4" s="225"/>
      <c r="O4" s="225"/>
      <c r="P4" s="225"/>
      <c r="Q4" s="225"/>
      <c r="R4" s="225"/>
      <c r="S4" s="225"/>
      <c r="T4" s="225"/>
      <c r="U4" s="225"/>
      <c r="V4" s="225"/>
      <c r="W4" s="225"/>
      <c r="X4" s="225"/>
      <c r="Y4" s="225"/>
      <c r="Z4" s="225"/>
      <c r="AA4" s="225"/>
      <c r="AB4" s="225"/>
      <c r="AC4" s="225"/>
      <c r="AE4" s="226"/>
      <c r="AF4" s="226"/>
    </row>
    <row r="5" spans="1:39" ht="19.5" customHeight="1">
      <c r="A5" s="223"/>
      <c r="B5" s="967" t="s">
        <v>145</v>
      </c>
      <c r="C5" s="224"/>
      <c r="D5" s="224"/>
      <c r="E5" s="224"/>
      <c r="F5" s="225"/>
      <c r="G5" s="225"/>
      <c r="H5" s="225"/>
      <c r="I5" s="225"/>
      <c r="J5" s="225"/>
      <c r="K5" s="225"/>
      <c r="L5" s="225"/>
      <c r="M5" s="225"/>
      <c r="N5" s="225"/>
      <c r="O5" s="225"/>
      <c r="P5" s="225"/>
      <c r="Q5" s="225"/>
      <c r="R5" s="225"/>
      <c r="S5" s="225"/>
      <c r="T5" s="225"/>
      <c r="U5" s="225"/>
      <c r="V5" s="225"/>
      <c r="W5" s="225"/>
      <c r="X5" s="225"/>
      <c r="Y5" s="225"/>
      <c r="Z5" s="225"/>
      <c r="AA5" s="225"/>
      <c r="AB5" s="225"/>
      <c r="AC5" s="225"/>
      <c r="AD5" s="225"/>
      <c r="AE5" s="225"/>
      <c r="AF5" s="225"/>
      <c r="AG5" s="225"/>
      <c r="AH5" s="225"/>
      <c r="AI5" s="225"/>
      <c r="AL5" s="187"/>
    </row>
    <row r="6" spans="1:39" ht="19.5" customHeight="1">
      <c r="A6" s="223"/>
      <c r="B6" s="967" t="str">
        <f>'Cashflow Governmental'!A6</f>
        <v xml:space="preserve">FISCAL YEAR 2023-2024   </v>
      </c>
      <c r="C6" s="1983"/>
      <c r="D6" s="224"/>
      <c r="E6" s="224"/>
      <c r="F6" s="225"/>
      <c r="G6" s="225"/>
      <c r="H6" s="227"/>
      <c r="I6" s="225"/>
      <c r="J6" s="225"/>
      <c r="K6" s="225"/>
      <c r="L6" s="225"/>
      <c r="M6" s="225"/>
      <c r="N6" s="225"/>
      <c r="O6" s="225"/>
      <c r="P6" s="225"/>
      <c r="Q6" s="225"/>
      <c r="R6" s="225"/>
      <c r="S6" s="225"/>
      <c r="T6" s="225"/>
      <c r="U6" s="225"/>
      <c r="V6" s="225"/>
      <c r="W6" s="225"/>
      <c r="X6" s="225"/>
      <c r="Y6" s="225"/>
      <c r="Z6" s="225"/>
      <c r="AA6" s="225"/>
      <c r="AB6" s="225"/>
      <c r="AC6" s="225"/>
      <c r="AD6" s="225"/>
      <c r="AE6" s="228"/>
      <c r="AF6" s="228"/>
      <c r="AG6" s="228"/>
      <c r="AH6" s="228"/>
      <c r="AI6" s="228"/>
    </row>
    <row r="7" spans="1:39" ht="19.5" customHeight="1">
      <c r="A7" s="223"/>
      <c r="B7" s="129" t="s">
        <v>1200</v>
      </c>
      <c r="C7" s="224"/>
      <c r="D7" s="224"/>
      <c r="E7" s="224"/>
      <c r="F7" s="225"/>
      <c r="G7" s="225"/>
      <c r="H7" s="227"/>
      <c r="I7" s="225"/>
      <c r="J7" s="225"/>
      <c r="K7" s="225"/>
      <c r="L7" s="225"/>
      <c r="M7" s="225"/>
      <c r="N7" s="225"/>
      <c r="O7" s="225"/>
      <c r="P7" s="225"/>
      <c r="Q7" s="225"/>
      <c r="R7" s="225"/>
      <c r="S7" s="225"/>
      <c r="T7" s="225"/>
      <c r="U7" s="225"/>
      <c r="V7" s="225"/>
      <c r="W7" s="225"/>
      <c r="X7" s="225"/>
      <c r="Y7" s="225"/>
      <c r="Z7" s="225"/>
      <c r="AA7" s="225"/>
      <c r="AB7" s="225"/>
      <c r="AC7" s="225"/>
      <c r="AD7" s="225"/>
      <c r="AE7" s="228"/>
      <c r="AF7" s="228"/>
      <c r="AG7" s="228"/>
      <c r="AH7" s="228"/>
      <c r="AI7" s="228"/>
    </row>
    <row r="8" spans="1:39" ht="19.5" customHeight="1">
      <c r="A8" s="223"/>
      <c r="B8" s="1002"/>
      <c r="C8" s="224"/>
      <c r="D8" s="224"/>
      <c r="E8" s="224"/>
      <c r="F8" s="225"/>
      <c r="G8" s="225"/>
      <c r="H8" s="227"/>
      <c r="I8" s="225"/>
      <c r="J8" s="225"/>
      <c r="K8" s="225"/>
      <c r="L8" s="225"/>
      <c r="M8" s="225"/>
      <c r="N8" s="225"/>
      <c r="O8" s="225"/>
      <c r="P8" s="225"/>
      <c r="Q8" s="225"/>
      <c r="R8" s="225"/>
      <c r="S8" s="225"/>
      <c r="T8" s="225"/>
      <c r="U8" s="225"/>
      <c r="V8" s="225"/>
      <c r="W8" s="225"/>
      <c r="X8" s="225"/>
      <c r="Y8" s="225"/>
      <c r="Z8" s="225"/>
      <c r="AA8" s="225"/>
      <c r="AB8" s="225"/>
      <c r="AC8" s="225"/>
      <c r="AD8" s="225"/>
      <c r="AE8" s="228"/>
      <c r="AF8" s="228"/>
      <c r="AG8" s="228"/>
      <c r="AH8" s="228"/>
      <c r="AI8" s="228"/>
    </row>
    <row r="9" spans="1:39" ht="15.75" customHeight="1">
      <c r="A9" s="223"/>
      <c r="B9" s="129"/>
      <c r="C9" s="224"/>
      <c r="D9" s="224"/>
      <c r="E9" s="224"/>
      <c r="F9" s="225"/>
      <c r="G9" s="225"/>
      <c r="H9" s="225"/>
      <c r="I9" s="225"/>
      <c r="J9" s="225"/>
      <c r="K9" s="225"/>
      <c r="L9" s="225"/>
      <c r="M9" s="225"/>
      <c r="N9" s="225"/>
      <c r="O9" s="225"/>
      <c r="P9" s="225"/>
      <c r="Q9" s="225"/>
      <c r="R9" s="225"/>
      <c r="S9" s="225"/>
      <c r="T9" s="225"/>
      <c r="U9" s="225"/>
      <c r="V9" s="225"/>
      <c r="W9" s="225"/>
      <c r="X9" s="225"/>
      <c r="Y9" s="225"/>
      <c r="Z9" s="225"/>
      <c r="AA9" s="225"/>
      <c r="AB9" s="225"/>
      <c r="AC9" s="229"/>
    </row>
    <row r="10" spans="1:39" ht="23.25">
      <c r="A10" s="223"/>
      <c r="B10" s="129"/>
      <c r="C10" s="224"/>
      <c r="D10" s="224"/>
      <c r="E10" s="224"/>
      <c r="F10" s="225"/>
      <c r="G10" s="225"/>
      <c r="H10" s="225"/>
      <c r="I10" s="225"/>
      <c r="J10" s="225"/>
      <c r="K10" s="225"/>
      <c r="L10" s="225"/>
      <c r="M10" s="225"/>
      <c r="N10" s="225"/>
      <c r="O10" s="225"/>
      <c r="P10" s="225"/>
      <c r="Q10" s="225"/>
      <c r="R10" s="225"/>
      <c r="S10" s="225"/>
      <c r="T10" s="225"/>
      <c r="U10" s="225"/>
      <c r="V10" s="225"/>
      <c r="W10" s="225"/>
      <c r="X10" s="225"/>
      <c r="Y10" s="225"/>
      <c r="Z10" s="225"/>
      <c r="AA10" s="225"/>
      <c r="AB10" s="225"/>
      <c r="AC10" s="229"/>
      <c r="AD10" s="2333" t="s">
        <v>1515</v>
      </c>
      <c r="AE10" s="2337"/>
      <c r="AF10" s="2337"/>
      <c r="AG10" s="2337"/>
      <c r="AH10" s="2337"/>
      <c r="AI10" s="2337"/>
      <c r="AJ10" s="2337"/>
      <c r="AK10" s="2337"/>
      <c r="AL10" s="2337"/>
    </row>
    <row r="11" spans="1:39" ht="15.75">
      <c r="A11" s="231"/>
      <c r="B11" s="231"/>
      <c r="C11" s="231"/>
      <c r="D11" s="231"/>
      <c r="E11" s="537" t="str">
        <f>'Cashflow Governmental'!C13</f>
        <v>2023</v>
      </c>
      <c r="F11" s="553"/>
      <c r="G11" s="553"/>
      <c r="H11" s="553"/>
      <c r="I11" s="553"/>
      <c r="J11" s="553"/>
      <c r="K11" s="553"/>
      <c r="L11" s="553"/>
      <c r="M11" s="553"/>
      <c r="N11" s="553"/>
      <c r="O11" s="553"/>
      <c r="P11" s="553"/>
      <c r="Q11" s="553"/>
      <c r="R11" s="553"/>
      <c r="S11" s="553"/>
      <c r="T11" s="553"/>
      <c r="U11" s="553"/>
      <c r="V11" s="553"/>
      <c r="W11" s="537">
        <f>'Cashflow Governmental'!U13</f>
        <v>2024</v>
      </c>
      <c r="X11" s="553"/>
      <c r="Y11" s="553"/>
      <c r="Z11" s="553"/>
      <c r="AA11" s="553"/>
      <c r="AB11" s="553"/>
      <c r="AC11" s="553"/>
      <c r="AD11" s="553"/>
      <c r="AE11" s="553"/>
      <c r="AF11" s="553"/>
      <c r="AG11" s="553"/>
      <c r="AH11" s="553"/>
      <c r="AI11" s="553"/>
      <c r="AJ11" s="545" t="s">
        <v>7</v>
      </c>
      <c r="AK11" s="545"/>
      <c r="AL11" s="543" t="s">
        <v>8</v>
      </c>
      <c r="AM11" s="555"/>
    </row>
    <row r="12" spans="1:39" ht="15.75">
      <c r="A12" s="21"/>
      <c r="B12" s="21"/>
      <c r="C12" s="21"/>
      <c r="D12" s="21"/>
      <c r="E12" s="554" t="s">
        <v>122</v>
      </c>
      <c r="F12" s="19"/>
      <c r="G12" s="554" t="s">
        <v>123</v>
      </c>
      <c r="H12" s="19"/>
      <c r="I12" s="554" t="s">
        <v>124</v>
      </c>
      <c r="J12" s="19"/>
      <c r="K12" s="554" t="s">
        <v>125</v>
      </c>
      <c r="L12" s="19"/>
      <c r="M12" s="554" t="s">
        <v>126</v>
      </c>
      <c r="N12" s="19"/>
      <c r="O12" s="554" t="s">
        <v>141</v>
      </c>
      <c r="P12" s="19"/>
      <c r="Q12" s="554" t="s">
        <v>142</v>
      </c>
      <c r="R12" s="19"/>
      <c r="S12" s="554" t="s">
        <v>129</v>
      </c>
      <c r="T12" s="19"/>
      <c r="U12" s="554" t="s">
        <v>130</v>
      </c>
      <c r="V12" s="19"/>
      <c r="W12" s="554" t="s">
        <v>131</v>
      </c>
      <c r="X12" s="19"/>
      <c r="Y12" s="554" t="s">
        <v>132</v>
      </c>
      <c r="Z12" s="19"/>
      <c r="AA12" s="554" t="s">
        <v>182</v>
      </c>
      <c r="AB12" s="19"/>
      <c r="AC12" s="19"/>
      <c r="AD12" s="554">
        <f>'Cashflow Governmental'!AB14</f>
        <v>2023</v>
      </c>
      <c r="AE12" s="19" t="s">
        <v>14</v>
      </c>
      <c r="AF12" s="19"/>
      <c r="AG12" s="554">
        <f>'Cashflow Governmental'!AE14</f>
        <v>2022</v>
      </c>
      <c r="AH12" s="133"/>
      <c r="AI12" s="133"/>
      <c r="AJ12" s="549" t="s">
        <v>11</v>
      </c>
      <c r="AK12" s="545"/>
      <c r="AL12" s="549" t="s">
        <v>12</v>
      </c>
      <c r="AM12" s="555"/>
    </row>
    <row r="13" spans="1:39" ht="5.25" customHeight="1">
      <c r="A13" s="21"/>
      <c r="B13" s="19"/>
      <c r="C13" s="19"/>
      <c r="D13" s="21"/>
      <c r="E13" s="39"/>
      <c r="F13" s="39"/>
      <c r="G13" s="39"/>
      <c r="H13" s="39"/>
      <c r="I13" s="39"/>
      <c r="J13" s="39"/>
      <c r="K13" s="39"/>
      <c r="L13" s="39"/>
      <c r="M13" s="39"/>
      <c r="N13" s="39"/>
      <c r="O13" s="39"/>
      <c r="P13" s="39"/>
      <c r="Q13" s="39"/>
      <c r="R13" s="39"/>
      <c r="S13" s="39"/>
      <c r="T13" s="39"/>
      <c r="U13" s="39"/>
      <c r="V13" s="39"/>
      <c r="W13" s="39"/>
      <c r="X13" s="39"/>
      <c r="Y13" s="39"/>
      <c r="Z13" s="39"/>
      <c r="AA13" s="39"/>
      <c r="AB13" s="39"/>
      <c r="AC13" s="175"/>
      <c r="AD13" s="39"/>
      <c r="AE13" s="39"/>
      <c r="AF13" s="1761"/>
      <c r="AG13" s="39"/>
      <c r="AH13" s="39"/>
      <c r="AI13" s="232"/>
    </row>
    <row r="14" spans="1:39" ht="15.75">
      <c r="A14" s="21"/>
      <c r="B14" s="118" t="s">
        <v>1079</v>
      </c>
      <c r="C14" s="19"/>
      <c r="E14" s="217">
        <v>-479.8</v>
      </c>
      <c r="F14" s="39"/>
      <c r="G14" s="217">
        <f>E82</f>
        <v>-465.2</v>
      </c>
      <c r="H14" s="217"/>
      <c r="I14" s="217">
        <f t="shared" ref="I14:O14" si="0">G82</f>
        <v>-465.5</v>
      </c>
      <c r="J14" s="39"/>
      <c r="K14" s="217">
        <f t="shared" si="0"/>
        <v>-460.2</v>
      </c>
      <c r="L14" s="39"/>
      <c r="M14" s="217">
        <f t="shared" si="0"/>
        <v>-460</v>
      </c>
      <c r="N14" s="39"/>
      <c r="O14" s="217">
        <f t="shared" si="0"/>
        <v>-534.1</v>
      </c>
      <c r="P14" s="39"/>
      <c r="Q14" s="217"/>
      <c r="R14" s="479"/>
      <c r="S14" s="65"/>
      <c r="T14" s="65"/>
      <c r="U14" s="65"/>
      <c r="V14" s="65"/>
      <c r="W14" s="65"/>
      <c r="X14" s="65"/>
      <c r="Y14" s="65"/>
      <c r="Z14" s="65"/>
      <c r="AA14" s="65"/>
      <c r="AB14" s="39"/>
      <c r="AC14" s="175"/>
      <c r="AD14" s="1148">
        <f>E14</f>
        <v>-479.8</v>
      </c>
      <c r="AE14" s="39"/>
      <c r="AF14" s="1761"/>
      <c r="AG14" s="1148">
        <v>-787.1</v>
      </c>
      <c r="AH14" s="39"/>
      <c r="AI14" s="232"/>
      <c r="AJ14" s="1148">
        <f>+AD14-AG14</f>
        <v>307.3</v>
      </c>
      <c r="AL14" s="190">
        <f>-ROUND((+AJ14/AG14),3)</f>
        <v>0.39</v>
      </c>
    </row>
    <row r="15" spans="1:39" ht="15.75">
      <c r="A15" s="21"/>
      <c r="B15" s="19"/>
      <c r="C15" s="19"/>
      <c r="D15" s="21"/>
      <c r="E15" s="39"/>
      <c r="F15" s="39"/>
      <c r="G15" s="39"/>
      <c r="H15" s="39"/>
      <c r="I15" s="39"/>
      <c r="J15" s="39"/>
      <c r="K15" s="39"/>
      <c r="L15" s="39"/>
      <c r="M15" s="39"/>
      <c r="N15" s="39"/>
      <c r="O15" s="39"/>
      <c r="P15" s="39"/>
      <c r="Q15" s="39"/>
      <c r="R15" s="39"/>
      <c r="S15" s="39"/>
      <c r="T15" s="39"/>
      <c r="U15" s="39"/>
      <c r="V15" s="39"/>
      <c r="W15" s="39"/>
      <c r="X15" s="39"/>
      <c r="Y15" s="39"/>
      <c r="Z15" s="39"/>
      <c r="AA15" s="39"/>
      <c r="AB15" s="39"/>
      <c r="AC15" s="175"/>
      <c r="AD15" s="39"/>
      <c r="AE15" s="39"/>
      <c r="AF15" s="1761"/>
      <c r="AG15" s="39"/>
      <c r="AH15" s="39"/>
      <c r="AI15" s="232"/>
    </row>
    <row r="16" spans="1:39" ht="15.75">
      <c r="A16" s="21"/>
      <c r="B16" s="19" t="s">
        <v>192</v>
      </c>
      <c r="C16" s="21"/>
      <c r="D16" s="21"/>
      <c r="E16" s="39"/>
      <c r="F16" s="39"/>
      <c r="G16" s="39"/>
      <c r="H16" s="39"/>
      <c r="I16" s="39"/>
      <c r="J16" s="39"/>
      <c r="K16" s="39"/>
      <c r="L16" s="39"/>
      <c r="M16" s="39"/>
      <c r="N16" s="39"/>
      <c r="O16" s="39"/>
      <c r="P16" s="39"/>
      <c r="Q16" s="39"/>
      <c r="R16" s="39"/>
      <c r="S16" s="39"/>
      <c r="T16" s="39"/>
      <c r="U16" s="39"/>
      <c r="V16" s="39"/>
      <c r="W16" s="39"/>
      <c r="X16" s="39"/>
      <c r="Y16" s="39"/>
      <c r="Z16" s="39"/>
      <c r="AA16" s="39"/>
      <c r="AB16" s="39"/>
      <c r="AC16" s="175"/>
      <c r="AD16" s="39"/>
      <c r="AE16" s="39"/>
      <c r="AF16" s="1761"/>
      <c r="AG16" s="39"/>
      <c r="AH16" s="39"/>
      <c r="AI16" s="232"/>
    </row>
    <row r="17" spans="1:38" ht="15.75">
      <c r="A17" s="21"/>
      <c r="B17" s="594" t="s">
        <v>886</v>
      </c>
      <c r="C17" s="21"/>
      <c r="D17" s="21"/>
      <c r="E17" s="194"/>
      <c r="F17" s="36"/>
      <c r="G17" s="194"/>
      <c r="H17" s="36"/>
      <c r="I17" s="194"/>
      <c r="J17" s="36"/>
      <c r="K17" s="194"/>
      <c r="L17" s="36"/>
      <c r="M17" s="36"/>
      <c r="N17" s="36"/>
      <c r="O17" s="194"/>
      <c r="P17" s="36"/>
      <c r="Q17" s="194"/>
      <c r="R17" s="36"/>
      <c r="S17" s="194"/>
      <c r="T17" s="36"/>
      <c r="U17" s="194"/>
      <c r="V17" s="36"/>
      <c r="W17" s="194"/>
      <c r="X17" s="36"/>
      <c r="Y17" s="194"/>
      <c r="Z17" s="36"/>
      <c r="AA17" s="194"/>
      <c r="AB17" s="36"/>
      <c r="AC17" s="37"/>
      <c r="AD17" s="1772"/>
      <c r="AE17" s="52"/>
      <c r="AF17" s="36"/>
      <c r="AG17" s="36"/>
      <c r="AH17" s="46"/>
      <c r="AI17" s="237"/>
      <c r="AJ17" s="46"/>
      <c r="AK17" s="113"/>
      <c r="AL17" s="236"/>
    </row>
    <row r="18" spans="1:38" ht="15.75">
      <c r="A18" s="21"/>
      <c r="B18" s="594" t="s">
        <v>1000</v>
      </c>
      <c r="C18" s="21"/>
      <c r="D18" s="21"/>
      <c r="E18" s="194"/>
      <c r="F18" s="36"/>
      <c r="G18" s="194"/>
      <c r="H18" s="36"/>
      <c r="I18" s="194"/>
      <c r="J18" s="36"/>
      <c r="K18" s="194"/>
      <c r="L18" s="36"/>
      <c r="M18" s="36"/>
      <c r="N18" s="36"/>
      <c r="O18" s="194"/>
      <c r="P18" s="36"/>
      <c r="Q18" s="194"/>
      <c r="R18" s="36"/>
      <c r="S18" s="194"/>
      <c r="T18" s="36"/>
      <c r="U18" s="194"/>
      <c r="V18" s="36"/>
      <c r="W18" s="194"/>
      <c r="X18" s="36"/>
      <c r="Y18" s="194"/>
      <c r="Z18" s="36"/>
      <c r="AA18" s="194"/>
      <c r="AB18" s="36"/>
      <c r="AC18" s="37"/>
      <c r="AD18" s="1772"/>
      <c r="AE18" s="755"/>
      <c r="AF18" s="36"/>
      <c r="AG18" s="36"/>
      <c r="AH18" s="46"/>
      <c r="AI18" s="237"/>
      <c r="AJ18" s="46"/>
      <c r="AK18" s="113"/>
      <c r="AL18" s="8"/>
    </row>
    <row r="19" spans="1:38" s="499" customFormat="1">
      <c r="B19" s="594" t="s">
        <v>919</v>
      </c>
      <c r="E19" s="496">
        <v>0</v>
      </c>
      <c r="F19" s="496"/>
      <c r="G19" s="496">
        <v>0</v>
      </c>
      <c r="H19" s="496"/>
      <c r="I19" s="496">
        <v>0</v>
      </c>
      <c r="J19" s="467"/>
      <c r="K19" s="496">
        <v>0</v>
      </c>
      <c r="L19" s="467"/>
      <c r="M19" s="496">
        <v>0</v>
      </c>
      <c r="N19" s="467"/>
      <c r="O19" s="496">
        <f>$AD19-$E19-$G19-$I19-$K19-$M19</f>
        <v>0</v>
      </c>
      <c r="P19" s="467"/>
      <c r="Q19" s="496"/>
      <c r="R19" s="467"/>
      <c r="S19" s="496"/>
      <c r="T19" s="496"/>
      <c r="U19" s="496"/>
      <c r="V19" s="496"/>
      <c r="W19" s="496"/>
      <c r="X19" s="496"/>
      <c r="Y19" s="496"/>
      <c r="Z19" s="496"/>
      <c r="AA19" s="496"/>
      <c r="AB19" s="467"/>
      <c r="AC19" s="932"/>
      <c r="AD19" s="496">
        <v>0</v>
      </c>
      <c r="AE19" s="1773"/>
      <c r="AF19" s="467"/>
      <c r="AG19" s="496">
        <v>0</v>
      </c>
      <c r="AH19" s="493"/>
      <c r="AI19" s="1205"/>
      <c r="AJ19" s="493">
        <f>ROUND(AD19-AG19,1)</f>
        <v>0</v>
      </c>
      <c r="AK19" s="472"/>
      <c r="AL19" s="469">
        <f>ROUND(IF(AG19=0,0,AJ19/ABS(AG19)),3)</f>
        <v>0</v>
      </c>
    </row>
    <row r="20" spans="1:38" s="499" customFormat="1" ht="15.75">
      <c r="B20" s="594" t="s">
        <v>1001</v>
      </c>
      <c r="E20" s="496" t="s">
        <v>14</v>
      </c>
      <c r="F20" s="467"/>
      <c r="G20" s="496"/>
      <c r="H20" s="467"/>
      <c r="I20" s="496"/>
      <c r="J20" s="467"/>
      <c r="K20" s="496"/>
      <c r="L20" s="467"/>
      <c r="M20" s="496"/>
      <c r="N20" s="467"/>
      <c r="O20" s="496"/>
      <c r="P20" s="467"/>
      <c r="Q20" s="496"/>
      <c r="R20" s="467"/>
      <c r="S20" s="496"/>
      <c r="T20" s="467"/>
      <c r="U20" s="496"/>
      <c r="V20" s="467"/>
      <c r="W20" s="496"/>
      <c r="X20" s="467"/>
      <c r="Y20" s="496"/>
      <c r="Z20" s="467"/>
      <c r="AA20" s="496"/>
      <c r="AB20" s="467"/>
      <c r="AC20" s="932"/>
      <c r="AD20" s="467"/>
      <c r="AE20" s="1773"/>
      <c r="AF20" s="467"/>
      <c r="AG20" s="467"/>
      <c r="AH20" s="493"/>
      <c r="AI20" s="237"/>
      <c r="AJ20" s="493" t="s">
        <v>14</v>
      </c>
      <c r="AK20" s="472"/>
      <c r="AL20" s="661" t="s">
        <v>14</v>
      </c>
    </row>
    <row r="21" spans="1:38" s="499" customFormat="1" ht="15.75">
      <c r="B21" s="594" t="s">
        <v>920</v>
      </c>
      <c r="E21" s="496">
        <v>0</v>
      </c>
      <c r="F21" s="467"/>
      <c r="G21" s="496">
        <v>0</v>
      </c>
      <c r="H21" s="467"/>
      <c r="I21" s="496">
        <v>0</v>
      </c>
      <c r="J21" s="467"/>
      <c r="K21" s="496">
        <v>0</v>
      </c>
      <c r="L21" s="467"/>
      <c r="M21" s="496">
        <v>0</v>
      </c>
      <c r="N21" s="467"/>
      <c r="O21" s="496">
        <f t="shared" ref="O21:O41" si="1">$AD21-$E21-$G21-$I21-$K21-$M21</f>
        <v>0</v>
      </c>
      <c r="P21" s="467"/>
      <c r="Q21" s="496"/>
      <c r="R21" s="467"/>
      <c r="S21" s="496"/>
      <c r="T21" s="496"/>
      <c r="U21" s="496"/>
      <c r="V21" s="467"/>
      <c r="W21" s="496"/>
      <c r="X21" s="467"/>
      <c r="Y21" s="496"/>
      <c r="Z21" s="467"/>
      <c r="AA21" s="496"/>
      <c r="AB21" s="467"/>
      <c r="AC21" s="932"/>
      <c r="AD21" s="496">
        <v>0</v>
      </c>
      <c r="AE21" s="1773"/>
      <c r="AF21" s="467"/>
      <c r="AG21" s="496">
        <v>0</v>
      </c>
      <c r="AH21" s="493"/>
      <c r="AI21" s="237"/>
      <c r="AJ21" s="493">
        <f t="shared" ref="AJ21:AJ41" si="2">ROUND(AD21-AG21,1)</f>
        <v>0</v>
      </c>
      <c r="AK21" s="472"/>
      <c r="AL21" s="661">
        <f>ROUND(IF(AG21=0,0,AJ21/ABS(AG21)),3)</f>
        <v>0</v>
      </c>
    </row>
    <row r="22" spans="1:38" s="499" customFormat="1" ht="15.75">
      <c r="B22" s="594" t="s">
        <v>1005</v>
      </c>
      <c r="E22" s="496" t="s">
        <v>14</v>
      </c>
      <c r="F22" s="467"/>
      <c r="G22" s="496"/>
      <c r="H22" s="467"/>
      <c r="I22" s="496"/>
      <c r="J22" s="467"/>
      <c r="K22" s="496"/>
      <c r="L22" s="467"/>
      <c r="M22" s="496"/>
      <c r="N22" s="467"/>
      <c r="O22" s="496"/>
      <c r="P22" s="467"/>
      <c r="Q22" s="496"/>
      <c r="R22" s="467"/>
      <c r="S22" s="496"/>
      <c r="T22" s="467"/>
      <c r="U22" s="496"/>
      <c r="V22" s="467"/>
      <c r="W22" s="496"/>
      <c r="X22" s="467"/>
      <c r="Y22" s="496"/>
      <c r="Z22" s="467"/>
      <c r="AA22" s="496"/>
      <c r="AB22" s="467"/>
      <c r="AC22" s="932"/>
      <c r="AD22" s="467"/>
      <c r="AE22" s="1773"/>
      <c r="AF22" s="467"/>
      <c r="AG22" s="467"/>
      <c r="AH22" s="493"/>
      <c r="AI22" s="237"/>
      <c r="AJ22" s="493" t="s">
        <v>14</v>
      </c>
      <c r="AK22" s="472"/>
      <c r="AL22" s="661" t="s">
        <v>14</v>
      </c>
    </row>
    <row r="23" spans="1:38" s="499" customFormat="1" ht="15.75">
      <c r="B23" s="594" t="s">
        <v>924</v>
      </c>
      <c r="E23" s="496">
        <v>0</v>
      </c>
      <c r="F23" s="467"/>
      <c r="G23" s="496">
        <v>0</v>
      </c>
      <c r="H23" s="467"/>
      <c r="I23" s="496">
        <v>0</v>
      </c>
      <c r="J23" s="467"/>
      <c r="K23" s="496">
        <v>0</v>
      </c>
      <c r="L23" s="467"/>
      <c r="M23" s="496">
        <v>0</v>
      </c>
      <c r="N23" s="467"/>
      <c r="O23" s="496">
        <f t="shared" si="1"/>
        <v>0</v>
      </c>
      <c r="P23" s="467"/>
      <c r="Q23" s="496"/>
      <c r="R23" s="467"/>
      <c r="S23" s="496"/>
      <c r="T23" s="496"/>
      <c r="U23" s="496"/>
      <c r="V23" s="467"/>
      <c r="W23" s="496"/>
      <c r="X23" s="467"/>
      <c r="Y23" s="496"/>
      <c r="Z23" s="467"/>
      <c r="AA23" s="496"/>
      <c r="AB23" s="467"/>
      <c r="AC23" s="932"/>
      <c r="AD23" s="496">
        <v>0</v>
      </c>
      <c r="AE23" s="1773"/>
      <c r="AF23" s="467"/>
      <c r="AG23" s="496">
        <v>0</v>
      </c>
      <c r="AH23" s="493"/>
      <c r="AI23" s="237"/>
      <c r="AJ23" s="493">
        <f t="shared" si="2"/>
        <v>0</v>
      </c>
      <c r="AK23" s="472"/>
      <c r="AL23" s="661">
        <f t="shared" ref="AL23:AL28" si="3">ROUND(IF(AG23=0,0,AJ23/ABS(AG23)),3)</f>
        <v>0</v>
      </c>
    </row>
    <row r="24" spans="1:38" s="499" customFormat="1" ht="15.75">
      <c r="B24" s="594" t="s">
        <v>1056</v>
      </c>
      <c r="E24" s="496">
        <v>0</v>
      </c>
      <c r="F24" s="467"/>
      <c r="G24" s="496">
        <v>0</v>
      </c>
      <c r="H24" s="467"/>
      <c r="I24" s="496">
        <v>0</v>
      </c>
      <c r="J24" s="467"/>
      <c r="K24" s="496">
        <v>0</v>
      </c>
      <c r="L24" s="467"/>
      <c r="M24" s="496">
        <v>0</v>
      </c>
      <c r="N24" s="467"/>
      <c r="O24" s="496">
        <f t="shared" si="1"/>
        <v>0</v>
      </c>
      <c r="P24" s="467"/>
      <c r="Q24" s="496"/>
      <c r="R24" s="467"/>
      <c r="S24" s="496"/>
      <c r="T24" s="496"/>
      <c r="U24" s="496"/>
      <c r="V24" s="467"/>
      <c r="W24" s="496"/>
      <c r="X24" s="467"/>
      <c r="Y24" s="496"/>
      <c r="Z24" s="467"/>
      <c r="AA24" s="496"/>
      <c r="AB24" s="467"/>
      <c r="AC24" s="932"/>
      <c r="AD24" s="496">
        <v>0</v>
      </c>
      <c r="AE24" s="1773"/>
      <c r="AF24" s="467"/>
      <c r="AG24" s="496">
        <v>0</v>
      </c>
      <c r="AH24" s="493"/>
      <c r="AI24" s="237"/>
      <c r="AJ24" s="493">
        <f>ROUND(AD24-AG24,1)</f>
        <v>0</v>
      </c>
      <c r="AK24" s="472"/>
      <c r="AL24" s="661">
        <f t="shared" si="3"/>
        <v>0</v>
      </c>
    </row>
    <row r="25" spans="1:38" s="499" customFormat="1" ht="15.75">
      <c r="B25" s="594" t="s">
        <v>927</v>
      </c>
      <c r="E25" s="496">
        <v>0</v>
      </c>
      <c r="F25" s="467"/>
      <c r="G25" s="496">
        <v>0</v>
      </c>
      <c r="H25" s="467"/>
      <c r="I25" s="496">
        <v>0</v>
      </c>
      <c r="J25" s="467"/>
      <c r="K25" s="496">
        <v>0</v>
      </c>
      <c r="L25" s="467"/>
      <c r="M25" s="496">
        <v>0</v>
      </c>
      <c r="N25" s="467"/>
      <c r="O25" s="496">
        <f t="shared" si="1"/>
        <v>0</v>
      </c>
      <c r="P25" s="467"/>
      <c r="Q25" s="496"/>
      <c r="R25" s="467"/>
      <c r="S25" s="496"/>
      <c r="T25" s="496"/>
      <c r="U25" s="496"/>
      <c r="V25" s="467"/>
      <c r="W25" s="496"/>
      <c r="X25" s="467"/>
      <c r="Y25" s="496"/>
      <c r="Z25" s="467"/>
      <c r="AA25" s="496"/>
      <c r="AB25" s="467"/>
      <c r="AC25" s="932"/>
      <c r="AD25" s="496">
        <v>0</v>
      </c>
      <c r="AE25" s="1773"/>
      <c r="AF25" s="467"/>
      <c r="AG25" s="496">
        <v>0</v>
      </c>
      <c r="AH25" s="493"/>
      <c r="AI25" s="237"/>
      <c r="AJ25" s="493">
        <f t="shared" si="2"/>
        <v>0</v>
      </c>
      <c r="AK25" s="472"/>
      <c r="AL25" s="661">
        <f t="shared" si="3"/>
        <v>0</v>
      </c>
    </row>
    <row r="26" spans="1:38" s="499" customFormat="1" ht="15.75">
      <c r="B26" s="594" t="s">
        <v>928</v>
      </c>
      <c r="E26" s="496">
        <v>0</v>
      </c>
      <c r="F26" s="467"/>
      <c r="G26" s="496">
        <v>0</v>
      </c>
      <c r="H26" s="467"/>
      <c r="I26" s="496">
        <v>0</v>
      </c>
      <c r="J26" s="467"/>
      <c r="K26" s="496">
        <v>0</v>
      </c>
      <c r="L26" s="467"/>
      <c r="M26" s="496">
        <v>0</v>
      </c>
      <c r="N26" s="467"/>
      <c r="O26" s="496">
        <f t="shared" si="1"/>
        <v>0</v>
      </c>
      <c r="P26" s="467"/>
      <c r="Q26" s="496"/>
      <c r="R26" s="467"/>
      <c r="S26" s="496"/>
      <c r="T26" s="496"/>
      <c r="U26" s="496"/>
      <c r="V26" s="467"/>
      <c r="W26" s="496"/>
      <c r="X26" s="467"/>
      <c r="Y26" s="496"/>
      <c r="Z26" s="467"/>
      <c r="AA26" s="496"/>
      <c r="AB26" s="467"/>
      <c r="AC26" s="932"/>
      <c r="AD26" s="496">
        <v>0</v>
      </c>
      <c r="AE26" s="1773"/>
      <c r="AF26" s="467"/>
      <c r="AG26" s="496">
        <v>0</v>
      </c>
      <c r="AH26" s="493"/>
      <c r="AI26" s="237"/>
      <c r="AJ26" s="493">
        <f t="shared" si="2"/>
        <v>0</v>
      </c>
      <c r="AK26" s="472"/>
      <c r="AL26" s="661">
        <f t="shared" si="3"/>
        <v>0</v>
      </c>
    </row>
    <row r="27" spans="1:38" s="499" customFormat="1" ht="15.75">
      <c r="B27" s="594" t="s">
        <v>887</v>
      </c>
      <c r="E27" s="496">
        <v>0</v>
      </c>
      <c r="F27" s="467"/>
      <c r="G27" s="496">
        <v>0</v>
      </c>
      <c r="H27" s="467"/>
      <c r="I27" s="496">
        <v>0</v>
      </c>
      <c r="J27" s="467"/>
      <c r="K27" s="496">
        <v>0</v>
      </c>
      <c r="L27" s="467"/>
      <c r="M27" s="496">
        <v>0</v>
      </c>
      <c r="N27" s="467"/>
      <c r="O27" s="496">
        <f t="shared" si="1"/>
        <v>0</v>
      </c>
      <c r="P27" s="467"/>
      <c r="Q27" s="496"/>
      <c r="R27" s="467"/>
      <c r="S27" s="496"/>
      <c r="T27" s="496"/>
      <c r="U27" s="496"/>
      <c r="V27" s="467"/>
      <c r="W27" s="496"/>
      <c r="X27" s="467"/>
      <c r="Y27" s="496"/>
      <c r="Z27" s="467"/>
      <c r="AA27" s="496"/>
      <c r="AB27" s="467"/>
      <c r="AC27" s="932"/>
      <c r="AD27" s="496">
        <v>0</v>
      </c>
      <c r="AE27" s="1773"/>
      <c r="AF27" s="467"/>
      <c r="AG27" s="496">
        <v>0</v>
      </c>
      <c r="AH27" s="493"/>
      <c r="AI27" s="237"/>
      <c r="AJ27" s="493">
        <f t="shared" si="2"/>
        <v>0</v>
      </c>
      <c r="AK27" s="472"/>
      <c r="AL27" s="661">
        <f t="shared" si="3"/>
        <v>0</v>
      </c>
    </row>
    <row r="28" spans="1:38" s="499" customFormat="1" ht="15.75">
      <c r="B28" s="594" t="s">
        <v>888</v>
      </c>
      <c r="E28" s="496">
        <v>0</v>
      </c>
      <c r="F28" s="467"/>
      <c r="G28" s="496">
        <v>0</v>
      </c>
      <c r="H28" s="467"/>
      <c r="I28" s="496">
        <v>0</v>
      </c>
      <c r="J28" s="467"/>
      <c r="K28" s="496">
        <v>0</v>
      </c>
      <c r="L28" s="467"/>
      <c r="M28" s="496">
        <v>0</v>
      </c>
      <c r="N28" s="467"/>
      <c r="O28" s="496">
        <f t="shared" si="1"/>
        <v>0</v>
      </c>
      <c r="P28" s="467"/>
      <c r="Q28" s="496"/>
      <c r="R28" s="467"/>
      <c r="S28" s="496"/>
      <c r="T28" s="496"/>
      <c r="U28" s="496"/>
      <c r="V28" s="467"/>
      <c r="W28" s="496"/>
      <c r="X28" s="467"/>
      <c r="Y28" s="496"/>
      <c r="Z28" s="467"/>
      <c r="AA28" s="496"/>
      <c r="AB28" s="467"/>
      <c r="AC28" s="932"/>
      <c r="AD28" s="496">
        <v>0</v>
      </c>
      <c r="AE28" s="1773"/>
      <c r="AF28" s="467"/>
      <c r="AG28" s="496">
        <v>0</v>
      </c>
      <c r="AH28" s="493"/>
      <c r="AI28" s="237"/>
      <c r="AJ28" s="493">
        <f t="shared" si="2"/>
        <v>0</v>
      </c>
      <c r="AK28" s="472"/>
      <c r="AL28" s="661">
        <f t="shared" si="3"/>
        <v>0</v>
      </c>
    </row>
    <row r="29" spans="1:38" ht="15.75">
      <c r="A29" s="21"/>
      <c r="B29" s="594" t="s">
        <v>905</v>
      </c>
      <c r="C29" s="21"/>
      <c r="D29" s="21"/>
      <c r="E29" s="496">
        <v>0</v>
      </c>
      <c r="F29" s="467"/>
      <c r="G29" s="496">
        <v>0</v>
      </c>
      <c r="H29" s="467"/>
      <c r="I29" s="496">
        <v>0</v>
      </c>
      <c r="J29" s="467"/>
      <c r="K29" s="496">
        <v>0</v>
      </c>
      <c r="L29" s="467"/>
      <c r="M29" s="496">
        <v>0</v>
      </c>
      <c r="N29" s="467"/>
      <c r="O29" s="496">
        <f t="shared" si="1"/>
        <v>0</v>
      </c>
      <c r="P29" s="467"/>
      <c r="Q29" s="496"/>
      <c r="R29" s="467"/>
      <c r="S29" s="496"/>
      <c r="T29" s="496"/>
      <c r="U29" s="496"/>
      <c r="V29" s="467"/>
      <c r="W29" s="496"/>
      <c r="X29" s="467"/>
      <c r="Y29" s="496"/>
      <c r="Z29" s="467"/>
      <c r="AA29" s="496"/>
      <c r="AB29" s="467"/>
      <c r="AC29" s="932"/>
      <c r="AD29" s="496">
        <v>0</v>
      </c>
      <c r="AE29" s="1773"/>
      <c r="AF29" s="467"/>
      <c r="AG29" s="496">
        <v>0</v>
      </c>
      <c r="AH29" s="46"/>
      <c r="AI29" s="237"/>
      <c r="AJ29" s="46">
        <f>ROUND(AD29-AG29,1)</f>
        <v>0</v>
      </c>
      <c r="AK29" s="113"/>
      <c r="AL29" s="8">
        <f>ROUND(IF(AG29=0,0,AJ29/ABS(AG29)),3)</f>
        <v>0</v>
      </c>
    </row>
    <row r="30" spans="1:38" s="499" customFormat="1" ht="15.75">
      <c r="B30" s="594" t="s">
        <v>1003</v>
      </c>
      <c r="E30" s="496" t="s">
        <v>14</v>
      </c>
      <c r="F30" s="467"/>
      <c r="G30" s="496"/>
      <c r="H30" s="467"/>
      <c r="I30" s="496"/>
      <c r="J30" s="467"/>
      <c r="K30" s="496"/>
      <c r="L30" s="467"/>
      <c r="M30" s="496"/>
      <c r="N30" s="467"/>
      <c r="O30" s="496"/>
      <c r="P30" s="467"/>
      <c r="Q30" s="496"/>
      <c r="R30" s="467"/>
      <c r="S30" s="496"/>
      <c r="T30" s="467"/>
      <c r="U30" s="496"/>
      <c r="V30" s="467"/>
      <c r="W30" s="496"/>
      <c r="X30" s="467"/>
      <c r="Y30" s="496"/>
      <c r="Z30" s="467"/>
      <c r="AA30" s="496"/>
      <c r="AB30" s="467"/>
      <c r="AC30" s="932"/>
      <c r="AD30" s="467"/>
      <c r="AE30" s="1773"/>
      <c r="AF30" s="467"/>
      <c r="AG30" s="467"/>
      <c r="AH30" s="493"/>
      <c r="AI30" s="237"/>
      <c r="AJ30" s="493" t="s">
        <v>14</v>
      </c>
      <c r="AK30" s="472"/>
      <c r="AL30" s="661" t="s">
        <v>14</v>
      </c>
    </row>
    <row r="31" spans="1:38" s="499" customFormat="1" ht="15.75">
      <c r="B31" s="594" t="s">
        <v>931</v>
      </c>
      <c r="E31" s="496">
        <v>0</v>
      </c>
      <c r="F31" s="467"/>
      <c r="G31" s="496">
        <v>0</v>
      </c>
      <c r="H31" s="467"/>
      <c r="I31" s="496">
        <v>0</v>
      </c>
      <c r="J31" s="467"/>
      <c r="K31" s="496">
        <v>0</v>
      </c>
      <c r="L31" s="467"/>
      <c r="M31" s="496">
        <v>0</v>
      </c>
      <c r="N31" s="467"/>
      <c r="O31" s="496">
        <f t="shared" si="1"/>
        <v>0</v>
      </c>
      <c r="P31" s="467"/>
      <c r="Q31" s="496"/>
      <c r="R31" s="467"/>
      <c r="S31" s="496"/>
      <c r="T31" s="496"/>
      <c r="U31" s="496"/>
      <c r="V31" s="467"/>
      <c r="W31" s="496"/>
      <c r="X31" s="467"/>
      <c r="Y31" s="496"/>
      <c r="Z31" s="467"/>
      <c r="AA31" s="496"/>
      <c r="AB31" s="467"/>
      <c r="AC31" s="932"/>
      <c r="AD31" s="496">
        <v>0</v>
      </c>
      <c r="AE31" s="1773"/>
      <c r="AF31" s="467"/>
      <c r="AG31" s="496">
        <v>0</v>
      </c>
      <c r="AH31" s="493"/>
      <c r="AI31" s="237"/>
      <c r="AJ31" s="493">
        <f t="shared" si="2"/>
        <v>0</v>
      </c>
      <c r="AK31" s="472"/>
      <c r="AL31" s="661">
        <f>ROUND(IF(AG31=0,0,AJ31/ABS(AG31)),3)</f>
        <v>0</v>
      </c>
    </row>
    <row r="32" spans="1:38" s="499" customFormat="1" ht="15.75">
      <c r="B32" s="594" t="s">
        <v>933</v>
      </c>
      <c r="E32" s="496">
        <v>0</v>
      </c>
      <c r="F32" s="496"/>
      <c r="G32" s="496">
        <v>0</v>
      </c>
      <c r="H32" s="496"/>
      <c r="I32" s="496">
        <v>0</v>
      </c>
      <c r="J32" s="496"/>
      <c r="K32" s="496">
        <v>0</v>
      </c>
      <c r="L32" s="496"/>
      <c r="M32" s="496">
        <v>0</v>
      </c>
      <c r="N32" s="467"/>
      <c r="O32" s="496">
        <f t="shared" si="1"/>
        <v>0</v>
      </c>
      <c r="P32" s="467"/>
      <c r="Q32" s="496"/>
      <c r="R32" s="467"/>
      <c r="S32" s="496"/>
      <c r="T32" s="496"/>
      <c r="U32" s="496"/>
      <c r="V32" s="467"/>
      <c r="W32" s="496"/>
      <c r="X32" s="467"/>
      <c r="Y32" s="496"/>
      <c r="Z32" s="467"/>
      <c r="AA32" s="496"/>
      <c r="AB32" s="467"/>
      <c r="AC32" s="932"/>
      <c r="AD32" s="496">
        <v>0</v>
      </c>
      <c r="AE32" s="1773"/>
      <c r="AF32" s="467"/>
      <c r="AG32" s="496">
        <v>0</v>
      </c>
      <c r="AH32" s="493"/>
      <c r="AI32" s="237"/>
      <c r="AJ32" s="493">
        <f t="shared" si="2"/>
        <v>0</v>
      </c>
      <c r="AK32" s="472"/>
      <c r="AL32" s="661">
        <f>ROUND(IF(AG32=0,0,AJ32/ABS(AG32)),3)</f>
        <v>0</v>
      </c>
    </row>
    <row r="33" spans="1:39" s="499" customFormat="1" ht="15.75">
      <c r="B33" s="594" t="s">
        <v>934</v>
      </c>
      <c r="E33" s="496">
        <v>0</v>
      </c>
      <c r="F33" s="467"/>
      <c r="G33" s="496">
        <v>0</v>
      </c>
      <c r="H33" s="467"/>
      <c r="I33" s="496">
        <v>0</v>
      </c>
      <c r="J33" s="467"/>
      <c r="K33" s="496">
        <v>0</v>
      </c>
      <c r="L33" s="467"/>
      <c r="M33" s="496">
        <v>0</v>
      </c>
      <c r="N33" s="467"/>
      <c r="O33" s="496">
        <f t="shared" si="1"/>
        <v>0</v>
      </c>
      <c r="P33" s="467"/>
      <c r="Q33" s="496"/>
      <c r="R33" s="467"/>
      <c r="S33" s="496"/>
      <c r="T33" s="496"/>
      <c r="U33" s="496"/>
      <c r="V33" s="467"/>
      <c r="W33" s="496"/>
      <c r="X33" s="467"/>
      <c r="Y33" s="496"/>
      <c r="Z33" s="467"/>
      <c r="AA33" s="496"/>
      <c r="AB33" s="467"/>
      <c r="AC33" s="932"/>
      <c r="AD33" s="496">
        <v>0</v>
      </c>
      <c r="AE33" s="1773"/>
      <c r="AF33" s="467"/>
      <c r="AG33" s="496">
        <v>0</v>
      </c>
      <c r="AH33" s="493"/>
      <c r="AI33" s="237"/>
      <c r="AJ33" s="493">
        <f>ROUND(AD33-AG33,1)</f>
        <v>0</v>
      </c>
      <c r="AK33" s="472"/>
      <c r="AL33" s="661">
        <f>ROUND(IF(AG33=0,0,AJ33/ABS(AG33)),3)</f>
        <v>0</v>
      </c>
    </row>
    <row r="34" spans="1:39" ht="15.75">
      <c r="A34" s="21"/>
      <c r="B34" s="594" t="s">
        <v>906</v>
      </c>
      <c r="C34" s="21"/>
      <c r="D34" s="21"/>
      <c r="E34" s="496">
        <v>0</v>
      </c>
      <c r="F34" s="467"/>
      <c r="G34" s="496">
        <v>0</v>
      </c>
      <c r="H34" s="467"/>
      <c r="I34" s="496">
        <v>0</v>
      </c>
      <c r="J34" s="467"/>
      <c r="K34" s="496">
        <v>0</v>
      </c>
      <c r="L34" s="467"/>
      <c r="M34" s="496">
        <v>0</v>
      </c>
      <c r="N34" s="467"/>
      <c r="O34" s="496">
        <f t="shared" si="1"/>
        <v>0</v>
      </c>
      <c r="P34" s="467"/>
      <c r="Q34" s="496"/>
      <c r="R34" s="467"/>
      <c r="S34" s="496"/>
      <c r="T34" s="496"/>
      <c r="U34" s="496"/>
      <c r="V34" s="467"/>
      <c r="W34" s="496"/>
      <c r="X34" s="467"/>
      <c r="Y34" s="496"/>
      <c r="Z34" s="467"/>
      <c r="AA34" s="496"/>
      <c r="AB34" s="467"/>
      <c r="AC34" s="932"/>
      <c r="AD34" s="496">
        <v>0</v>
      </c>
      <c r="AE34" s="1773"/>
      <c r="AF34" s="467"/>
      <c r="AG34" s="496">
        <v>0</v>
      </c>
      <c r="AH34" s="46"/>
      <c r="AI34" s="237"/>
      <c r="AJ34" s="46">
        <f t="shared" si="2"/>
        <v>0</v>
      </c>
      <c r="AK34" s="113"/>
      <c r="AL34" s="948">
        <f>ROUND(IF(AG34=0,0,AJ34/ABS(AG34)),3)</f>
        <v>0</v>
      </c>
    </row>
    <row r="35" spans="1:39" ht="15.75">
      <c r="A35" s="21"/>
      <c r="B35" s="594" t="s">
        <v>1004</v>
      </c>
      <c r="C35" s="21"/>
      <c r="D35" s="21"/>
      <c r="E35" s="496" t="s">
        <v>14</v>
      </c>
      <c r="F35" s="467"/>
      <c r="G35" s="496"/>
      <c r="H35" s="467"/>
      <c r="I35" s="496"/>
      <c r="J35" s="467"/>
      <c r="K35" s="496"/>
      <c r="L35" s="467"/>
      <c r="M35" s="496"/>
      <c r="N35" s="36"/>
      <c r="O35" s="496"/>
      <c r="P35" s="36"/>
      <c r="Q35" s="496"/>
      <c r="R35" s="36"/>
      <c r="S35" s="496"/>
      <c r="T35" s="36"/>
      <c r="U35" s="496"/>
      <c r="V35" s="36"/>
      <c r="W35" s="496"/>
      <c r="X35" s="36"/>
      <c r="Y35" s="496"/>
      <c r="Z35" s="36"/>
      <c r="AA35" s="496"/>
      <c r="AB35" s="36"/>
      <c r="AC35" s="37"/>
      <c r="AD35" s="36"/>
      <c r="AE35" s="755"/>
      <c r="AF35" s="36"/>
      <c r="AG35" s="36"/>
      <c r="AH35" s="46"/>
      <c r="AI35" s="237"/>
      <c r="AJ35" s="493" t="s">
        <v>14</v>
      </c>
      <c r="AK35" s="113"/>
      <c r="AL35" s="661" t="s">
        <v>14</v>
      </c>
    </row>
    <row r="36" spans="1:39" ht="15.75">
      <c r="A36" s="21"/>
      <c r="B36" s="594" t="s">
        <v>935</v>
      </c>
      <c r="C36" s="21"/>
      <c r="D36" s="21"/>
      <c r="E36" s="496">
        <v>0</v>
      </c>
      <c r="F36" s="467"/>
      <c r="G36" s="496">
        <v>0</v>
      </c>
      <c r="H36" s="467"/>
      <c r="I36" s="496">
        <v>0</v>
      </c>
      <c r="J36" s="467"/>
      <c r="K36" s="496">
        <v>0</v>
      </c>
      <c r="L36" s="467"/>
      <c r="M36" s="496">
        <v>0</v>
      </c>
      <c r="N36" s="467"/>
      <c r="O36" s="496">
        <f t="shared" si="1"/>
        <v>0</v>
      </c>
      <c r="P36" s="467"/>
      <c r="Q36" s="496"/>
      <c r="R36" s="467"/>
      <c r="S36" s="496"/>
      <c r="T36" s="496"/>
      <c r="U36" s="496"/>
      <c r="V36" s="467"/>
      <c r="W36" s="496"/>
      <c r="X36" s="467"/>
      <c r="Y36" s="496"/>
      <c r="Z36" s="467"/>
      <c r="AA36" s="496"/>
      <c r="AB36" s="467"/>
      <c r="AC36" s="932"/>
      <c r="AD36" s="496">
        <v>0</v>
      </c>
      <c r="AE36" s="1773"/>
      <c r="AF36" s="467"/>
      <c r="AG36" s="496">
        <v>0</v>
      </c>
      <c r="AH36" s="46"/>
      <c r="AI36" s="237"/>
      <c r="AJ36" s="46">
        <f t="shared" si="2"/>
        <v>0</v>
      </c>
      <c r="AK36" s="113"/>
      <c r="AL36" s="8">
        <f t="shared" ref="AL36:AL42" si="4">ROUND(IF(AG36=0,0,AJ36/ABS(AG36)),3)</f>
        <v>0</v>
      </c>
    </row>
    <row r="37" spans="1:39" ht="15.75">
      <c r="A37" s="21"/>
      <c r="B37" s="594" t="s">
        <v>937</v>
      </c>
      <c r="C37" s="21"/>
      <c r="D37" s="21"/>
      <c r="E37" s="496">
        <v>0</v>
      </c>
      <c r="F37" s="467"/>
      <c r="G37" s="496">
        <v>0</v>
      </c>
      <c r="H37" s="467"/>
      <c r="I37" s="496">
        <v>0</v>
      </c>
      <c r="J37" s="467"/>
      <c r="K37" s="496">
        <v>0</v>
      </c>
      <c r="L37" s="467"/>
      <c r="M37" s="496">
        <v>0</v>
      </c>
      <c r="N37" s="467"/>
      <c r="O37" s="496">
        <f t="shared" si="1"/>
        <v>0</v>
      </c>
      <c r="P37" s="467"/>
      <c r="Q37" s="496"/>
      <c r="R37" s="467"/>
      <c r="S37" s="496"/>
      <c r="T37" s="496"/>
      <c r="U37" s="496"/>
      <c r="V37" s="467"/>
      <c r="W37" s="496"/>
      <c r="X37" s="467"/>
      <c r="Y37" s="496"/>
      <c r="Z37" s="467"/>
      <c r="AA37" s="496"/>
      <c r="AB37" s="467"/>
      <c r="AC37" s="932"/>
      <c r="AD37" s="496">
        <v>0</v>
      </c>
      <c r="AE37" s="1773"/>
      <c r="AF37" s="467"/>
      <c r="AG37" s="496">
        <v>0</v>
      </c>
      <c r="AH37" s="46"/>
      <c r="AI37" s="237"/>
      <c r="AJ37" s="46">
        <f t="shared" si="2"/>
        <v>0</v>
      </c>
      <c r="AK37" s="113"/>
      <c r="AL37" s="8">
        <f t="shared" si="4"/>
        <v>0</v>
      </c>
    </row>
    <row r="38" spans="1:39" ht="15.75">
      <c r="A38" s="21"/>
      <c r="B38" s="594" t="s">
        <v>938</v>
      </c>
      <c r="C38" s="21"/>
      <c r="D38" s="21"/>
      <c r="E38" s="496">
        <v>0</v>
      </c>
      <c r="F38" s="467"/>
      <c r="G38" s="496">
        <v>0</v>
      </c>
      <c r="H38" s="467"/>
      <c r="I38" s="496">
        <v>0</v>
      </c>
      <c r="J38" s="467"/>
      <c r="K38" s="496">
        <v>0</v>
      </c>
      <c r="L38" s="467"/>
      <c r="M38" s="496">
        <v>0</v>
      </c>
      <c r="N38" s="467"/>
      <c r="O38" s="496">
        <f t="shared" si="1"/>
        <v>0</v>
      </c>
      <c r="P38" s="467"/>
      <c r="Q38" s="496"/>
      <c r="R38" s="467"/>
      <c r="S38" s="496"/>
      <c r="T38" s="496"/>
      <c r="U38" s="496"/>
      <c r="V38" s="467"/>
      <c r="W38" s="496"/>
      <c r="X38" s="467"/>
      <c r="Y38" s="496"/>
      <c r="Z38" s="467"/>
      <c r="AA38" s="496"/>
      <c r="AB38" s="467"/>
      <c r="AC38" s="932"/>
      <c r="AD38" s="496">
        <v>0</v>
      </c>
      <c r="AE38" s="1773"/>
      <c r="AF38" s="467"/>
      <c r="AG38" s="496">
        <v>0</v>
      </c>
      <c r="AH38" s="46"/>
      <c r="AI38" s="237"/>
      <c r="AJ38" s="46">
        <f t="shared" si="2"/>
        <v>0</v>
      </c>
      <c r="AK38" s="113"/>
      <c r="AL38" s="8">
        <f>ROUND(IF(AG38=0,0,AJ38/ABS(AG38)),3)</f>
        <v>0</v>
      </c>
    </row>
    <row r="39" spans="1:39" ht="15.75">
      <c r="A39" s="21"/>
      <c r="B39" s="594" t="s">
        <v>941</v>
      </c>
      <c r="C39" s="21"/>
      <c r="D39" s="21"/>
      <c r="E39" s="496">
        <v>0</v>
      </c>
      <c r="F39" s="467"/>
      <c r="G39" s="496">
        <v>0</v>
      </c>
      <c r="H39" s="467"/>
      <c r="I39" s="496">
        <v>0</v>
      </c>
      <c r="J39" s="467"/>
      <c r="K39" s="496">
        <v>0</v>
      </c>
      <c r="L39" s="467"/>
      <c r="M39" s="496">
        <v>0</v>
      </c>
      <c r="N39" s="467"/>
      <c r="O39" s="496">
        <f t="shared" si="1"/>
        <v>0</v>
      </c>
      <c r="P39" s="467"/>
      <c r="Q39" s="496"/>
      <c r="R39" s="467"/>
      <c r="S39" s="496"/>
      <c r="T39" s="496"/>
      <c r="U39" s="496"/>
      <c r="V39" s="467"/>
      <c r="W39" s="496"/>
      <c r="X39" s="467"/>
      <c r="Y39" s="496"/>
      <c r="Z39" s="467"/>
      <c r="AA39" s="496"/>
      <c r="AB39" s="467"/>
      <c r="AC39" s="932"/>
      <c r="AD39" s="496">
        <v>0</v>
      </c>
      <c r="AE39" s="1773"/>
      <c r="AF39" s="467"/>
      <c r="AG39" s="496">
        <v>0</v>
      </c>
      <c r="AH39" s="46"/>
      <c r="AI39" s="237"/>
      <c r="AJ39" s="46">
        <f t="shared" si="2"/>
        <v>0</v>
      </c>
      <c r="AK39" s="113"/>
      <c r="AL39" s="8">
        <f t="shared" si="4"/>
        <v>0</v>
      </c>
    </row>
    <row r="40" spans="1:39" ht="15.75">
      <c r="A40" s="21"/>
      <c r="B40" s="594" t="s">
        <v>943</v>
      </c>
      <c r="C40" s="21"/>
      <c r="D40" s="21"/>
      <c r="E40" s="496">
        <v>0</v>
      </c>
      <c r="F40" s="467"/>
      <c r="G40" s="496">
        <v>0</v>
      </c>
      <c r="H40" s="467"/>
      <c r="I40" s="496">
        <v>0</v>
      </c>
      <c r="J40" s="467"/>
      <c r="K40" s="496">
        <v>0</v>
      </c>
      <c r="L40" s="467"/>
      <c r="M40" s="496">
        <v>0</v>
      </c>
      <c r="N40" s="467"/>
      <c r="O40" s="496">
        <f t="shared" si="1"/>
        <v>0</v>
      </c>
      <c r="P40" s="467"/>
      <c r="Q40" s="496"/>
      <c r="R40" s="467"/>
      <c r="S40" s="496"/>
      <c r="T40" s="496"/>
      <c r="U40" s="496"/>
      <c r="V40" s="467"/>
      <c r="W40" s="496"/>
      <c r="X40" s="467"/>
      <c r="Y40" s="496"/>
      <c r="Z40" s="467"/>
      <c r="AA40" s="496"/>
      <c r="AB40" s="467"/>
      <c r="AC40" s="932"/>
      <c r="AD40" s="496">
        <v>0</v>
      </c>
      <c r="AE40" s="1773"/>
      <c r="AF40" s="467"/>
      <c r="AG40" s="496">
        <v>0</v>
      </c>
      <c r="AH40" s="46"/>
      <c r="AI40" s="237"/>
      <c r="AJ40" s="46">
        <f t="shared" si="2"/>
        <v>0</v>
      </c>
      <c r="AK40" s="113"/>
      <c r="AL40" s="8">
        <f t="shared" si="4"/>
        <v>0</v>
      </c>
    </row>
    <row r="41" spans="1:39" ht="15.75">
      <c r="A41" s="21"/>
      <c r="B41" s="594" t="s">
        <v>916</v>
      </c>
      <c r="C41" s="21"/>
      <c r="D41" s="21"/>
      <c r="E41" s="496">
        <v>0</v>
      </c>
      <c r="F41" s="467"/>
      <c r="G41" s="496">
        <v>0</v>
      </c>
      <c r="H41" s="467"/>
      <c r="I41" s="496">
        <v>0</v>
      </c>
      <c r="J41" s="467"/>
      <c r="K41" s="496">
        <v>0</v>
      </c>
      <c r="L41" s="467"/>
      <c r="M41" s="496">
        <v>0</v>
      </c>
      <c r="N41" s="1003"/>
      <c r="O41" s="496">
        <f t="shared" si="1"/>
        <v>0</v>
      </c>
      <c r="P41" s="1003"/>
      <c r="Q41" s="496"/>
      <c r="R41" s="1003"/>
      <c r="S41" s="496"/>
      <c r="T41" s="1003"/>
      <c r="U41" s="496"/>
      <c r="V41" s="1003"/>
      <c r="W41" s="496"/>
      <c r="X41" s="1003"/>
      <c r="Y41" s="496"/>
      <c r="Z41" s="1003"/>
      <c r="AA41" s="496"/>
      <c r="AB41" s="36"/>
      <c r="AC41" s="37"/>
      <c r="AD41" s="912">
        <v>0</v>
      </c>
      <c r="AE41" s="755"/>
      <c r="AF41" s="36"/>
      <c r="AG41" s="1118">
        <v>0</v>
      </c>
      <c r="AH41" s="46"/>
      <c r="AI41" s="237"/>
      <c r="AJ41" s="46">
        <f t="shared" si="2"/>
        <v>0</v>
      </c>
      <c r="AK41" s="113"/>
      <c r="AL41" s="469">
        <f>ROUND(IF(AG41=0,0,AJ41/ABS(AG41)),3)</f>
        <v>0</v>
      </c>
    </row>
    <row r="42" spans="1:39" s="19" customFormat="1" ht="15.75" collapsed="1">
      <c r="B42" s="218" t="s">
        <v>949</v>
      </c>
      <c r="E42" s="179">
        <f>ROUND(SUM(E19:E41),1)</f>
        <v>0</v>
      </c>
      <c r="F42" s="42"/>
      <c r="G42" s="179">
        <f>ROUND(SUM(G19:G41),1)</f>
        <v>0</v>
      </c>
      <c r="H42" s="691"/>
      <c r="I42" s="179">
        <f>ROUND(SUM(I19:I41),1)</f>
        <v>0</v>
      </c>
      <c r="J42" s="42"/>
      <c r="K42" s="179">
        <f>ROUND(SUM(K19:K41),1)</f>
        <v>0</v>
      </c>
      <c r="L42" s="42"/>
      <c r="M42" s="179">
        <f>ROUND(SUM(M19:M41),1)</f>
        <v>0</v>
      </c>
      <c r="N42" s="42"/>
      <c r="O42" s="179">
        <f>ROUND(SUM(O19:O41),1)</f>
        <v>0</v>
      </c>
      <c r="P42" s="42"/>
      <c r="Q42" s="179">
        <f>ROUND(SUM(Q19:Q41),1)</f>
        <v>0</v>
      </c>
      <c r="R42" s="42"/>
      <c r="S42" s="179">
        <f>ROUND(SUM(S19:S41),1)</f>
        <v>0</v>
      </c>
      <c r="T42" s="42"/>
      <c r="U42" s="179">
        <f t="shared" ref="U42" si="5">ROUND(SUM(U19:U41),1)</f>
        <v>0</v>
      </c>
      <c r="V42" s="42"/>
      <c r="W42" s="179">
        <f>ROUND(SUM(W19:W41),1)</f>
        <v>0</v>
      </c>
      <c r="X42" s="42"/>
      <c r="Y42" s="179">
        <f>ROUND(SUM(Y19:Y41),1)</f>
        <v>0</v>
      </c>
      <c r="Z42" s="42"/>
      <c r="AA42" s="179">
        <f>ROUND(SUM(AA19:AA41),1)</f>
        <v>0</v>
      </c>
      <c r="AB42" s="42"/>
      <c r="AC42" s="44"/>
      <c r="AD42" s="179">
        <f>ROUND(SUM(AD19:AD41),1)</f>
        <v>0</v>
      </c>
      <c r="AE42" s="144"/>
      <c r="AF42" s="42"/>
      <c r="AG42" s="179">
        <f>ROUND(SUM(AG19:AG41),1)</f>
        <v>0</v>
      </c>
      <c r="AH42" s="57"/>
      <c r="AI42" s="237"/>
      <c r="AJ42" s="179">
        <f>ROUND(SUM(AJ19:AJ41),1)</f>
        <v>0</v>
      </c>
      <c r="AK42" s="112"/>
      <c r="AL42" s="13">
        <f t="shared" si="4"/>
        <v>0</v>
      </c>
    </row>
    <row r="43" spans="1:39" s="38" customFormat="1" ht="15.75">
      <c r="A43" s="36"/>
      <c r="B43" s="1984"/>
      <c r="C43" s="36"/>
      <c r="D43" s="36"/>
      <c r="E43" s="496"/>
      <c r="F43" s="467"/>
      <c r="G43" s="480"/>
      <c r="H43" s="467"/>
      <c r="I43" s="496"/>
      <c r="J43" s="467"/>
      <c r="K43" s="480"/>
      <c r="L43" s="36"/>
      <c r="M43" s="194"/>
      <c r="N43" s="36"/>
      <c r="O43" s="193"/>
      <c r="P43" s="36"/>
      <c r="Q43" s="194"/>
      <c r="R43" s="36"/>
      <c r="S43" s="193"/>
      <c r="T43" s="36"/>
      <c r="U43" s="193"/>
      <c r="V43" s="36"/>
      <c r="W43" s="194"/>
      <c r="X43" s="36"/>
      <c r="Y43" s="194"/>
      <c r="Z43" s="36"/>
      <c r="AA43" s="194"/>
      <c r="AB43" s="36"/>
      <c r="AC43" s="37"/>
      <c r="AD43" s="194"/>
      <c r="AE43" s="52"/>
      <c r="AF43" s="37"/>
      <c r="AG43" s="194"/>
      <c r="AH43" s="46"/>
      <c r="AI43" s="237"/>
      <c r="AL43" s="236"/>
    </row>
    <row r="44" spans="1:39" ht="15.75">
      <c r="A44" s="21"/>
      <c r="B44" s="21" t="s">
        <v>146</v>
      </c>
      <c r="C44" s="21"/>
      <c r="D44" s="21"/>
      <c r="E44" s="496">
        <v>219.5</v>
      </c>
      <c r="F44" s="467"/>
      <c r="G44" s="496">
        <v>258.8</v>
      </c>
      <c r="H44" s="467"/>
      <c r="I44" s="496">
        <v>190.3</v>
      </c>
      <c r="J44" s="467"/>
      <c r="K44" s="496">
        <v>352.40000000000003</v>
      </c>
      <c r="L44" s="467"/>
      <c r="M44" s="496">
        <v>218.00000000000006</v>
      </c>
      <c r="N44" s="467"/>
      <c r="O44" s="496">
        <f t="shared" ref="O44" si="6">$AD44-$E44-$G44-$I44-$K44-$M44</f>
        <v>191.70000000000005</v>
      </c>
      <c r="P44" s="467"/>
      <c r="Q44" s="496"/>
      <c r="R44" s="467"/>
      <c r="S44" s="496"/>
      <c r="T44" s="496"/>
      <c r="U44" s="496"/>
      <c r="V44" s="467"/>
      <c r="W44" s="496"/>
      <c r="X44" s="467"/>
      <c r="Y44" s="496"/>
      <c r="Z44" s="467"/>
      <c r="AA44" s="496"/>
      <c r="AB44" s="467"/>
      <c r="AC44" s="932"/>
      <c r="AD44" s="496">
        <v>1430.7</v>
      </c>
      <c r="AE44" s="1773"/>
      <c r="AF44" s="467"/>
      <c r="AG44" s="496">
        <v>1165.5</v>
      </c>
      <c r="AH44" s="46"/>
      <c r="AI44" s="238"/>
      <c r="AJ44" s="239">
        <f>ROUND(AD44-AG44,1)</f>
        <v>265.2</v>
      </c>
      <c r="AK44" s="113"/>
      <c r="AL44" s="2122">
        <f>ROUND(IF(AG44=0,0,AJ44/ABS(AG44)),3)</f>
        <v>0.22800000000000001</v>
      </c>
    </row>
    <row r="45" spans="1:39" ht="15.75">
      <c r="A45" s="21"/>
      <c r="B45" s="21"/>
      <c r="C45" s="21"/>
      <c r="D45" s="21"/>
      <c r="E45" s="497"/>
      <c r="F45" s="467"/>
      <c r="G45" s="497"/>
      <c r="H45" s="467"/>
      <c r="I45" s="497"/>
      <c r="J45" s="467"/>
      <c r="K45" s="497"/>
      <c r="L45" s="36"/>
      <c r="M45" s="61"/>
      <c r="N45" s="36"/>
      <c r="O45" s="61"/>
      <c r="P45" s="36"/>
      <c r="Q45" s="61"/>
      <c r="R45" s="36"/>
      <c r="S45" s="61"/>
      <c r="T45" s="36"/>
      <c r="U45" s="61"/>
      <c r="V45" s="36"/>
      <c r="W45" s="61"/>
      <c r="X45" s="36"/>
      <c r="Y45" s="61"/>
      <c r="Z45" s="36"/>
      <c r="AA45" s="61"/>
      <c r="AB45" s="36"/>
      <c r="AC45" s="37"/>
      <c r="AD45" s="61"/>
      <c r="AE45" s="52"/>
      <c r="AF45" s="37"/>
      <c r="AG45" s="61"/>
      <c r="AH45" s="36"/>
      <c r="AI45" s="238"/>
      <c r="AJ45" s="38"/>
      <c r="AL45" s="236"/>
    </row>
    <row r="46" spans="1:39" ht="15.75">
      <c r="A46" s="21"/>
      <c r="B46" s="19" t="s">
        <v>193</v>
      </c>
      <c r="C46" s="21"/>
      <c r="D46" s="21"/>
      <c r="E46" s="42">
        <f>ROUND(SUM(E42+E44),1)</f>
        <v>219.5</v>
      </c>
      <c r="F46" s="42"/>
      <c r="G46" s="42">
        <f>ROUND(SUM(G42+G44),1)</f>
        <v>258.8</v>
      </c>
      <c r="H46" s="42"/>
      <c r="I46" s="42">
        <f>ROUND(SUM(I42+I44),1)</f>
        <v>190.3</v>
      </c>
      <c r="J46" s="42"/>
      <c r="K46" s="42">
        <f>ROUND(SUM(K42+K44),1)</f>
        <v>352.4</v>
      </c>
      <c r="L46" s="42"/>
      <c r="M46" s="42">
        <f>ROUND(SUM(M42+M44),1)</f>
        <v>218</v>
      </c>
      <c r="N46" s="42"/>
      <c r="O46" s="42">
        <f>ROUND(SUM(O42+O44),1)</f>
        <v>191.7</v>
      </c>
      <c r="P46" s="42"/>
      <c r="Q46" s="42">
        <f>ROUND(SUM(Q42+Q44),1)</f>
        <v>0</v>
      </c>
      <c r="R46" s="42"/>
      <c r="S46" s="42">
        <f>ROUND(SUM(S42+S44),1)</f>
        <v>0</v>
      </c>
      <c r="T46" s="42"/>
      <c r="U46" s="42">
        <f t="shared" ref="U46" si="7">ROUND(SUM(U42+U44),1)</f>
        <v>0</v>
      </c>
      <c r="V46" s="42"/>
      <c r="W46" s="42">
        <f>ROUND(SUM(W42+W44),1)</f>
        <v>0</v>
      </c>
      <c r="X46" s="42"/>
      <c r="Y46" s="42">
        <f>ROUND(SUM(Y42+Y44),1)</f>
        <v>0</v>
      </c>
      <c r="Z46" s="42"/>
      <c r="AA46" s="42">
        <f>ROUND(SUM(AA42+AA44),1)</f>
        <v>0</v>
      </c>
      <c r="AB46" s="42"/>
      <c r="AC46" s="44"/>
      <c r="AD46" s="42">
        <f>ROUND(SUM(AD42+AD44),1)</f>
        <v>1430.7</v>
      </c>
      <c r="AE46" s="144"/>
      <c r="AF46" s="44"/>
      <c r="AG46" s="42">
        <f>ROUND(SUM(AG42+AG44),1)</f>
        <v>1165.5</v>
      </c>
      <c r="AH46" s="57"/>
      <c r="AI46" s="238"/>
      <c r="AJ46" s="601">
        <f>ROUND(SUM(AJ42+AJ44),1)</f>
        <v>265.2</v>
      </c>
      <c r="AK46" s="112"/>
      <c r="AL46" s="245">
        <f>ROUND(SUM(AD46-AG46)/ABS(AG46),3)</f>
        <v>0.22800000000000001</v>
      </c>
      <c r="AM46" s="19"/>
    </row>
    <row r="47" spans="1:39" ht="15.75">
      <c r="A47" s="21"/>
      <c r="B47" s="21"/>
      <c r="C47" s="21"/>
      <c r="D47" s="21"/>
      <c r="E47" s="497"/>
      <c r="F47" s="467"/>
      <c r="G47" s="497"/>
      <c r="H47" s="467"/>
      <c r="I47" s="497"/>
      <c r="J47" s="467"/>
      <c r="K47" s="497"/>
      <c r="L47" s="36"/>
      <c r="M47" s="61"/>
      <c r="N47" s="36"/>
      <c r="O47" s="61"/>
      <c r="P47" s="36"/>
      <c r="Q47" s="61"/>
      <c r="R47" s="36"/>
      <c r="S47" s="61"/>
      <c r="T47" s="36"/>
      <c r="U47" s="61"/>
      <c r="V47" s="36"/>
      <c r="W47" s="61"/>
      <c r="X47" s="36"/>
      <c r="Y47" s="61"/>
      <c r="Z47" s="36"/>
      <c r="AA47" s="61"/>
      <c r="AB47" s="36"/>
      <c r="AC47" s="37"/>
      <c r="AD47" s="61"/>
      <c r="AE47" s="52"/>
      <c r="AF47" s="37"/>
      <c r="AG47" s="61"/>
      <c r="AH47" s="36"/>
      <c r="AI47" s="238"/>
      <c r="AJ47" s="38"/>
      <c r="AL47" s="236"/>
    </row>
    <row r="48" spans="1:39" ht="15.75">
      <c r="A48" s="21"/>
      <c r="B48" s="19" t="s">
        <v>22</v>
      </c>
      <c r="C48" s="21"/>
      <c r="D48" s="21"/>
      <c r="E48" s="467"/>
      <c r="F48" s="467"/>
      <c r="G48" s="467"/>
      <c r="H48" s="467"/>
      <c r="I48" s="467"/>
      <c r="J48" s="467"/>
      <c r="K48" s="467"/>
      <c r="L48" s="36"/>
      <c r="M48" s="36"/>
      <c r="N48" s="36"/>
      <c r="O48" s="36"/>
      <c r="P48" s="36"/>
      <c r="Q48" s="36"/>
      <c r="R48" s="36"/>
      <c r="S48" s="36"/>
      <c r="T48" s="36"/>
      <c r="U48" s="36"/>
      <c r="V48" s="36"/>
      <c r="W48" s="36"/>
      <c r="X48" s="36"/>
      <c r="Y48" s="36"/>
      <c r="Z48" s="36"/>
      <c r="AA48" s="36"/>
      <c r="AB48" s="36"/>
      <c r="AC48" s="37"/>
      <c r="AD48" s="36"/>
      <c r="AE48" s="52"/>
      <c r="AF48" s="37"/>
      <c r="AG48" s="36"/>
      <c r="AH48" s="36"/>
      <c r="AI48" s="238"/>
      <c r="AJ48" s="38"/>
      <c r="AL48" s="236"/>
    </row>
    <row r="49" spans="1:41" ht="15.75">
      <c r="A49" s="21"/>
      <c r="B49" s="21" t="s">
        <v>148</v>
      </c>
      <c r="C49" s="21"/>
      <c r="D49" s="21"/>
      <c r="E49" s="496"/>
      <c r="F49" s="467"/>
      <c r="G49" s="467"/>
      <c r="H49" s="467"/>
      <c r="I49" s="467"/>
      <c r="J49" s="467"/>
      <c r="K49" s="467"/>
      <c r="L49" s="36"/>
      <c r="M49" s="36"/>
      <c r="N49" s="36"/>
      <c r="O49" s="36"/>
      <c r="P49" s="36"/>
      <c r="Q49" s="194"/>
      <c r="R49" s="36"/>
      <c r="S49" s="36"/>
      <c r="T49" s="36"/>
      <c r="U49" s="36"/>
      <c r="V49" s="36"/>
      <c r="W49" s="36"/>
      <c r="X49" s="36"/>
      <c r="Y49" s="36"/>
      <c r="Z49" s="36"/>
      <c r="AA49" s="36"/>
      <c r="AB49" s="36"/>
      <c r="AC49" s="37"/>
      <c r="AD49" s="36"/>
      <c r="AE49" s="52"/>
      <c r="AF49" s="37"/>
      <c r="AG49" s="36"/>
      <c r="AH49" s="36"/>
      <c r="AI49" s="238"/>
      <c r="AJ49" s="38"/>
      <c r="AK49" s="113"/>
      <c r="AL49" s="236"/>
    </row>
    <row r="50" spans="1:41" ht="15.75">
      <c r="A50" s="21"/>
      <c r="B50" s="21" t="s">
        <v>24</v>
      </c>
      <c r="C50" s="21"/>
      <c r="D50" s="21"/>
      <c r="E50" s="496">
        <v>0</v>
      </c>
      <c r="F50" s="467"/>
      <c r="G50" s="496">
        <v>0</v>
      </c>
      <c r="H50" s="467"/>
      <c r="I50" s="496">
        <v>0</v>
      </c>
      <c r="J50" s="467"/>
      <c r="K50" s="496">
        <v>0</v>
      </c>
      <c r="L50" s="467"/>
      <c r="M50" s="496">
        <v>0</v>
      </c>
      <c r="N50" s="467"/>
      <c r="O50" s="496">
        <f t="shared" ref="O50:O59" si="8">$AD50-$E50-$G50-$I50-$K50-$M50</f>
        <v>0</v>
      </c>
      <c r="P50" s="467"/>
      <c r="Q50" s="496"/>
      <c r="R50" s="467"/>
      <c r="S50" s="496"/>
      <c r="T50" s="496"/>
      <c r="U50" s="496"/>
      <c r="V50" s="467"/>
      <c r="W50" s="496"/>
      <c r="X50" s="496"/>
      <c r="Y50" s="496"/>
      <c r="Z50" s="467"/>
      <c r="AA50" s="496"/>
      <c r="AB50" s="467"/>
      <c r="AC50" s="932"/>
      <c r="AD50" s="496">
        <v>0</v>
      </c>
      <c r="AE50" s="1773"/>
      <c r="AF50" s="467"/>
      <c r="AG50" s="496">
        <v>0</v>
      </c>
      <c r="AH50" s="46"/>
      <c r="AI50" s="237"/>
      <c r="AJ50" s="757">
        <f>ROUND(AD50-AG50,1)</f>
        <v>0</v>
      </c>
      <c r="AK50" s="113"/>
      <c r="AL50" s="8">
        <f>ROUND(IF(AG50=0,0,AJ50/ABS(AG50)),3)</f>
        <v>0</v>
      </c>
    </row>
    <row r="51" spans="1:41" ht="15.75">
      <c r="A51" s="21"/>
      <c r="B51" s="21" t="s">
        <v>25</v>
      </c>
      <c r="C51" s="21"/>
      <c r="D51" s="21"/>
      <c r="E51" s="496">
        <v>66.099999999999994</v>
      </c>
      <c r="F51" s="467"/>
      <c r="G51" s="496">
        <v>4.9000000000000057</v>
      </c>
      <c r="H51" s="467"/>
      <c r="I51" s="496">
        <v>0</v>
      </c>
      <c r="J51" s="467"/>
      <c r="K51" s="496">
        <v>174.7</v>
      </c>
      <c r="L51" s="467"/>
      <c r="M51" s="496">
        <v>18.5</v>
      </c>
      <c r="N51" s="467"/>
      <c r="O51" s="496">
        <f t="shared" si="8"/>
        <v>0</v>
      </c>
      <c r="P51" s="467"/>
      <c r="Q51" s="496"/>
      <c r="R51" s="467"/>
      <c r="S51" s="496"/>
      <c r="T51" s="496"/>
      <c r="U51" s="496"/>
      <c r="V51" s="467"/>
      <c r="W51" s="496"/>
      <c r="X51" s="496"/>
      <c r="Y51" s="496"/>
      <c r="Z51" s="467"/>
      <c r="AA51" s="496"/>
      <c r="AB51" s="467"/>
      <c r="AC51" s="932"/>
      <c r="AD51" s="496">
        <v>264.2</v>
      </c>
      <c r="AE51" s="1773"/>
      <c r="AF51" s="467"/>
      <c r="AG51" s="496">
        <v>108.3</v>
      </c>
      <c r="AH51" s="46"/>
      <c r="AI51" s="237"/>
      <c r="AJ51" s="757">
        <f>ROUND(AD51-AG51,1)</f>
        <v>155.9</v>
      </c>
      <c r="AK51" s="113"/>
      <c r="AL51" s="971">
        <f>ROUND(IF(AG51=0,1,AJ51/ABS(AG51)),3)</f>
        <v>1.44</v>
      </c>
    </row>
    <row r="52" spans="1:41" ht="15.75">
      <c r="A52" s="21"/>
      <c r="B52" s="21" t="s">
        <v>26</v>
      </c>
      <c r="C52" s="21"/>
      <c r="D52" s="21"/>
      <c r="E52" s="496">
        <v>0</v>
      </c>
      <c r="F52" s="467"/>
      <c r="G52" s="496">
        <v>0</v>
      </c>
      <c r="H52" s="467"/>
      <c r="I52" s="496">
        <v>0</v>
      </c>
      <c r="J52" s="467"/>
      <c r="K52" s="496">
        <v>0</v>
      </c>
      <c r="L52" s="467"/>
      <c r="M52" s="496">
        <v>0</v>
      </c>
      <c r="N52" s="467"/>
      <c r="O52" s="496">
        <f t="shared" si="8"/>
        <v>0</v>
      </c>
      <c r="P52" s="467"/>
      <c r="Q52" s="496"/>
      <c r="R52" s="467"/>
      <c r="S52" s="496"/>
      <c r="T52" s="496"/>
      <c r="U52" s="496"/>
      <c r="V52" s="467"/>
      <c r="W52" s="496"/>
      <c r="X52" s="496"/>
      <c r="Y52" s="496"/>
      <c r="Z52" s="467"/>
      <c r="AA52" s="496"/>
      <c r="AB52" s="467"/>
      <c r="AC52" s="932"/>
      <c r="AD52" s="496">
        <v>0</v>
      </c>
      <c r="AE52" s="1773"/>
      <c r="AF52" s="467"/>
      <c r="AG52" s="496">
        <v>0</v>
      </c>
      <c r="AH52" s="46"/>
      <c r="AI52" s="237"/>
      <c r="AJ52" s="757">
        <f>ROUND(AD52-AG52,1)</f>
        <v>0</v>
      </c>
      <c r="AL52" s="8">
        <f>ROUND(IF(AG52=0,0,AJ52/ABS(AG52)),3)</f>
        <v>0</v>
      </c>
    </row>
    <row r="53" spans="1:41" ht="15.75">
      <c r="A53" s="21"/>
      <c r="B53" s="21" t="s">
        <v>27</v>
      </c>
      <c r="C53" s="21"/>
      <c r="D53" s="21"/>
      <c r="E53" s="496" t="s">
        <v>14</v>
      </c>
      <c r="F53" s="467"/>
      <c r="G53" s="496"/>
      <c r="H53" s="467"/>
      <c r="I53" s="496"/>
      <c r="J53" s="467"/>
      <c r="K53" s="496"/>
      <c r="L53" s="467"/>
      <c r="M53" s="496"/>
      <c r="N53" s="467"/>
      <c r="O53" s="496"/>
      <c r="P53" s="467"/>
      <c r="Q53" s="496"/>
      <c r="R53" s="467"/>
      <c r="S53" s="496"/>
      <c r="T53" s="496"/>
      <c r="U53" s="496"/>
      <c r="V53" s="467"/>
      <c r="W53" s="496"/>
      <c r="X53" s="496"/>
      <c r="Y53" s="496"/>
      <c r="Z53" s="467"/>
      <c r="AA53" s="496"/>
      <c r="AB53" s="467"/>
      <c r="AC53" s="932"/>
      <c r="AD53" s="496"/>
      <c r="AE53" s="1773"/>
      <c r="AF53" s="467"/>
      <c r="AG53" s="496"/>
      <c r="AH53" s="36"/>
      <c r="AI53" s="238"/>
      <c r="AJ53" s="758"/>
      <c r="AK53" s="113"/>
      <c r="AL53" s="1097" t="s">
        <v>14</v>
      </c>
    </row>
    <row r="54" spans="1:41" ht="15.75">
      <c r="A54" s="21"/>
      <c r="B54" s="21" t="s">
        <v>28</v>
      </c>
      <c r="C54" s="19"/>
      <c r="D54" s="21"/>
      <c r="E54" s="496">
        <v>0</v>
      </c>
      <c r="F54" s="467"/>
      <c r="G54" s="496">
        <v>0</v>
      </c>
      <c r="H54" s="467"/>
      <c r="I54" s="496">
        <v>0</v>
      </c>
      <c r="J54" s="467"/>
      <c r="K54" s="496">
        <v>0</v>
      </c>
      <c r="L54" s="467"/>
      <c r="M54" s="496">
        <v>0</v>
      </c>
      <c r="N54" s="467"/>
      <c r="O54" s="496">
        <f t="shared" si="8"/>
        <v>0</v>
      </c>
      <c r="P54" s="467"/>
      <c r="Q54" s="496"/>
      <c r="R54" s="467"/>
      <c r="S54" s="496"/>
      <c r="T54" s="496"/>
      <c r="U54" s="496"/>
      <c r="V54" s="467"/>
      <c r="W54" s="496"/>
      <c r="X54" s="496"/>
      <c r="Y54" s="496"/>
      <c r="Z54" s="467"/>
      <c r="AA54" s="496"/>
      <c r="AB54" s="467"/>
      <c r="AC54" s="932"/>
      <c r="AD54" s="496">
        <v>0</v>
      </c>
      <c r="AE54" s="1773"/>
      <c r="AF54" s="467"/>
      <c r="AG54" s="496">
        <v>0</v>
      </c>
      <c r="AH54" s="36"/>
      <c r="AI54" s="238"/>
      <c r="AJ54" s="757">
        <f t="shared" ref="AJ54:AJ59" si="9">ROUND(AD54-AG54,1)</f>
        <v>0</v>
      </c>
      <c r="AL54" s="8">
        <f>ROUND(IF(AG54=0,0,AJ54/ABS(AG54)),3)</f>
        <v>0</v>
      </c>
    </row>
    <row r="55" spans="1:41" ht="15.75">
      <c r="A55" s="21"/>
      <c r="B55" s="21" t="s">
        <v>29</v>
      </c>
      <c r="C55" s="21"/>
      <c r="D55" s="21"/>
      <c r="E55" s="496">
        <v>0</v>
      </c>
      <c r="F55" s="467"/>
      <c r="G55" s="496">
        <v>64.100000000000009</v>
      </c>
      <c r="H55" s="467"/>
      <c r="I55" s="496">
        <v>0</v>
      </c>
      <c r="J55" s="467"/>
      <c r="K55" s="496">
        <v>9.9999999999994316E-2</v>
      </c>
      <c r="L55" s="467"/>
      <c r="M55" s="496">
        <v>0</v>
      </c>
      <c r="N55" s="467"/>
      <c r="O55" s="496">
        <f t="shared" si="8"/>
        <v>0</v>
      </c>
      <c r="P55" s="467"/>
      <c r="Q55" s="496"/>
      <c r="R55" s="467"/>
      <c r="S55" s="496"/>
      <c r="T55" s="496"/>
      <c r="U55" s="496"/>
      <c r="V55" s="467"/>
      <c r="W55" s="496"/>
      <c r="X55" s="496"/>
      <c r="Y55" s="496"/>
      <c r="Z55" s="467"/>
      <c r="AA55" s="496"/>
      <c r="AB55" s="467"/>
      <c r="AC55" s="932"/>
      <c r="AD55" s="496">
        <v>64.2</v>
      </c>
      <c r="AE55" s="1773"/>
      <c r="AF55" s="467"/>
      <c r="AG55" s="496">
        <v>2.5</v>
      </c>
      <c r="AH55" s="46"/>
      <c r="AI55" s="237"/>
      <c r="AJ55" s="757">
        <f t="shared" si="9"/>
        <v>61.7</v>
      </c>
      <c r="AK55" s="113"/>
      <c r="AL55" s="964">
        <f>ROUND(IF(AG55=0,1,AJ55/ABS(AG55)),3)</f>
        <v>24.68</v>
      </c>
    </row>
    <row r="56" spans="1:41" ht="15.75">
      <c r="A56" s="21"/>
      <c r="B56" s="21" t="s">
        <v>30</v>
      </c>
      <c r="C56" s="21"/>
      <c r="D56" s="21"/>
      <c r="E56" s="496">
        <v>0</v>
      </c>
      <c r="F56" s="467"/>
      <c r="G56" s="496">
        <v>0</v>
      </c>
      <c r="H56" s="467"/>
      <c r="I56" s="496">
        <v>0</v>
      </c>
      <c r="J56" s="467"/>
      <c r="K56" s="496">
        <v>0</v>
      </c>
      <c r="L56" s="467"/>
      <c r="M56" s="496">
        <v>0</v>
      </c>
      <c r="N56" s="467"/>
      <c r="O56" s="496">
        <f t="shared" si="8"/>
        <v>0</v>
      </c>
      <c r="P56" s="467"/>
      <c r="Q56" s="496"/>
      <c r="R56" s="467"/>
      <c r="S56" s="496"/>
      <c r="T56" s="496"/>
      <c r="U56" s="496"/>
      <c r="V56" s="467"/>
      <c r="W56" s="496"/>
      <c r="X56" s="496"/>
      <c r="Y56" s="496"/>
      <c r="Z56" s="467"/>
      <c r="AA56" s="496"/>
      <c r="AB56" s="467"/>
      <c r="AC56" s="932"/>
      <c r="AD56" s="496">
        <v>0</v>
      </c>
      <c r="AE56" s="1773"/>
      <c r="AF56" s="467"/>
      <c r="AG56" s="496">
        <v>36.299999999999997</v>
      </c>
      <c r="AH56" s="46"/>
      <c r="AI56" s="237"/>
      <c r="AJ56" s="757">
        <f t="shared" si="9"/>
        <v>-36.299999999999997</v>
      </c>
      <c r="AL56" s="964">
        <f>ROUND(IF(AG56=0,1,AJ56/ABS(AG56)),3)</f>
        <v>-1</v>
      </c>
    </row>
    <row r="57" spans="1:41" ht="15.75">
      <c r="A57" s="21"/>
      <c r="B57" s="21" t="s">
        <v>31</v>
      </c>
      <c r="C57" s="21"/>
      <c r="D57" s="21"/>
      <c r="E57" s="496">
        <v>0</v>
      </c>
      <c r="F57" s="467"/>
      <c r="G57" s="496">
        <v>0</v>
      </c>
      <c r="H57" s="467"/>
      <c r="I57" s="496">
        <v>0</v>
      </c>
      <c r="J57" s="467"/>
      <c r="K57" s="496">
        <v>0</v>
      </c>
      <c r="L57" s="467"/>
      <c r="M57" s="496">
        <v>0</v>
      </c>
      <c r="N57" s="467"/>
      <c r="O57" s="496">
        <f t="shared" si="8"/>
        <v>0</v>
      </c>
      <c r="P57" s="467"/>
      <c r="Q57" s="496"/>
      <c r="R57" s="467"/>
      <c r="S57" s="496"/>
      <c r="T57" s="496"/>
      <c r="U57" s="496"/>
      <c r="V57" s="467"/>
      <c r="W57" s="496"/>
      <c r="X57" s="496"/>
      <c r="Y57" s="496"/>
      <c r="Z57" s="467"/>
      <c r="AA57" s="496"/>
      <c r="AB57" s="467"/>
      <c r="AC57" s="932"/>
      <c r="AD57" s="496">
        <v>0</v>
      </c>
      <c r="AE57" s="1773"/>
      <c r="AF57" s="467"/>
      <c r="AG57" s="496">
        <v>0</v>
      </c>
      <c r="AH57" s="36"/>
      <c r="AI57" s="238"/>
      <c r="AJ57" s="757">
        <f t="shared" si="9"/>
        <v>0</v>
      </c>
      <c r="AK57" s="113"/>
      <c r="AL57" s="8">
        <f>ROUND(IF(AG57=0,0,AJ57/ABS(AG57)),3)</f>
        <v>0</v>
      </c>
    </row>
    <row r="58" spans="1:41" ht="15.75">
      <c r="A58" s="21"/>
      <c r="B58" s="21" t="s">
        <v>32</v>
      </c>
      <c r="C58" s="19"/>
      <c r="D58" s="21"/>
      <c r="E58" s="496">
        <v>0</v>
      </c>
      <c r="F58" s="467"/>
      <c r="G58" s="496">
        <v>0.2</v>
      </c>
      <c r="H58" s="467"/>
      <c r="I58" s="496">
        <v>0</v>
      </c>
      <c r="J58" s="467"/>
      <c r="K58" s="496">
        <v>9.9999999999999978E-2</v>
      </c>
      <c r="L58" s="467"/>
      <c r="M58" s="496">
        <v>0.3</v>
      </c>
      <c r="N58" s="467"/>
      <c r="O58" s="496">
        <f t="shared" si="8"/>
        <v>3.4</v>
      </c>
      <c r="P58" s="467"/>
      <c r="Q58" s="496"/>
      <c r="R58" s="467"/>
      <c r="S58" s="496"/>
      <c r="T58" s="496"/>
      <c r="U58" s="496"/>
      <c r="V58" s="467"/>
      <c r="W58" s="496"/>
      <c r="X58" s="496"/>
      <c r="Y58" s="496"/>
      <c r="Z58" s="467"/>
      <c r="AA58" s="496"/>
      <c r="AB58" s="467"/>
      <c r="AC58" s="932"/>
      <c r="AD58" s="496">
        <v>4</v>
      </c>
      <c r="AE58" s="1773"/>
      <c r="AF58" s="467"/>
      <c r="AG58" s="496">
        <v>0</v>
      </c>
      <c r="AH58" s="36"/>
      <c r="AI58" s="238"/>
      <c r="AJ58" s="757">
        <f t="shared" si="9"/>
        <v>4</v>
      </c>
      <c r="AL58" s="8">
        <f>ROUND(IF(AG58=0,1,AJ58/ABS(AG58)),3)</f>
        <v>1</v>
      </c>
    </row>
    <row r="59" spans="1:41" ht="15.75">
      <c r="A59" s="21"/>
      <c r="B59" s="21" t="s">
        <v>33</v>
      </c>
      <c r="C59" s="21"/>
      <c r="D59" s="21"/>
      <c r="E59" s="496">
        <v>33.799999999999997</v>
      </c>
      <c r="F59" s="467"/>
      <c r="G59" s="496">
        <v>26.5</v>
      </c>
      <c r="H59" s="467"/>
      <c r="I59" s="496">
        <v>23.299999999999997</v>
      </c>
      <c r="J59" s="467"/>
      <c r="K59" s="496">
        <v>35</v>
      </c>
      <c r="L59" s="467"/>
      <c r="M59" s="496">
        <v>47.399999999999991</v>
      </c>
      <c r="N59" s="467"/>
      <c r="O59" s="496">
        <f t="shared" si="8"/>
        <v>21.600000000000023</v>
      </c>
      <c r="P59" s="467"/>
      <c r="Q59" s="496"/>
      <c r="R59" s="467"/>
      <c r="S59" s="496"/>
      <c r="T59" s="496"/>
      <c r="U59" s="496"/>
      <c r="V59" s="467"/>
      <c r="W59" s="496"/>
      <c r="X59" s="496"/>
      <c r="Y59" s="496"/>
      <c r="Z59" s="467"/>
      <c r="AA59" s="496"/>
      <c r="AB59" s="467"/>
      <c r="AC59" s="932"/>
      <c r="AD59" s="496">
        <v>187.6</v>
      </c>
      <c r="AE59" s="1773"/>
      <c r="AF59" s="467"/>
      <c r="AG59" s="496">
        <v>199.9</v>
      </c>
      <c r="AH59" s="36"/>
      <c r="AI59" s="238"/>
      <c r="AJ59" s="757">
        <f t="shared" si="9"/>
        <v>-12.3</v>
      </c>
      <c r="AL59" s="1098">
        <f>ROUND((AD59-AG59)/ABS(AG59),3)</f>
        <v>-6.2E-2</v>
      </c>
    </row>
    <row r="60" spans="1:41" ht="15.75">
      <c r="A60" s="21"/>
      <c r="B60" s="19" t="s">
        <v>194</v>
      </c>
      <c r="C60" s="21"/>
      <c r="D60" s="21"/>
      <c r="E60" s="207">
        <f>ROUND(SUM(E50:E59),1)</f>
        <v>99.9</v>
      </c>
      <c r="F60" s="42"/>
      <c r="G60" s="207">
        <f>ROUND(SUM(G50:G59),1)</f>
        <v>95.7</v>
      </c>
      <c r="H60" s="42"/>
      <c r="I60" s="207">
        <f>ROUND(SUM(I50:I59),1)</f>
        <v>23.3</v>
      </c>
      <c r="J60" s="42"/>
      <c r="K60" s="207">
        <f>ROUND(SUM(K50:K59),1)</f>
        <v>209.9</v>
      </c>
      <c r="L60" s="42"/>
      <c r="M60" s="207">
        <f>ROUND(SUM(M50:M59),1)</f>
        <v>66.2</v>
      </c>
      <c r="N60" s="42"/>
      <c r="O60" s="207">
        <f>ROUND(SUM(O50:O59),1)</f>
        <v>25</v>
      </c>
      <c r="P60" s="42"/>
      <c r="Q60" s="207">
        <f>ROUND(SUM(Q50:Q59),1)</f>
        <v>0</v>
      </c>
      <c r="R60" s="42"/>
      <c r="S60" s="207">
        <f>ROUND(SUM(S50:S59),1)</f>
        <v>0</v>
      </c>
      <c r="T60" s="42"/>
      <c r="U60" s="207">
        <f t="shared" ref="U60" si="10">ROUND(SUM(U50:U59),1)</f>
        <v>0</v>
      </c>
      <c r="V60" s="42"/>
      <c r="W60" s="207">
        <f>ROUND(SUM(W50:W59),1)</f>
        <v>0</v>
      </c>
      <c r="X60" s="42"/>
      <c r="Y60" s="207">
        <f>ROUND(SUM(Y50:Y59),1)</f>
        <v>0</v>
      </c>
      <c r="Z60" s="42"/>
      <c r="AA60" s="207">
        <f>ROUND(SUM(AA50:AA59),1)</f>
        <v>0</v>
      </c>
      <c r="AB60" s="42"/>
      <c r="AC60" s="44"/>
      <c r="AD60" s="207">
        <f>ROUND(SUM(AD50:AD59),1)</f>
        <v>520</v>
      </c>
      <c r="AE60" s="144"/>
      <c r="AF60" s="44"/>
      <c r="AG60" s="207">
        <f>ROUND(SUM(AG50:AG59),1)</f>
        <v>347</v>
      </c>
      <c r="AH60" s="42"/>
      <c r="AI60" s="238"/>
      <c r="AJ60" s="207">
        <f>ROUND(SUM(AJ50:AJ59),1)</f>
        <v>173</v>
      </c>
      <c r="AK60" s="19"/>
      <c r="AL60" s="200">
        <f>ROUND(SUM(AD60-AG60)/ABS(AG60),3)</f>
        <v>0.499</v>
      </c>
      <c r="AM60" s="19"/>
      <c r="AN60" s="19"/>
      <c r="AO60" s="19"/>
    </row>
    <row r="61" spans="1:41" ht="15.75">
      <c r="A61" s="21"/>
      <c r="B61" s="21" t="s">
        <v>195</v>
      </c>
      <c r="C61" s="21"/>
      <c r="D61" s="21"/>
      <c r="E61" s="467"/>
      <c r="F61" s="467"/>
      <c r="G61" s="467"/>
      <c r="H61" s="467"/>
      <c r="I61" s="467"/>
      <c r="J61" s="467"/>
      <c r="K61" s="467"/>
      <c r="L61" s="36"/>
      <c r="M61" s="36"/>
      <c r="N61" s="36"/>
      <c r="O61" s="36"/>
      <c r="P61" s="36"/>
      <c r="Q61" s="36"/>
      <c r="R61" s="36"/>
      <c r="S61" s="36"/>
      <c r="T61" s="36"/>
      <c r="U61" s="36"/>
      <c r="V61" s="36"/>
      <c r="W61" s="36"/>
      <c r="X61" s="36"/>
      <c r="Y61" s="36"/>
      <c r="Z61" s="36"/>
      <c r="AA61" s="36"/>
      <c r="AB61" s="36"/>
      <c r="AC61" s="37"/>
      <c r="AD61" s="36"/>
      <c r="AE61" s="52"/>
      <c r="AF61" s="37"/>
      <c r="AG61" s="36"/>
      <c r="AH61" s="36"/>
      <c r="AI61" s="238"/>
      <c r="AJ61" s="38"/>
      <c r="AL61" s="236"/>
    </row>
    <row r="62" spans="1:41" ht="15.75">
      <c r="A62" s="21"/>
      <c r="B62" s="21" t="s">
        <v>196</v>
      </c>
      <c r="C62" s="21"/>
      <c r="D62" s="21"/>
      <c r="E62" s="496">
        <v>0</v>
      </c>
      <c r="F62" s="467"/>
      <c r="G62" s="496">
        <v>0</v>
      </c>
      <c r="H62" s="467"/>
      <c r="I62" s="496">
        <v>0</v>
      </c>
      <c r="J62" s="467"/>
      <c r="K62" s="496">
        <v>0</v>
      </c>
      <c r="L62" s="467"/>
      <c r="M62" s="496">
        <v>0</v>
      </c>
      <c r="N62" s="467"/>
      <c r="O62" s="496">
        <f t="shared" ref="O62:O65" si="11">$AD62-$E62-$G62-$I62-$K62-$M62</f>
        <v>0</v>
      </c>
      <c r="P62" s="467"/>
      <c r="Q62" s="496"/>
      <c r="R62" s="467"/>
      <c r="S62" s="496"/>
      <c r="T62" s="496"/>
      <c r="U62" s="496"/>
      <c r="V62" s="467"/>
      <c r="W62" s="496"/>
      <c r="X62" s="467"/>
      <c r="Y62" s="496"/>
      <c r="Z62" s="467"/>
      <c r="AA62" s="496"/>
      <c r="AB62" s="467"/>
      <c r="AC62" s="932"/>
      <c r="AD62" s="496">
        <v>0</v>
      </c>
      <c r="AE62" s="1773"/>
      <c r="AF62" s="467"/>
      <c r="AG62" s="496">
        <v>0</v>
      </c>
      <c r="AH62" s="40"/>
      <c r="AI62" s="241"/>
      <c r="AJ62" s="757">
        <f>ROUND(AD62-AG62,1)</f>
        <v>0</v>
      </c>
      <c r="AL62" s="8">
        <f>ROUND(IF(AG62=0,0,AJ62/ABS(AG62)),3)</f>
        <v>0</v>
      </c>
      <c r="AM62" s="113"/>
    </row>
    <row r="63" spans="1:41" ht="15.75">
      <c r="A63" s="21"/>
      <c r="B63" s="21" t="s">
        <v>197</v>
      </c>
      <c r="C63" s="21"/>
      <c r="D63" s="21"/>
      <c r="E63" s="496">
        <v>0</v>
      </c>
      <c r="F63" s="467"/>
      <c r="G63" s="496">
        <v>0</v>
      </c>
      <c r="H63" s="467"/>
      <c r="I63" s="496">
        <v>0</v>
      </c>
      <c r="J63" s="467"/>
      <c r="K63" s="496">
        <v>0</v>
      </c>
      <c r="L63" s="467"/>
      <c r="M63" s="496">
        <v>0</v>
      </c>
      <c r="N63" s="467"/>
      <c r="O63" s="496">
        <f t="shared" si="11"/>
        <v>0</v>
      </c>
      <c r="P63" s="467"/>
      <c r="Q63" s="496"/>
      <c r="R63" s="467"/>
      <c r="S63" s="496"/>
      <c r="T63" s="496"/>
      <c r="U63" s="496"/>
      <c r="V63" s="467"/>
      <c r="W63" s="496"/>
      <c r="X63" s="467"/>
      <c r="Y63" s="496"/>
      <c r="Z63" s="467"/>
      <c r="AA63" s="496"/>
      <c r="AB63" s="467"/>
      <c r="AC63" s="932"/>
      <c r="AD63" s="496">
        <v>0</v>
      </c>
      <c r="AE63" s="1773"/>
      <c r="AF63" s="467"/>
      <c r="AG63" s="496">
        <v>0</v>
      </c>
      <c r="AH63" s="40"/>
      <c r="AI63" s="241"/>
      <c r="AJ63" s="757">
        <f>ROUND(AD63-AG63,1)</f>
        <v>0</v>
      </c>
      <c r="AL63" s="8">
        <f>ROUND(IF(AG63=0,0,AJ63/ABS(AG63)),3)</f>
        <v>0</v>
      </c>
    </row>
    <row r="64" spans="1:41" ht="15.75">
      <c r="A64" s="21"/>
      <c r="B64" s="21" t="s">
        <v>198</v>
      </c>
      <c r="C64" s="21"/>
      <c r="D64" s="21"/>
      <c r="E64" s="496">
        <v>0</v>
      </c>
      <c r="F64" s="467"/>
      <c r="G64" s="496">
        <v>0</v>
      </c>
      <c r="H64" s="467"/>
      <c r="I64" s="496">
        <v>0</v>
      </c>
      <c r="J64" s="467"/>
      <c r="K64" s="496">
        <v>0</v>
      </c>
      <c r="L64" s="467"/>
      <c r="M64" s="496">
        <v>0</v>
      </c>
      <c r="N64" s="467"/>
      <c r="O64" s="496">
        <f t="shared" si="11"/>
        <v>0</v>
      </c>
      <c r="P64" s="467"/>
      <c r="Q64" s="496"/>
      <c r="R64" s="467"/>
      <c r="S64" s="496"/>
      <c r="T64" s="496"/>
      <c r="U64" s="496"/>
      <c r="V64" s="467"/>
      <c r="W64" s="496"/>
      <c r="X64" s="467"/>
      <c r="Y64" s="496"/>
      <c r="Z64" s="467"/>
      <c r="AA64" s="496"/>
      <c r="AB64" s="467"/>
      <c r="AC64" s="932"/>
      <c r="AD64" s="496">
        <v>0</v>
      </c>
      <c r="AE64" s="1773"/>
      <c r="AF64" s="467"/>
      <c r="AG64" s="496">
        <v>0</v>
      </c>
      <c r="AH64" s="40"/>
      <c r="AI64" s="241"/>
      <c r="AJ64" s="757">
        <f>ROUND(AD64-AG64,1)</f>
        <v>0</v>
      </c>
      <c r="AL64" s="8">
        <f>ROUND(IF(AG64=0,0,AJ64/ABS(AG64)),3)</f>
        <v>0</v>
      </c>
    </row>
    <row r="65" spans="1:39" ht="15.75">
      <c r="A65" s="21"/>
      <c r="B65" s="34" t="s">
        <v>209</v>
      </c>
      <c r="C65" s="21"/>
      <c r="D65" s="21"/>
      <c r="E65" s="496">
        <v>105</v>
      </c>
      <c r="F65" s="467"/>
      <c r="G65" s="496">
        <v>163.39999999999998</v>
      </c>
      <c r="H65" s="467"/>
      <c r="I65" s="496">
        <v>161.70000000000005</v>
      </c>
      <c r="J65" s="467"/>
      <c r="K65" s="496">
        <v>142.29999999999995</v>
      </c>
      <c r="L65" s="467"/>
      <c r="M65" s="496">
        <v>225.70000000000005</v>
      </c>
      <c r="N65" s="467"/>
      <c r="O65" s="496">
        <f t="shared" si="11"/>
        <v>160.39999999999998</v>
      </c>
      <c r="P65" s="467"/>
      <c r="Q65" s="496"/>
      <c r="R65" s="467"/>
      <c r="S65" s="496"/>
      <c r="T65" s="496"/>
      <c r="U65" s="496"/>
      <c r="V65" s="467"/>
      <c r="W65" s="496"/>
      <c r="X65" s="467"/>
      <c r="Y65" s="496"/>
      <c r="Z65" s="467"/>
      <c r="AA65" s="496"/>
      <c r="AB65" s="467"/>
      <c r="AC65" s="932"/>
      <c r="AD65" s="1774">
        <v>958.5</v>
      </c>
      <c r="AE65" s="1773"/>
      <c r="AF65" s="467"/>
      <c r="AG65" s="1774">
        <v>669.2</v>
      </c>
      <c r="AH65" s="46"/>
      <c r="AI65" s="237"/>
      <c r="AJ65" s="759">
        <f>ROUND(AD65-AG65,1)</f>
        <v>289.3</v>
      </c>
      <c r="AL65" s="654">
        <f>ROUND(IF(AG65=0,0,AJ65/ABS(AG65)),3)</f>
        <v>0.432</v>
      </c>
    </row>
    <row r="66" spans="1:39" ht="15.75">
      <c r="A66" s="21"/>
      <c r="B66" s="21"/>
      <c r="C66" s="21"/>
      <c r="D66" s="21"/>
      <c r="E66" s="497"/>
      <c r="F66" s="467"/>
      <c r="G66" s="497"/>
      <c r="H66" s="467"/>
      <c r="I66" s="497"/>
      <c r="J66" s="467"/>
      <c r="K66" s="497"/>
      <c r="L66" s="36"/>
      <c r="M66" s="61"/>
      <c r="N66" s="36"/>
      <c r="O66" s="61"/>
      <c r="P66" s="36"/>
      <c r="Q66" s="61"/>
      <c r="R66" s="36"/>
      <c r="S66" s="61"/>
      <c r="T66" s="36"/>
      <c r="U66" s="61"/>
      <c r="V66" s="36"/>
      <c r="W66" s="61"/>
      <c r="X66" s="36"/>
      <c r="Y66" s="61"/>
      <c r="Z66" s="36"/>
      <c r="AA66" s="61"/>
      <c r="AB66" s="36"/>
      <c r="AC66" s="37"/>
      <c r="AD66" s="38"/>
      <c r="AE66" s="52"/>
      <c r="AF66" s="37"/>
      <c r="AG66" s="38"/>
      <c r="AH66" s="38"/>
      <c r="AI66" s="238"/>
      <c r="AJ66" s="38"/>
      <c r="AL66" s="236"/>
    </row>
    <row r="67" spans="1:39" ht="15.75">
      <c r="A67" s="21"/>
      <c r="B67" s="19" t="s">
        <v>199</v>
      </c>
      <c r="C67" s="21"/>
      <c r="D67" s="21"/>
      <c r="E67" s="42">
        <f>ROUND(SUM(E60:E65),1)</f>
        <v>204.9</v>
      </c>
      <c r="F67" s="42"/>
      <c r="G67" s="42">
        <f>ROUND(SUM(G60:G65),1)</f>
        <v>259.10000000000002</v>
      </c>
      <c r="H67" s="42"/>
      <c r="I67" s="42">
        <f>ROUND(SUM(I60:I65),1)</f>
        <v>185</v>
      </c>
      <c r="J67" s="42"/>
      <c r="K67" s="42">
        <f>ROUND(SUM(K60:K65),1)</f>
        <v>352.2</v>
      </c>
      <c r="L67" s="42"/>
      <c r="M67" s="42">
        <f>ROUND(SUM(M60:M65),1)</f>
        <v>291.89999999999998</v>
      </c>
      <c r="N67" s="42"/>
      <c r="O67" s="42">
        <f>ROUND(SUM(O60:O65),1)</f>
        <v>185.4</v>
      </c>
      <c r="P67" s="42"/>
      <c r="Q67" s="42">
        <f>ROUND(SUM(Q60:Q65),1)</f>
        <v>0</v>
      </c>
      <c r="R67" s="42"/>
      <c r="S67" s="42">
        <f>ROUND(SUM(S60:S65),1)</f>
        <v>0</v>
      </c>
      <c r="T67" s="42"/>
      <c r="U67" s="42">
        <f t="shared" ref="U67" si="12">ROUND(SUM(U60:U65),1)</f>
        <v>0</v>
      </c>
      <c r="V67" s="42"/>
      <c r="W67" s="42">
        <f>ROUND(SUM(W60:W65),1)</f>
        <v>0</v>
      </c>
      <c r="X67" s="42"/>
      <c r="Y67" s="42">
        <f>ROUND(SUM(Y60:Y65),1)</f>
        <v>0</v>
      </c>
      <c r="Z67" s="42"/>
      <c r="AA67" s="42">
        <f>ROUND(SUM(AA60:AA65),1)</f>
        <v>0</v>
      </c>
      <c r="AB67" s="42"/>
      <c r="AC67" s="44"/>
      <c r="AD67" s="42">
        <f>SUM(AD60:AD65)</f>
        <v>1478.5</v>
      </c>
      <c r="AE67" s="144"/>
      <c r="AF67" s="44"/>
      <c r="AG67" s="42">
        <f>SUM(AG60:AG65)</f>
        <v>1016.2</v>
      </c>
      <c r="AH67" s="42"/>
      <c r="AI67" s="238"/>
      <c r="AJ67" s="50">
        <f>ROUND(AD67-AG67,1)</f>
        <v>462.3</v>
      </c>
      <c r="AK67" s="19"/>
      <c r="AL67" s="245">
        <f>ROUND(SUM(AD67-AG67)/ABS(AG67),3)</f>
        <v>0.45500000000000002</v>
      </c>
    </row>
    <row r="68" spans="1:39" ht="15.75">
      <c r="A68" s="21"/>
      <c r="B68" s="21"/>
      <c r="C68" s="21"/>
      <c r="D68" s="21"/>
      <c r="E68" s="497"/>
      <c r="F68" s="467"/>
      <c r="G68" s="497"/>
      <c r="H68" s="467"/>
      <c r="I68" s="497"/>
      <c r="J68" s="467"/>
      <c r="K68" s="497"/>
      <c r="L68" s="36"/>
      <c r="M68" s="61"/>
      <c r="N68" s="36"/>
      <c r="O68" s="61"/>
      <c r="P68" s="36"/>
      <c r="Q68" s="61"/>
      <c r="R68" s="36"/>
      <c r="S68" s="61"/>
      <c r="T68" s="36"/>
      <c r="U68" s="61"/>
      <c r="V68" s="36"/>
      <c r="W68" s="61"/>
      <c r="X68" s="36"/>
      <c r="Y68" s="61"/>
      <c r="Z68" s="36"/>
      <c r="AA68" s="61"/>
      <c r="AB68" s="36"/>
      <c r="AC68" s="37"/>
      <c r="AD68" s="497" t="s">
        <v>14</v>
      </c>
      <c r="AE68" s="52"/>
      <c r="AF68" s="37"/>
      <c r="AG68" s="61"/>
      <c r="AH68" s="36"/>
      <c r="AI68" s="238"/>
      <c r="AJ68" s="38"/>
      <c r="AL68" s="236"/>
    </row>
    <row r="69" spans="1:39" ht="15.75">
      <c r="A69" s="21"/>
      <c r="B69" s="19" t="s">
        <v>200</v>
      </c>
      <c r="C69" s="21"/>
      <c r="D69" s="21"/>
      <c r="E69" s="467"/>
      <c r="F69" s="467"/>
      <c r="G69" s="467"/>
      <c r="H69" s="467"/>
      <c r="I69" s="467"/>
      <c r="J69" s="467"/>
      <c r="K69" s="467"/>
      <c r="L69" s="36"/>
      <c r="M69" s="36"/>
      <c r="N69" s="36"/>
      <c r="O69" s="36"/>
      <c r="P69" s="36"/>
      <c r="Q69" s="36"/>
      <c r="R69" s="36"/>
      <c r="S69" s="36"/>
      <c r="T69" s="36"/>
      <c r="U69" s="36"/>
      <c r="V69" s="36"/>
      <c r="W69" s="36"/>
      <c r="X69" s="36"/>
      <c r="Y69" s="36"/>
      <c r="Z69" s="36"/>
      <c r="AA69" s="36"/>
      <c r="AB69" s="36"/>
      <c r="AC69" s="37"/>
      <c r="AD69" s="38" t="s">
        <v>14</v>
      </c>
      <c r="AE69" s="52"/>
      <c r="AF69" s="36"/>
      <c r="AG69" s="38"/>
      <c r="AH69" s="38"/>
      <c r="AI69" s="238"/>
      <c r="AJ69" s="38"/>
      <c r="AL69" s="236"/>
    </row>
    <row r="70" spans="1:39" ht="15.75">
      <c r="A70" s="21"/>
      <c r="B70" s="19" t="s">
        <v>201</v>
      </c>
      <c r="C70" s="21"/>
      <c r="D70" s="21"/>
      <c r="E70" s="42">
        <f>ROUND(E46-E67,1)</f>
        <v>14.6</v>
      </c>
      <c r="F70" s="42"/>
      <c r="G70" s="42">
        <f>ROUND(G46-G67,1)</f>
        <v>-0.3</v>
      </c>
      <c r="H70" s="42"/>
      <c r="I70" s="42">
        <f>ROUND(I46-I67,1)</f>
        <v>5.3</v>
      </c>
      <c r="J70" s="42"/>
      <c r="K70" s="42">
        <f>ROUND(K46-K67,1)</f>
        <v>0.2</v>
      </c>
      <c r="L70" s="42"/>
      <c r="M70" s="42">
        <f>ROUND(M46-M67,1)</f>
        <v>-73.900000000000006</v>
      </c>
      <c r="N70" s="42"/>
      <c r="O70" s="42">
        <f>ROUND(O46-O67,1)</f>
        <v>6.3</v>
      </c>
      <c r="P70" s="42"/>
      <c r="Q70" s="42">
        <f>ROUND(Q46-Q67,1)</f>
        <v>0</v>
      </c>
      <c r="R70" s="42"/>
      <c r="S70" s="42">
        <f>ROUND(S46-S67,1)</f>
        <v>0</v>
      </c>
      <c r="T70" s="42"/>
      <c r="U70" s="42">
        <f t="shared" ref="U70" si="13">ROUND(U46-U67,1)</f>
        <v>0</v>
      </c>
      <c r="V70" s="42"/>
      <c r="W70" s="42">
        <f>ROUND(W46-W67,1)</f>
        <v>0</v>
      </c>
      <c r="X70" s="42"/>
      <c r="Y70" s="42">
        <f>ROUND(Y46-Y67,1)</f>
        <v>0</v>
      </c>
      <c r="Z70" s="42"/>
      <c r="AA70" s="42">
        <f>ROUND(AA46-AA67,1)</f>
        <v>0</v>
      </c>
      <c r="AB70" s="42"/>
      <c r="AC70" s="44"/>
      <c r="AD70" s="42">
        <f>ROUND(SUM(AD46-AD67),1)</f>
        <v>-47.8</v>
      </c>
      <c r="AE70" s="144"/>
      <c r="AF70" s="44"/>
      <c r="AG70" s="42">
        <f>ROUND(SUM(AG46-AG67),1)</f>
        <v>149.30000000000001</v>
      </c>
      <c r="AH70" s="42"/>
      <c r="AI70" s="238"/>
      <c r="AJ70" s="50">
        <f>ROUND(AD70-AG70,1)</f>
        <v>-197.1</v>
      </c>
      <c r="AK70" s="19"/>
      <c r="AL70" s="965">
        <f>ROUND(SUM(AD70-AG70)/ABS(AG70),3)</f>
        <v>-1.32</v>
      </c>
    </row>
    <row r="71" spans="1:39" ht="15.75">
      <c r="A71" s="21"/>
      <c r="B71" s="21"/>
      <c r="C71" s="21"/>
      <c r="D71" s="21"/>
      <c r="E71" s="497"/>
      <c r="F71" s="467"/>
      <c r="G71" s="497"/>
      <c r="H71" s="467"/>
      <c r="I71" s="497"/>
      <c r="J71" s="467"/>
      <c r="K71" s="497"/>
      <c r="L71" s="36"/>
      <c r="M71" s="61"/>
      <c r="N71" s="36"/>
      <c r="O71" s="61"/>
      <c r="P71" s="36"/>
      <c r="Q71" s="61"/>
      <c r="R71" s="36"/>
      <c r="S71" s="61"/>
      <c r="T71" s="36"/>
      <c r="U71" s="61"/>
      <c r="V71" s="36"/>
      <c r="W71" s="61"/>
      <c r="X71" s="36"/>
      <c r="Y71" s="61"/>
      <c r="Z71" s="36"/>
      <c r="AA71" s="61"/>
      <c r="AB71" s="36"/>
      <c r="AC71" s="37"/>
      <c r="AD71" s="61"/>
      <c r="AE71" s="52"/>
      <c r="AF71" s="37"/>
      <c r="AG71" s="61"/>
      <c r="AH71" s="36"/>
      <c r="AI71" s="238"/>
      <c r="AJ71" s="38"/>
      <c r="AL71" s="236"/>
    </row>
    <row r="72" spans="1:39" ht="15.75">
      <c r="A72" s="21"/>
      <c r="B72" s="19" t="s">
        <v>202</v>
      </c>
      <c r="C72" s="21"/>
      <c r="D72" s="21"/>
      <c r="E72" s="467"/>
      <c r="F72" s="467"/>
      <c r="G72" s="467"/>
      <c r="H72" s="467"/>
      <c r="I72" s="467"/>
      <c r="J72" s="467"/>
      <c r="K72" s="467"/>
      <c r="L72" s="36"/>
      <c r="M72" s="36"/>
      <c r="N72" s="36"/>
      <c r="O72" s="36"/>
      <c r="P72" s="36"/>
      <c r="Q72" s="36"/>
      <c r="R72" s="36"/>
      <c r="S72" s="36"/>
      <c r="T72" s="36"/>
      <c r="U72" s="36"/>
      <c r="V72" s="36"/>
      <c r="W72" s="36" t="s">
        <v>14</v>
      </c>
      <c r="X72" s="36"/>
      <c r="Y72" s="36"/>
      <c r="Z72" s="36"/>
      <c r="AA72" s="36"/>
      <c r="AB72" s="36"/>
      <c r="AC72" s="37"/>
      <c r="AD72" s="40"/>
      <c r="AE72" s="52"/>
      <c r="AF72" s="37"/>
      <c r="AG72" s="40"/>
      <c r="AH72" s="40"/>
      <c r="AI72" s="241"/>
      <c r="AJ72" s="38"/>
      <c r="AL72" s="236"/>
    </row>
    <row r="73" spans="1:39" ht="15.75">
      <c r="A73" s="21"/>
      <c r="B73" s="34" t="s">
        <v>210</v>
      </c>
      <c r="C73" s="21"/>
      <c r="D73" s="21"/>
      <c r="E73" s="496">
        <v>0</v>
      </c>
      <c r="F73" s="467"/>
      <c r="G73" s="496">
        <v>0</v>
      </c>
      <c r="H73" s="467"/>
      <c r="I73" s="496">
        <v>0</v>
      </c>
      <c r="J73" s="467"/>
      <c r="K73" s="496">
        <v>0</v>
      </c>
      <c r="L73" s="467"/>
      <c r="M73" s="496">
        <v>0</v>
      </c>
      <c r="N73" s="467"/>
      <c r="O73" s="496">
        <f t="shared" ref="O73:O74" si="14">$AD73-$E73-$G73-$I73-$K73-$M73</f>
        <v>0</v>
      </c>
      <c r="P73" s="467"/>
      <c r="Q73" s="496"/>
      <c r="R73" s="467"/>
      <c r="S73" s="496"/>
      <c r="T73" s="496"/>
      <c r="U73" s="496"/>
      <c r="V73" s="467"/>
      <c r="W73" s="496"/>
      <c r="X73" s="467"/>
      <c r="Y73" s="496"/>
      <c r="Z73" s="467"/>
      <c r="AA73" s="496"/>
      <c r="AB73" s="467"/>
      <c r="AC73" s="932"/>
      <c r="AD73" s="496">
        <v>0</v>
      </c>
      <c r="AE73" s="1773"/>
      <c r="AF73" s="467"/>
      <c r="AG73" s="496">
        <v>0</v>
      </c>
      <c r="AH73" s="46"/>
      <c r="AI73" s="237"/>
      <c r="AJ73" s="1206">
        <f>ROUND(AD73-AG73,1)</f>
        <v>0</v>
      </c>
      <c r="AL73" s="8">
        <f>ROUND(IF(AG73=0,0,AJ73/ABS(AG73)),3)</f>
        <v>0</v>
      </c>
    </row>
    <row r="74" spans="1:39" ht="15.75">
      <c r="A74" s="21"/>
      <c r="B74" s="34" t="s">
        <v>211</v>
      </c>
      <c r="C74" s="21"/>
      <c r="D74" s="21"/>
      <c r="E74" s="496">
        <v>0</v>
      </c>
      <c r="F74" s="467"/>
      <c r="G74" s="496">
        <v>0</v>
      </c>
      <c r="H74" s="467"/>
      <c r="I74" s="496">
        <v>0</v>
      </c>
      <c r="J74" s="467"/>
      <c r="K74" s="496">
        <v>0</v>
      </c>
      <c r="L74" s="467"/>
      <c r="M74" s="496">
        <v>-0.2</v>
      </c>
      <c r="N74" s="467"/>
      <c r="O74" s="496">
        <f t="shared" si="14"/>
        <v>0</v>
      </c>
      <c r="P74" s="467"/>
      <c r="Q74" s="496"/>
      <c r="R74" s="467"/>
      <c r="S74" s="496"/>
      <c r="T74" s="496"/>
      <c r="U74" s="496"/>
      <c r="V74" s="467"/>
      <c r="W74" s="496"/>
      <c r="X74" s="467"/>
      <c r="Y74" s="496"/>
      <c r="Z74" s="496"/>
      <c r="AA74" s="496"/>
      <c r="AB74" s="467"/>
      <c r="AC74" s="932"/>
      <c r="AD74" s="1774">
        <v>-0.2</v>
      </c>
      <c r="AE74" s="1773"/>
      <c r="AF74" s="467"/>
      <c r="AG74" s="1774">
        <v>-0.2</v>
      </c>
      <c r="AH74" s="36"/>
      <c r="AI74" s="238"/>
      <c r="AJ74" s="759">
        <f>-ROUND(AD74-AG74,1)</f>
        <v>0</v>
      </c>
      <c r="AL74" s="971">
        <f>ROUND(IF(AG74=0,0,AJ74/ABS(AG74)),3)</f>
        <v>0</v>
      </c>
    </row>
    <row r="75" spans="1:39" ht="15.75">
      <c r="A75" s="21"/>
      <c r="B75" s="21"/>
      <c r="C75" s="21"/>
      <c r="D75" s="21"/>
      <c r="E75" s="61"/>
      <c r="F75" s="36"/>
      <c r="G75" s="61"/>
      <c r="H75" s="36"/>
      <c r="I75" s="61"/>
      <c r="J75" s="36"/>
      <c r="K75" s="61"/>
      <c r="L75" s="36"/>
      <c r="M75" s="61"/>
      <c r="N75" s="36"/>
      <c r="O75" s="61"/>
      <c r="P75" s="36"/>
      <c r="Q75" s="61"/>
      <c r="R75" s="36"/>
      <c r="S75" s="61"/>
      <c r="T75" s="36"/>
      <c r="U75" s="61"/>
      <c r="V75" s="36"/>
      <c r="W75" s="143"/>
      <c r="X75" s="36"/>
      <c r="Y75" s="61"/>
      <c r="Z75" s="36"/>
      <c r="AA75" s="61"/>
      <c r="AB75" s="36"/>
      <c r="AC75" s="37"/>
      <c r="AD75" s="38"/>
      <c r="AE75" s="52"/>
      <c r="AF75" s="37"/>
      <c r="AG75" s="38"/>
      <c r="AH75" s="38"/>
      <c r="AI75" s="238"/>
      <c r="AJ75" s="760"/>
      <c r="AK75" s="1985"/>
      <c r="AL75" s="1986"/>
    </row>
    <row r="76" spans="1:39" ht="15.75">
      <c r="A76" s="21"/>
      <c r="B76" s="19" t="s">
        <v>204</v>
      </c>
      <c r="C76" s="21"/>
      <c r="D76" s="21"/>
      <c r="E76" s="54">
        <f>ROUND(SUM(E73:E75),1)</f>
        <v>0</v>
      </c>
      <c r="F76" s="36"/>
      <c r="G76" s="54">
        <v>0</v>
      </c>
      <c r="H76" s="36"/>
      <c r="I76" s="54">
        <f>ROUND(SUM(I73:I75),1)</f>
        <v>0</v>
      </c>
      <c r="J76" s="36"/>
      <c r="K76" s="54">
        <f>ROUND(SUM(K73:K75),1)</f>
        <v>0</v>
      </c>
      <c r="L76" s="36"/>
      <c r="M76" s="54">
        <f>ROUND(SUM(M73:M75),1)</f>
        <v>-0.2</v>
      </c>
      <c r="N76" s="36"/>
      <c r="O76" s="54">
        <f>ROUND(SUM(O73:O75),1)</f>
        <v>0</v>
      </c>
      <c r="P76" s="36"/>
      <c r="Q76" s="54">
        <f>ROUND(SUM(Q73:Q75),1)</f>
        <v>0</v>
      </c>
      <c r="R76" s="40"/>
      <c r="S76" s="54">
        <f>ROUND(SUM(S73:S75),1)</f>
        <v>0</v>
      </c>
      <c r="T76" s="36"/>
      <c r="U76" s="54">
        <f>ROUND(SUM(U73:U75),1)</f>
        <v>0</v>
      </c>
      <c r="V76" s="36"/>
      <c r="W76" s="54">
        <f>ROUND(SUM(W73:W75),1)</f>
        <v>0</v>
      </c>
      <c r="X76" s="36"/>
      <c r="Y76" s="54">
        <f>ROUND(SUM(Y73:Y75),1)</f>
        <v>0</v>
      </c>
      <c r="Z76" s="46"/>
      <c r="AA76" s="54">
        <f>ROUND(SUM(AA73:AA75),1)</f>
        <v>0</v>
      </c>
      <c r="AB76" s="36"/>
      <c r="AC76" s="37"/>
      <c r="AD76" s="54">
        <f>ROUND(SUM(AD73:AD75),1)</f>
        <v>-0.2</v>
      </c>
      <c r="AE76" s="52"/>
      <c r="AF76" s="37"/>
      <c r="AG76" s="54">
        <f>ROUND(SUM(AG73:AG75),1)</f>
        <v>-0.2</v>
      </c>
      <c r="AH76" s="36"/>
      <c r="AI76" s="238"/>
      <c r="AJ76" s="54">
        <f>ROUND(SUM(AD76-AG76),1)</f>
        <v>0</v>
      </c>
      <c r="AK76" s="1985"/>
      <c r="AL76" s="486">
        <f>ROUND(IF(AG76=0,0,AJ76/ABS(AG76)),3)</f>
        <v>0</v>
      </c>
    </row>
    <row r="77" spans="1:39" ht="15.75">
      <c r="A77" s="21"/>
      <c r="B77" s="21"/>
      <c r="C77" s="21"/>
      <c r="D77" s="21"/>
      <c r="E77" s="61"/>
      <c r="F77" s="36"/>
      <c r="G77" s="61"/>
      <c r="H77" s="36"/>
      <c r="I77" s="61"/>
      <c r="J77" s="36"/>
      <c r="K77" s="61"/>
      <c r="L77" s="36"/>
      <c r="M77" s="61"/>
      <c r="N77" s="36"/>
      <c r="O77" s="61"/>
      <c r="P77" s="36"/>
      <c r="Q77" s="61"/>
      <c r="R77" s="36"/>
      <c r="S77" s="61"/>
      <c r="T77" s="36"/>
      <c r="U77" s="61"/>
      <c r="V77" s="36"/>
      <c r="W77" s="61"/>
      <c r="X77" s="36"/>
      <c r="Y77" s="61"/>
      <c r="Z77" s="36"/>
      <c r="AA77" s="61"/>
      <c r="AB77" s="36"/>
      <c r="AC77" s="37"/>
      <c r="AD77" s="61"/>
      <c r="AE77" s="52"/>
      <c r="AF77" s="37"/>
      <c r="AG77" s="61"/>
      <c r="AH77" s="36"/>
      <c r="AI77" s="238"/>
      <c r="AJ77" s="61"/>
      <c r="AL77" s="114"/>
    </row>
    <row r="78" spans="1:39" ht="15.75">
      <c r="A78" s="21"/>
      <c r="B78" s="19" t="s">
        <v>205</v>
      </c>
      <c r="C78" s="21"/>
      <c r="D78" s="21"/>
      <c r="E78" s="36" t="s">
        <v>14</v>
      </c>
      <c r="F78" s="36" t="s">
        <v>14</v>
      </c>
      <c r="G78" s="36" t="s">
        <v>14</v>
      </c>
      <c r="H78" s="36"/>
      <c r="I78" s="36" t="s">
        <v>14</v>
      </c>
      <c r="J78" s="36"/>
      <c r="K78" s="36" t="s">
        <v>14</v>
      </c>
      <c r="L78" s="36"/>
      <c r="M78" s="36" t="s">
        <v>14</v>
      </c>
      <c r="N78" s="36"/>
      <c r="O78" s="36" t="s">
        <v>14</v>
      </c>
      <c r="P78" s="36"/>
      <c r="Q78" s="36" t="s">
        <v>14</v>
      </c>
      <c r="R78" s="36"/>
      <c r="S78" s="36" t="s">
        <v>14</v>
      </c>
      <c r="T78" s="36"/>
      <c r="U78" s="36" t="s">
        <v>14</v>
      </c>
      <c r="V78" s="36"/>
      <c r="W78" s="36" t="s">
        <v>14</v>
      </c>
      <c r="X78" s="36"/>
      <c r="Y78" s="36" t="s">
        <v>14</v>
      </c>
      <c r="Z78" s="36"/>
      <c r="AA78" s="36" t="s">
        <v>14</v>
      </c>
      <c r="AB78" s="36"/>
      <c r="AC78" s="37"/>
      <c r="AD78" s="36"/>
      <c r="AE78" s="52"/>
      <c r="AF78" s="37"/>
      <c r="AG78" s="36"/>
      <c r="AH78" s="36"/>
      <c r="AI78" s="238"/>
      <c r="AJ78" s="38"/>
      <c r="AL78" s="236"/>
    </row>
    <row r="79" spans="1:39" ht="15.75">
      <c r="A79" s="21"/>
      <c r="B79" s="19" t="s">
        <v>206</v>
      </c>
      <c r="C79" s="21"/>
      <c r="D79" s="21"/>
      <c r="E79" s="36"/>
      <c r="F79" s="36"/>
      <c r="G79" s="36" t="s">
        <v>14</v>
      </c>
      <c r="H79" s="36"/>
      <c r="I79" s="36" t="s">
        <v>14</v>
      </c>
      <c r="J79" s="36"/>
      <c r="K79" s="36" t="s">
        <v>14</v>
      </c>
      <c r="L79" s="36"/>
      <c r="M79" s="36" t="s">
        <v>14</v>
      </c>
      <c r="N79" s="36"/>
      <c r="O79" s="36" t="s">
        <v>14</v>
      </c>
      <c r="P79" s="36"/>
      <c r="Q79" s="36" t="s">
        <v>14</v>
      </c>
      <c r="R79" s="36"/>
      <c r="S79" s="36" t="s">
        <v>14</v>
      </c>
      <c r="T79" s="36"/>
      <c r="U79" s="36" t="s">
        <v>14</v>
      </c>
      <c r="V79" s="36"/>
      <c r="W79" s="36" t="s">
        <v>14</v>
      </c>
      <c r="X79" s="36"/>
      <c r="Y79" s="36" t="s">
        <v>14</v>
      </c>
      <c r="Z79" s="36"/>
      <c r="AA79" s="36" t="s">
        <v>14</v>
      </c>
      <c r="AB79" s="36"/>
      <c r="AC79" s="37"/>
      <c r="AD79" s="36"/>
      <c r="AE79" s="52"/>
      <c r="AF79" s="37"/>
      <c r="AG79" s="36"/>
      <c r="AH79" s="36"/>
      <c r="AI79" s="238"/>
      <c r="AJ79" s="38"/>
      <c r="AL79" s="236"/>
    </row>
    <row r="80" spans="1:39" ht="15.75">
      <c r="A80" s="21"/>
      <c r="B80" s="19" t="s">
        <v>164</v>
      </c>
      <c r="C80" s="21"/>
      <c r="D80" s="21"/>
      <c r="E80" s="601">
        <f>ROUND(E70+E76,1)</f>
        <v>14.6</v>
      </c>
      <c r="F80" s="36"/>
      <c r="G80" s="601">
        <f>ROUND(G70+G76,1)</f>
        <v>-0.3</v>
      </c>
      <c r="H80" s="36"/>
      <c r="I80" s="601">
        <f>ROUND(I70+I76,1)</f>
        <v>5.3</v>
      </c>
      <c r="J80" s="36"/>
      <c r="K80" s="601">
        <f>ROUND(K70+K76,1)</f>
        <v>0.2</v>
      </c>
      <c r="L80" s="36"/>
      <c r="M80" s="601">
        <f>ROUND(M70+M76,1)</f>
        <v>-74.099999999999994</v>
      </c>
      <c r="N80" s="36"/>
      <c r="O80" s="601">
        <f>ROUND(O70+O76,1)</f>
        <v>6.3</v>
      </c>
      <c r="P80" s="36"/>
      <c r="Q80" s="601">
        <f>ROUND(Q70+Q76,1)</f>
        <v>0</v>
      </c>
      <c r="R80" s="36"/>
      <c r="S80" s="601">
        <f>ROUND(S70+S76,1)</f>
        <v>0</v>
      </c>
      <c r="T80" s="36"/>
      <c r="U80" s="601">
        <f>ROUND(U70+U76,1)</f>
        <v>0</v>
      </c>
      <c r="V80" s="36"/>
      <c r="W80" s="601">
        <f>ROUND(W70+W76,1)</f>
        <v>0</v>
      </c>
      <c r="X80" s="36"/>
      <c r="Y80" s="601">
        <f>ROUND(Y70+Y76,1)</f>
        <v>0</v>
      </c>
      <c r="Z80" s="36"/>
      <c r="AA80" s="601">
        <f>ROUND(AA70+AA76,1)</f>
        <v>0</v>
      </c>
      <c r="AB80" s="36"/>
      <c r="AC80" s="750"/>
      <c r="AD80" s="601">
        <f>ROUND(AD70+AD76,1)</f>
        <v>-48</v>
      </c>
      <c r="AE80" s="1775"/>
      <c r="AF80" s="1776"/>
      <c r="AG80" s="601">
        <f>ROUND(AG70+AG76,1)</f>
        <v>149.1</v>
      </c>
      <c r="AH80" s="1145"/>
      <c r="AI80" s="1146"/>
      <c r="AJ80" s="601">
        <f>ROUND(AD80-AG80,1)</f>
        <v>-197.1</v>
      </c>
      <c r="AK80" s="42"/>
      <c r="AL80" s="965">
        <f>ROUND(SUM(AD80-AG80)/ABS(AG80),3)</f>
        <v>-1.3220000000000001</v>
      </c>
      <c r="AM80" s="658"/>
    </row>
    <row r="81" spans="1:39" ht="15.75">
      <c r="A81" s="21"/>
      <c r="B81" s="19"/>
      <c r="C81" s="21"/>
      <c r="D81" s="21"/>
      <c r="E81" s="65"/>
      <c r="F81" s="36"/>
      <c r="G81" s="65"/>
      <c r="H81" s="36"/>
      <c r="I81" s="65"/>
      <c r="J81" s="36"/>
      <c r="K81" s="65"/>
      <c r="L81" s="36"/>
      <c r="M81" s="65"/>
      <c r="N81" s="36"/>
      <c r="O81" s="65"/>
      <c r="P81" s="36"/>
      <c r="Q81" s="65"/>
      <c r="R81" s="36"/>
      <c r="S81" s="65"/>
      <c r="T81" s="36"/>
      <c r="U81" s="65"/>
      <c r="V81" s="36"/>
      <c r="W81" s="65"/>
      <c r="X81" s="36"/>
      <c r="Y81" s="65"/>
      <c r="Z81" s="36"/>
      <c r="AA81" s="65"/>
      <c r="AB81" s="36"/>
      <c r="AC81" s="750"/>
      <c r="AD81" s="65"/>
      <c r="AE81" s="925"/>
      <c r="AF81" s="1777"/>
      <c r="AG81" s="65"/>
      <c r="AH81" s="925"/>
      <c r="AI81" s="926"/>
      <c r="AJ81" s="65"/>
      <c r="AK81" s="19"/>
      <c r="AL81" s="974"/>
      <c r="AM81" s="658"/>
    </row>
    <row r="82" spans="1:39" ht="16.5" thickBot="1">
      <c r="A82" s="21"/>
      <c r="B82" s="19" t="s">
        <v>1048</v>
      </c>
      <c r="C82" s="21"/>
      <c r="D82" s="21"/>
      <c r="E82" s="1147">
        <f>ROUND(SUM(E14+E80),1)</f>
        <v>-465.2</v>
      </c>
      <c r="F82" s="36"/>
      <c r="G82" s="1147">
        <f>ROUND(SUM(G14+G80),1)</f>
        <v>-465.5</v>
      </c>
      <c r="H82" s="36"/>
      <c r="I82" s="1147">
        <f>ROUND(SUM(I14+I80),1)</f>
        <v>-460.2</v>
      </c>
      <c r="J82" s="36"/>
      <c r="K82" s="1147">
        <f>ROUND(SUM(K14+K80),1)</f>
        <v>-460</v>
      </c>
      <c r="L82" s="36"/>
      <c r="M82" s="1147">
        <f>ROUND(SUM(M14+M80),1)</f>
        <v>-534.1</v>
      </c>
      <c r="N82" s="36"/>
      <c r="O82" s="1147">
        <f>ROUND(SUM(O14+O80),1)</f>
        <v>-527.79999999999995</v>
      </c>
      <c r="P82" s="36"/>
      <c r="Q82" s="1147">
        <f>ROUND(SUM(Q14+Q80),1)</f>
        <v>0</v>
      </c>
      <c r="R82" s="36"/>
      <c r="S82" s="1147">
        <f>ROUND(SUM(S14+S80),1)</f>
        <v>0</v>
      </c>
      <c r="T82" s="36"/>
      <c r="U82" s="1147">
        <f>ROUND(SUM(U14+U80),1)</f>
        <v>0</v>
      </c>
      <c r="V82" s="36"/>
      <c r="W82" s="1147">
        <f>ROUND(SUM(W14+W80),1)</f>
        <v>0</v>
      </c>
      <c r="X82" s="36"/>
      <c r="Y82" s="1147">
        <f>ROUND(SUM(Y14+Y80),1)</f>
        <v>0</v>
      </c>
      <c r="Z82" s="36"/>
      <c r="AA82" s="1147">
        <f>ROUND(SUM(AA14+AA80),1)</f>
        <v>0</v>
      </c>
      <c r="AB82" s="36"/>
      <c r="AC82" s="750"/>
      <c r="AD82" s="1147">
        <f>ROUND(SUM(AD14+AD80),1)</f>
        <v>-527.79999999999995</v>
      </c>
      <c r="AE82" s="925"/>
      <c r="AF82" s="1777"/>
      <c r="AG82" s="1147">
        <f>ROUND(SUM(AG14+AG80),1)</f>
        <v>-638</v>
      </c>
      <c r="AH82" s="925"/>
      <c r="AI82" s="926"/>
      <c r="AJ82" s="1147">
        <f>ROUND(SUM(AJ14+AJ80),1)</f>
        <v>110.2</v>
      </c>
      <c r="AK82" s="19"/>
      <c r="AL82" s="1987">
        <f>ROUND(SUM(AD82-AG82)/ABS(AG82),3)</f>
        <v>0.17299999999999999</v>
      </c>
      <c r="AM82" s="658"/>
    </row>
    <row r="83" spans="1:39" ht="16.5" thickTop="1">
      <c r="A83" s="21"/>
      <c r="B83" s="21"/>
      <c r="C83" s="21"/>
      <c r="D83" s="21"/>
      <c r="E83" s="39"/>
      <c r="F83" s="39"/>
      <c r="G83" s="39"/>
      <c r="H83" s="39"/>
      <c r="I83" s="39"/>
      <c r="J83" s="39"/>
      <c r="K83" s="39"/>
      <c r="L83" s="39"/>
      <c r="M83" s="39"/>
      <c r="N83" s="39"/>
      <c r="O83" s="39"/>
      <c r="P83" s="39"/>
      <c r="Q83" s="39"/>
      <c r="R83" s="39"/>
      <c r="S83" s="39"/>
      <c r="T83" s="39"/>
      <c r="U83" s="39"/>
      <c r="V83" s="39"/>
      <c r="W83" s="39"/>
      <c r="X83" s="39"/>
      <c r="Y83" s="39"/>
      <c r="Z83" s="39"/>
      <c r="AA83" s="39"/>
      <c r="AB83" s="39"/>
      <c r="AC83" s="39"/>
      <c r="AD83" s="39"/>
      <c r="AE83" s="39"/>
      <c r="AF83" s="39"/>
      <c r="AG83" s="39"/>
      <c r="AH83" s="39"/>
      <c r="AI83" s="112"/>
      <c r="AL83" s="1988"/>
    </row>
    <row r="84" spans="1:39">
      <c r="A84" s="21"/>
      <c r="B84" s="1989"/>
      <c r="C84" s="21"/>
      <c r="D84" s="21"/>
      <c r="E84" s="21"/>
      <c r="F84" s="21"/>
      <c r="G84" s="21"/>
      <c r="H84" s="21"/>
      <c r="I84" s="21"/>
      <c r="J84" s="21"/>
      <c r="K84" s="21"/>
      <c r="L84" s="21"/>
      <c r="M84" s="21"/>
      <c r="N84" s="21"/>
      <c r="O84" s="21"/>
      <c r="P84" s="21"/>
      <c r="Q84" s="21"/>
      <c r="R84" s="21"/>
      <c r="S84" s="186" t="s">
        <v>14</v>
      </c>
      <c r="T84" s="21"/>
      <c r="U84" s="186" t="s">
        <v>14</v>
      </c>
      <c r="V84" s="21"/>
      <c r="W84" s="21"/>
      <c r="X84" s="21"/>
      <c r="Y84" s="21"/>
      <c r="Z84" s="21"/>
      <c r="AA84" s="21"/>
      <c r="AB84" s="21"/>
      <c r="AC84" s="21"/>
      <c r="AD84" s="21"/>
      <c r="AE84" s="21"/>
      <c r="AF84" s="21"/>
      <c r="AG84" s="21"/>
      <c r="AH84" s="21"/>
      <c r="AI84" s="21"/>
      <c r="AL84" s="236"/>
    </row>
    <row r="85" spans="1:39">
      <c r="B85" s="21"/>
      <c r="Y85" s="1864" t="s">
        <v>14</v>
      </c>
      <c r="AJ85" s="71" t="s">
        <v>14</v>
      </c>
      <c r="AL85" s="236"/>
    </row>
    <row r="90" spans="1:39">
      <c r="AD90" s="38"/>
    </row>
  </sheetData>
  <mergeCells count="1">
    <mergeCell ref="AD10:AL10"/>
  </mergeCells>
  <pageMargins left="0.25" right="0.25" top="0.5" bottom="0.25" header="0" footer="0.25"/>
  <pageSetup scale="43" firstPageNumber="33" orientation="landscape" useFirstPageNumber="1" r:id="rId1"/>
  <headerFooter scaleWithDoc="0" alignWithMargins="0">
    <oddFooter>&amp;C&amp;8&amp;P</oddFooter>
  </headerFooter>
  <customProperties>
    <customPr name="SheetOptions" r:id="rId2"/>
  </customProperties>
  <ignoredErrors>
    <ignoredError sqref="AL30:AL33 AL42 AL35:AL37 AL21:AL28 AL39:AL40 AL52:AL54 AL62:AL65 AL44:AL51 AL66:AL75 AL58:AL61 AL55:AL56" unlockedFormula="1"/>
    <ignoredError sqref="AL57" formula="1" unlockedFormula="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4">
    <pageSetUpPr fitToPage="1"/>
  </sheetPr>
  <dimension ref="A1:AL57"/>
  <sheetViews>
    <sheetView showGridLines="0" zoomScale="70" zoomScaleNormal="70" workbookViewId="0"/>
  </sheetViews>
  <sheetFormatPr defaultColWidth="8.88671875" defaultRowHeight="16.5" customHeight="1"/>
  <cols>
    <col min="1" max="1" width="45.109375" style="72" customWidth="1"/>
    <col min="2" max="2" width="1.88671875" style="72" customWidth="1"/>
    <col min="3" max="3" width="9.88671875" style="72" customWidth="1"/>
    <col min="4" max="4" width="1.88671875" style="72" customWidth="1"/>
    <col min="5" max="5" width="11.109375" style="72" customWidth="1"/>
    <col min="6" max="6" width="1.88671875" style="72" customWidth="1"/>
    <col min="7" max="7" width="11.5546875" style="72" customWidth="1"/>
    <col min="8" max="8" width="1.88671875" style="72" customWidth="1"/>
    <col min="9" max="9" width="11.88671875" style="72" bestFit="1" customWidth="1"/>
    <col min="10" max="10" width="1.5546875" style="72" customWidth="1"/>
    <col min="11" max="11" width="11.5546875" style="72" bestFit="1" customWidth="1"/>
    <col min="12" max="12" width="1.5546875" style="72" customWidth="1"/>
    <col min="13" max="13" width="13.109375" style="72" customWidth="1"/>
    <col min="14" max="14" width="1.88671875" style="72" customWidth="1"/>
    <col min="15" max="15" width="11.88671875" style="72" customWidth="1"/>
    <col min="16" max="16" width="1.88671875" style="72" customWidth="1"/>
    <col min="17" max="17" width="11.88671875" style="72" customWidth="1"/>
    <col min="18" max="18" width="1.88671875" style="72" customWidth="1"/>
    <col min="19" max="19" width="12.44140625" style="72" customWidth="1"/>
    <col min="20" max="20" width="1.88671875" style="72" customWidth="1"/>
    <col min="21" max="21" width="11.88671875" style="72" customWidth="1"/>
    <col min="22" max="22" width="1.88671875" style="72" customWidth="1"/>
    <col min="23" max="23" width="12" style="72" customWidth="1"/>
    <col min="24" max="24" width="1.88671875" style="72" customWidth="1"/>
    <col min="25" max="25" width="11.88671875" style="72" customWidth="1"/>
    <col min="26" max="27" width="1.88671875" style="72" customWidth="1"/>
    <col min="28" max="28" width="11.5546875" style="72" customWidth="1"/>
    <col min="29" max="30" width="1.88671875" style="72" customWidth="1"/>
    <col min="31" max="31" width="12.44140625" style="72" customWidth="1"/>
    <col min="32" max="32" width="1.88671875" style="276" customWidth="1"/>
    <col min="33" max="33" width="2.44140625" style="771" customWidth="1"/>
    <col min="34" max="34" width="12.44140625" style="771" customWidth="1"/>
    <col min="35" max="35" width="1.88671875" style="771" customWidth="1"/>
    <col min="36" max="36" width="14.109375" style="771" bestFit="1" customWidth="1"/>
    <col min="37" max="16384" width="8.88671875" style="72"/>
  </cols>
  <sheetData>
    <row r="1" spans="1:38" ht="16.5" customHeight="1">
      <c r="A1" s="468" t="s">
        <v>841</v>
      </c>
    </row>
    <row r="2" spans="1:38" ht="16.5" customHeight="1">
      <c r="A2" s="152"/>
      <c r="B2" s="152"/>
      <c r="C2" s="152"/>
      <c r="D2" s="152"/>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52"/>
      <c r="AE2" s="152"/>
    </row>
    <row r="3" spans="1:38" ht="20.25" customHeight="1">
      <c r="A3" s="1902" t="s">
        <v>0</v>
      </c>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21"/>
      <c r="AJ3" s="800" t="s">
        <v>946</v>
      </c>
      <c r="AK3" s="150"/>
      <c r="AL3" s="150"/>
    </row>
    <row r="4" spans="1:38" ht="20.25" customHeight="1">
      <c r="A4" s="1902" t="s">
        <v>212</v>
      </c>
      <c r="B4" s="148"/>
      <c r="C4" s="148"/>
      <c r="D4" s="148"/>
      <c r="E4" s="148"/>
      <c r="F4" s="148"/>
      <c r="G4" s="148"/>
      <c r="H4" s="148"/>
      <c r="I4" s="148" t="s">
        <v>14</v>
      </c>
      <c r="J4" s="148"/>
      <c r="K4" s="148"/>
      <c r="L4" s="148"/>
      <c r="M4" s="148"/>
      <c r="N4" s="148"/>
      <c r="O4" s="148"/>
      <c r="P4" s="148"/>
      <c r="Q4" s="148"/>
      <c r="R4" s="148"/>
      <c r="S4" s="148"/>
      <c r="T4" s="148"/>
      <c r="U4" s="148"/>
      <c r="V4" s="148"/>
      <c r="W4" s="148"/>
      <c r="X4" s="148"/>
      <c r="Y4" s="148" t="s">
        <v>14</v>
      </c>
      <c r="Z4" s="148"/>
      <c r="AA4" s="148"/>
      <c r="AB4" s="148"/>
      <c r="AC4" s="148"/>
      <c r="AD4" s="148"/>
      <c r="AE4" s="148"/>
      <c r="AF4" s="21"/>
      <c r="AK4" s="150"/>
      <c r="AL4" s="150"/>
    </row>
    <row r="5" spans="1:38" ht="20.25" customHeight="1">
      <c r="A5" s="1903" t="s">
        <v>121</v>
      </c>
      <c r="B5" s="148"/>
      <c r="C5" s="148"/>
      <c r="D5" s="148"/>
      <c r="E5" s="148"/>
      <c r="F5" s="148"/>
      <c r="G5" s="148"/>
      <c r="H5" s="148"/>
      <c r="I5" s="148"/>
      <c r="J5" s="148"/>
      <c r="K5" s="148"/>
      <c r="L5" s="148"/>
      <c r="M5" s="148"/>
      <c r="N5" s="148"/>
      <c r="O5" s="148"/>
      <c r="P5" s="148"/>
      <c r="Q5" s="148"/>
      <c r="R5" s="148"/>
      <c r="S5" s="148"/>
      <c r="T5" s="148"/>
      <c r="U5" s="148"/>
      <c r="V5" s="148"/>
      <c r="W5" s="148"/>
      <c r="X5" s="148"/>
      <c r="Y5" s="148"/>
      <c r="Z5" s="148"/>
      <c r="AA5" s="148"/>
      <c r="AF5" s="602"/>
      <c r="AK5" s="149"/>
      <c r="AL5" s="149"/>
    </row>
    <row r="6" spans="1:38" ht="20.25" customHeight="1">
      <c r="A6" s="1903" t="str">
        <f>'Cashflow Governmental'!A6</f>
        <v xml:space="preserve">FISCAL YEAR 2023-2024   </v>
      </c>
      <c r="B6" s="148"/>
      <c r="C6" s="148"/>
      <c r="D6" s="148"/>
      <c r="E6" s="148"/>
      <c r="F6" s="148"/>
      <c r="G6" s="148"/>
      <c r="H6" s="148"/>
      <c r="I6" s="148"/>
      <c r="J6" s="148"/>
      <c r="K6" s="148"/>
      <c r="L6" s="148"/>
      <c r="M6" s="148"/>
      <c r="N6" s="148"/>
      <c r="O6" s="148"/>
      <c r="P6" s="148"/>
      <c r="Q6" s="148"/>
      <c r="R6" s="148"/>
      <c r="S6" s="148"/>
      <c r="T6" s="148"/>
      <c r="U6" s="148"/>
      <c r="V6" s="148"/>
      <c r="W6" s="148"/>
      <c r="X6" s="148"/>
      <c r="Y6" s="148"/>
      <c r="Z6" s="148"/>
      <c r="AA6" s="148"/>
      <c r="AB6" s="148"/>
      <c r="AC6" s="148"/>
      <c r="AD6" s="148"/>
      <c r="AE6" s="148"/>
      <c r="AF6" s="21"/>
      <c r="AK6" s="150"/>
      <c r="AL6" s="150"/>
    </row>
    <row r="7" spans="1:38" ht="20.25" customHeight="1">
      <c r="A7" s="1902" t="s">
        <v>1199</v>
      </c>
      <c r="B7" s="148"/>
      <c r="C7" s="148"/>
      <c r="D7" s="148"/>
      <c r="E7" s="148"/>
      <c r="F7" s="148"/>
      <c r="G7" s="148"/>
      <c r="H7" s="148"/>
      <c r="I7" s="148"/>
      <c r="J7" s="148"/>
      <c r="K7" s="148"/>
      <c r="L7" s="148"/>
      <c r="M7" s="148"/>
      <c r="N7" s="148"/>
      <c r="O7" s="148"/>
      <c r="P7" s="148"/>
      <c r="Q7" s="148"/>
      <c r="R7" s="148"/>
      <c r="S7" s="148"/>
      <c r="T7" s="148"/>
      <c r="U7" s="148"/>
      <c r="V7" s="148"/>
      <c r="W7" s="148"/>
      <c r="X7" s="148"/>
      <c r="Y7" s="148"/>
      <c r="Z7" s="148"/>
      <c r="AA7" s="148"/>
      <c r="AB7" s="148"/>
      <c r="AC7" s="148"/>
      <c r="AD7" s="148"/>
      <c r="AE7" s="148"/>
      <c r="AF7" s="21"/>
      <c r="AK7" s="150"/>
      <c r="AL7" s="150"/>
    </row>
    <row r="8" spans="1:38" ht="16.5" customHeight="1">
      <c r="A8" s="152"/>
      <c r="B8" s="152"/>
      <c r="C8" s="152"/>
      <c r="D8" s="152"/>
      <c r="E8" s="152"/>
      <c r="F8" s="152"/>
      <c r="G8" s="152"/>
      <c r="H8" s="152"/>
      <c r="I8" s="152"/>
      <c r="J8" s="152"/>
      <c r="K8" s="152"/>
      <c r="L8" s="152"/>
      <c r="M8" s="152"/>
      <c r="N8" s="152"/>
      <c r="O8" s="152"/>
      <c r="P8" s="152"/>
      <c r="Q8" s="152"/>
      <c r="R8" s="152"/>
      <c r="S8" s="152"/>
      <c r="T8" s="152"/>
      <c r="U8" s="152"/>
      <c r="V8" s="152"/>
      <c r="W8" s="152"/>
      <c r="X8" s="152"/>
      <c r="Y8" s="152"/>
      <c r="Z8" s="152"/>
      <c r="AA8" s="152"/>
      <c r="AB8" s="152"/>
      <c r="AC8" s="152"/>
      <c r="AD8" s="152"/>
      <c r="AE8" s="152"/>
      <c r="AF8" s="21"/>
    </row>
    <row r="9" spans="1:38" ht="16.5" customHeight="1">
      <c r="A9" s="152"/>
      <c r="B9" s="152"/>
      <c r="C9" s="152"/>
      <c r="D9" s="152"/>
      <c r="E9" s="152"/>
      <c r="F9" s="152"/>
      <c r="G9" s="152"/>
      <c r="H9" s="152"/>
      <c r="I9" s="152"/>
      <c r="J9" s="152"/>
      <c r="K9" s="152"/>
      <c r="L9" s="152"/>
      <c r="M9" s="152"/>
      <c r="N9" s="152"/>
      <c r="O9" s="152"/>
      <c r="P9" s="152"/>
      <c r="Q9" s="152"/>
      <c r="R9" s="152"/>
      <c r="S9" s="152"/>
      <c r="T9" s="152"/>
      <c r="U9" s="152"/>
      <c r="V9" s="152"/>
      <c r="W9" s="152"/>
      <c r="X9" s="152"/>
      <c r="Y9" s="152"/>
      <c r="Z9" s="152"/>
      <c r="AA9" s="152"/>
      <c r="AB9" s="152"/>
      <c r="AC9" s="152"/>
      <c r="AD9" s="152"/>
      <c r="AE9" s="152"/>
      <c r="AF9" s="138"/>
      <c r="AG9" s="772"/>
    </row>
    <row r="10" spans="1:38" ht="16.5" customHeight="1">
      <c r="A10" s="152"/>
      <c r="B10" s="152"/>
      <c r="C10" s="152"/>
      <c r="D10" s="152"/>
      <c r="E10" s="152"/>
      <c r="F10" s="152"/>
      <c r="G10" s="152"/>
      <c r="H10" s="152"/>
      <c r="I10" s="152"/>
      <c r="J10" s="152"/>
      <c r="K10" s="152"/>
      <c r="L10" s="152"/>
      <c r="M10" s="152"/>
      <c r="N10" s="152"/>
      <c r="O10" s="152"/>
      <c r="P10" s="152"/>
      <c r="Q10" s="152"/>
      <c r="R10" s="152"/>
      <c r="S10" s="152"/>
      <c r="T10" s="152"/>
      <c r="U10" s="152"/>
      <c r="V10" s="152"/>
      <c r="W10" s="152"/>
      <c r="X10" s="152"/>
      <c r="Y10" s="152"/>
      <c r="Z10" s="152"/>
      <c r="AA10" s="152"/>
      <c r="AB10" s="152"/>
      <c r="AC10" s="152"/>
      <c r="AD10" s="152"/>
      <c r="AE10" s="152"/>
      <c r="AF10" s="72"/>
      <c r="AG10" s="773"/>
    </row>
    <row r="11" spans="1:38" ht="16.5" customHeight="1">
      <c r="A11" s="152"/>
      <c r="B11" s="152"/>
      <c r="C11" s="152"/>
      <c r="D11" s="152"/>
      <c r="E11" s="152"/>
      <c r="F11" s="152"/>
      <c r="G11" s="152"/>
      <c r="H11" s="152"/>
      <c r="I11" s="152"/>
      <c r="J11" s="152"/>
      <c r="K11" s="152"/>
      <c r="L11" s="152"/>
      <c r="M11" s="152"/>
      <c r="N11" s="152"/>
      <c r="O11" s="152"/>
      <c r="P11" s="152"/>
      <c r="Q11" s="152"/>
      <c r="R11" s="152"/>
      <c r="S11" s="152"/>
      <c r="T11" s="152"/>
      <c r="U11" s="152"/>
      <c r="V11" s="152"/>
      <c r="W11" s="152"/>
      <c r="X11" s="152"/>
      <c r="Y11" s="152"/>
      <c r="Z11" s="152"/>
      <c r="AA11" s="152"/>
      <c r="AC11" s="152"/>
      <c r="AD11" s="152"/>
      <c r="AE11" s="152"/>
      <c r="AF11" s="967"/>
      <c r="AG11" s="763"/>
      <c r="AH11" s="772"/>
      <c r="AI11" s="772"/>
      <c r="AJ11" s="772"/>
    </row>
    <row r="12" spans="1:38" ht="16.5" customHeight="1">
      <c r="A12" s="148"/>
      <c r="B12" s="148"/>
      <c r="C12" s="157" t="s">
        <v>14</v>
      </c>
      <c r="D12" s="157" t="s">
        <v>14</v>
      </c>
      <c r="E12" s="157"/>
      <c r="F12" s="157"/>
      <c r="G12" s="157"/>
      <c r="H12" s="157"/>
      <c r="I12" s="157"/>
      <c r="J12" s="157"/>
      <c r="K12" s="157"/>
      <c r="L12" s="157"/>
      <c r="M12" s="157"/>
      <c r="N12" s="157"/>
      <c r="O12" s="157"/>
      <c r="P12" s="157"/>
      <c r="Q12" s="157"/>
      <c r="R12" s="157"/>
      <c r="S12" s="157"/>
      <c r="T12" s="157"/>
      <c r="U12" s="157"/>
      <c r="V12" s="157"/>
      <c r="W12" s="157"/>
      <c r="X12" s="157"/>
      <c r="Y12" s="556"/>
      <c r="Z12" s="556"/>
      <c r="AA12" s="157"/>
      <c r="AB12" s="2338" t="s">
        <v>1515</v>
      </c>
      <c r="AC12" s="2339"/>
      <c r="AD12" s="2339"/>
      <c r="AE12" s="2339"/>
      <c r="AF12" s="2339"/>
      <c r="AG12" s="2339"/>
      <c r="AH12" s="2339"/>
      <c r="AI12" s="2339"/>
      <c r="AJ12" s="2339"/>
    </row>
    <row r="13" spans="1:38" ht="16.5" customHeight="1">
      <c r="A13" s="148"/>
      <c r="B13" s="148"/>
      <c r="C13" s="659" t="str">
        <f>'Cashflow Governmental'!C13</f>
        <v>2023</v>
      </c>
      <c r="D13" s="157"/>
      <c r="E13" s="157"/>
      <c r="F13" s="157"/>
      <c r="G13" s="157"/>
      <c r="H13" s="157"/>
      <c r="I13" s="157"/>
      <c r="J13" s="157"/>
      <c r="K13" s="157"/>
      <c r="L13" s="157"/>
      <c r="M13" s="157"/>
      <c r="N13" s="157"/>
      <c r="O13" s="157"/>
      <c r="P13" s="157"/>
      <c r="Q13" s="157"/>
      <c r="R13" s="157"/>
      <c r="S13" s="157"/>
      <c r="T13" s="157"/>
      <c r="U13" s="659">
        <f>'Cashflow Governmental'!U13</f>
        <v>2024</v>
      </c>
      <c r="V13" s="157"/>
      <c r="W13" s="157"/>
      <c r="X13" s="157"/>
      <c r="Y13" s="157"/>
      <c r="Z13" s="157"/>
      <c r="AA13" s="157"/>
      <c r="AB13" s="370"/>
      <c r="AC13" s="157"/>
      <c r="AD13" s="157"/>
      <c r="AE13" s="157"/>
      <c r="AF13" s="1780"/>
      <c r="AG13" s="1781"/>
      <c r="AH13" s="774" t="s">
        <v>7</v>
      </c>
      <c r="AI13" s="774"/>
      <c r="AJ13" s="775" t="s">
        <v>8</v>
      </c>
    </row>
    <row r="14" spans="1:38" ht="16.5" customHeight="1">
      <c r="A14" s="148"/>
      <c r="B14" s="148"/>
      <c r="C14" s="557" t="s">
        <v>122</v>
      </c>
      <c r="D14" s="157"/>
      <c r="E14" s="557" t="s">
        <v>123</v>
      </c>
      <c r="F14" s="157"/>
      <c r="G14" s="557" t="s">
        <v>124</v>
      </c>
      <c r="H14" s="157"/>
      <c r="I14" s="557" t="s">
        <v>125</v>
      </c>
      <c r="J14" s="157"/>
      <c r="K14" s="557" t="s">
        <v>126</v>
      </c>
      <c r="L14" s="157"/>
      <c r="M14" s="557" t="s">
        <v>141</v>
      </c>
      <c r="N14" s="157"/>
      <c r="O14" s="557" t="s">
        <v>142</v>
      </c>
      <c r="P14" s="157"/>
      <c r="Q14" s="557" t="s">
        <v>129</v>
      </c>
      <c r="R14" s="157"/>
      <c r="S14" s="557" t="s">
        <v>130</v>
      </c>
      <c r="T14" s="157"/>
      <c r="U14" s="557" t="s">
        <v>131</v>
      </c>
      <c r="V14" s="157"/>
      <c r="W14" s="557" t="s">
        <v>132</v>
      </c>
      <c r="X14" s="157"/>
      <c r="Y14" s="557" t="s">
        <v>182</v>
      </c>
      <c r="Z14" s="157"/>
      <c r="AA14" s="157"/>
      <c r="AB14" s="659">
        <f>'Cashflow Governmental'!AB14</f>
        <v>2023</v>
      </c>
      <c r="AC14" s="157" t="s">
        <v>14</v>
      </c>
      <c r="AD14" s="157"/>
      <c r="AE14" s="659">
        <f>'Cashflow Governmental'!AE14</f>
        <v>2022</v>
      </c>
      <c r="AF14" s="99"/>
      <c r="AG14" s="1782"/>
      <c r="AH14" s="776" t="s">
        <v>11</v>
      </c>
      <c r="AI14" s="774"/>
      <c r="AJ14" s="776" t="s">
        <v>12</v>
      </c>
    </row>
    <row r="15" spans="1:38" ht="4.5" customHeight="1">
      <c r="A15" s="148"/>
      <c r="B15" s="148"/>
      <c r="C15" s="153"/>
      <c r="D15" s="148"/>
      <c r="E15" s="153"/>
      <c r="F15" s="148"/>
      <c r="G15" s="153"/>
      <c r="H15" s="148"/>
      <c r="I15" s="153"/>
      <c r="J15" s="148"/>
      <c r="K15" s="153"/>
      <c r="L15" s="148"/>
      <c r="M15" s="153"/>
      <c r="N15" s="148"/>
      <c r="O15" s="153"/>
      <c r="P15" s="148"/>
      <c r="Q15" s="153"/>
      <c r="R15" s="148"/>
      <c r="S15" s="153"/>
      <c r="T15" s="148"/>
      <c r="U15" s="153"/>
      <c r="V15" s="148"/>
      <c r="W15" s="153"/>
      <c r="X15" s="148"/>
      <c r="Y15" s="153"/>
      <c r="Z15" s="148"/>
      <c r="AA15" s="148"/>
      <c r="AB15" s="153"/>
      <c r="AC15" s="148"/>
      <c r="AD15" s="148"/>
      <c r="AE15" s="153"/>
      <c r="AF15" s="99"/>
      <c r="AG15" s="1782"/>
    </row>
    <row r="16" spans="1:38" ht="16.5" customHeight="1">
      <c r="A16" s="154" t="s">
        <v>134</v>
      </c>
      <c r="B16" s="148"/>
      <c r="C16" s="1304">
        <v>510.4</v>
      </c>
      <c r="D16" s="155"/>
      <c r="E16" s="155">
        <f>C51</f>
        <v>390.4</v>
      </c>
      <c r="F16" s="155"/>
      <c r="G16" s="155">
        <f t="shared" ref="G16:M16" si="0">E51</f>
        <v>534.20000000000005</v>
      </c>
      <c r="H16" s="252"/>
      <c r="I16" s="155">
        <f t="shared" si="0"/>
        <v>515.5</v>
      </c>
      <c r="J16" s="155"/>
      <c r="K16" s="155">
        <f t="shared" si="0"/>
        <v>612.1</v>
      </c>
      <c r="L16" s="252"/>
      <c r="M16" s="155">
        <f t="shared" si="0"/>
        <v>677.7</v>
      </c>
      <c r="N16" s="252"/>
      <c r="O16" s="155"/>
      <c r="P16" s="252"/>
      <c r="Q16" s="155"/>
      <c r="R16" s="155"/>
      <c r="S16" s="155"/>
      <c r="T16" s="155"/>
      <c r="U16" s="155"/>
      <c r="V16" s="155"/>
      <c r="W16" s="155"/>
      <c r="X16" s="155"/>
      <c r="Y16" s="155"/>
      <c r="Z16" s="155"/>
      <c r="AA16" s="156"/>
      <c r="AB16" s="155">
        <f>C16</f>
        <v>510.4</v>
      </c>
      <c r="AC16" s="155"/>
      <c r="AD16" s="156"/>
      <c r="AE16" s="1304">
        <v>357.7</v>
      </c>
      <c r="AF16" s="623"/>
      <c r="AG16" s="764"/>
      <c r="AH16" s="777">
        <f>ROUND(SUM(AB16-AE16),1)</f>
        <v>152.69999999999999</v>
      </c>
      <c r="AJ16" s="2072">
        <f>ROUND(IF(AH16=0,0,AH16/(AE16)),3)</f>
        <v>0.42699999999999999</v>
      </c>
    </row>
    <row r="17" spans="1:38" ht="16.5" customHeight="1">
      <c r="A17" s="148"/>
      <c r="B17" s="148"/>
      <c r="C17" s="148" t="s">
        <v>14</v>
      </c>
      <c r="D17" s="148"/>
      <c r="E17" s="158"/>
      <c r="F17" s="158"/>
      <c r="G17" s="158"/>
      <c r="H17" s="158"/>
      <c r="I17" s="158"/>
      <c r="J17" s="158"/>
      <c r="K17" s="158"/>
      <c r="L17" s="158"/>
      <c r="M17" s="158"/>
      <c r="N17" s="158"/>
      <c r="O17" s="158"/>
      <c r="P17" s="158"/>
      <c r="Q17" s="158"/>
      <c r="R17" s="158"/>
      <c r="S17" s="158"/>
      <c r="T17" s="158"/>
      <c r="U17" s="158"/>
      <c r="V17" s="158"/>
      <c r="W17" s="158"/>
      <c r="X17" s="158"/>
      <c r="Y17" s="158"/>
      <c r="Z17" s="148"/>
      <c r="AA17" s="159"/>
      <c r="AB17" s="148" t="s">
        <v>14</v>
      </c>
      <c r="AC17" s="148"/>
      <c r="AD17" s="159"/>
      <c r="AE17" s="148" t="s">
        <v>14</v>
      </c>
      <c r="AF17" s="624"/>
      <c r="AG17" s="764"/>
      <c r="AJ17" s="1955"/>
    </row>
    <row r="18" spans="1:38" ht="16.5" customHeight="1">
      <c r="A18" s="157" t="s">
        <v>13</v>
      </c>
      <c r="B18" s="148"/>
      <c r="C18" s="148"/>
      <c r="D18" s="148"/>
      <c r="E18" s="158"/>
      <c r="F18" s="158"/>
      <c r="G18" s="158"/>
      <c r="H18" s="158"/>
      <c r="I18" s="158"/>
      <c r="J18" s="158"/>
      <c r="K18" s="158"/>
      <c r="L18" s="158"/>
      <c r="M18" s="158"/>
      <c r="N18" s="158"/>
      <c r="O18" s="158"/>
      <c r="P18" s="158"/>
      <c r="Q18" s="158"/>
      <c r="R18" s="158"/>
      <c r="S18" s="158"/>
      <c r="T18" s="158"/>
      <c r="U18" s="158"/>
      <c r="V18" s="158"/>
      <c r="W18" s="158"/>
      <c r="X18" s="158"/>
      <c r="Y18" s="158"/>
      <c r="Z18" s="148"/>
      <c r="AA18" s="159"/>
      <c r="AB18" s="148"/>
      <c r="AC18" s="148"/>
      <c r="AD18" s="159"/>
      <c r="AE18" s="148"/>
      <c r="AF18" s="164"/>
      <c r="AG18" s="764"/>
      <c r="AJ18" s="1955"/>
    </row>
    <row r="19" spans="1:38" ht="18.75" customHeight="1">
      <c r="A19" s="148" t="s">
        <v>175</v>
      </c>
      <c r="B19" s="148"/>
      <c r="C19" s="160">
        <v>223.7</v>
      </c>
      <c r="D19" s="160"/>
      <c r="E19" s="160">
        <v>313.3</v>
      </c>
      <c r="F19" s="160"/>
      <c r="G19" s="160">
        <v>318.60000000000008</v>
      </c>
      <c r="H19" s="166"/>
      <c r="I19" s="160">
        <v>321.3</v>
      </c>
      <c r="J19" s="166"/>
      <c r="K19" s="160">
        <v>346.49999999999994</v>
      </c>
      <c r="L19" s="166"/>
      <c r="M19" s="160">
        <f>$AB19-$C19-$E19-$G19-$I19-$K19</f>
        <v>180.3</v>
      </c>
      <c r="N19" s="166"/>
      <c r="O19" s="160"/>
      <c r="P19" s="166"/>
      <c r="Q19" s="160"/>
      <c r="R19" s="160"/>
      <c r="S19" s="160"/>
      <c r="T19" s="160"/>
      <c r="U19" s="160"/>
      <c r="V19" s="160"/>
      <c r="W19" s="160"/>
      <c r="X19" s="160"/>
      <c r="Y19" s="160"/>
      <c r="Z19" s="160"/>
      <c r="AA19" s="161"/>
      <c r="AB19" s="1088">
        <v>1703.7</v>
      </c>
      <c r="AC19" s="160"/>
      <c r="AD19" s="161"/>
      <c r="AE19" s="1088">
        <v>1581.2</v>
      </c>
      <c r="AF19" s="164"/>
      <c r="AG19" s="764"/>
      <c r="AH19" s="1783">
        <f>ROUND(AB19-AE19,1)</f>
        <v>122.5</v>
      </c>
      <c r="AI19" s="773"/>
      <c r="AJ19" s="2068">
        <f>ROUND(IF(AE19=0,0,AH19/ABS(AE19)),3)</f>
        <v>7.6999999999999999E-2</v>
      </c>
    </row>
    <row r="20" spans="1:38" ht="17.25" customHeight="1">
      <c r="A20" s="154" t="s">
        <v>213</v>
      </c>
      <c r="B20" s="148"/>
      <c r="C20" s="160">
        <v>2.9</v>
      </c>
      <c r="D20" s="160"/>
      <c r="E20" s="160">
        <v>2.8000000000000003</v>
      </c>
      <c r="F20" s="166"/>
      <c r="G20" s="160">
        <v>2.6</v>
      </c>
      <c r="H20" s="166"/>
      <c r="I20" s="160">
        <v>2.1999999999999988</v>
      </c>
      <c r="J20" s="166"/>
      <c r="K20" s="160">
        <v>2.5000000000000004</v>
      </c>
      <c r="L20" s="166"/>
      <c r="M20" s="160">
        <f t="shared" ref="M20:M21" si="1">$AB20-$C20-$E20-$G20-$I20-$K20</f>
        <v>1.8000000000000003</v>
      </c>
      <c r="N20" s="166"/>
      <c r="O20" s="160"/>
      <c r="P20" s="166"/>
      <c r="Q20" s="160"/>
      <c r="R20" s="166"/>
      <c r="S20" s="160"/>
      <c r="T20" s="166"/>
      <c r="U20" s="160"/>
      <c r="V20" s="166"/>
      <c r="W20" s="160"/>
      <c r="X20" s="166"/>
      <c r="Y20" s="160"/>
      <c r="Z20" s="160"/>
      <c r="AA20" s="161"/>
      <c r="AB20" s="1088">
        <v>14.8</v>
      </c>
      <c r="AC20" s="160"/>
      <c r="AD20" s="161"/>
      <c r="AE20" s="1088">
        <v>55.3</v>
      </c>
      <c r="AF20" s="164"/>
      <c r="AG20" s="764"/>
      <c r="AH20" s="1783">
        <f>ROUND(AB20-AE20,1)</f>
        <v>-40.5</v>
      </c>
      <c r="AI20" s="773"/>
      <c r="AJ20" s="2068">
        <f>ROUND(IF(AE20=0,0,AH20/ABS(AE20)),3)</f>
        <v>-0.73199999999999998</v>
      </c>
    </row>
    <row r="21" spans="1:38" ht="17.25" customHeight="1">
      <c r="A21" s="168" t="s">
        <v>214</v>
      </c>
      <c r="B21" s="148"/>
      <c r="C21" s="160">
        <v>103.3</v>
      </c>
      <c r="D21" s="160"/>
      <c r="E21" s="160">
        <v>138.39999999999998</v>
      </c>
      <c r="F21" s="166"/>
      <c r="G21" s="160">
        <v>140.50000000000006</v>
      </c>
      <c r="H21" s="166"/>
      <c r="I21" s="160">
        <v>257.2</v>
      </c>
      <c r="J21" s="166"/>
      <c r="K21" s="160">
        <v>273.3</v>
      </c>
      <c r="L21" s="166"/>
      <c r="M21" s="160">
        <f t="shared" si="1"/>
        <v>232.39999999999986</v>
      </c>
      <c r="N21" s="166"/>
      <c r="O21" s="160"/>
      <c r="P21" s="166"/>
      <c r="Q21" s="160"/>
      <c r="R21" s="166"/>
      <c r="S21" s="160"/>
      <c r="T21" s="166"/>
      <c r="U21" s="160"/>
      <c r="V21" s="166"/>
      <c r="W21" s="160"/>
      <c r="X21" s="166"/>
      <c r="Y21" s="160"/>
      <c r="Z21" s="160"/>
      <c r="AA21" s="161"/>
      <c r="AB21" s="1088">
        <v>1145.0999999999999</v>
      </c>
      <c r="AC21" s="160"/>
      <c r="AD21" s="161"/>
      <c r="AE21" s="1088">
        <v>623.6</v>
      </c>
      <c r="AF21" s="165"/>
      <c r="AG21" s="765"/>
      <c r="AH21" s="1784">
        <f>ROUND(AB21-AE21,1)</f>
        <v>521.5</v>
      </c>
      <c r="AI21" s="773"/>
      <c r="AJ21" s="1981">
        <f>ROUND(IF(AE21=0,0,AH21/ABS(AE21)),3)</f>
        <v>0.83599999999999997</v>
      </c>
    </row>
    <row r="22" spans="1:38" ht="16.5" customHeight="1">
      <c r="A22" s="148"/>
      <c r="B22" s="148"/>
      <c r="C22" s="255"/>
      <c r="D22" s="160"/>
      <c r="E22" s="256"/>
      <c r="F22" s="166"/>
      <c r="G22" s="256"/>
      <c r="H22" s="166"/>
      <c r="I22" s="256"/>
      <c r="J22" s="166"/>
      <c r="K22" s="256"/>
      <c r="L22" s="166"/>
      <c r="M22" s="256"/>
      <c r="N22" s="166"/>
      <c r="O22" s="256"/>
      <c r="P22" s="166"/>
      <c r="Q22" s="256"/>
      <c r="R22" s="166"/>
      <c r="S22" s="256"/>
      <c r="T22" s="166"/>
      <c r="U22" s="256"/>
      <c r="V22" s="166"/>
      <c r="W22" s="1089"/>
      <c r="X22" s="166"/>
      <c r="Y22" s="256"/>
      <c r="Z22" s="160"/>
      <c r="AA22" s="161"/>
      <c r="AB22" s="255"/>
      <c r="AC22" s="160"/>
      <c r="AD22" s="161"/>
      <c r="AE22" s="255"/>
      <c r="AF22" s="1025"/>
      <c r="AG22" s="765"/>
      <c r="AH22" s="778"/>
      <c r="AJ22" s="1955"/>
    </row>
    <row r="23" spans="1:38" ht="16.5" customHeight="1">
      <c r="A23" s="157" t="s">
        <v>147</v>
      </c>
      <c r="B23" s="148"/>
      <c r="C23" s="167">
        <f>ROUND(SUM(C19:C22),1)</f>
        <v>329.9</v>
      </c>
      <c r="D23" s="162"/>
      <c r="E23" s="167">
        <f>ROUND(SUM(E19:E22),1)</f>
        <v>454.5</v>
      </c>
      <c r="F23" s="167"/>
      <c r="G23" s="167">
        <f>ROUND(SUM(G19:G22),1)</f>
        <v>461.7</v>
      </c>
      <c r="H23" s="167"/>
      <c r="I23" s="167">
        <f>ROUND(SUM(I19:I22),1)</f>
        <v>580.70000000000005</v>
      </c>
      <c r="J23" s="167"/>
      <c r="K23" s="167">
        <f>ROUND(SUM(K19:K22),1)</f>
        <v>622.29999999999995</v>
      </c>
      <c r="L23" s="167"/>
      <c r="M23" s="167">
        <f>ROUND(SUM(M19:M22),1)</f>
        <v>414.5</v>
      </c>
      <c r="N23" s="167"/>
      <c r="O23" s="167">
        <f>ROUND(SUM(O19:O22),1)</f>
        <v>0</v>
      </c>
      <c r="P23" s="167"/>
      <c r="Q23" s="167">
        <f>ROUND(SUM(Q19:Q22),1)</f>
        <v>0</v>
      </c>
      <c r="R23" s="167"/>
      <c r="S23" s="167">
        <f t="shared" ref="S23" si="2">ROUND(SUM(S19:S22),1)</f>
        <v>0</v>
      </c>
      <c r="T23" s="167"/>
      <c r="U23" s="167">
        <f>ROUND(SUM(U19:U22),1)</f>
        <v>0</v>
      </c>
      <c r="V23" s="167"/>
      <c r="W23" s="167">
        <f>ROUND(SUM(W19:W22),1)</f>
        <v>0</v>
      </c>
      <c r="X23" s="167"/>
      <c r="Y23" s="167">
        <f>ROUND(SUM(Y19:Y22),1)</f>
        <v>0</v>
      </c>
      <c r="Z23" s="162"/>
      <c r="AA23" s="163"/>
      <c r="AB23" s="167">
        <f>ROUND(SUM(AB19:AB22),1)</f>
        <v>2863.6</v>
      </c>
      <c r="AC23" s="1778"/>
      <c r="AD23" s="162"/>
      <c r="AE23" s="167">
        <f>ROUND(SUM(AE19:AE22),1)</f>
        <v>2260.1</v>
      </c>
      <c r="AF23" s="165"/>
      <c r="AG23" s="765"/>
      <c r="AH23" s="1785">
        <f>ROUND(SUM(AH19:AH21),1)</f>
        <v>603.5</v>
      </c>
      <c r="AI23" s="779"/>
      <c r="AJ23" s="1958">
        <f>ROUND(IF(AH23=0,0,AH23/ABS(AE23)),3)</f>
        <v>0.26700000000000002</v>
      </c>
      <c r="AK23" s="253"/>
      <c r="AL23" s="253"/>
    </row>
    <row r="24" spans="1:38" ht="16.5" customHeight="1">
      <c r="A24" s="148"/>
      <c r="B24" s="148"/>
      <c r="C24" s="255"/>
      <c r="D24" s="160"/>
      <c r="E24" s="256"/>
      <c r="F24" s="166"/>
      <c r="G24" s="256"/>
      <c r="H24" s="166"/>
      <c r="I24" s="256"/>
      <c r="J24" s="166"/>
      <c r="K24" s="256"/>
      <c r="L24" s="166"/>
      <c r="M24" s="256"/>
      <c r="N24" s="166"/>
      <c r="O24" s="256"/>
      <c r="P24" s="166"/>
      <c r="Q24" s="256"/>
      <c r="R24" s="166"/>
      <c r="S24" s="256"/>
      <c r="T24" s="166"/>
      <c r="U24" s="256"/>
      <c r="V24" s="166"/>
      <c r="W24" s="256"/>
      <c r="X24" s="166"/>
      <c r="Y24" s="256"/>
      <c r="Z24" s="160"/>
      <c r="AA24" s="161"/>
      <c r="AB24" s="255"/>
      <c r="AC24" s="160"/>
      <c r="AD24" s="161"/>
      <c r="AE24" s="255"/>
      <c r="AF24" s="1025"/>
      <c r="AG24" s="765"/>
      <c r="AH24" s="778"/>
      <c r="AJ24" s="1955"/>
    </row>
    <row r="25" spans="1:38" ht="16.5" customHeight="1">
      <c r="A25" s="148"/>
      <c r="B25" s="148"/>
      <c r="C25" s="160"/>
      <c r="D25" s="160"/>
      <c r="E25" s="166"/>
      <c r="F25" s="166"/>
      <c r="G25" s="166"/>
      <c r="H25" s="166"/>
      <c r="I25" s="166"/>
      <c r="J25" s="166"/>
      <c r="K25" s="166"/>
      <c r="L25" s="166"/>
      <c r="M25" s="166"/>
      <c r="N25" s="166"/>
      <c r="O25" s="166"/>
      <c r="P25" s="166"/>
      <c r="Q25" s="166"/>
      <c r="R25" s="166"/>
      <c r="S25" s="166"/>
      <c r="T25" s="166"/>
      <c r="U25" s="166"/>
      <c r="V25" s="166"/>
      <c r="W25" s="166"/>
      <c r="X25" s="166"/>
      <c r="Y25" s="166"/>
      <c r="Z25" s="160"/>
      <c r="AA25" s="161"/>
      <c r="AB25" s="160"/>
      <c r="AC25" s="160"/>
      <c r="AD25" s="161"/>
      <c r="AE25" s="160"/>
      <c r="AF25" s="164"/>
      <c r="AG25" s="764"/>
      <c r="AH25" s="778"/>
      <c r="AJ25" s="1956"/>
    </row>
    <row r="26" spans="1:38" ht="16.5" customHeight="1">
      <c r="A26" s="157" t="s">
        <v>22</v>
      </c>
      <c r="B26" s="148"/>
      <c r="C26" s="160"/>
      <c r="D26" s="160"/>
      <c r="E26" s="166"/>
      <c r="F26" s="166"/>
      <c r="G26" s="166"/>
      <c r="H26" s="166"/>
      <c r="I26" s="166"/>
      <c r="J26" s="166"/>
      <c r="K26" s="166"/>
      <c r="L26" s="166"/>
      <c r="M26" s="166"/>
      <c r="N26" s="166"/>
      <c r="O26" s="166"/>
      <c r="P26" s="166"/>
      <c r="Q26" s="166"/>
      <c r="R26" s="166"/>
      <c r="S26" s="166"/>
      <c r="T26" s="166"/>
      <c r="U26" s="166"/>
      <c r="V26" s="166"/>
      <c r="W26" s="166"/>
      <c r="X26" s="166"/>
      <c r="Y26" s="166"/>
      <c r="Z26" s="160"/>
      <c r="AA26" s="161"/>
      <c r="AB26" s="160"/>
      <c r="AC26" s="160"/>
      <c r="AD26" s="161"/>
      <c r="AE26" s="160"/>
      <c r="AF26" s="164"/>
      <c r="AG26" s="764"/>
      <c r="AH26" s="778"/>
      <c r="AI26" s="782"/>
      <c r="AJ26" s="1956"/>
    </row>
    <row r="27" spans="1:38" ht="16.5" customHeight="1">
      <c r="A27" s="148" t="s">
        <v>149</v>
      </c>
      <c r="B27" s="148"/>
      <c r="C27" s="160"/>
      <c r="D27" s="160"/>
      <c r="E27" s="160"/>
      <c r="F27" s="166"/>
      <c r="G27" s="166"/>
      <c r="H27" s="166"/>
      <c r="I27" s="166"/>
      <c r="J27" s="166"/>
      <c r="K27" s="166"/>
      <c r="L27" s="166"/>
      <c r="M27" s="166"/>
      <c r="N27" s="166"/>
      <c r="O27" s="166"/>
      <c r="P27" s="166"/>
      <c r="Q27" s="166"/>
      <c r="R27" s="166"/>
      <c r="S27" s="1088"/>
      <c r="T27" s="166"/>
      <c r="U27" s="166"/>
      <c r="V27" s="166"/>
      <c r="W27" s="166"/>
      <c r="X27" s="166"/>
      <c r="Y27" s="166"/>
      <c r="Z27" s="160"/>
      <c r="AA27" s="161"/>
      <c r="AB27" s="160"/>
      <c r="AC27" s="160"/>
      <c r="AD27" s="161"/>
      <c r="AE27" s="160"/>
      <c r="AF27" s="624"/>
      <c r="AG27" s="765"/>
      <c r="AH27" s="778"/>
      <c r="AJ27" s="1956"/>
    </row>
    <row r="28" spans="1:38" ht="16.5" customHeight="1">
      <c r="A28" s="148" t="s">
        <v>215</v>
      </c>
      <c r="B28" s="148"/>
      <c r="C28" s="160">
        <v>138.1</v>
      </c>
      <c r="D28" s="160"/>
      <c r="E28" s="160">
        <v>136.00000000000003</v>
      </c>
      <c r="F28" s="166"/>
      <c r="G28" s="160">
        <v>183.70000000000002</v>
      </c>
      <c r="H28" s="166"/>
      <c r="I28" s="160">
        <v>134.99999999999991</v>
      </c>
      <c r="J28" s="166"/>
      <c r="K28" s="160">
        <v>125.30000000000004</v>
      </c>
      <c r="L28" s="166"/>
      <c r="M28" s="160">
        <f>$AB28-$C28-$E28-$G28-$I28-$K28</f>
        <v>138.19999999999996</v>
      </c>
      <c r="N28" s="166"/>
      <c r="O28" s="160"/>
      <c r="P28" s="166"/>
      <c r="Q28" s="160"/>
      <c r="R28" s="166"/>
      <c r="S28" s="160"/>
      <c r="T28" s="166"/>
      <c r="U28" s="160"/>
      <c r="V28" s="166"/>
      <c r="W28" s="160"/>
      <c r="X28" s="166"/>
      <c r="Y28" s="160"/>
      <c r="Z28" s="160"/>
      <c r="AA28" s="161"/>
      <c r="AB28" s="1088">
        <v>856.3</v>
      </c>
      <c r="AC28" s="160"/>
      <c r="AD28" s="161"/>
      <c r="AE28" s="1088">
        <v>836.8</v>
      </c>
      <c r="AF28" s="164"/>
      <c r="AG28" s="766"/>
      <c r="AH28" s="778">
        <f>ROUND(SUM(AB28-AE28),1)</f>
        <v>19.5</v>
      </c>
      <c r="AJ28" s="2067">
        <f>ROUND(IF(AH28=0,0,AH28/ABS(AE28)),3)</f>
        <v>2.3E-2</v>
      </c>
    </row>
    <row r="29" spans="1:38" ht="16.5" customHeight="1">
      <c r="A29" s="148" t="s">
        <v>176</v>
      </c>
      <c r="B29" s="148"/>
      <c r="C29" s="160">
        <v>47</v>
      </c>
      <c r="D29" s="160"/>
      <c r="E29" s="160">
        <v>38.5</v>
      </c>
      <c r="F29" s="166"/>
      <c r="G29" s="160">
        <v>35.099999999999994</v>
      </c>
      <c r="H29" s="166"/>
      <c r="I29" s="160">
        <v>35.300000000000011</v>
      </c>
      <c r="J29" s="166"/>
      <c r="K29" s="160">
        <v>98.1</v>
      </c>
      <c r="L29" s="166"/>
      <c r="M29" s="160">
        <f t="shared" ref="M29:M31" si="3">$AB29-$C29-$E29-$G29-$I29-$K29</f>
        <v>148.20000000000002</v>
      </c>
      <c r="N29" s="166"/>
      <c r="O29" s="160"/>
      <c r="P29" s="166"/>
      <c r="Q29" s="160"/>
      <c r="R29" s="166"/>
      <c r="S29" s="160"/>
      <c r="T29" s="166"/>
      <c r="U29" s="160"/>
      <c r="V29" s="166"/>
      <c r="W29" s="160"/>
      <c r="X29" s="166"/>
      <c r="Y29" s="160"/>
      <c r="Z29" s="160"/>
      <c r="AA29" s="161"/>
      <c r="AB29" s="1088">
        <v>402.2</v>
      </c>
      <c r="AC29" s="160"/>
      <c r="AD29" s="161"/>
      <c r="AE29" s="1088">
        <v>439.9</v>
      </c>
      <c r="AF29" s="164"/>
      <c r="AG29" s="766"/>
      <c r="AH29" s="778">
        <f>ROUND(SUM(AB29-AE29),1)</f>
        <v>-37.700000000000003</v>
      </c>
      <c r="AJ29" s="2067">
        <f t="shared" ref="AJ29:AJ30" si="4">ROUND(IF(AH29=0,0,AH29/ABS(AE29)),3)</f>
        <v>-8.5999999999999993E-2</v>
      </c>
    </row>
    <row r="30" spans="1:38" ht="16.5" customHeight="1">
      <c r="A30" s="148" t="s">
        <v>152</v>
      </c>
      <c r="B30" s="148"/>
      <c r="C30" s="160">
        <v>57.2</v>
      </c>
      <c r="D30" s="160"/>
      <c r="E30" s="160">
        <v>59.399999999999991</v>
      </c>
      <c r="F30" s="166"/>
      <c r="G30" s="160">
        <v>56.599999999999994</v>
      </c>
      <c r="H30" s="166"/>
      <c r="I30" s="160">
        <v>56.300000000000026</v>
      </c>
      <c r="J30" s="166"/>
      <c r="K30" s="160">
        <v>61.300000000000026</v>
      </c>
      <c r="L30" s="166"/>
      <c r="M30" s="160">
        <f t="shared" si="3"/>
        <v>62.199999999999989</v>
      </c>
      <c r="N30" s="166"/>
      <c r="O30" s="160"/>
      <c r="P30" s="166"/>
      <c r="Q30" s="160"/>
      <c r="R30" s="166"/>
      <c r="S30" s="160"/>
      <c r="T30" s="166"/>
      <c r="U30" s="160"/>
      <c r="V30" s="166"/>
      <c r="W30" s="160"/>
      <c r="X30" s="166"/>
      <c r="Y30" s="160"/>
      <c r="Z30" s="160"/>
      <c r="AA30" s="161"/>
      <c r="AB30" s="1088">
        <v>353</v>
      </c>
      <c r="AC30" s="160"/>
      <c r="AD30" s="161"/>
      <c r="AE30" s="1088">
        <v>339.4</v>
      </c>
      <c r="AF30" s="165"/>
      <c r="AG30" s="767"/>
      <c r="AH30" s="778">
        <f>ROUND(SUM(AB30-AE30),1)</f>
        <v>13.6</v>
      </c>
      <c r="AJ30" s="2067">
        <f t="shared" si="4"/>
        <v>0.04</v>
      </c>
    </row>
    <row r="31" spans="1:38" ht="16.5" customHeight="1">
      <c r="A31" s="168" t="s">
        <v>216</v>
      </c>
      <c r="B31" s="148"/>
      <c r="C31" s="160">
        <v>207.6</v>
      </c>
      <c r="D31" s="160"/>
      <c r="E31" s="160">
        <v>78.799999999999983</v>
      </c>
      <c r="F31" s="166"/>
      <c r="G31" s="160">
        <v>204.99999999999997</v>
      </c>
      <c r="H31" s="166"/>
      <c r="I31" s="160">
        <v>257.5</v>
      </c>
      <c r="J31" s="166"/>
      <c r="K31" s="160">
        <v>272</v>
      </c>
      <c r="L31" s="166"/>
      <c r="M31" s="160">
        <f t="shared" si="3"/>
        <v>231.20000000000005</v>
      </c>
      <c r="N31" s="166"/>
      <c r="O31" s="160"/>
      <c r="P31" s="166"/>
      <c r="Q31" s="160"/>
      <c r="R31" s="166"/>
      <c r="S31" s="160"/>
      <c r="T31" s="166"/>
      <c r="U31" s="160"/>
      <c r="V31" s="166"/>
      <c r="W31" s="160"/>
      <c r="X31" s="166"/>
      <c r="Y31" s="160"/>
      <c r="Z31" s="160"/>
      <c r="AA31" s="161"/>
      <c r="AB31" s="1088">
        <v>1252.0999999999999</v>
      </c>
      <c r="AC31" s="160"/>
      <c r="AD31" s="161"/>
      <c r="AE31" s="1088">
        <v>678.9</v>
      </c>
      <c r="AF31" s="165"/>
      <c r="AG31" s="766"/>
      <c r="AH31" s="1086">
        <f>ROUND(SUM(AB31-AE31),1)</f>
        <v>573.20000000000005</v>
      </c>
      <c r="AJ31" s="1959">
        <f>ROUND(IF(AH31=0,0,AH31/ABS(AE31)),3)</f>
        <v>0.84399999999999997</v>
      </c>
    </row>
    <row r="32" spans="1:38" ht="16.5" customHeight="1">
      <c r="A32" s="148"/>
      <c r="B32" s="148"/>
      <c r="C32" s="255"/>
      <c r="D32" s="160"/>
      <c r="E32" s="256"/>
      <c r="F32" s="166"/>
      <c r="G32" s="256"/>
      <c r="H32" s="166"/>
      <c r="I32" s="256"/>
      <c r="J32" s="166"/>
      <c r="K32" s="256"/>
      <c r="L32" s="166"/>
      <c r="M32" s="256"/>
      <c r="N32" s="166"/>
      <c r="O32" s="256"/>
      <c r="P32" s="166"/>
      <c r="Q32" s="256"/>
      <c r="R32" s="166"/>
      <c r="S32" s="256"/>
      <c r="T32" s="166"/>
      <c r="U32" s="256"/>
      <c r="V32" s="166"/>
      <c r="W32" s="1089"/>
      <c r="X32" s="166"/>
      <c r="Y32" s="256"/>
      <c r="Z32" s="160"/>
      <c r="AA32" s="161"/>
      <c r="AB32" s="255"/>
      <c r="AC32" s="160"/>
      <c r="AD32" s="161"/>
      <c r="AE32" s="255"/>
      <c r="AF32" s="633"/>
      <c r="AG32" s="767"/>
      <c r="AH32" s="778"/>
      <c r="AI32" s="773"/>
      <c r="AJ32" s="1956"/>
    </row>
    <row r="33" spans="1:37" ht="16.5" customHeight="1">
      <c r="A33" s="157" t="s">
        <v>153</v>
      </c>
      <c r="B33" s="148"/>
      <c r="C33" s="167">
        <f>ROUND(SUM(C28:C32),1)</f>
        <v>449.9</v>
      </c>
      <c r="D33" s="162"/>
      <c r="E33" s="167">
        <f>ROUND(SUM(E28:E32),1)</f>
        <v>312.7</v>
      </c>
      <c r="F33" s="167"/>
      <c r="G33" s="167">
        <f>ROUND(SUM(G28:G32),1)</f>
        <v>480.4</v>
      </c>
      <c r="H33" s="167"/>
      <c r="I33" s="167">
        <f>ROUND(SUM(I28:I32),1)</f>
        <v>484.1</v>
      </c>
      <c r="J33" s="167"/>
      <c r="K33" s="650">
        <f>ROUND(SUM(K28:K32),1)</f>
        <v>556.70000000000005</v>
      </c>
      <c r="L33" s="167"/>
      <c r="M33" s="650">
        <f>ROUND(SUM(M28:M32),1)</f>
        <v>579.79999999999995</v>
      </c>
      <c r="N33" s="167"/>
      <c r="O33" s="167">
        <f>ROUND(SUM(O28:O32),1)</f>
        <v>0</v>
      </c>
      <c r="P33" s="167"/>
      <c r="Q33" s="167">
        <f>ROUND(SUM(Q28:Q32),1)</f>
        <v>0</v>
      </c>
      <c r="R33" s="167"/>
      <c r="S33" s="167">
        <f t="shared" ref="S33" si="5">ROUND(SUM(S28:S32),1)</f>
        <v>0</v>
      </c>
      <c r="T33" s="167"/>
      <c r="U33" s="167">
        <f>ROUND(SUM(U28:U32),1)</f>
        <v>0</v>
      </c>
      <c r="V33" s="167"/>
      <c r="W33" s="167">
        <f>ROUND(SUM(W28:W32),1)</f>
        <v>0</v>
      </c>
      <c r="X33" s="167"/>
      <c r="Y33" s="167">
        <f>ROUND(SUM(Y28:Y32),1)</f>
        <v>0</v>
      </c>
      <c r="Z33" s="162"/>
      <c r="AA33" s="163"/>
      <c r="AB33" s="167">
        <f>ROUND(SUM(AB28:AB32),1)</f>
        <v>2863.6</v>
      </c>
      <c r="AC33" s="1778"/>
      <c r="AD33" s="162"/>
      <c r="AE33" s="167">
        <f>ROUND(SUM(AE28:AE32),1)</f>
        <v>2295</v>
      </c>
      <c r="AF33" s="164"/>
      <c r="AG33" s="764"/>
      <c r="AH33" s="1785">
        <f>ROUND(SUM(AH28:AH31),1)</f>
        <v>568.6</v>
      </c>
      <c r="AI33" s="779"/>
      <c r="AJ33" s="1958">
        <f>ROUND(IF(AH33=0,0,AH33/ABS(AE33)),3)</f>
        <v>0.248</v>
      </c>
      <c r="AK33" s="253"/>
    </row>
    <row r="34" spans="1:37" ht="16.5" customHeight="1">
      <c r="A34" s="148"/>
      <c r="B34" s="148"/>
      <c r="C34" s="255"/>
      <c r="D34" s="160"/>
      <c r="E34" s="256"/>
      <c r="F34" s="166"/>
      <c r="G34" s="256"/>
      <c r="H34" s="166"/>
      <c r="I34" s="256"/>
      <c r="J34" s="166"/>
      <c r="K34" s="166"/>
      <c r="L34" s="166"/>
      <c r="M34" s="166"/>
      <c r="N34" s="166"/>
      <c r="O34" s="256"/>
      <c r="P34" s="166"/>
      <c r="Q34" s="256"/>
      <c r="R34" s="166"/>
      <c r="S34" s="256"/>
      <c r="T34" s="166"/>
      <c r="U34" s="256"/>
      <c r="V34" s="166"/>
      <c r="W34" s="256"/>
      <c r="X34" s="166"/>
      <c r="Y34" s="256"/>
      <c r="Z34" s="160"/>
      <c r="AA34" s="161"/>
      <c r="AB34" s="255"/>
      <c r="AC34" s="1779"/>
      <c r="AD34" s="161"/>
      <c r="AE34" s="255"/>
      <c r="AF34" s="164"/>
      <c r="AG34" s="764"/>
      <c r="AH34" s="778"/>
      <c r="AJ34" s="1955"/>
    </row>
    <row r="35" spans="1:37" ht="16.5" customHeight="1">
      <c r="A35" s="148"/>
      <c r="B35" s="148"/>
      <c r="C35" s="160"/>
      <c r="D35" s="160"/>
      <c r="E35" s="166"/>
      <c r="F35" s="166"/>
      <c r="G35" s="166"/>
      <c r="H35" s="166"/>
      <c r="I35" s="166"/>
      <c r="J35" s="166"/>
      <c r="K35" s="166"/>
      <c r="L35" s="166"/>
      <c r="M35" s="166"/>
      <c r="N35" s="166"/>
      <c r="O35" s="166"/>
      <c r="P35" s="166"/>
      <c r="Q35" s="166"/>
      <c r="R35" s="166"/>
      <c r="S35" s="166"/>
      <c r="T35" s="166"/>
      <c r="U35" s="166"/>
      <c r="V35" s="166"/>
      <c r="W35" s="166"/>
      <c r="X35" s="166"/>
      <c r="Y35" s="166"/>
      <c r="Z35" s="160"/>
      <c r="AA35" s="161"/>
      <c r="AB35" s="160"/>
      <c r="AC35" s="1779"/>
      <c r="AD35" s="161"/>
      <c r="AE35" s="160"/>
      <c r="AF35" s="624"/>
      <c r="AG35" s="769"/>
      <c r="AH35" s="778"/>
      <c r="AI35" s="782"/>
      <c r="AJ35" s="1956"/>
    </row>
    <row r="36" spans="1:37" ht="16.5" customHeight="1">
      <c r="A36" s="157" t="s">
        <v>154</v>
      </c>
      <c r="B36" s="148"/>
      <c r="C36" s="160"/>
      <c r="D36" s="160"/>
      <c r="E36" s="166" t="s">
        <v>14</v>
      </c>
      <c r="F36" s="166"/>
      <c r="G36" s="166"/>
      <c r="H36" s="166"/>
      <c r="I36" s="166"/>
      <c r="J36" s="166"/>
      <c r="K36" s="166"/>
      <c r="L36" s="166"/>
      <c r="M36" s="166"/>
      <c r="N36" s="166"/>
      <c r="O36" s="166"/>
      <c r="P36" s="166"/>
      <c r="Q36" s="166"/>
      <c r="R36" s="166"/>
      <c r="S36" s="166"/>
      <c r="T36" s="166"/>
      <c r="U36" s="166"/>
      <c r="V36" s="166"/>
      <c r="W36" s="166"/>
      <c r="X36" s="166"/>
      <c r="Y36" s="166"/>
      <c r="Z36" s="160"/>
      <c r="AA36" s="161"/>
      <c r="AB36" s="160"/>
      <c r="AC36" s="1779"/>
      <c r="AD36" s="161"/>
      <c r="AE36" s="160"/>
      <c r="AF36" s="268"/>
      <c r="AG36" s="770"/>
      <c r="AH36" s="778"/>
      <c r="AI36" s="782"/>
      <c r="AJ36" s="1956"/>
    </row>
    <row r="37" spans="1:37" ht="16.5" customHeight="1">
      <c r="A37" s="157" t="s">
        <v>44</v>
      </c>
      <c r="B37" s="148"/>
      <c r="C37" s="167">
        <f>ROUND(C23-C33,1)</f>
        <v>-120</v>
      </c>
      <c r="D37" s="162"/>
      <c r="E37" s="167">
        <f>ROUND(E23-E33,1)</f>
        <v>141.80000000000001</v>
      </c>
      <c r="F37" s="167"/>
      <c r="G37" s="167">
        <f>ROUND(G23-G33,1)</f>
        <v>-18.7</v>
      </c>
      <c r="H37" s="167"/>
      <c r="I37" s="167">
        <f>ROUND(I23-I33,1)</f>
        <v>96.6</v>
      </c>
      <c r="J37" s="167"/>
      <c r="K37" s="167">
        <f>ROUND(K23-K33,1)</f>
        <v>65.599999999999994</v>
      </c>
      <c r="L37" s="167"/>
      <c r="M37" s="167">
        <f>ROUND(M23-M33,1)</f>
        <v>-165.3</v>
      </c>
      <c r="N37" s="167"/>
      <c r="O37" s="167">
        <f>ROUND(O23-O33,1)</f>
        <v>0</v>
      </c>
      <c r="P37" s="167"/>
      <c r="Q37" s="167">
        <f>ROUND(Q23-Q33,1)</f>
        <v>0</v>
      </c>
      <c r="R37" s="167"/>
      <c r="S37" s="167">
        <f t="shared" ref="S37" si="6">ROUND(S23-S33,1)</f>
        <v>0</v>
      </c>
      <c r="T37" s="167"/>
      <c r="U37" s="167">
        <f>ROUND(U23-U33,1)</f>
        <v>0</v>
      </c>
      <c r="V37" s="167"/>
      <c r="W37" s="167">
        <f>ROUND(W23-W33,1)</f>
        <v>0</v>
      </c>
      <c r="X37" s="167"/>
      <c r="Y37" s="167">
        <f>ROUND(Y23-Y33,1)</f>
        <v>0</v>
      </c>
      <c r="Z37" s="162"/>
      <c r="AA37" s="163"/>
      <c r="AB37" s="167">
        <f>ROUND(AB23-AB33,1)</f>
        <v>0</v>
      </c>
      <c r="AC37" s="1778"/>
      <c r="AD37" s="162"/>
      <c r="AE37" s="167">
        <f>ROUND(AE23-AE33,1)</f>
        <v>-34.9</v>
      </c>
      <c r="AF37" s="632"/>
      <c r="AG37" s="768"/>
      <c r="AH37" s="1785">
        <f>ROUND(SUM(AH23-AH33),1)</f>
        <v>34.9</v>
      </c>
      <c r="AI37" s="779"/>
      <c r="AJ37" s="1289">
        <f>ROUND(IF(AE37=0,1,AH37/ABS(AE37)),3)</f>
        <v>1</v>
      </c>
    </row>
    <row r="38" spans="1:37" ht="16.5" customHeight="1">
      <c r="A38" s="148"/>
      <c r="B38" s="148"/>
      <c r="C38" s="255"/>
      <c r="D38" s="160"/>
      <c r="E38" s="256"/>
      <c r="F38" s="166"/>
      <c r="G38" s="256"/>
      <c r="H38" s="166"/>
      <c r="I38" s="256"/>
      <c r="J38" s="166"/>
      <c r="K38" s="256"/>
      <c r="L38" s="166"/>
      <c r="M38" s="256"/>
      <c r="N38" s="166"/>
      <c r="O38" s="256"/>
      <c r="P38" s="166"/>
      <c r="Q38" s="256"/>
      <c r="R38" s="166"/>
      <c r="S38" s="256"/>
      <c r="T38" s="166"/>
      <c r="U38" s="256"/>
      <c r="V38" s="166"/>
      <c r="W38" s="256"/>
      <c r="X38" s="166"/>
      <c r="Y38" s="256"/>
      <c r="Z38" s="160"/>
      <c r="AA38" s="161"/>
      <c r="AB38" s="255"/>
      <c r="AC38" s="1779"/>
      <c r="AD38" s="161"/>
      <c r="AE38" s="255"/>
      <c r="AF38" s="39"/>
      <c r="AG38" s="768"/>
      <c r="AH38" s="778"/>
      <c r="AJ38" s="1955"/>
    </row>
    <row r="39" spans="1:37" ht="16.5" customHeight="1">
      <c r="A39" s="148"/>
      <c r="B39" s="148"/>
      <c r="C39" s="160"/>
      <c r="D39" s="160"/>
      <c r="E39" s="166"/>
      <c r="F39" s="166"/>
      <c r="G39" s="166"/>
      <c r="H39" s="166"/>
      <c r="I39" s="166"/>
      <c r="J39" s="166"/>
      <c r="K39" s="166"/>
      <c r="L39" s="166"/>
      <c r="M39" s="166"/>
      <c r="N39" s="166"/>
      <c r="O39" s="166"/>
      <c r="P39" s="166"/>
      <c r="Q39" s="166"/>
      <c r="R39" s="166"/>
      <c r="S39" s="166"/>
      <c r="T39" s="166"/>
      <c r="U39" s="166"/>
      <c r="V39" s="166"/>
      <c r="W39" s="166"/>
      <c r="X39" s="166"/>
      <c r="Y39" s="166"/>
      <c r="Z39" s="160"/>
      <c r="AA39" s="161"/>
      <c r="AB39" s="160"/>
      <c r="AC39" s="160"/>
      <c r="AD39" s="161"/>
      <c r="AE39" s="160"/>
      <c r="AG39" s="765"/>
      <c r="AH39" s="778"/>
      <c r="AJ39" s="1956"/>
    </row>
    <row r="40" spans="1:37" ht="16.5" customHeight="1">
      <c r="A40" s="157" t="s">
        <v>45</v>
      </c>
      <c r="B40" s="148"/>
      <c r="C40" s="160"/>
      <c r="D40" s="160"/>
      <c r="E40" s="166"/>
      <c r="F40" s="166"/>
      <c r="G40" s="166"/>
      <c r="H40" s="166"/>
      <c r="I40" s="166"/>
      <c r="J40" s="166"/>
      <c r="K40" s="1090"/>
      <c r="L40" s="166"/>
      <c r="M40" s="1090"/>
      <c r="N40" s="166"/>
      <c r="O40" s="166"/>
      <c r="P40" s="166"/>
      <c r="Q40" s="166"/>
      <c r="R40" s="166"/>
      <c r="S40" s="166"/>
      <c r="T40" s="166"/>
      <c r="U40" s="166"/>
      <c r="V40" s="166"/>
      <c r="W40" s="166"/>
      <c r="X40" s="166"/>
      <c r="Y40" s="166"/>
      <c r="Z40" s="160"/>
      <c r="AA40" s="161"/>
      <c r="AB40" s="160"/>
      <c r="AC40" s="160"/>
      <c r="AD40" s="161"/>
      <c r="AE40" s="160"/>
      <c r="AF40" s="39"/>
      <c r="AG40" s="768"/>
      <c r="AH40" s="1091"/>
      <c r="AI40" s="784"/>
      <c r="AJ40" s="1957"/>
    </row>
    <row r="41" spans="1:37" ht="16.5" customHeight="1">
      <c r="A41" s="148" t="s">
        <v>178</v>
      </c>
      <c r="B41" s="148"/>
      <c r="C41" s="160">
        <v>0</v>
      </c>
      <c r="D41" s="160"/>
      <c r="E41" s="160">
        <v>2</v>
      </c>
      <c r="F41" s="166"/>
      <c r="G41" s="160">
        <v>0</v>
      </c>
      <c r="H41" s="1144"/>
      <c r="I41" s="160">
        <v>0</v>
      </c>
      <c r="J41" s="166"/>
      <c r="K41" s="160">
        <v>0</v>
      </c>
      <c r="L41" s="166"/>
      <c r="M41" s="160">
        <f t="shared" ref="M41:M42" si="7">$AB41-$C41-$E41-$G41-$I41-$K41</f>
        <v>0</v>
      </c>
      <c r="N41" s="166"/>
      <c r="O41" s="160"/>
      <c r="P41" s="166"/>
      <c r="Q41" s="160"/>
      <c r="R41" s="166"/>
      <c r="S41" s="160"/>
      <c r="T41" s="166"/>
      <c r="U41" s="160"/>
      <c r="V41" s="166"/>
      <c r="W41" s="160"/>
      <c r="X41" s="166"/>
      <c r="Y41" s="160"/>
      <c r="Z41" s="160"/>
      <c r="AA41" s="161"/>
      <c r="AB41" s="1088">
        <v>2</v>
      </c>
      <c r="AC41" s="160"/>
      <c r="AD41" s="161"/>
      <c r="AE41" s="1088">
        <v>5</v>
      </c>
      <c r="AF41" s="39"/>
      <c r="AG41" s="768"/>
      <c r="AH41" s="778">
        <f>ROUND(SUM(AB41-AE41),1)</f>
        <v>-3</v>
      </c>
      <c r="AJ41" s="1976">
        <f>ROUND(IF(AE41=0,1,AH41/ABS(AE41)),3)</f>
        <v>-0.6</v>
      </c>
    </row>
    <row r="42" spans="1:37" ht="16.5" customHeight="1">
      <c r="A42" s="148" t="s">
        <v>179</v>
      </c>
      <c r="B42" s="148"/>
      <c r="C42" s="160">
        <v>0</v>
      </c>
      <c r="D42" s="160"/>
      <c r="E42" s="160">
        <v>0</v>
      </c>
      <c r="F42" s="166"/>
      <c r="G42" s="160">
        <v>0</v>
      </c>
      <c r="H42" s="1144"/>
      <c r="I42" s="160">
        <v>0</v>
      </c>
      <c r="J42" s="166"/>
      <c r="K42" s="160">
        <v>0</v>
      </c>
      <c r="L42" s="166"/>
      <c r="M42" s="160">
        <f t="shared" si="7"/>
        <v>0</v>
      </c>
      <c r="N42" s="166"/>
      <c r="O42" s="160"/>
      <c r="P42" s="166"/>
      <c r="Q42" s="160"/>
      <c r="R42" s="166"/>
      <c r="S42" s="160"/>
      <c r="T42" s="166"/>
      <c r="U42" s="160"/>
      <c r="V42" s="166"/>
      <c r="W42" s="160"/>
      <c r="X42" s="166"/>
      <c r="Y42" s="160"/>
      <c r="Z42" s="160"/>
      <c r="AA42" s="161"/>
      <c r="AB42" s="1088">
        <v>0</v>
      </c>
      <c r="AC42" s="160"/>
      <c r="AD42" s="161"/>
      <c r="AE42" s="1088">
        <v>0</v>
      </c>
      <c r="AF42" s="39"/>
      <c r="AG42" s="768"/>
      <c r="AH42" s="1786">
        <f>-ROUND(SUM(AB42-AE42),1)</f>
        <v>0</v>
      </c>
      <c r="AJ42" s="1977">
        <f>ROUND(IF(AE42=0,0,AH42/ABS(AE42)),3)</f>
        <v>0</v>
      </c>
    </row>
    <row r="43" spans="1:37" ht="16.5" customHeight="1">
      <c r="A43" s="148"/>
      <c r="B43" s="148"/>
      <c r="C43" s="255"/>
      <c r="D43" s="160"/>
      <c r="E43" s="255"/>
      <c r="F43" s="166"/>
      <c r="G43" s="255"/>
      <c r="H43" s="166"/>
      <c r="I43" s="255"/>
      <c r="J43" s="166"/>
      <c r="K43" s="255"/>
      <c r="L43" s="166"/>
      <c r="M43" s="255"/>
      <c r="N43" s="166"/>
      <c r="O43" s="255"/>
      <c r="P43" s="166"/>
      <c r="Q43" s="255"/>
      <c r="R43" s="166"/>
      <c r="S43" s="255"/>
      <c r="T43" s="166"/>
      <c r="U43" s="256"/>
      <c r="V43" s="166"/>
      <c r="W43" s="256"/>
      <c r="X43" s="166"/>
      <c r="Y43" s="256"/>
      <c r="Z43" s="160"/>
      <c r="AA43" s="161"/>
      <c r="AB43" s="255"/>
      <c r="AC43" s="160"/>
      <c r="AD43" s="161"/>
      <c r="AE43" s="255"/>
      <c r="AF43" s="39"/>
      <c r="AG43" s="768"/>
      <c r="AJ43" s="1955"/>
    </row>
    <row r="44" spans="1:37" ht="16.5" customHeight="1">
      <c r="A44" s="157" t="s">
        <v>204</v>
      </c>
      <c r="B44" s="148"/>
      <c r="C44" s="257">
        <f>ROUND(SUM(C41:C43),1)</f>
        <v>0</v>
      </c>
      <c r="D44" s="162"/>
      <c r="E44" s="257">
        <f>ROUND(SUM(E41:E43),1)</f>
        <v>2</v>
      </c>
      <c r="F44" s="167"/>
      <c r="G44" s="257">
        <f>ROUND(SUM(G41:G43),1)</f>
        <v>0</v>
      </c>
      <c r="H44" s="167"/>
      <c r="I44" s="257">
        <f>ROUND(SUM(I41:I43),1)</f>
        <v>0</v>
      </c>
      <c r="J44" s="167"/>
      <c r="K44" s="257">
        <f>ROUND(SUM(K41:K43),1)</f>
        <v>0</v>
      </c>
      <c r="L44" s="167"/>
      <c r="M44" s="257">
        <f>ROUND(SUM(M41:M43),1)</f>
        <v>0</v>
      </c>
      <c r="N44" s="167"/>
      <c r="O44" s="257">
        <f>ROUND(SUM(O41:O43),1)</f>
        <v>0</v>
      </c>
      <c r="P44" s="167"/>
      <c r="Q44" s="257">
        <f>ROUND(SUM(Q41:Q43),1)</f>
        <v>0</v>
      </c>
      <c r="R44" s="257"/>
      <c r="S44" s="257">
        <f t="shared" ref="S44" si="8">ROUND(SUM(S41:S43),1)</f>
        <v>0</v>
      </c>
      <c r="T44" s="167"/>
      <c r="U44" s="257">
        <f>ROUND(SUM(U41:U43),1)</f>
        <v>0</v>
      </c>
      <c r="V44" s="167"/>
      <c r="W44" s="257">
        <f>ROUND(SUM(W41:W43),1)</f>
        <v>0</v>
      </c>
      <c r="X44" s="167"/>
      <c r="Y44" s="257">
        <f>ROUND(SUM(Y41:Y43),1)</f>
        <v>0</v>
      </c>
      <c r="Z44" s="162"/>
      <c r="AA44" s="163"/>
      <c r="AB44" s="944">
        <f>ROUND(SUM(AB41+AB42),1)</f>
        <v>2</v>
      </c>
      <c r="AC44" s="1778"/>
      <c r="AD44" s="162"/>
      <c r="AE44" s="944">
        <f>ROUND(SUM(AE41+AE42),1)</f>
        <v>5</v>
      </c>
      <c r="AF44" s="21"/>
      <c r="AG44" s="765"/>
      <c r="AH44" s="1785">
        <f>ROUND(SUM(AH41:AH42),1)</f>
        <v>-3</v>
      </c>
      <c r="AI44" s="785"/>
      <c r="AJ44" s="1978">
        <f>ROUND(IF(AE44=0,1,AH44/ABS(AE44)),3)</f>
        <v>-0.6</v>
      </c>
    </row>
    <row r="45" spans="1:37" ht="16.5" customHeight="1">
      <c r="A45" s="148"/>
      <c r="B45" s="148"/>
      <c r="C45" s="255"/>
      <c r="D45" s="160"/>
      <c r="E45" s="256"/>
      <c r="F45" s="166"/>
      <c r="G45" s="256"/>
      <c r="H45" s="166"/>
      <c r="I45" s="256"/>
      <c r="J45" s="166"/>
      <c r="K45" s="256"/>
      <c r="L45" s="166"/>
      <c r="M45" s="256"/>
      <c r="N45" s="166"/>
      <c r="O45" s="256"/>
      <c r="P45" s="166"/>
      <c r="Q45" s="256"/>
      <c r="R45" s="166"/>
      <c r="S45" s="256"/>
      <c r="T45" s="166"/>
      <c r="U45" s="256"/>
      <c r="V45" s="166"/>
      <c r="W45" s="256"/>
      <c r="X45" s="166"/>
      <c r="Y45" s="256"/>
      <c r="Z45" s="160"/>
      <c r="AA45" s="161"/>
      <c r="AB45" s="255"/>
      <c r="AC45" s="160"/>
      <c r="AD45" s="161"/>
      <c r="AE45" s="255"/>
      <c r="AG45" s="765"/>
      <c r="AJ45" s="1955"/>
    </row>
    <row r="46" spans="1:37" ht="16.5" customHeight="1">
      <c r="A46" s="148"/>
      <c r="B46" s="148"/>
      <c r="C46" s="160"/>
      <c r="D46" s="160"/>
      <c r="E46" s="166"/>
      <c r="F46" s="166"/>
      <c r="G46" s="166"/>
      <c r="H46" s="166"/>
      <c r="I46" s="166"/>
      <c r="J46" s="166"/>
      <c r="K46" s="166"/>
      <c r="L46" s="166"/>
      <c r="M46" s="166"/>
      <c r="N46" s="166"/>
      <c r="O46" s="166"/>
      <c r="P46" s="166"/>
      <c r="Q46" s="166"/>
      <c r="R46" s="166"/>
      <c r="S46" s="166"/>
      <c r="T46" s="166"/>
      <c r="U46" s="166"/>
      <c r="V46" s="166"/>
      <c r="W46" s="166"/>
      <c r="X46" s="166"/>
      <c r="Y46" s="166"/>
      <c r="Z46" s="160"/>
      <c r="AA46" s="161"/>
      <c r="AB46" s="160"/>
      <c r="AC46" s="160"/>
      <c r="AD46" s="161"/>
      <c r="AE46" s="160"/>
      <c r="AG46" s="765"/>
      <c r="AJ46" s="1955"/>
    </row>
    <row r="47" spans="1:37" ht="16.5" customHeight="1">
      <c r="A47" s="157" t="s">
        <v>162</v>
      </c>
      <c r="B47" s="148"/>
      <c r="C47" s="160"/>
      <c r="D47" s="160"/>
      <c r="E47" s="166"/>
      <c r="F47" s="166"/>
      <c r="G47" s="166"/>
      <c r="H47" s="166"/>
      <c r="I47" s="166"/>
      <c r="J47" s="166"/>
      <c r="K47" s="166"/>
      <c r="L47" s="166"/>
      <c r="M47" s="166"/>
      <c r="N47" s="166"/>
      <c r="O47" s="166"/>
      <c r="P47" s="166"/>
      <c r="Q47" s="166"/>
      <c r="R47" s="166"/>
      <c r="S47" s="166"/>
      <c r="T47" s="166"/>
      <c r="U47" s="166"/>
      <c r="V47" s="166"/>
      <c r="W47" s="166"/>
      <c r="X47" s="166"/>
      <c r="Y47" s="166"/>
      <c r="Z47" s="160"/>
      <c r="AA47" s="161"/>
      <c r="AB47" s="160"/>
      <c r="AC47" s="160"/>
      <c r="AD47" s="161"/>
      <c r="AE47" s="160"/>
      <c r="AG47" s="765"/>
      <c r="AJ47" s="1955"/>
    </row>
    <row r="48" spans="1:37" ht="16.5" customHeight="1">
      <c r="A48" s="157" t="s">
        <v>222</v>
      </c>
      <c r="B48" s="148"/>
      <c r="C48" s="160"/>
      <c r="D48" s="160"/>
      <c r="E48" s="166"/>
      <c r="F48" s="166"/>
      <c r="G48" s="166"/>
      <c r="H48" s="166"/>
      <c r="I48" s="166"/>
      <c r="J48" s="166"/>
      <c r="K48" s="258"/>
      <c r="L48" s="166"/>
      <c r="M48" s="166"/>
      <c r="N48" s="166"/>
      <c r="O48" s="166"/>
      <c r="P48" s="166"/>
      <c r="Q48" s="166"/>
      <c r="R48" s="166"/>
      <c r="S48" s="166"/>
      <c r="T48" s="166"/>
      <c r="U48" s="166"/>
      <c r="V48" s="166"/>
      <c r="W48" s="166"/>
      <c r="X48" s="166"/>
      <c r="Y48" s="166"/>
      <c r="Z48" s="160"/>
      <c r="AA48" s="161"/>
      <c r="AB48" s="160"/>
      <c r="AC48" s="160"/>
      <c r="AD48" s="161"/>
      <c r="AE48" s="160"/>
      <c r="AG48" s="765"/>
      <c r="AJ48" s="1955"/>
    </row>
    <row r="49" spans="1:38" ht="16.5" customHeight="1">
      <c r="A49" s="157" t="s">
        <v>164</v>
      </c>
      <c r="B49" s="148"/>
      <c r="C49" s="167">
        <f>ROUND(C37+C44,1)</f>
        <v>-120</v>
      </c>
      <c r="D49" s="162"/>
      <c r="E49" s="167">
        <f>ROUND(E37+E44,1)</f>
        <v>143.80000000000001</v>
      </c>
      <c r="F49" s="167"/>
      <c r="G49" s="167">
        <f>ROUND(G37+G44,1)</f>
        <v>-18.7</v>
      </c>
      <c r="H49" s="167"/>
      <c r="I49" s="167">
        <f>ROUND(I37+I44,1)</f>
        <v>96.6</v>
      </c>
      <c r="J49" s="167"/>
      <c r="K49" s="650">
        <f>ROUND(K37+K44,1)</f>
        <v>65.599999999999994</v>
      </c>
      <c r="L49" s="167"/>
      <c r="M49" s="167">
        <f>ROUND(M37+M44,1)</f>
        <v>-165.3</v>
      </c>
      <c r="N49" s="167"/>
      <c r="O49" s="167">
        <f>ROUND(O37+O44,1)</f>
        <v>0</v>
      </c>
      <c r="P49" s="167"/>
      <c r="Q49" s="167">
        <f>ROUND(Q37+Q44,1)</f>
        <v>0</v>
      </c>
      <c r="R49" s="167"/>
      <c r="S49" s="167">
        <f>ROUND(S37+S44,1)</f>
        <v>0</v>
      </c>
      <c r="T49" s="167"/>
      <c r="U49" s="167">
        <f>ROUND(U37+U44,1)</f>
        <v>0</v>
      </c>
      <c r="V49" s="167"/>
      <c r="W49" s="167">
        <f>ROUND(W37+W44,1)</f>
        <v>0</v>
      </c>
      <c r="X49" s="167"/>
      <c r="Y49" s="167">
        <f>ROUND(Y37+Y44,1)</f>
        <v>0</v>
      </c>
      <c r="Z49" s="162"/>
      <c r="AA49" s="163"/>
      <c r="AB49" s="167">
        <f>ROUND(AB37+AB44,1)</f>
        <v>2</v>
      </c>
      <c r="AC49" s="1778"/>
      <c r="AD49" s="162"/>
      <c r="AE49" s="167">
        <f>ROUND(AE37+AE44,1)</f>
        <v>-29.9</v>
      </c>
      <c r="AG49" s="765"/>
      <c r="AH49" s="1785">
        <f>ROUND(SUM(AH37+AH44),1)</f>
        <v>31.9</v>
      </c>
      <c r="AI49" s="763"/>
      <c r="AJ49" s="1289">
        <f>ROUND(IF(AE49=0,1,AH49/ABS(AE49)),3)</f>
        <v>1.0669999999999999</v>
      </c>
      <c r="AK49" s="253"/>
      <c r="AL49" s="253"/>
    </row>
    <row r="50" spans="1:38" ht="16.5" customHeight="1">
      <c r="A50" s="148"/>
      <c r="B50" s="148"/>
      <c r="C50" s="259"/>
      <c r="D50" s="157"/>
      <c r="E50" s="260"/>
      <c r="F50" s="261"/>
      <c r="G50" s="260"/>
      <c r="H50" s="261"/>
      <c r="I50" s="260"/>
      <c r="J50" s="261"/>
      <c r="K50" s="262"/>
      <c r="L50" s="261"/>
      <c r="M50" s="260"/>
      <c r="N50" s="261"/>
      <c r="O50" s="260"/>
      <c r="P50" s="261"/>
      <c r="Q50" s="260"/>
      <c r="R50" s="261"/>
      <c r="S50" s="260"/>
      <c r="T50" s="261"/>
      <c r="U50" s="260"/>
      <c r="V50" s="261"/>
      <c r="W50" s="260"/>
      <c r="X50" s="261"/>
      <c r="Y50" s="260"/>
      <c r="Z50" s="157"/>
      <c r="AA50" s="263"/>
      <c r="AB50" s="259"/>
      <c r="AC50" s="157"/>
      <c r="AD50" s="263"/>
      <c r="AE50" s="259"/>
      <c r="AG50" s="765"/>
      <c r="AJ50" s="1955"/>
      <c r="AK50" s="253"/>
      <c r="AL50" s="253"/>
    </row>
    <row r="51" spans="1:38" ht="16.5" customHeight="1" thickBot="1">
      <c r="A51" s="157" t="s">
        <v>139</v>
      </c>
      <c r="B51" s="148"/>
      <c r="C51" s="155">
        <f>ROUND(C16+C49,1)</f>
        <v>390.4</v>
      </c>
      <c r="D51" s="155"/>
      <c r="E51" s="155">
        <f>ROUND(E16+E49,1)</f>
        <v>534.20000000000005</v>
      </c>
      <c r="F51" s="252"/>
      <c r="G51" s="155">
        <f>ROUND(G16+G49,1)</f>
        <v>515.5</v>
      </c>
      <c r="H51" s="252"/>
      <c r="I51" s="652">
        <f>ROUND(I16+I49,1)</f>
        <v>612.1</v>
      </c>
      <c r="J51" s="252"/>
      <c r="K51" s="155">
        <f>ROUND(K16+K49,1)</f>
        <v>677.7</v>
      </c>
      <c r="L51" s="252"/>
      <c r="M51" s="155">
        <f>ROUND(M16+M49,1)</f>
        <v>512.4</v>
      </c>
      <c r="N51" s="252"/>
      <c r="O51" s="155">
        <f>ROUND(O16+O49,1)</f>
        <v>0</v>
      </c>
      <c r="P51" s="252"/>
      <c r="Q51" s="155">
        <f>ROUND(Q16+Q49,1)</f>
        <v>0</v>
      </c>
      <c r="R51" s="252"/>
      <c r="S51" s="155">
        <f>ROUND(S16+S49,1)</f>
        <v>0</v>
      </c>
      <c r="T51" s="252"/>
      <c r="U51" s="155">
        <f>ROUND(U16+U49,1)</f>
        <v>0</v>
      </c>
      <c r="V51" s="252"/>
      <c r="W51" s="155">
        <f>ROUND(W16+W49,1)</f>
        <v>0</v>
      </c>
      <c r="X51" s="252"/>
      <c r="Y51" s="155">
        <f>ROUND(Y16+Y49,1)</f>
        <v>0</v>
      </c>
      <c r="Z51" s="155"/>
      <c r="AA51" s="156"/>
      <c r="AB51" s="155">
        <f>ROUND(AB16+AB49,1)</f>
        <v>512.4</v>
      </c>
      <c r="AC51" s="155"/>
      <c r="AD51" s="156"/>
      <c r="AE51" s="155">
        <f>ROUND(AE16+AE49,1)</f>
        <v>327.8</v>
      </c>
      <c r="AG51" s="765"/>
      <c r="AH51" s="1787">
        <f>ROUND(SUM(AB51-AE51),1)</f>
        <v>184.6</v>
      </c>
      <c r="AI51" s="784"/>
      <c r="AJ51" s="786">
        <f>ROUND(IF(AH51=0,0,AH51/ABS(AE51)),3)</f>
        <v>0.56299999999999994</v>
      </c>
      <c r="AK51" s="253"/>
      <c r="AL51" s="253"/>
    </row>
    <row r="52" spans="1:38" ht="16.5" customHeight="1" thickTop="1">
      <c r="A52" s="150"/>
      <c r="B52" s="150"/>
      <c r="C52" s="264"/>
      <c r="D52" s="150"/>
      <c r="E52" s="264"/>
      <c r="F52" s="150"/>
      <c r="G52" s="264"/>
      <c r="H52" s="150"/>
      <c r="I52" s="150"/>
      <c r="J52" s="150"/>
      <c r="K52" s="264"/>
      <c r="L52" s="150"/>
      <c r="M52" s="264"/>
      <c r="N52" s="150"/>
      <c r="O52" s="264"/>
      <c r="P52" s="150"/>
      <c r="Q52" s="264"/>
      <c r="R52" s="150"/>
      <c r="S52" s="264"/>
      <c r="T52" s="150"/>
      <c r="U52" s="264"/>
      <c r="V52" s="150"/>
      <c r="W52" s="264"/>
      <c r="X52" s="150"/>
      <c r="Y52" s="264"/>
      <c r="Z52" s="150"/>
      <c r="AA52" s="150"/>
      <c r="AB52" s="264"/>
      <c r="AC52" s="150"/>
      <c r="AD52" s="150"/>
      <c r="AE52" s="264"/>
    </row>
    <row r="53" spans="1:38" ht="16.5" customHeight="1">
      <c r="A53" s="168"/>
    </row>
    <row r="54" spans="1:38" ht="16.5" customHeight="1">
      <c r="A54" s="168"/>
    </row>
    <row r="55" spans="1:38" ht="16.5" customHeight="1">
      <c r="A55" s="168"/>
    </row>
    <row r="56" spans="1:38" ht="16.5" customHeight="1">
      <c r="A56" s="168"/>
    </row>
    <row r="57" spans="1:38" ht="16.5" customHeight="1">
      <c r="A57" s="168"/>
    </row>
  </sheetData>
  <mergeCells count="1">
    <mergeCell ref="AB12:AJ12"/>
  </mergeCells>
  <pageMargins left="0.25" right="0.25" top="0.5" bottom="0.25" header="0" footer="0.25"/>
  <pageSetup scale="41" firstPageNumber="34" orientation="landscape" useFirstPageNumber="1" r:id="rId1"/>
  <headerFooter scaleWithDoc="0" alignWithMargins="0">
    <oddFooter>&amp;C&amp;8 &amp;P</oddFooter>
  </headerFooter>
  <customProperties>
    <customPr name="SheetOptions" r:id="rId2"/>
  </customPropertie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5">
    <pageSetUpPr fitToPage="1"/>
  </sheetPr>
  <dimension ref="A1:AK50"/>
  <sheetViews>
    <sheetView showGridLines="0" zoomScale="80" zoomScaleNormal="80" workbookViewId="0"/>
  </sheetViews>
  <sheetFormatPr defaultColWidth="8.88671875" defaultRowHeight="16.5" customHeight="1"/>
  <cols>
    <col min="1" max="1" width="48.44140625" style="138" customWidth="1"/>
    <col min="2" max="2" width="11" style="138" customWidth="1"/>
    <col min="3" max="3" width="1.88671875" style="138" customWidth="1"/>
    <col min="4" max="4" width="11" style="138" customWidth="1"/>
    <col min="5" max="5" width="1.88671875" style="138" customWidth="1"/>
    <col min="6" max="6" width="11.109375" style="138" customWidth="1"/>
    <col min="7" max="7" width="1.88671875" style="138" customWidth="1"/>
    <col min="8" max="8" width="11" style="138" customWidth="1"/>
    <col min="9" max="9" width="1.88671875" style="138" customWidth="1"/>
    <col min="10" max="10" width="10.44140625" style="138" customWidth="1"/>
    <col min="11" max="11" width="1.88671875" style="138" customWidth="1"/>
    <col min="12" max="12" width="13.109375" style="138" customWidth="1"/>
    <col min="13" max="13" width="1.88671875" style="138" customWidth="1"/>
    <col min="14" max="14" width="11.109375" style="138" customWidth="1"/>
    <col min="15" max="15" width="1.88671875" style="138" customWidth="1"/>
    <col min="16" max="16" width="12.109375" style="138" customWidth="1"/>
    <col min="17" max="17" width="1.88671875" style="138" customWidth="1"/>
    <col min="18" max="18" width="12" style="138" customWidth="1"/>
    <col min="19" max="19" width="1.88671875" style="138" customWidth="1"/>
    <col min="20" max="20" width="11.109375" style="138" customWidth="1"/>
    <col min="21" max="21" width="1.88671875" style="138" customWidth="1"/>
    <col min="22" max="22" width="11.88671875" style="138" customWidth="1"/>
    <col min="23" max="23" width="1.88671875" style="138" customWidth="1"/>
    <col min="24" max="24" width="11.109375" style="138" customWidth="1"/>
    <col min="25" max="26" width="1.88671875" style="138" customWidth="1"/>
    <col min="27" max="27" width="11.5546875" style="138" customWidth="1"/>
    <col min="28" max="29" width="1.88671875" style="138" customWidth="1"/>
    <col min="30" max="30" width="11.5546875" style="138" customWidth="1"/>
    <col min="31" max="31" width="1.88671875" style="276" customWidth="1"/>
    <col min="32" max="32" width="2.44140625" style="771" customWidth="1"/>
    <col min="33" max="33" width="10.109375" style="771" bestFit="1" customWidth="1"/>
    <col min="34" max="34" width="1.88671875" style="771" customWidth="1"/>
    <col min="35" max="35" width="12.109375" style="771" customWidth="1"/>
    <col min="36" max="16384" width="8.88671875" style="138"/>
  </cols>
  <sheetData>
    <row r="1" spans="1:37" ht="16.5" customHeight="1">
      <c r="A1" s="468" t="s">
        <v>841</v>
      </c>
    </row>
    <row r="2" spans="1:37" ht="16.5" customHeight="1">
      <c r="A2" s="598"/>
    </row>
    <row r="3" spans="1:37" ht="20.25" customHeight="1">
      <c r="A3" s="1904" t="s">
        <v>0</v>
      </c>
      <c r="B3" s="228"/>
      <c r="C3" s="265"/>
      <c r="D3" s="265"/>
      <c r="E3" s="265"/>
      <c r="F3" s="265"/>
      <c r="G3" s="265"/>
      <c r="H3" s="265"/>
      <c r="I3" s="265"/>
      <c r="J3" s="265"/>
      <c r="K3" s="265"/>
      <c r="L3" s="265"/>
      <c r="M3" s="265"/>
      <c r="N3" s="265"/>
      <c r="O3" s="265"/>
      <c r="P3" s="265"/>
      <c r="Q3" s="265"/>
      <c r="R3" s="265"/>
      <c r="S3" s="265"/>
      <c r="T3" s="265"/>
      <c r="U3" s="265"/>
      <c r="V3" s="265"/>
      <c r="W3" s="265"/>
      <c r="X3" s="265"/>
      <c r="Y3" s="265"/>
      <c r="Z3" s="265"/>
      <c r="AA3" s="265"/>
      <c r="AB3" s="265"/>
      <c r="AC3" s="265"/>
      <c r="AD3" s="265"/>
      <c r="AE3" s="21"/>
      <c r="AI3" s="187" t="s">
        <v>219</v>
      </c>
      <c r="AJ3" s="265"/>
      <c r="AK3" s="265"/>
    </row>
    <row r="4" spans="1:37" ht="22.5" customHeight="1">
      <c r="A4" s="1904" t="s">
        <v>217</v>
      </c>
      <c r="B4" s="228"/>
      <c r="C4" s="265"/>
      <c r="D4" s="265"/>
      <c r="E4" s="265"/>
      <c r="F4" s="265"/>
      <c r="G4" s="265"/>
      <c r="H4" s="228" t="s">
        <v>14</v>
      </c>
      <c r="I4" s="265"/>
      <c r="J4" s="265"/>
      <c r="K4" s="265"/>
      <c r="L4" s="265"/>
      <c r="M4" s="265"/>
      <c r="N4" s="265"/>
      <c r="O4" s="265"/>
      <c r="P4" s="265"/>
      <c r="Q4" s="265"/>
      <c r="R4" s="265"/>
      <c r="S4" s="265"/>
      <c r="T4" s="265"/>
      <c r="U4" s="265"/>
      <c r="V4" s="265"/>
      <c r="W4" s="265"/>
      <c r="X4" s="265" t="s">
        <v>14</v>
      </c>
      <c r="Y4" s="265"/>
      <c r="Z4" s="265"/>
      <c r="AA4" s="265"/>
      <c r="AB4" s="265"/>
      <c r="AC4" s="265"/>
      <c r="AD4" s="265"/>
      <c r="AE4" s="21"/>
      <c r="AJ4" s="265"/>
      <c r="AK4" s="265"/>
    </row>
    <row r="5" spans="1:37" ht="20.25" customHeight="1">
      <c r="A5" s="1904" t="s">
        <v>218</v>
      </c>
      <c r="B5" s="228"/>
      <c r="C5" s="265"/>
      <c r="D5" s="265"/>
      <c r="E5" s="265"/>
      <c r="F5" s="265"/>
      <c r="G5" s="265"/>
      <c r="H5" s="265"/>
      <c r="I5" s="265"/>
      <c r="J5" s="265"/>
      <c r="K5" s="265"/>
      <c r="L5" s="265"/>
      <c r="M5" s="265"/>
      <c r="N5" s="265"/>
      <c r="O5" s="265"/>
      <c r="P5" s="265"/>
      <c r="Q5" s="265"/>
      <c r="R5" s="265"/>
      <c r="S5" s="265"/>
      <c r="T5" s="265"/>
      <c r="U5" s="265"/>
      <c r="V5" s="265"/>
      <c r="W5" s="265"/>
      <c r="X5" s="265"/>
      <c r="Y5" s="265"/>
      <c r="Z5" s="265"/>
      <c r="AB5" s="187"/>
      <c r="AC5" s="187"/>
      <c r="AD5" s="187"/>
      <c r="AE5" s="602"/>
      <c r="AJ5" s="265"/>
      <c r="AK5" s="265"/>
    </row>
    <row r="6" spans="1:37" ht="20.25" customHeight="1">
      <c r="A6" s="1905" t="str">
        <f>'Cashflow Governmental'!A6</f>
        <v xml:space="preserve">FISCAL YEAR 2023-2024   </v>
      </c>
      <c r="B6" s="228"/>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1"/>
      <c r="AJ6" s="265"/>
      <c r="AK6" s="265"/>
    </row>
    <row r="7" spans="1:37" ht="20.25" customHeight="1">
      <c r="A7" s="1904" t="s">
        <v>1199</v>
      </c>
      <c r="B7" s="228"/>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1"/>
      <c r="AJ7" s="265"/>
      <c r="AK7" s="265"/>
    </row>
    <row r="8" spans="1:37" ht="16.5" customHeight="1">
      <c r="L8" s="1286"/>
      <c r="AE8" s="21"/>
    </row>
    <row r="9" spans="1:37" ht="16.5" customHeight="1">
      <c r="A9" s="266"/>
      <c r="B9" s="145"/>
      <c r="C9" s="145"/>
      <c r="D9" s="145"/>
      <c r="E9" s="145"/>
      <c r="F9" s="145"/>
      <c r="G9" s="145"/>
      <c r="H9" s="185"/>
      <c r="I9" s="185"/>
      <c r="J9" s="185"/>
      <c r="K9" s="145"/>
      <c r="L9" s="145"/>
      <c r="M9" s="145"/>
      <c r="N9" s="145"/>
      <c r="O9" s="145"/>
      <c r="P9" s="145"/>
      <c r="Q9" s="145"/>
      <c r="R9" s="145"/>
      <c r="S9" s="145"/>
      <c r="T9" s="145"/>
      <c r="U9" s="145"/>
      <c r="V9" s="145"/>
      <c r="W9" s="145"/>
      <c r="X9" s="145"/>
      <c r="Y9" s="145"/>
      <c r="Z9" s="145"/>
      <c r="AA9" s="145"/>
      <c r="AB9" s="145"/>
      <c r="AC9" s="145"/>
      <c r="AD9" s="145"/>
      <c r="AE9" s="138"/>
      <c r="AF9" s="772"/>
      <c r="AG9" s="772"/>
      <c r="AH9" s="772"/>
      <c r="AI9" s="772"/>
    </row>
    <row r="10" spans="1:37" ht="16.5" customHeight="1">
      <c r="A10" s="169"/>
      <c r="B10" s="171"/>
      <c r="C10" s="171"/>
      <c r="D10" s="171"/>
      <c r="E10" s="171"/>
      <c r="F10" s="171"/>
      <c r="G10" s="171"/>
      <c r="H10" s="171"/>
      <c r="I10" s="171"/>
      <c r="J10" s="171"/>
      <c r="K10" s="171"/>
      <c r="L10" s="171"/>
      <c r="M10" s="171"/>
      <c r="N10" s="171"/>
      <c r="O10" s="171"/>
      <c r="P10" s="171"/>
      <c r="Q10" s="171"/>
      <c r="R10" s="171"/>
      <c r="S10" s="171"/>
      <c r="T10" s="171"/>
      <c r="U10" s="171"/>
      <c r="V10" s="171"/>
      <c r="W10" s="171"/>
      <c r="X10" s="171"/>
      <c r="Y10" s="171"/>
      <c r="Z10" s="172"/>
      <c r="AA10" s="2340" t="s">
        <v>1515</v>
      </c>
      <c r="AB10" s="2341"/>
      <c r="AC10" s="2341"/>
      <c r="AD10" s="2341"/>
      <c r="AE10" s="2341"/>
      <c r="AF10" s="2341"/>
      <c r="AG10" s="2341"/>
      <c r="AH10" s="2341"/>
      <c r="AI10" s="2341"/>
    </row>
    <row r="11" spans="1:37" ht="16.5" customHeight="1">
      <c r="A11" s="169"/>
      <c r="B11" s="561" t="str">
        <f>'Cashflow Governmental'!C13</f>
        <v>2023</v>
      </c>
      <c r="C11" s="172"/>
      <c r="D11" s="172"/>
      <c r="E11" s="172"/>
      <c r="F11" s="172"/>
      <c r="G11" s="172"/>
      <c r="H11" s="172"/>
      <c r="I11" s="172"/>
      <c r="J11" s="172"/>
      <c r="K11" s="172"/>
      <c r="L11" s="172"/>
      <c r="M11" s="172"/>
      <c r="N11" s="172"/>
      <c r="O11" s="172"/>
      <c r="P11" s="172"/>
      <c r="Q11" s="172"/>
      <c r="R11" s="172"/>
      <c r="S11" s="172"/>
      <c r="T11" s="561">
        <f>'Cashflow Governmental'!U13</f>
        <v>2024</v>
      </c>
      <c r="U11" s="172"/>
      <c r="V11" s="172"/>
      <c r="W11" s="172"/>
      <c r="X11" s="172"/>
      <c r="Y11" s="172"/>
      <c r="Z11" s="172"/>
      <c r="AA11" s="172"/>
      <c r="AB11" s="172"/>
      <c r="AC11" s="172"/>
      <c r="AD11" s="172"/>
      <c r="AE11" s="967"/>
      <c r="AF11" s="763"/>
      <c r="AG11" s="774" t="s">
        <v>7</v>
      </c>
      <c r="AH11" s="774"/>
      <c r="AI11" s="775" t="s">
        <v>8</v>
      </c>
    </row>
    <row r="12" spans="1:37" ht="16.5" customHeight="1">
      <c r="A12" s="169"/>
      <c r="B12" s="562" t="s">
        <v>122</v>
      </c>
      <c r="C12" s="172"/>
      <c r="D12" s="562" t="s">
        <v>123</v>
      </c>
      <c r="E12" s="172"/>
      <c r="F12" s="562" t="s">
        <v>124</v>
      </c>
      <c r="G12" s="172"/>
      <c r="H12" s="562" t="s">
        <v>125</v>
      </c>
      <c r="I12" s="172"/>
      <c r="J12" s="562" t="s">
        <v>126</v>
      </c>
      <c r="K12" s="172"/>
      <c r="L12" s="561" t="s">
        <v>141</v>
      </c>
      <c r="M12" s="172"/>
      <c r="N12" s="561" t="s">
        <v>142</v>
      </c>
      <c r="O12" s="172"/>
      <c r="P12" s="562" t="s">
        <v>129</v>
      </c>
      <c r="Q12" s="172"/>
      <c r="R12" s="562" t="s">
        <v>130</v>
      </c>
      <c r="S12" s="172"/>
      <c r="T12" s="562" t="s">
        <v>131</v>
      </c>
      <c r="U12" s="172"/>
      <c r="V12" s="562" t="s">
        <v>132</v>
      </c>
      <c r="W12" s="172"/>
      <c r="X12" s="561" t="s">
        <v>182</v>
      </c>
      <c r="Y12" s="172"/>
      <c r="Z12" s="172"/>
      <c r="AA12" s="562">
        <f>'Cashflow Governmental'!AB14</f>
        <v>2023</v>
      </c>
      <c r="AB12" s="172" t="s">
        <v>14</v>
      </c>
      <c r="AC12" s="172"/>
      <c r="AD12" s="562">
        <f>'Cashflow Governmental'!AE14</f>
        <v>2022</v>
      </c>
      <c r="AE12" s="562"/>
      <c r="AF12" s="785"/>
      <c r="AG12" s="776" t="s">
        <v>11</v>
      </c>
      <c r="AH12" s="774"/>
      <c r="AI12" s="776" t="s">
        <v>12</v>
      </c>
    </row>
    <row r="13" spans="1:37" ht="4.5" customHeight="1">
      <c r="A13" s="169"/>
      <c r="B13" s="267"/>
      <c r="C13" s="169"/>
      <c r="D13" s="267"/>
      <c r="E13" s="169"/>
      <c r="F13" s="267"/>
      <c r="G13" s="169"/>
      <c r="H13" s="267"/>
      <c r="I13" s="169"/>
      <c r="J13" s="267"/>
      <c r="K13" s="169"/>
      <c r="L13" s="267"/>
      <c r="M13" s="169"/>
      <c r="N13" s="267"/>
      <c r="O13" s="169"/>
      <c r="P13" s="267"/>
      <c r="Q13" s="169"/>
      <c r="R13" s="267"/>
      <c r="S13" s="169"/>
      <c r="T13" s="267"/>
      <c r="U13" s="169"/>
      <c r="V13" s="267"/>
      <c r="W13" s="169"/>
      <c r="X13" s="267"/>
      <c r="Y13" s="169"/>
      <c r="Z13" s="169"/>
      <c r="AA13" s="267"/>
      <c r="AB13" s="169"/>
      <c r="AC13" s="169"/>
      <c r="AD13" s="267"/>
      <c r="AE13" s="1780"/>
      <c r="AF13" s="1067"/>
    </row>
    <row r="14" spans="1:37" ht="16.5" customHeight="1">
      <c r="A14" s="129" t="s">
        <v>134</v>
      </c>
      <c r="B14" s="1304">
        <v>-41.6</v>
      </c>
      <c r="C14" s="268"/>
      <c r="D14" s="268">
        <f>B46</f>
        <v>-93.6</v>
      </c>
      <c r="E14" s="268"/>
      <c r="F14" s="268">
        <f t="shared" ref="F14:L14" si="0">D46</f>
        <v>-115.4</v>
      </c>
      <c r="G14" s="268"/>
      <c r="H14" s="268">
        <f t="shared" si="0"/>
        <v>-94.8</v>
      </c>
      <c r="I14" s="268"/>
      <c r="J14" s="268">
        <f t="shared" si="0"/>
        <v>-102.2</v>
      </c>
      <c r="K14" s="268"/>
      <c r="L14" s="268">
        <f t="shared" si="0"/>
        <v>-132.69999999999999</v>
      </c>
      <c r="M14" s="268"/>
      <c r="N14" s="268"/>
      <c r="O14" s="268"/>
      <c r="P14" s="268"/>
      <c r="Q14" s="268"/>
      <c r="R14" s="268"/>
      <c r="S14" s="268"/>
      <c r="T14" s="268"/>
      <c r="U14" s="268"/>
      <c r="V14" s="268"/>
      <c r="W14" s="268"/>
      <c r="X14" s="268"/>
      <c r="Y14" s="268"/>
      <c r="Z14" s="1788"/>
      <c r="AA14" s="268">
        <f>B14</f>
        <v>-41.6</v>
      </c>
      <c r="AB14" s="1789"/>
      <c r="AC14" s="268"/>
      <c r="AD14" s="1304">
        <v>-136.69999999999999</v>
      </c>
      <c r="AE14" s="99"/>
      <c r="AF14" s="787"/>
      <c r="AG14" s="777">
        <f>ROUND(SUM(AA14-AD14),1)</f>
        <v>95.1</v>
      </c>
      <c r="AI14" s="915">
        <f>-ROUND(IF(AG14=0,0,AG14/(AD14)),3)</f>
        <v>0.69599999999999995</v>
      </c>
    </row>
    <row r="15" spans="1:37" ht="16.5" customHeight="1">
      <c r="A15" s="99"/>
      <c r="B15" s="99"/>
      <c r="C15" s="99"/>
      <c r="D15" s="99"/>
      <c r="E15" s="99"/>
      <c r="F15" s="99"/>
      <c r="G15" s="99"/>
      <c r="H15" s="99"/>
      <c r="I15" s="99"/>
      <c r="J15" s="99"/>
      <c r="K15" s="99"/>
      <c r="L15" s="99"/>
      <c r="M15" s="99"/>
      <c r="N15" s="99"/>
      <c r="O15" s="99"/>
      <c r="P15" s="99"/>
      <c r="Q15" s="99"/>
      <c r="R15" s="99"/>
      <c r="S15" s="99"/>
      <c r="T15" s="99"/>
      <c r="U15" s="99"/>
      <c r="V15" s="99"/>
      <c r="W15" s="99"/>
      <c r="X15" s="99"/>
      <c r="Y15" s="99"/>
      <c r="Z15" s="1790"/>
      <c r="AA15" s="99"/>
      <c r="AB15" s="1791"/>
      <c r="AC15" s="99"/>
      <c r="AD15" s="99"/>
      <c r="AE15" s="99"/>
      <c r="AF15" s="787"/>
    </row>
    <row r="16" spans="1:37" ht="16.5" customHeight="1">
      <c r="A16" s="172" t="s">
        <v>13</v>
      </c>
      <c r="B16" s="99"/>
      <c r="C16" s="99"/>
      <c r="D16" s="99"/>
      <c r="E16" s="99"/>
      <c r="F16" s="99"/>
      <c r="G16" s="99"/>
      <c r="H16" s="99"/>
      <c r="I16" s="99"/>
      <c r="J16" s="99"/>
      <c r="K16" s="99"/>
      <c r="L16" s="99"/>
      <c r="M16" s="99"/>
      <c r="N16" s="164"/>
      <c r="O16" s="99"/>
      <c r="P16" s="99"/>
      <c r="Q16" s="99"/>
      <c r="R16" s="99"/>
      <c r="S16" s="99"/>
      <c r="T16" s="99"/>
      <c r="U16" s="99"/>
      <c r="V16" s="99"/>
      <c r="W16" s="99"/>
      <c r="X16" s="99"/>
      <c r="Y16" s="99"/>
      <c r="Z16" s="1790"/>
      <c r="AA16" s="99"/>
      <c r="AB16" s="1791"/>
      <c r="AC16" s="99"/>
      <c r="AD16" s="99"/>
      <c r="AE16" s="623"/>
      <c r="AF16" s="764"/>
      <c r="AG16" s="778"/>
      <c r="AI16" s="781"/>
    </row>
    <row r="17" spans="1:36" ht="16.5" customHeight="1">
      <c r="A17" s="99" t="s">
        <v>175</v>
      </c>
      <c r="B17" s="164">
        <v>19.399999999999999</v>
      </c>
      <c r="C17" s="164"/>
      <c r="D17" s="164">
        <v>30</v>
      </c>
      <c r="E17" s="164"/>
      <c r="F17" s="164">
        <v>62.099999999999994</v>
      </c>
      <c r="G17" s="164"/>
      <c r="H17" s="164">
        <v>37.800000000000011</v>
      </c>
      <c r="I17" s="164"/>
      <c r="J17" s="164">
        <v>40.299999999999983</v>
      </c>
      <c r="K17" s="164"/>
      <c r="L17" s="164">
        <f>$AA17-$B17-$D17-$F17-$H17-$J17</f>
        <v>37.800000000000011</v>
      </c>
      <c r="M17" s="164"/>
      <c r="N17" s="164"/>
      <c r="O17" s="164"/>
      <c r="P17" s="164"/>
      <c r="Q17" s="164"/>
      <c r="R17" s="164"/>
      <c r="S17" s="164"/>
      <c r="T17" s="164"/>
      <c r="U17" s="164"/>
      <c r="V17" s="164"/>
      <c r="W17" s="164"/>
      <c r="X17" s="164"/>
      <c r="Y17" s="164"/>
      <c r="Z17" s="1085"/>
      <c r="AA17" s="1792">
        <v>227.4</v>
      </c>
      <c r="AB17" s="1793"/>
      <c r="AC17" s="164"/>
      <c r="AD17" s="1792">
        <v>222.70000000000002</v>
      </c>
      <c r="AE17" s="624"/>
      <c r="AF17" s="764"/>
      <c r="AG17" s="1086">
        <f>ROUND(SUM(AA17-AD17),1)</f>
        <v>4.7</v>
      </c>
      <c r="AI17" s="1087">
        <f>ROUND(IF(AG17=0,0,AG17/ABS(AD17)),3)</f>
        <v>2.1000000000000001E-2</v>
      </c>
    </row>
    <row r="18" spans="1:36" ht="16.5" customHeight="1">
      <c r="A18" s="99"/>
      <c r="B18" s="269"/>
      <c r="C18" s="164"/>
      <c r="D18" s="269"/>
      <c r="E18" s="164"/>
      <c r="F18" s="269"/>
      <c r="G18" s="164"/>
      <c r="H18" s="269"/>
      <c r="I18" s="164"/>
      <c r="J18" s="269"/>
      <c r="K18" s="164"/>
      <c r="L18" s="269"/>
      <c r="M18" s="164"/>
      <c r="N18" s="269"/>
      <c r="O18" s="164"/>
      <c r="P18" s="269"/>
      <c r="Q18" s="164"/>
      <c r="R18" s="269"/>
      <c r="S18" s="164"/>
      <c r="T18" s="269"/>
      <c r="U18" s="164"/>
      <c r="V18" s="269"/>
      <c r="W18" s="164"/>
      <c r="X18" s="269"/>
      <c r="Y18" s="164"/>
      <c r="Z18" s="1085"/>
      <c r="AA18" s="467"/>
      <c r="AB18" s="1793"/>
      <c r="AC18" s="164"/>
      <c r="AD18" s="467"/>
      <c r="AE18" s="164"/>
      <c r="AF18" s="764"/>
      <c r="AG18" s="778"/>
    </row>
    <row r="19" spans="1:36" ht="16.5" customHeight="1">
      <c r="A19" s="172" t="s">
        <v>147</v>
      </c>
      <c r="B19" s="270">
        <f>ROUND(SUM(B17),1)</f>
        <v>19.399999999999999</v>
      </c>
      <c r="C19" s="270"/>
      <c r="D19" s="270">
        <f>ROUND(SUM(D17),1)</f>
        <v>30</v>
      </c>
      <c r="E19" s="270"/>
      <c r="F19" s="270">
        <f>ROUND(SUM(F17),1)</f>
        <v>62.1</v>
      </c>
      <c r="G19" s="270"/>
      <c r="H19" s="270">
        <f>ROUND(SUM(H17),1)</f>
        <v>37.799999999999997</v>
      </c>
      <c r="I19" s="270"/>
      <c r="J19" s="270">
        <f>ROUND(SUM(J17),1)</f>
        <v>40.299999999999997</v>
      </c>
      <c r="K19" s="270"/>
      <c r="L19" s="270">
        <f>ROUND(SUM(L17),1)</f>
        <v>37.799999999999997</v>
      </c>
      <c r="M19" s="270"/>
      <c r="N19" s="270">
        <f>ROUND(SUM(N17),1)</f>
        <v>0</v>
      </c>
      <c r="O19" s="270"/>
      <c r="P19" s="270">
        <f>ROUND(SUM(P17),1)</f>
        <v>0</v>
      </c>
      <c r="Q19" s="270"/>
      <c r="R19" s="270">
        <f t="shared" ref="R19" si="1">ROUND(SUM(R17),1)</f>
        <v>0</v>
      </c>
      <c r="S19" s="270"/>
      <c r="T19" s="270">
        <f>ROUND(SUM(T17),1)</f>
        <v>0</v>
      </c>
      <c r="U19" s="270"/>
      <c r="V19" s="270">
        <f>ROUND(SUM(V17),1)</f>
        <v>0</v>
      </c>
      <c r="W19" s="270"/>
      <c r="X19" s="270">
        <f>ROUND(SUM(X17),1)</f>
        <v>0</v>
      </c>
      <c r="Y19" s="270"/>
      <c r="Z19" s="1327"/>
      <c r="AA19" s="270">
        <f>ROUND(SUM(AA17),1)</f>
        <v>227.4</v>
      </c>
      <c r="AB19" s="1794"/>
      <c r="AC19" s="270"/>
      <c r="AD19" s="270">
        <f>ROUND(SUM(AD17),1)</f>
        <v>222.7</v>
      </c>
      <c r="AE19" s="164"/>
      <c r="AF19" s="764"/>
      <c r="AG19" s="1785">
        <f>ROUND(SUM(AG17),1)</f>
        <v>4.7</v>
      </c>
      <c r="AH19" s="779"/>
      <c r="AI19" s="780">
        <f>ROUND(IF(AG19=0,0,AG19/ABS(AD19)),3)</f>
        <v>2.1000000000000001E-2</v>
      </c>
    </row>
    <row r="20" spans="1:36" ht="16.5" customHeight="1">
      <c r="A20" s="99"/>
      <c r="B20" s="269"/>
      <c r="C20" s="164"/>
      <c r="D20" s="269"/>
      <c r="E20" s="164"/>
      <c r="F20" s="269"/>
      <c r="G20" s="164"/>
      <c r="H20" s="269"/>
      <c r="I20" s="164"/>
      <c r="J20" s="269"/>
      <c r="K20" s="164"/>
      <c r="L20" s="269"/>
      <c r="M20" s="164"/>
      <c r="N20" s="269"/>
      <c r="O20" s="164"/>
      <c r="P20" s="269"/>
      <c r="Q20" s="164"/>
      <c r="R20" s="269"/>
      <c r="S20" s="164"/>
      <c r="T20" s="269"/>
      <c r="U20" s="164"/>
      <c r="V20" s="269"/>
      <c r="W20" s="164"/>
      <c r="X20" s="269"/>
      <c r="Y20" s="164"/>
      <c r="Z20" s="1085"/>
      <c r="AA20" s="269"/>
      <c r="AB20" s="1793"/>
      <c r="AC20" s="164"/>
      <c r="AD20" s="269"/>
      <c r="AE20" s="164"/>
      <c r="AF20" s="764"/>
      <c r="AG20" s="778"/>
    </row>
    <row r="21" spans="1:36" ht="16.5" customHeight="1">
      <c r="A21" s="99"/>
      <c r="B21" s="164"/>
      <c r="C21" s="164"/>
      <c r="D21" s="164"/>
      <c r="E21" s="164"/>
      <c r="F21" s="164"/>
      <c r="G21" s="164"/>
      <c r="H21" s="164"/>
      <c r="I21" s="164"/>
      <c r="J21" s="164"/>
      <c r="K21" s="164"/>
      <c r="L21" s="164"/>
      <c r="M21" s="164"/>
      <c r="N21" s="164"/>
      <c r="O21" s="164"/>
      <c r="P21" s="164"/>
      <c r="Q21" s="164"/>
      <c r="R21" s="164"/>
      <c r="S21" s="164"/>
      <c r="T21" s="164"/>
      <c r="U21" s="164"/>
      <c r="V21" s="164"/>
      <c r="W21" s="164"/>
      <c r="X21" s="164"/>
      <c r="Y21" s="164"/>
      <c r="Z21" s="1085"/>
      <c r="AA21" s="164"/>
      <c r="AB21" s="1793"/>
      <c r="AC21" s="164"/>
      <c r="AD21" s="164"/>
      <c r="AE21" s="1025"/>
      <c r="AF21" s="765"/>
      <c r="AG21" s="778"/>
      <c r="AI21" s="781"/>
    </row>
    <row r="22" spans="1:36" ht="16.5" customHeight="1">
      <c r="A22" s="172" t="s">
        <v>22</v>
      </c>
      <c r="B22" s="164"/>
      <c r="C22" s="164"/>
      <c r="D22" s="164"/>
      <c r="E22" s="164"/>
      <c r="F22" s="164"/>
      <c r="G22" s="164"/>
      <c r="H22" s="164"/>
      <c r="I22" s="164"/>
      <c r="J22" s="164"/>
      <c r="K22" s="164"/>
      <c r="L22" s="164"/>
      <c r="M22" s="164"/>
      <c r="N22" s="164"/>
      <c r="O22" s="164"/>
      <c r="P22" s="164"/>
      <c r="Q22" s="164"/>
      <c r="R22" s="164"/>
      <c r="S22" s="164"/>
      <c r="T22" s="164"/>
      <c r="U22" s="164"/>
      <c r="V22" s="164"/>
      <c r="W22" s="164"/>
      <c r="X22" s="164"/>
      <c r="Y22" s="164"/>
      <c r="Z22" s="1085"/>
      <c r="AA22" s="164"/>
      <c r="AB22" s="1793"/>
      <c r="AC22" s="164"/>
      <c r="AD22" s="164"/>
      <c r="AE22" s="165"/>
      <c r="AF22" s="765"/>
      <c r="AG22" s="778"/>
      <c r="AH22" s="782"/>
      <c r="AI22" s="781"/>
    </row>
    <row r="23" spans="1:36" ht="16.5" customHeight="1">
      <c r="A23" s="99" t="s">
        <v>149</v>
      </c>
      <c r="B23" s="164"/>
      <c r="C23" s="164"/>
      <c r="D23" s="164"/>
      <c r="E23" s="164"/>
      <c r="F23" s="164"/>
      <c r="G23" s="164"/>
      <c r="H23" s="164"/>
      <c r="I23" s="164"/>
      <c r="J23" s="164"/>
      <c r="K23" s="164"/>
      <c r="L23" s="164"/>
      <c r="M23" s="164"/>
      <c r="N23" s="164"/>
      <c r="O23" s="164"/>
      <c r="P23" s="164"/>
      <c r="Q23" s="164"/>
      <c r="R23" s="164"/>
      <c r="S23" s="164"/>
      <c r="T23" s="164"/>
      <c r="U23" s="164"/>
      <c r="V23" s="164"/>
      <c r="W23" s="164"/>
      <c r="X23" s="164" t="s">
        <v>14</v>
      </c>
      <c r="Y23" s="164"/>
      <c r="Z23" s="1085"/>
      <c r="AA23" s="165"/>
      <c r="AB23" s="1793"/>
      <c r="AC23" s="164"/>
      <c r="AD23" s="165"/>
      <c r="AE23" s="1025"/>
      <c r="AF23" s="765"/>
      <c r="AG23" s="778"/>
      <c r="AI23" s="781"/>
    </row>
    <row r="24" spans="1:36" ht="16.5" customHeight="1">
      <c r="A24" s="99" t="s">
        <v>215</v>
      </c>
      <c r="B24" s="164">
        <v>12.2</v>
      </c>
      <c r="C24" s="164"/>
      <c r="D24" s="164">
        <v>11.000000000000004</v>
      </c>
      <c r="E24" s="164"/>
      <c r="F24" s="164">
        <v>10.599999999999994</v>
      </c>
      <c r="G24" s="164"/>
      <c r="H24" s="164">
        <v>10.400000000000002</v>
      </c>
      <c r="I24" s="164"/>
      <c r="J24" s="164">
        <v>16.900000000000009</v>
      </c>
      <c r="K24" s="164"/>
      <c r="L24" s="164">
        <f>$AA24-$B24-$D24-$F24-$H24-$J24</f>
        <v>10.999999999999986</v>
      </c>
      <c r="M24" s="164"/>
      <c r="N24" s="164"/>
      <c r="O24" s="164"/>
      <c r="P24" s="164"/>
      <c r="Q24" s="164"/>
      <c r="R24" s="164"/>
      <c r="S24" s="164"/>
      <c r="T24" s="164"/>
      <c r="U24" s="164"/>
      <c r="V24" s="164"/>
      <c r="W24" s="164"/>
      <c r="X24" s="164"/>
      <c r="Y24" s="164"/>
      <c r="Z24" s="1085"/>
      <c r="AA24" s="1025">
        <v>72.099999999999994</v>
      </c>
      <c r="AB24" s="1793"/>
      <c r="AC24" s="164"/>
      <c r="AD24" s="1025">
        <v>65.400000000000006</v>
      </c>
      <c r="AE24" s="633"/>
      <c r="AF24" s="765"/>
      <c r="AG24" s="778">
        <f>ROUND(SUM(AA24-AD24),1)</f>
        <v>6.7</v>
      </c>
      <c r="AI24" s="783">
        <f>ROUND(IF(AG24=0,0,AG24/ABS(AD24)),3)</f>
        <v>0.10199999999999999</v>
      </c>
    </row>
    <row r="25" spans="1:36" ht="16.5" customHeight="1">
      <c r="A25" s="99" t="s">
        <v>176</v>
      </c>
      <c r="B25" s="164">
        <v>60.7</v>
      </c>
      <c r="C25" s="164"/>
      <c r="D25" s="164">
        <v>31.200000000000003</v>
      </c>
      <c r="E25" s="164"/>
      <c r="F25" s="164">
        <v>27.399999999999991</v>
      </c>
      <c r="G25" s="164"/>
      <c r="H25" s="164">
        <v>30.600000000000009</v>
      </c>
      <c r="I25" s="164"/>
      <c r="J25" s="164">
        <v>45.90000000000002</v>
      </c>
      <c r="K25" s="164"/>
      <c r="L25" s="164">
        <f>$AA25-$B25-$D25-$F25-$H25-$J25</f>
        <v>45.299999999999969</v>
      </c>
      <c r="M25" s="164"/>
      <c r="N25" s="164"/>
      <c r="O25" s="164"/>
      <c r="P25" s="164"/>
      <c r="Q25" s="164"/>
      <c r="R25" s="164"/>
      <c r="S25" s="164"/>
      <c r="T25" s="164"/>
      <c r="U25" s="164"/>
      <c r="V25" s="164"/>
      <c r="W25" s="164"/>
      <c r="X25" s="164"/>
      <c r="Y25" s="164"/>
      <c r="Z25" s="1085"/>
      <c r="AA25" s="1025">
        <v>241.1</v>
      </c>
      <c r="AB25" s="1793"/>
      <c r="AC25" s="164"/>
      <c r="AD25" s="1025">
        <v>292.10000000000002</v>
      </c>
      <c r="AE25" s="164"/>
      <c r="AF25" s="764"/>
      <c r="AG25" s="778">
        <f>ROUND(SUM(AA25-AD25),1)</f>
        <v>-51</v>
      </c>
      <c r="AI25" s="783">
        <f>ROUND(IF(AG25=0,0,AG25/ABS(AD25)),3)</f>
        <v>-0.17499999999999999</v>
      </c>
      <c r="AJ25" s="1433"/>
    </row>
    <row r="26" spans="1:36" ht="16.5" customHeight="1">
      <c r="A26" s="99" t="s">
        <v>152</v>
      </c>
      <c r="B26" s="164">
        <v>0</v>
      </c>
      <c r="C26" s="164"/>
      <c r="D26" s="164">
        <v>11.6</v>
      </c>
      <c r="E26" s="164"/>
      <c r="F26" s="164">
        <v>5.7000000000000011</v>
      </c>
      <c r="G26" s="164"/>
      <c r="H26" s="164">
        <v>5.0999999999999979</v>
      </c>
      <c r="I26" s="164"/>
      <c r="J26" s="164">
        <v>5.7000000000000011</v>
      </c>
      <c r="K26" s="164"/>
      <c r="L26" s="164">
        <f>$AA26-$B26-$D26-$F26-$H26-$J26</f>
        <v>5.699999999999994</v>
      </c>
      <c r="M26" s="164"/>
      <c r="N26" s="164"/>
      <c r="O26" s="164"/>
      <c r="P26" s="164"/>
      <c r="Q26" s="164"/>
      <c r="R26" s="164"/>
      <c r="S26" s="164"/>
      <c r="T26" s="164"/>
      <c r="U26" s="164"/>
      <c r="V26" s="164"/>
      <c r="W26" s="164"/>
      <c r="X26" s="164"/>
      <c r="Y26" s="164"/>
      <c r="Z26" s="1085"/>
      <c r="AA26" s="1025">
        <v>33.799999999999997</v>
      </c>
      <c r="AB26" s="1793"/>
      <c r="AC26" s="164"/>
      <c r="AD26" s="1025">
        <v>28.8</v>
      </c>
      <c r="AE26" s="164"/>
      <c r="AF26" s="764"/>
      <c r="AG26" s="1086">
        <f>ROUND(SUM(AA26-AD26),1)</f>
        <v>5</v>
      </c>
      <c r="AI26" s="1916">
        <f>ROUND(IF(AD26=0,1,AG26/ABS(AD26)),3)</f>
        <v>0.17399999999999999</v>
      </c>
      <c r="AJ26" s="1433"/>
    </row>
    <row r="27" spans="1:36" ht="16.5" customHeight="1">
      <c r="A27" s="99"/>
      <c r="B27" s="269"/>
      <c r="C27" s="164"/>
      <c r="D27" s="269"/>
      <c r="E27" s="164"/>
      <c r="F27" s="269"/>
      <c r="G27" s="164"/>
      <c r="H27" s="269"/>
      <c r="I27" s="164"/>
      <c r="J27" s="269"/>
      <c r="K27" s="164"/>
      <c r="L27" s="269"/>
      <c r="M27" s="164"/>
      <c r="N27" s="269"/>
      <c r="O27" s="164"/>
      <c r="P27" s="269"/>
      <c r="Q27" s="164"/>
      <c r="R27" s="269"/>
      <c r="S27" s="164"/>
      <c r="T27" s="269"/>
      <c r="U27" s="164"/>
      <c r="V27" s="269"/>
      <c r="W27" s="164"/>
      <c r="X27" s="269"/>
      <c r="Y27" s="164"/>
      <c r="Z27" s="1085"/>
      <c r="AA27" s="269"/>
      <c r="AB27" s="1793"/>
      <c r="AC27" s="164"/>
      <c r="AD27" s="269"/>
      <c r="AE27" s="624"/>
      <c r="AF27" s="765"/>
      <c r="AG27" s="778"/>
      <c r="AH27" s="773"/>
      <c r="AI27" s="781"/>
    </row>
    <row r="28" spans="1:36" ht="16.5" customHeight="1">
      <c r="A28" s="172" t="s">
        <v>153</v>
      </c>
      <c r="B28" s="270">
        <f>ROUND(SUM(B24:B27),1)</f>
        <v>72.900000000000006</v>
      </c>
      <c r="C28" s="270"/>
      <c r="D28" s="270">
        <f>ROUND(SUM(D24:D27),1)</f>
        <v>53.8</v>
      </c>
      <c r="E28" s="270"/>
      <c r="F28" s="270">
        <f>ROUND(SUM(F24:F27),1)</f>
        <v>43.7</v>
      </c>
      <c r="G28" s="270"/>
      <c r="H28" s="270">
        <f>ROUND(SUM(H24:H27),1)</f>
        <v>46.1</v>
      </c>
      <c r="I28" s="270"/>
      <c r="J28" s="270">
        <f>ROUND(SUM(J24:J27),1)</f>
        <v>68.5</v>
      </c>
      <c r="K28" s="270"/>
      <c r="L28" s="270">
        <f>ROUND(SUM(L24:L27),1)</f>
        <v>62</v>
      </c>
      <c r="M28" s="270"/>
      <c r="N28" s="270">
        <f>ROUND(SUM(N24:N27),1)</f>
        <v>0</v>
      </c>
      <c r="O28" s="270"/>
      <c r="P28" s="270">
        <f>ROUND(SUM(P24:P27),1)</f>
        <v>0</v>
      </c>
      <c r="Q28" s="270"/>
      <c r="R28" s="270">
        <f t="shared" ref="R28" si="2">ROUND(SUM(R24:R27),1)</f>
        <v>0</v>
      </c>
      <c r="S28" s="270"/>
      <c r="T28" s="270">
        <f>ROUND(SUM(T24:T27),1)</f>
        <v>0</v>
      </c>
      <c r="U28" s="270"/>
      <c r="V28" s="270">
        <f>ROUND(SUM(V24:V27),1)</f>
        <v>0</v>
      </c>
      <c r="W28" s="270">
        <f>SUM(W24:W27)</f>
        <v>0</v>
      </c>
      <c r="X28" s="270">
        <f>ROUND(SUM(X24:X26),1)</f>
        <v>0</v>
      </c>
      <c r="Y28" s="270"/>
      <c r="Z28" s="1327"/>
      <c r="AA28" s="270">
        <f>ROUND(SUM(AA23:AA26),1)</f>
        <v>347</v>
      </c>
      <c r="AB28" s="1794"/>
      <c r="AC28" s="270"/>
      <c r="AD28" s="270">
        <f>ROUND(SUM(AD23:AD26),1)</f>
        <v>386.3</v>
      </c>
      <c r="AE28" s="164"/>
      <c r="AF28" s="766"/>
      <c r="AG28" s="1785">
        <f>ROUND(SUM(AG24:AG26),1)</f>
        <v>-39.299999999999997</v>
      </c>
      <c r="AH28" s="779"/>
      <c r="AI28" s="780">
        <f>ROUND(IF(AG28=0,0,AG28/ABS(AD28)),3)</f>
        <v>-0.10199999999999999</v>
      </c>
    </row>
    <row r="29" spans="1:36" ht="16.5" customHeight="1">
      <c r="A29" s="99"/>
      <c r="B29" s="269"/>
      <c r="C29" s="164"/>
      <c r="D29" s="269"/>
      <c r="E29" s="164"/>
      <c r="F29" s="269"/>
      <c r="G29" s="164"/>
      <c r="H29" s="269"/>
      <c r="I29" s="164"/>
      <c r="J29" s="269"/>
      <c r="K29" s="164"/>
      <c r="L29" s="269"/>
      <c r="M29" s="164"/>
      <c r="N29" s="269"/>
      <c r="O29" s="164"/>
      <c r="P29" s="269"/>
      <c r="Q29" s="164"/>
      <c r="R29" s="269"/>
      <c r="S29" s="164"/>
      <c r="T29" s="269"/>
      <c r="U29" s="164"/>
      <c r="V29" s="269"/>
      <c r="W29" s="164"/>
      <c r="X29" s="269"/>
      <c r="Y29" s="164"/>
      <c r="Z29" s="1085"/>
      <c r="AA29" s="269"/>
      <c r="AB29" s="1793"/>
      <c r="AC29" s="164"/>
      <c r="AD29" s="269"/>
      <c r="AE29" s="164"/>
      <c r="AF29" s="766"/>
      <c r="AG29" s="778"/>
    </row>
    <row r="30" spans="1:36" ht="16.5" customHeight="1">
      <c r="A30" s="99"/>
      <c r="B30" s="164"/>
      <c r="C30" s="164"/>
      <c r="D30" s="164"/>
      <c r="E30" s="164"/>
      <c r="F30" s="164"/>
      <c r="G30" s="164"/>
      <c r="H30" s="164"/>
      <c r="I30" s="164"/>
      <c r="J30" s="164"/>
      <c r="K30" s="164"/>
      <c r="L30" s="164"/>
      <c r="M30" s="164"/>
      <c r="N30" s="164"/>
      <c r="O30" s="164"/>
      <c r="P30" s="164"/>
      <c r="Q30" s="164"/>
      <c r="R30" s="164"/>
      <c r="S30" s="164"/>
      <c r="T30" s="164"/>
      <c r="U30" s="164"/>
      <c r="V30" s="164"/>
      <c r="W30" s="164"/>
      <c r="X30" s="164"/>
      <c r="Y30" s="164"/>
      <c r="Z30" s="1085"/>
      <c r="AA30" s="164"/>
      <c r="AB30" s="1793"/>
      <c r="AC30" s="164"/>
      <c r="AD30" s="164"/>
      <c r="AE30" s="165"/>
      <c r="AF30" s="766"/>
      <c r="AG30" s="778"/>
      <c r="AH30" s="782"/>
      <c r="AI30" s="781"/>
    </row>
    <row r="31" spans="1:36" ht="16.5" customHeight="1">
      <c r="A31" s="172" t="s">
        <v>154</v>
      </c>
      <c r="B31" s="164"/>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085"/>
      <c r="AA31" s="164"/>
      <c r="AB31" s="1793"/>
      <c r="AC31" s="164"/>
      <c r="AD31" s="164"/>
      <c r="AE31" s="633"/>
      <c r="AF31" s="767"/>
      <c r="AG31" s="778"/>
      <c r="AH31" s="782"/>
      <c r="AI31" s="781"/>
    </row>
    <row r="32" spans="1:36" ht="16.5" customHeight="1">
      <c r="A32" s="172" t="s">
        <v>44</v>
      </c>
      <c r="B32" s="270">
        <f>ROUND(B19-B28,1)</f>
        <v>-53.5</v>
      </c>
      <c r="C32" s="270"/>
      <c r="D32" s="270">
        <f>ROUND(D19-D28,1)</f>
        <v>-23.8</v>
      </c>
      <c r="E32" s="270"/>
      <c r="F32" s="270">
        <f>ROUND(F19-F28,1)</f>
        <v>18.399999999999999</v>
      </c>
      <c r="G32" s="270"/>
      <c r="H32" s="270">
        <f>ROUND(H19-H28,1)</f>
        <v>-8.3000000000000007</v>
      </c>
      <c r="I32" s="270"/>
      <c r="J32" s="270">
        <f>ROUND(J19-J28,1)</f>
        <v>-28.2</v>
      </c>
      <c r="K32" s="270"/>
      <c r="L32" s="270">
        <f>ROUND(L19-L28,1)</f>
        <v>-24.2</v>
      </c>
      <c r="M32" s="270"/>
      <c r="N32" s="270">
        <f>ROUND(N19-N28,1)</f>
        <v>0</v>
      </c>
      <c r="O32" s="270"/>
      <c r="P32" s="270">
        <f>ROUND(P19-P28,1)</f>
        <v>0</v>
      </c>
      <c r="Q32" s="270"/>
      <c r="R32" s="270">
        <f t="shared" ref="R32" si="3">ROUND(R19-R28,1)</f>
        <v>0</v>
      </c>
      <c r="S32" s="270"/>
      <c r="T32" s="270">
        <f>ROUND(T19-T28,1)</f>
        <v>0</v>
      </c>
      <c r="U32" s="270"/>
      <c r="V32" s="270">
        <f>ROUND(V19-V28,1)</f>
        <v>0</v>
      </c>
      <c r="W32" s="270"/>
      <c r="X32" s="270">
        <f>ROUND(X19-X28,1)</f>
        <v>0</v>
      </c>
      <c r="Y32" s="270"/>
      <c r="Z32" s="1327"/>
      <c r="AA32" s="270">
        <f>ROUND(AA19-AA28,1)</f>
        <v>-119.6</v>
      </c>
      <c r="AB32" s="1794"/>
      <c r="AC32" s="270"/>
      <c r="AD32" s="270">
        <f>ROUND(AD19-AD28,1)</f>
        <v>-163.6</v>
      </c>
      <c r="AE32" s="164"/>
      <c r="AF32" s="764"/>
      <c r="AG32" s="1785">
        <f>ROUND(SUM(AG19-AG28),1)</f>
        <v>44</v>
      </c>
      <c r="AH32" s="779"/>
      <c r="AI32" s="1289">
        <f>ROUND(IF(AG32=0,0,AG32/ABS(AD32)),3)</f>
        <v>0.26900000000000002</v>
      </c>
    </row>
    <row r="33" spans="1:35" ht="16.5" customHeight="1">
      <c r="A33" s="99"/>
      <c r="B33" s="269"/>
      <c r="C33" s="164"/>
      <c r="D33" s="269"/>
      <c r="E33" s="164"/>
      <c r="F33" s="269"/>
      <c r="G33" s="164"/>
      <c r="H33" s="269"/>
      <c r="I33" s="164"/>
      <c r="J33" s="269"/>
      <c r="K33" s="164"/>
      <c r="L33" s="269"/>
      <c r="M33" s="164"/>
      <c r="N33" s="269"/>
      <c r="O33" s="164"/>
      <c r="P33" s="269"/>
      <c r="Q33" s="164"/>
      <c r="R33" s="269"/>
      <c r="S33" s="164"/>
      <c r="T33" s="269"/>
      <c r="U33" s="164"/>
      <c r="V33" s="269"/>
      <c r="W33" s="164"/>
      <c r="X33" s="269"/>
      <c r="Y33" s="164"/>
      <c r="Z33" s="1085"/>
      <c r="AA33" s="269"/>
      <c r="AB33" s="1793"/>
      <c r="AC33" s="164"/>
      <c r="AD33" s="269"/>
      <c r="AE33" s="164"/>
      <c r="AF33" s="764"/>
      <c r="AG33" s="778"/>
    </row>
    <row r="34" spans="1:35" ht="16.5" customHeight="1">
      <c r="A34" s="99"/>
      <c r="B34" s="164"/>
      <c r="C34" s="164"/>
      <c r="D34" s="164"/>
      <c r="E34" s="164"/>
      <c r="F34" s="164"/>
      <c r="G34" s="164"/>
      <c r="H34" s="164"/>
      <c r="I34" s="164"/>
      <c r="J34" s="164"/>
      <c r="K34" s="164"/>
      <c r="L34" s="164"/>
      <c r="M34" s="164"/>
      <c r="N34" s="164"/>
      <c r="O34" s="164"/>
      <c r="P34" s="164"/>
      <c r="Q34" s="164"/>
      <c r="R34" s="164"/>
      <c r="S34" s="164"/>
      <c r="T34" s="164"/>
      <c r="U34" s="164"/>
      <c r="V34" s="164"/>
      <c r="W34" s="164"/>
      <c r="X34" s="164"/>
      <c r="Y34" s="164"/>
      <c r="Z34" s="1085"/>
      <c r="AA34" s="164"/>
      <c r="AB34" s="1793"/>
      <c r="AC34" s="164"/>
      <c r="AD34" s="164"/>
      <c r="AE34" s="624"/>
      <c r="AF34" s="769"/>
      <c r="AG34" s="778"/>
      <c r="AI34" s="781"/>
    </row>
    <row r="35" spans="1:35" ht="16.5" customHeight="1">
      <c r="A35" s="172" t="s">
        <v>45</v>
      </c>
      <c r="B35" s="164"/>
      <c r="C35" s="164"/>
      <c r="D35" s="164"/>
      <c r="E35" s="164"/>
      <c r="F35" s="164"/>
      <c r="G35" s="164"/>
      <c r="H35" s="164"/>
      <c r="I35" s="164"/>
      <c r="J35" s="164"/>
      <c r="K35" s="164"/>
      <c r="L35" s="164"/>
      <c r="M35" s="164"/>
      <c r="N35" s="164"/>
      <c r="O35" s="164"/>
      <c r="P35" s="164"/>
      <c r="Q35" s="164"/>
      <c r="R35" s="164"/>
      <c r="S35" s="164"/>
      <c r="T35" s="164"/>
      <c r="U35" s="164"/>
      <c r="V35" s="164"/>
      <c r="W35" s="164"/>
      <c r="X35" s="164"/>
      <c r="Y35" s="164"/>
      <c r="Z35" s="1085"/>
      <c r="AA35" s="164"/>
      <c r="AB35" s="1793"/>
      <c r="AC35" s="164"/>
      <c r="AD35" s="164"/>
      <c r="AE35" s="268"/>
      <c r="AF35" s="770"/>
      <c r="AG35" s="1091"/>
      <c r="AH35" s="784"/>
      <c r="AI35" s="781"/>
    </row>
    <row r="36" spans="1:35" ht="16.5" customHeight="1">
      <c r="A36" s="99" t="s">
        <v>178</v>
      </c>
      <c r="B36" s="164">
        <v>1.5</v>
      </c>
      <c r="C36" s="164"/>
      <c r="D36" s="164">
        <v>2</v>
      </c>
      <c r="E36" s="164"/>
      <c r="F36" s="164">
        <v>2.2999999999999998</v>
      </c>
      <c r="G36" s="164"/>
      <c r="H36" s="164">
        <v>1</v>
      </c>
      <c r="I36" s="164"/>
      <c r="J36" s="164">
        <v>2.2000000000000002</v>
      </c>
      <c r="K36" s="164"/>
      <c r="L36" s="164">
        <f>$AA36-$B36-$D36-$F36-$H36-$J36</f>
        <v>3.1999999999999993</v>
      </c>
      <c r="M36" s="164"/>
      <c r="N36" s="164"/>
      <c r="O36" s="164"/>
      <c r="P36" s="164"/>
      <c r="Q36" s="164"/>
      <c r="R36" s="164"/>
      <c r="S36" s="164"/>
      <c r="T36" s="164"/>
      <c r="U36" s="164"/>
      <c r="V36" s="164"/>
      <c r="W36" s="164"/>
      <c r="X36" s="164"/>
      <c r="Y36" s="164"/>
      <c r="Z36" s="1085"/>
      <c r="AA36" s="1025">
        <v>12.2</v>
      </c>
      <c r="AB36" s="1793"/>
      <c r="AC36" s="164"/>
      <c r="AD36" s="1025">
        <v>59</v>
      </c>
      <c r="AE36" s="632"/>
      <c r="AF36" s="768"/>
      <c r="AG36" s="778">
        <f>ROUND(SUM(AA36-AD36),1)</f>
        <v>-46.8</v>
      </c>
      <c r="AH36" s="782"/>
      <c r="AI36" s="783">
        <f>ROUND(IF(AG36=0,0,AG36/ABS(AD36)),3)</f>
        <v>-0.79300000000000004</v>
      </c>
    </row>
    <row r="37" spans="1:35" ht="16.5" customHeight="1">
      <c r="A37" s="99" t="s">
        <v>179</v>
      </c>
      <c r="B37" s="164">
        <v>0</v>
      </c>
      <c r="C37" s="164"/>
      <c r="D37" s="164">
        <v>0</v>
      </c>
      <c r="E37" s="164"/>
      <c r="F37" s="164">
        <v>-0.1</v>
      </c>
      <c r="G37" s="164"/>
      <c r="H37" s="164">
        <v>-0.1</v>
      </c>
      <c r="I37" s="164"/>
      <c r="J37" s="164">
        <v>-4.5000000000000009</v>
      </c>
      <c r="K37" s="164"/>
      <c r="L37" s="164">
        <f>$AA37-$B37-$D37-$F37-$H37-$J37</f>
        <v>0</v>
      </c>
      <c r="M37" s="164"/>
      <c r="N37" s="164"/>
      <c r="O37" s="164"/>
      <c r="P37" s="164"/>
      <c r="Q37" s="164"/>
      <c r="R37" s="164"/>
      <c r="S37" s="164"/>
      <c r="T37" s="164"/>
      <c r="U37" s="164"/>
      <c r="V37" s="164"/>
      <c r="W37" s="164"/>
      <c r="X37" s="164"/>
      <c r="Y37" s="164"/>
      <c r="Z37" s="1085"/>
      <c r="AA37" s="1025">
        <v>-4.7</v>
      </c>
      <c r="AB37" s="1793"/>
      <c r="AC37" s="164"/>
      <c r="AD37" s="1025">
        <v>-4.2</v>
      </c>
      <c r="AE37" s="39"/>
      <c r="AF37" s="768"/>
      <c r="AG37" s="1708">
        <f>-ROUND(SUM(AA37-AD37),1)</f>
        <v>0.5</v>
      </c>
      <c r="AH37" s="782"/>
      <c r="AI37" s="2075">
        <f>ROUND(IF(AG37=0,0,AG37/ABS(AD37)),3)</f>
        <v>0.11899999999999999</v>
      </c>
    </row>
    <row r="38" spans="1:35" ht="16.5" customHeight="1">
      <c r="A38" s="99"/>
      <c r="B38" s="269"/>
      <c r="C38" s="164"/>
      <c r="D38" s="269"/>
      <c r="E38" s="164"/>
      <c r="F38" s="269"/>
      <c r="G38" s="164"/>
      <c r="H38" s="269"/>
      <c r="I38" s="164"/>
      <c r="J38" s="269"/>
      <c r="K38" s="164"/>
      <c r="L38" s="269"/>
      <c r="M38" s="164"/>
      <c r="N38" s="269"/>
      <c r="O38" s="164"/>
      <c r="P38" s="269"/>
      <c r="Q38" s="164"/>
      <c r="R38" s="269"/>
      <c r="S38" s="164"/>
      <c r="T38" s="269"/>
      <c r="U38" s="164"/>
      <c r="V38" s="269"/>
      <c r="W38" s="164"/>
      <c r="X38" s="269"/>
      <c r="Y38" s="164"/>
      <c r="Z38" s="1085"/>
      <c r="AA38" s="1795"/>
      <c r="AB38" s="1793"/>
      <c r="AC38" s="164"/>
      <c r="AD38" s="1795"/>
      <c r="AE38" s="39"/>
      <c r="AF38" s="768"/>
    </row>
    <row r="39" spans="1:35" ht="16.5" customHeight="1">
      <c r="A39" s="172" t="s">
        <v>204</v>
      </c>
      <c r="B39" s="270">
        <f>ROUND(SUM(B36:B38),1)</f>
        <v>1.5</v>
      </c>
      <c r="C39" s="270"/>
      <c r="D39" s="270">
        <f>ROUND(SUM(D36:D38),1)</f>
        <v>2</v>
      </c>
      <c r="E39" s="270"/>
      <c r="F39" s="270">
        <f>ROUND(SUM(F36:F38),1)</f>
        <v>2.2000000000000002</v>
      </c>
      <c r="G39" s="270"/>
      <c r="H39" s="270">
        <f>ROUND(SUM(H36:H38),1)</f>
        <v>0.9</v>
      </c>
      <c r="I39" s="270"/>
      <c r="J39" s="270">
        <f>ROUND(SUM(J36:J38),1)</f>
        <v>-2.2999999999999998</v>
      </c>
      <c r="K39" s="270"/>
      <c r="L39" s="270">
        <f>ROUND(SUM(L36:L38),1)</f>
        <v>3.2</v>
      </c>
      <c r="M39" s="270"/>
      <c r="N39" s="270">
        <f>ROUND(SUM(N36:N38),1)</f>
        <v>0</v>
      </c>
      <c r="O39" s="270"/>
      <c r="P39" s="270">
        <f>ROUND(SUM(P36:P38),1)</f>
        <v>0</v>
      </c>
      <c r="Q39" s="270"/>
      <c r="R39" s="270">
        <f t="shared" ref="R39" si="4">ROUND(SUM(R36:R38),1)</f>
        <v>0</v>
      </c>
      <c r="S39" s="270"/>
      <c r="T39" s="270">
        <f>ROUND(SUM(T36:T38),1)</f>
        <v>0</v>
      </c>
      <c r="U39" s="270"/>
      <c r="V39" s="270">
        <f>ROUND(SUM(V36:V38),1)</f>
        <v>0</v>
      </c>
      <c r="W39" s="270"/>
      <c r="X39" s="270">
        <f>ROUND(SUM(X36:X38),1)</f>
        <v>0</v>
      </c>
      <c r="Y39" s="270"/>
      <c r="Z39" s="1327"/>
      <c r="AA39" s="270">
        <f>ROUND(SUM(AA36:AA38),1)</f>
        <v>7.5</v>
      </c>
      <c r="AB39" s="1794"/>
      <c r="AC39" s="270"/>
      <c r="AD39" s="270">
        <f>ROUND(SUM(AD36:AD38),1)</f>
        <v>54.8</v>
      </c>
      <c r="AF39" s="765"/>
      <c r="AG39" s="1785">
        <f>AA39-AD39</f>
        <v>-47.3</v>
      </c>
      <c r="AH39" s="785"/>
      <c r="AI39" s="780">
        <f>ROUND(IF(AG39=0,0,AG39/ABS(AD39)),3)</f>
        <v>-0.86299999999999999</v>
      </c>
    </row>
    <row r="40" spans="1:35" ht="16.5" customHeight="1">
      <c r="A40" s="99"/>
      <c r="B40" s="269"/>
      <c r="C40" s="164"/>
      <c r="D40" s="269"/>
      <c r="E40" s="164"/>
      <c r="F40" s="269"/>
      <c r="G40" s="164"/>
      <c r="H40" s="269"/>
      <c r="I40" s="164"/>
      <c r="J40" s="269"/>
      <c r="K40" s="164"/>
      <c r="L40" s="269"/>
      <c r="M40" s="164"/>
      <c r="N40" s="269"/>
      <c r="O40" s="164"/>
      <c r="P40" s="269"/>
      <c r="Q40" s="164"/>
      <c r="R40" s="269"/>
      <c r="S40" s="164"/>
      <c r="T40" s="269"/>
      <c r="U40" s="164"/>
      <c r="V40" s="269"/>
      <c r="W40" s="164"/>
      <c r="X40" s="269"/>
      <c r="Y40" s="164"/>
      <c r="Z40" s="1085"/>
      <c r="AA40" s="269"/>
      <c r="AB40" s="1793"/>
      <c r="AC40" s="164"/>
      <c r="AD40" s="269"/>
      <c r="AE40" s="39"/>
      <c r="AF40" s="768"/>
    </row>
    <row r="41" spans="1:35" ht="16.5" customHeight="1">
      <c r="A41" s="99"/>
      <c r="B41" s="164"/>
      <c r="C41" s="164"/>
      <c r="D41" s="164"/>
      <c r="E41" s="164"/>
      <c r="F41" s="164"/>
      <c r="G41" s="164"/>
      <c r="H41" s="164"/>
      <c r="I41" s="164"/>
      <c r="J41" s="164"/>
      <c r="K41" s="164"/>
      <c r="L41" s="164"/>
      <c r="M41" s="164"/>
      <c r="N41" s="164"/>
      <c r="O41" s="164"/>
      <c r="P41" s="164"/>
      <c r="Q41" s="164"/>
      <c r="R41" s="164"/>
      <c r="S41" s="164"/>
      <c r="T41" s="164"/>
      <c r="U41" s="164"/>
      <c r="V41" s="164"/>
      <c r="W41" s="164"/>
      <c r="X41" s="164"/>
      <c r="Y41" s="164"/>
      <c r="Z41" s="1085"/>
      <c r="AA41" s="164"/>
      <c r="AB41" s="1793"/>
      <c r="AC41" s="164"/>
      <c r="AD41" s="164"/>
      <c r="AE41" s="39"/>
      <c r="AF41" s="768"/>
    </row>
    <row r="42" spans="1:35" ht="16.5" customHeight="1">
      <c r="A42" s="172" t="s">
        <v>162</v>
      </c>
      <c r="B42" s="164"/>
      <c r="C42" s="164"/>
      <c r="D42" s="164"/>
      <c r="E42" s="164"/>
      <c r="F42" s="164"/>
      <c r="G42" s="164"/>
      <c r="H42" s="164"/>
      <c r="I42" s="164"/>
      <c r="J42" s="164"/>
      <c r="K42" s="164"/>
      <c r="L42" s="164"/>
      <c r="M42" s="164"/>
      <c r="N42" s="164"/>
      <c r="O42" s="164"/>
      <c r="P42" s="164"/>
      <c r="Q42" s="164"/>
      <c r="R42" s="164"/>
      <c r="S42" s="164"/>
      <c r="T42" s="164"/>
      <c r="U42" s="164"/>
      <c r="V42" s="164"/>
      <c r="W42" s="164"/>
      <c r="X42" s="164"/>
      <c r="Y42" s="164"/>
      <c r="Z42" s="1085"/>
      <c r="AA42" s="164"/>
      <c r="AB42" s="1793"/>
      <c r="AC42" s="164"/>
      <c r="AD42" s="164"/>
      <c r="AE42" s="39"/>
      <c r="AF42" s="768"/>
    </row>
    <row r="43" spans="1:35" ht="16.5" customHeight="1">
      <c r="A43" s="172" t="s">
        <v>222</v>
      </c>
      <c r="B43" s="164"/>
      <c r="C43" s="164"/>
      <c r="D43" s="164"/>
      <c r="E43" s="164"/>
      <c r="F43" s="164"/>
      <c r="G43" s="164"/>
      <c r="H43" s="164"/>
      <c r="I43" s="164"/>
      <c r="J43" s="164"/>
      <c r="K43" s="164"/>
      <c r="L43" s="164"/>
      <c r="M43" s="164"/>
      <c r="N43" s="164"/>
      <c r="O43" s="164"/>
      <c r="P43" s="164"/>
      <c r="Q43" s="164"/>
      <c r="R43" s="164"/>
      <c r="S43" s="164"/>
      <c r="T43" s="164"/>
      <c r="U43" s="164"/>
      <c r="V43" s="164"/>
      <c r="W43" s="164"/>
      <c r="X43" s="164"/>
      <c r="Y43" s="164"/>
      <c r="Z43" s="1085"/>
      <c r="AA43" s="164"/>
      <c r="AB43" s="1793"/>
      <c r="AC43" s="164"/>
      <c r="AD43" s="164"/>
      <c r="AE43" s="21"/>
      <c r="AF43" s="765"/>
    </row>
    <row r="44" spans="1:35" s="145" customFormat="1" ht="16.5" customHeight="1">
      <c r="A44" s="172" t="s">
        <v>164</v>
      </c>
      <c r="B44" s="270">
        <f>ROUND(SUM(B32,B39),1)</f>
        <v>-52</v>
      </c>
      <c r="C44" s="270"/>
      <c r="D44" s="270">
        <f>ROUND(SUM(D32,D39),1)</f>
        <v>-21.8</v>
      </c>
      <c r="E44" s="270"/>
      <c r="F44" s="270">
        <f>ROUND(SUM(F32,F39),1)</f>
        <v>20.6</v>
      </c>
      <c r="G44" s="270"/>
      <c r="H44" s="270">
        <f>ROUND(SUM(H32,H39),1)</f>
        <v>-7.4</v>
      </c>
      <c r="I44" s="270"/>
      <c r="J44" s="270">
        <f>ROUND(SUM(J32,J39),1)</f>
        <v>-30.5</v>
      </c>
      <c r="K44" s="270"/>
      <c r="L44" s="270">
        <f>ROUND(SUM(L32,L39),1)</f>
        <v>-21</v>
      </c>
      <c r="M44" s="270"/>
      <c r="N44" s="270">
        <f>ROUND(SUM(N32,N39),1)</f>
        <v>0</v>
      </c>
      <c r="O44" s="270"/>
      <c r="P44" s="270">
        <f>ROUND(SUM(P32,P39),1)</f>
        <v>0</v>
      </c>
      <c r="Q44" s="270"/>
      <c r="R44" s="270">
        <f>ROUND(SUM(R32,R39),1)</f>
        <v>0</v>
      </c>
      <c r="S44" s="270"/>
      <c r="T44" s="270">
        <f>ROUND(SUM(T32,T39),1)</f>
        <v>0</v>
      </c>
      <c r="U44" s="270"/>
      <c r="V44" s="270">
        <f>ROUND(SUM(V32,V39),1)</f>
        <v>0</v>
      </c>
      <c r="W44" s="270"/>
      <c r="X44" s="270">
        <f>ROUND(SUM(X32,X39),1)</f>
        <v>0</v>
      </c>
      <c r="Y44" s="270"/>
      <c r="Z44" s="1327"/>
      <c r="AA44" s="271">
        <f>ROUND(AA32+AA39,1)</f>
        <v>-112.1</v>
      </c>
      <c r="AB44" s="1794"/>
      <c r="AC44" s="270"/>
      <c r="AD44" s="271">
        <f>ROUND(AD32+AD39,1)</f>
        <v>-108.8</v>
      </c>
      <c r="AE44" s="276"/>
      <c r="AF44" s="765"/>
      <c r="AG44" s="1785">
        <f>ROUND(SUM(AG32+AG39),1)</f>
        <v>-3.3</v>
      </c>
      <c r="AH44" s="763"/>
      <c r="AI44" s="1289">
        <f>ROUND(IF(AG44=0,0,AG44/ABS(AD44)),3)</f>
        <v>-0.03</v>
      </c>
    </row>
    <row r="45" spans="1:35" ht="16.5" customHeight="1">
      <c r="A45" s="99"/>
      <c r="B45" s="272"/>
      <c r="C45" s="99"/>
      <c r="D45" s="272"/>
      <c r="E45" s="99"/>
      <c r="F45" s="272"/>
      <c r="G45" s="99"/>
      <c r="H45" s="272"/>
      <c r="I45" s="99"/>
      <c r="J45" s="272"/>
      <c r="K45" s="99"/>
      <c r="L45" s="272"/>
      <c r="M45" s="99"/>
      <c r="N45" s="272"/>
      <c r="O45" s="99"/>
      <c r="P45" s="272"/>
      <c r="Q45" s="99"/>
      <c r="R45" s="272"/>
      <c r="S45" s="99"/>
      <c r="T45" s="272"/>
      <c r="U45" s="99"/>
      <c r="V45" s="272"/>
      <c r="W45" s="99"/>
      <c r="X45" s="272"/>
      <c r="Y45" s="99"/>
      <c r="Z45" s="1790"/>
      <c r="AA45" s="272"/>
      <c r="AB45" s="1791"/>
      <c r="AC45" s="99"/>
      <c r="AD45" s="272"/>
      <c r="AF45" s="765"/>
    </row>
    <row r="46" spans="1:35" ht="16.5" customHeight="1" thickBot="1">
      <c r="A46" s="129" t="s">
        <v>139</v>
      </c>
      <c r="B46" s="268">
        <f>ROUND(SUM(B14,B44),1)</f>
        <v>-93.6</v>
      </c>
      <c r="C46" s="268"/>
      <c r="D46" s="268">
        <f>ROUND(SUM(D14,D44),1)</f>
        <v>-115.4</v>
      </c>
      <c r="E46" s="268"/>
      <c r="F46" s="268">
        <f>ROUND(SUM(F14,F44),1)</f>
        <v>-94.8</v>
      </c>
      <c r="G46" s="268"/>
      <c r="H46" s="268">
        <f>ROUND(SUM(H14,H44),1)</f>
        <v>-102.2</v>
      </c>
      <c r="I46" s="268"/>
      <c r="J46" s="268">
        <f>ROUND(SUM(J14,J44),1)</f>
        <v>-132.69999999999999</v>
      </c>
      <c r="K46" s="268"/>
      <c r="L46" s="268">
        <f>ROUND(SUM(L14,L44),1)</f>
        <v>-153.69999999999999</v>
      </c>
      <c r="M46" s="268"/>
      <c r="N46" s="268">
        <f>ROUND(SUM(N14,N44),1)</f>
        <v>0</v>
      </c>
      <c r="O46" s="268"/>
      <c r="P46" s="268">
        <f>ROUND(SUM(P14,P44),1)</f>
        <v>0</v>
      </c>
      <c r="Q46" s="268"/>
      <c r="R46" s="273">
        <f>ROUND(SUM(R14,R44),1)</f>
        <v>0</v>
      </c>
      <c r="S46" s="268"/>
      <c r="T46" s="268">
        <f>ROUND(SUM(T14,T44),1)</f>
        <v>0</v>
      </c>
      <c r="U46" s="268"/>
      <c r="V46" s="268">
        <f>ROUND(SUM(V14,V44),1)</f>
        <v>0</v>
      </c>
      <c r="W46" s="268"/>
      <c r="X46" s="268">
        <f>ROUND(SUM(X14,X44),1)</f>
        <v>0</v>
      </c>
      <c r="Y46" s="268"/>
      <c r="Z46" s="1788"/>
      <c r="AA46" s="268">
        <f>ROUND(SUM(AA14,AA44),1)</f>
        <v>-153.69999999999999</v>
      </c>
      <c r="AB46" s="1789"/>
      <c r="AC46" s="268"/>
      <c r="AD46" s="268">
        <f>ROUND(SUM(AD14,AD44),1)</f>
        <v>-245.5</v>
      </c>
      <c r="AF46" s="765"/>
      <c r="AG46" s="1787">
        <f>ROUND(SUM(AA46-AD46),1)</f>
        <v>91.8</v>
      </c>
      <c r="AH46" s="784"/>
      <c r="AI46" s="786">
        <f>ROUND(IF(AG46=0,0,AG46/ABS(AD46)),3)</f>
        <v>0.374</v>
      </c>
    </row>
    <row r="47" spans="1:35" ht="16.5" customHeight="1" thickTop="1">
      <c r="A47" s="99"/>
      <c r="B47" s="274"/>
      <c r="C47" s="99"/>
      <c r="D47" s="274"/>
      <c r="E47" s="99"/>
      <c r="F47" s="274"/>
      <c r="G47" s="99"/>
      <c r="H47" s="274"/>
      <c r="I47" s="99"/>
      <c r="J47" s="274"/>
      <c r="K47" s="99"/>
      <c r="L47" s="274"/>
      <c r="M47" s="99"/>
      <c r="N47" s="274"/>
      <c r="O47" s="99"/>
      <c r="P47" s="274"/>
      <c r="Q47" s="99"/>
      <c r="R47" s="99"/>
      <c r="S47" s="99"/>
      <c r="T47" s="274"/>
      <c r="U47" s="99"/>
      <c r="V47" s="274"/>
      <c r="W47" s="99"/>
      <c r="X47" s="274"/>
      <c r="Y47" s="99"/>
      <c r="Z47" s="99"/>
      <c r="AA47" s="274"/>
      <c r="AB47" s="99"/>
      <c r="AC47" s="99"/>
      <c r="AD47" s="274"/>
    </row>
    <row r="49" spans="1:1" ht="16.5" customHeight="1">
      <c r="A49" s="275"/>
    </row>
    <row r="50" spans="1:1" ht="16.5" customHeight="1">
      <c r="A50" s="170"/>
    </row>
  </sheetData>
  <mergeCells count="1">
    <mergeCell ref="AA10:AI10"/>
  </mergeCells>
  <pageMargins left="0.25" right="0.25" top="0.5" bottom="0.25" header="0" footer="0.25"/>
  <pageSetup scale="42" firstPageNumber="35" orientation="landscape" useFirstPageNumber="1" r:id="rId1"/>
  <headerFooter scaleWithDoc="0" alignWithMargins="0">
    <oddFooter>&amp;C&amp;8&amp;P</oddFooter>
  </headerFooter>
  <customProperties>
    <customPr name="SheetOptions" r:id="rId2"/>
  </customPropertie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6">
    <pageSetUpPr autoPageBreaks="0" fitToPage="1"/>
  </sheetPr>
  <dimension ref="A1:AI47"/>
  <sheetViews>
    <sheetView showGridLines="0" zoomScale="80" zoomScaleNormal="70" workbookViewId="0"/>
  </sheetViews>
  <sheetFormatPr defaultColWidth="8.88671875" defaultRowHeight="18"/>
  <cols>
    <col min="1" max="1" width="45.5546875" style="276" customWidth="1"/>
    <col min="2" max="2" width="11.109375" style="276" customWidth="1"/>
    <col min="3" max="3" width="1.88671875" style="276" customWidth="1"/>
    <col min="4" max="4" width="11.109375" style="276" customWidth="1"/>
    <col min="5" max="5" width="1.88671875" style="276" customWidth="1"/>
    <col min="6" max="6" width="11.109375" style="276" customWidth="1"/>
    <col min="7" max="7" width="1.88671875" style="276" customWidth="1"/>
    <col min="8" max="8" width="11.109375" style="276" customWidth="1"/>
    <col min="9" max="9" width="1.88671875" style="276" customWidth="1"/>
    <col min="10" max="10" width="10.88671875" style="276" customWidth="1"/>
    <col min="11" max="11" width="1.88671875" style="276" customWidth="1"/>
    <col min="12" max="12" width="14.109375" style="276" customWidth="1"/>
    <col min="13" max="13" width="1.88671875" style="276" customWidth="1"/>
    <col min="14" max="14" width="12" style="276" bestFit="1" customWidth="1"/>
    <col min="15" max="15" width="1.88671875" style="276" customWidth="1"/>
    <col min="16" max="16" width="13.5546875" style="276" bestFit="1" customWidth="1"/>
    <col min="17" max="17" width="1.88671875" style="276" customWidth="1"/>
    <col min="18" max="18" width="13.5546875" style="276" bestFit="1" customWidth="1"/>
    <col min="19" max="19" width="1.88671875" style="276" customWidth="1"/>
    <col min="20" max="20" width="12.88671875" style="276" customWidth="1"/>
    <col min="21" max="21" width="1.88671875" style="276" customWidth="1"/>
    <col min="22" max="22" width="12.88671875" style="276" bestFit="1" customWidth="1"/>
    <col min="23" max="23" width="1.88671875" style="276" customWidth="1"/>
    <col min="24" max="24" width="11" style="276" customWidth="1"/>
    <col min="25" max="26" width="1.88671875" style="276" customWidth="1"/>
    <col min="27" max="27" width="12.88671875" style="276" customWidth="1"/>
    <col min="28" max="29" width="1.88671875" style="276" customWidth="1"/>
    <col min="30" max="30" width="10.109375" style="604" customWidth="1"/>
    <col min="31" max="31" width="1.88671875" style="771" customWidth="1"/>
    <col min="32" max="32" width="2.44140625" style="771" customWidth="1"/>
    <col min="33" max="33" width="10.109375" style="771" bestFit="1" customWidth="1"/>
    <col min="34" max="34" width="1.88671875" style="771" customWidth="1"/>
    <col min="35" max="35" width="12.109375" style="771" customWidth="1"/>
    <col min="36" max="16384" width="8.88671875" style="276"/>
  </cols>
  <sheetData>
    <row r="1" spans="1:35">
      <c r="A1" s="468" t="s">
        <v>841</v>
      </c>
    </row>
    <row r="2" spans="1:35">
      <c r="A2" s="598"/>
    </row>
    <row r="3" spans="1:35" ht="20.25" customHeight="1">
      <c r="A3" s="1906" t="s">
        <v>0</v>
      </c>
      <c r="B3" s="21"/>
      <c r="C3" s="21"/>
      <c r="D3" s="21"/>
      <c r="E3" s="21"/>
      <c r="F3" s="21"/>
      <c r="G3" s="21"/>
      <c r="H3" s="21"/>
      <c r="I3" s="21"/>
      <c r="J3" s="21"/>
      <c r="K3" s="19"/>
      <c r="L3" s="19"/>
      <c r="M3" s="21"/>
      <c r="N3" s="21"/>
      <c r="O3" s="21"/>
      <c r="P3" s="21"/>
      <c r="Q3" s="21"/>
      <c r="R3" s="21"/>
      <c r="S3" s="21"/>
      <c r="T3" s="21"/>
      <c r="U3" s="21"/>
      <c r="V3" s="21"/>
      <c r="W3" s="21"/>
      <c r="X3" s="21"/>
      <c r="Y3" s="21"/>
      <c r="Z3" s="21"/>
      <c r="AA3" s="21"/>
      <c r="AB3" s="21"/>
      <c r="AC3" s="21"/>
      <c r="AD3" s="99"/>
      <c r="AI3" s="801" t="s">
        <v>220</v>
      </c>
    </row>
    <row r="4" spans="1:35" ht="20.25" customHeight="1">
      <c r="A4" s="203" t="s">
        <v>756</v>
      </c>
      <c r="B4" s="21"/>
      <c r="C4" s="21"/>
      <c r="D4" s="21"/>
      <c r="E4" s="21"/>
      <c r="F4" s="21"/>
      <c r="G4" s="21"/>
      <c r="H4" s="19" t="s">
        <v>14</v>
      </c>
      <c r="I4" s="21"/>
      <c r="J4" s="21"/>
      <c r="K4" s="19"/>
      <c r="L4" s="19"/>
      <c r="M4" s="21"/>
      <c r="N4" s="21"/>
      <c r="O4" s="21"/>
      <c r="P4" s="21"/>
      <c r="Q4" s="21"/>
      <c r="R4" s="21"/>
      <c r="S4" s="21"/>
      <c r="T4" s="21"/>
      <c r="U4" s="21"/>
      <c r="V4" s="21"/>
      <c r="W4" s="21"/>
      <c r="X4" s="21" t="s">
        <v>14</v>
      </c>
      <c r="Y4" s="21"/>
      <c r="Z4" s="21"/>
      <c r="AA4" s="21"/>
      <c r="AB4" s="21"/>
      <c r="AC4" s="21"/>
      <c r="AD4" s="99"/>
    </row>
    <row r="5" spans="1:35" ht="20.25" customHeight="1">
      <c r="A5" s="1002" t="s">
        <v>121</v>
      </c>
      <c r="B5" s="21"/>
      <c r="C5" s="21"/>
      <c r="D5" s="21"/>
      <c r="E5" s="21"/>
      <c r="F5" s="21"/>
      <c r="G5" s="21"/>
      <c r="H5" s="21"/>
      <c r="I5" s="21"/>
      <c r="J5" s="21"/>
      <c r="K5" s="19"/>
      <c r="L5" s="19"/>
      <c r="M5" s="21"/>
      <c r="N5" s="21"/>
      <c r="O5" s="21"/>
      <c r="P5" s="21"/>
      <c r="Q5" s="21"/>
      <c r="R5" s="21"/>
      <c r="S5" s="21"/>
      <c r="T5" s="21"/>
      <c r="U5" s="21"/>
      <c r="V5" s="21"/>
      <c r="W5" s="21"/>
      <c r="X5" s="21"/>
      <c r="Y5" s="21"/>
      <c r="Z5" s="21"/>
      <c r="AB5" s="277"/>
      <c r="AC5" s="277"/>
      <c r="AE5" s="788"/>
    </row>
    <row r="6" spans="1:35" ht="20.25" customHeight="1">
      <c r="A6" s="1002" t="str">
        <f>'Cashflow Governmental'!A6</f>
        <v xml:space="preserve">FISCAL YEAR 2023-2024   </v>
      </c>
      <c r="B6" s="21"/>
      <c r="C6" s="21"/>
      <c r="D6" s="21"/>
      <c r="E6" s="21"/>
      <c r="F6" s="21"/>
      <c r="G6" s="21"/>
      <c r="H6" s="21"/>
      <c r="I6" s="21"/>
      <c r="J6" s="21"/>
      <c r="K6" s="19"/>
      <c r="L6" s="19"/>
      <c r="M6" s="21"/>
      <c r="N6" s="21"/>
      <c r="O6" s="21"/>
      <c r="P6" s="21"/>
      <c r="Q6" s="21"/>
      <c r="R6" s="21"/>
      <c r="S6" s="21"/>
      <c r="T6" s="21"/>
      <c r="U6" s="21"/>
      <c r="V6" s="21"/>
      <c r="W6" s="21"/>
      <c r="X6" s="21"/>
      <c r="Y6" s="21"/>
      <c r="Z6" s="21"/>
      <c r="AA6" s="21"/>
      <c r="AB6" s="21"/>
      <c r="AC6" s="21"/>
      <c r="AD6" s="99"/>
    </row>
    <row r="7" spans="1:35" ht="20.25" customHeight="1">
      <c r="A7" s="1906" t="s">
        <v>1199</v>
      </c>
      <c r="B7" s="21"/>
      <c r="C7" s="21"/>
      <c r="D7" s="21"/>
      <c r="E7" s="21"/>
      <c r="F7" s="21"/>
      <c r="G7" s="21"/>
      <c r="H7" s="21"/>
      <c r="I7" s="21"/>
      <c r="J7" s="21"/>
      <c r="K7" s="19"/>
      <c r="L7" s="21"/>
      <c r="M7" s="21"/>
      <c r="N7" s="21"/>
      <c r="O7" s="21"/>
      <c r="P7" s="21"/>
      <c r="Q7" s="21"/>
      <c r="R7" s="21"/>
      <c r="S7" s="21"/>
      <c r="T7" s="21"/>
      <c r="U7" s="21"/>
      <c r="V7" s="21"/>
      <c r="W7" s="21"/>
      <c r="X7" s="21"/>
      <c r="Y7" s="21"/>
      <c r="Z7" s="21"/>
      <c r="AA7" s="21"/>
      <c r="AB7" s="21"/>
      <c r="AC7" s="21"/>
      <c r="AD7" s="99"/>
    </row>
    <row r="8" spans="1:35" s="278" customFormat="1" ht="19.350000000000001" customHeight="1">
      <c r="A8" s="129"/>
      <c r="B8" s="21"/>
      <c r="C8" s="21"/>
      <c r="D8" s="21"/>
      <c r="E8" s="21"/>
      <c r="F8" s="21"/>
      <c r="G8" s="21"/>
      <c r="H8" s="21"/>
      <c r="I8" s="21"/>
      <c r="J8" s="21"/>
      <c r="K8" s="21"/>
      <c r="L8" s="21"/>
      <c r="M8" s="21"/>
      <c r="N8" s="21"/>
      <c r="O8" s="21"/>
      <c r="P8" s="21"/>
      <c r="Q8" s="21"/>
      <c r="R8" s="21"/>
      <c r="S8" s="21"/>
      <c r="T8" s="21"/>
      <c r="U8" s="21"/>
      <c r="V8" s="21"/>
      <c r="W8" s="21"/>
      <c r="X8" s="21"/>
      <c r="Y8" s="21"/>
      <c r="Z8" s="99"/>
      <c r="AA8" s="99"/>
      <c r="AB8" s="99"/>
      <c r="AC8" s="99"/>
      <c r="AD8" s="99"/>
      <c r="AE8" s="771"/>
      <c r="AF8" s="771"/>
      <c r="AG8" s="771"/>
      <c r="AH8" s="771"/>
      <c r="AI8" s="771"/>
    </row>
    <row r="9" spans="1:35" s="278" customFormat="1" ht="19.350000000000001" customHeight="1">
      <c r="A9" s="499"/>
      <c r="B9" s="499"/>
      <c r="C9" s="499"/>
      <c r="D9" s="499"/>
      <c r="E9" s="499"/>
      <c r="F9" s="499"/>
      <c r="G9" s="499"/>
      <c r="H9" s="19"/>
      <c r="I9" s="19"/>
      <c r="J9" s="19"/>
      <c r="K9" s="499"/>
      <c r="L9" s="499"/>
      <c r="M9" s="499"/>
      <c r="N9" s="499"/>
      <c r="O9" s="499"/>
      <c r="P9" s="499"/>
      <c r="Q9" s="499"/>
      <c r="R9" s="499"/>
      <c r="S9" s="499"/>
      <c r="T9" s="499"/>
      <c r="U9" s="499"/>
      <c r="V9" s="499"/>
      <c r="W9" s="499"/>
      <c r="X9" s="499"/>
      <c r="Y9" s="499"/>
      <c r="Z9" s="99"/>
      <c r="AA9" s="99"/>
      <c r="AB9" s="99"/>
      <c r="AC9" s="2342"/>
      <c r="AD9" s="2343"/>
      <c r="AE9" s="2343"/>
      <c r="AF9" s="2343"/>
      <c r="AG9" s="2343"/>
      <c r="AH9" s="2343"/>
      <c r="AI9" s="2343"/>
    </row>
    <row r="10" spans="1:35" s="278" customFormat="1" ht="19.350000000000001" customHeight="1">
      <c r="A10" s="99"/>
      <c r="B10" s="99"/>
      <c r="C10" s="99"/>
      <c r="D10" s="99"/>
      <c r="E10" s="99"/>
      <c r="F10" s="99"/>
      <c r="G10" s="99"/>
      <c r="H10" s="99"/>
      <c r="I10" s="99"/>
      <c r="J10" s="99"/>
      <c r="K10" s="99"/>
      <c r="L10" s="99"/>
      <c r="M10" s="99"/>
      <c r="N10" s="99"/>
      <c r="O10" s="99"/>
      <c r="P10" s="99"/>
      <c r="Q10" s="99"/>
      <c r="R10" s="99"/>
      <c r="S10" s="99"/>
      <c r="T10" s="99"/>
      <c r="U10" s="99"/>
      <c r="V10" s="604"/>
      <c r="W10" s="99"/>
      <c r="X10" s="603"/>
      <c r="Y10" s="604"/>
      <c r="Z10" s="2344" t="s">
        <v>1515</v>
      </c>
      <c r="AA10" s="2344"/>
      <c r="AB10" s="2344"/>
      <c r="AC10" s="2344"/>
      <c r="AD10" s="2344"/>
      <c r="AE10" s="2344"/>
      <c r="AF10" s="2344"/>
      <c r="AG10" s="2344"/>
      <c r="AH10" s="2344"/>
      <c r="AI10" s="2344"/>
    </row>
    <row r="11" spans="1:35" s="278" customFormat="1" ht="19.350000000000001" customHeight="1">
      <c r="A11" s="99"/>
      <c r="B11" s="561" t="str">
        <f>'Cashflow Governmental'!C13</f>
        <v>2023</v>
      </c>
      <c r="C11" s="172"/>
      <c r="D11" s="172"/>
      <c r="E11" s="172"/>
      <c r="F11" s="172"/>
      <c r="G11" s="172"/>
      <c r="H11" s="172"/>
      <c r="I11" s="172"/>
      <c r="J11" s="172"/>
      <c r="K11" s="172"/>
      <c r="L11" s="172"/>
      <c r="M11" s="172"/>
      <c r="N11" s="172"/>
      <c r="O11" s="172"/>
      <c r="P11" s="172"/>
      <c r="Q11" s="172"/>
      <c r="R11" s="172"/>
      <c r="S11" s="172"/>
      <c r="T11" s="561">
        <f>'Cashflow Governmental'!U13</f>
        <v>2024</v>
      </c>
      <c r="U11" s="172"/>
      <c r="V11" s="562"/>
      <c r="W11" s="172"/>
      <c r="X11" s="172"/>
      <c r="Y11" s="172"/>
      <c r="Z11" s="172"/>
      <c r="AA11" s="172"/>
      <c r="AB11" s="172"/>
      <c r="AC11" s="172"/>
      <c r="AD11" s="967"/>
      <c r="AE11" s="789"/>
      <c r="AF11" s="763"/>
      <c r="AG11" s="774" t="s">
        <v>7</v>
      </c>
      <c r="AH11" s="774"/>
      <c r="AI11" s="775" t="s">
        <v>8</v>
      </c>
    </row>
    <row r="12" spans="1:35" s="278" customFormat="1" ht="19.350000000000001" customHeight="1">
      <c r="A12" s="99"/>
      <c r="B12" s="605" t="s">
        <v>122</v>
      </c>
      <c r="C12" s="172"/>
      <c r="D12" s="605" t="s">
        <v>123</v>
      </c>
      <c r="E12" s="172"/>
      <c r="F12" s="605" t="s">
        <v>124</v>
      </c>
      <c r="G12" s="172"/>
      <c r="H12" s="605" t="s">
        <v>125</v>
      </c>
      <c r="I12" s="172"/>
      <c r="J12" s="606" t="s">
        <v>221</v>
      </c>
      <c r="K12" s="172"/>
      <c r="L12" s="606" t="s">
        <v>141</v>
      </c>
      <c r="M12" s="172"/>
      <c r="N12" s="606" t="s">
        <v>142</v>
      </c>
      <c r="O12" s="172"/>
      <c r="P12" s="605" t="s">
        <v>129</v>
      </c>
      <c r="Q12" s="172"/>
      <c r="R12" s="605" t="s">
        <v>130</v>
      </c>
      <c r="S12" s="172"/>
      <c r="T12" s="606" t="s">
        <v>131</v>
      </c>
      <c r="U12" s="172"/>
      <c r="V12" s="605" t="s">
        <v>132</v>
      </c>
      <c r="W12" s="172"/>
      <c r="X12" s="606" t="s">
        <v>182</v>
      </c>
      <c r="Y12" s="172"/>
      <c r="Z12" s="172"/>
      <c r="AA12" s="562">
        <f>'Cashflow Governmental'!AB14</f>
        <v>2023</v>
      </c>
      <c r="AB12" s="562"/>
      <c r="AC12" s="562"/>
      <c r="AD12" s="605">
        <f>'Cashflow Governmental'!AE14</f>
        <v>2022</v>
      </c>
      <c r="AE12" s="785"/>
      <c r="AF12" s="785"/>
      <c r="AG12" s="776" t="s">
        <v>11</v>
      </c>
      <c r="AH12" s="774"/>
      <c r="AI12" s="776" t="s">
        <v>12</v>
      </c>
    </row>
    <row r="13" spans="1:35" s="278" customFormat="1" ht="19.350000000000001" customHeight="1">
      <c r="A13" s="172" t="s">
        <v>134</v>
      </c>
      <c r="B13" s="1072">
        <v>1255.7</v>
      </c>
      <c r="C13" s="268"/>
      <c r="D13" s="1072">
        <f>B38</f>
        <v>1258.7</v>
      </c>
      <c r="E13" s="1072"/>
      <c r="F13" s="1072">
        <f t="shared" ref="F13:L13" si="0">D38</f>
        <v>1242.4000000000001</v>
      </c>
      <c r="G13" s="1073"/>
      <c r="H13" s="1072">
        <f t="shared" si="0"/>
        <v>1258.9000000000001</v>
      </c>
      <c r="I13" s="1073"/>
      <c r="J13" s="1072">
        <f t="shared" si="0"/>
        <v>1262.2</v>
      </c>
      <c r="K13" s="1073"/>
      <c r="L13" s="1072">
        <f t="shared" si="0"/>
        <v>1262.2</v>
      </c>
      <c r="M13" s="1073"/>
      <c r="N13" s="1072"/>
      <c r="O13" s="1073"/>
      <c r="P13" s="1072"/>
      <c r="Q13" s="1304"/>
      <c r="R13" s="1072"/>
      <c r="S13" s="1304"/>
      <c r="T13" s="1072"/>
      <c r="U13" s="1072"/>
      <c r="V13" s="1072"/>
      <c r="W13" s="1072"/>
      <c r="X13" s="1072"/>
      <c r="Y13" s="607"/>
      <c r="Z13" s="608"/>
      <c r="AA13" s="1072">
        <f>B13</f>
        <v>1255.7</v>
      </c>
      <c r="AB13" s="607"/>
      <c r="AC13" s="630"/>
      <c r="AD13" s="1072">
        <v>318.89999999999998</v>
      </c>
      <c r="AE13" s="1066"/>
      <c r="AF13" s="1067"/>
      <c r="AG13" s="777">
        <f>ROUND(SUM(AA13-AD13),1)</f>
        <v>936.8</v>
      </c>
      <c r="AH13" s="771"/>
      <c r="AI13" s="474">
        <f>ROUND(IF(AD13=0,1,AG13/ABS(AD13)),3)</f>
        <v>2.9380000000000002</v>
      </c>
    </row>
    <row r="14" spans="1:35" s="278" customFormat="1" ht="19.350000000000001" customHeight="1">
      <c r="A14" s="99"/>
      <c r="B14" s="99"/>
      <c r="C14" s="99"/>
      <c r="D14" s="99"/>
      <c r="E14" s="99"/>
      <c r="F14" s="609"/>
      <c r="G14" s="609"/>
      <c r="H14" s="610"/>
      <c r="I14" s="610"/>
      <c r="J14" s="610"/>
      <c r="K14" s="609"/>
      <c r="L14" s="610"/>
      <c r="M14" s="610"/>
      <c r="N14" s="610"/>
      <c r="O14" s="610"/>
      <c r="P14" s="610"/>
      <c r="Q14" s="610"/>
      <c r="R14" s="610"/>
      <c r="S14" s="610"/>
      <c r="T14" s="610"/>
      <c r="U14" s="610"/>
      <c r="V14" s="610"/>
      <c r="W14" s="610"/>
      <c r="X14" s="610"/>
      <c r="Y14" s="611"/>
      <c r="Z14" s="612"/>
      <c r="AA14" s="99"/>
      <c r="AB14" s="611"/>
      <c r="AC14" s="613"/>
      <c r="AD14" s="99"/>
      <c r="AE14" s="771"/>
      <c r="AF14" s="787"/>
      <c r="AG14" s="771"/>
      <c r="AH14" s="771"/>
      <c r="AI14" s="771"/>
    </row>
    <row r="15" spans="1:35" s="278" customFormat="1" ht="19.350000000000001" customHeight="1">
      <c r="A15" s="172" t="s">
        <v>13</v>
      </c>
      <c r="B15" s="99"/>
      <c r="C15" s="99"/>
      <c r="D15" s="99"/>
      <c r="E15" s="99"/>
      <c r="F15" s="609"/>
      <c r="G15" s="609"/>
      <c r="H15" s="610"/>
      <c r="I15" s="610"/>
      <c r="J15" s="610"/>
      <c r="K15" s="609"/>
      <c r="L15" s="610"/>
      <c r="M15" s="610"/>
      <c r="N15" s="610"/>
      <c r="O15" s="610"/>
      <c r="P15" s="610"/>
      <c r="Q15" s="610"/>
      <c r="R15" s="610"/>
      <c r="S15" s="610"/>
      <c r="T15" s="610"/>
      <c r="U15" s="610"/>
      <c r="V15" s="610"/>
      <c r="W15" s="610"/>
      <c r="X15" s="610"/>
      <c r="Y15" s="611"/>
      <c r="Z15" s="612"/>
      <c r="AA15" s="99"/>
      <c r="AB15" s="611"/>
      <c r="AC15" s="613"/>
      <c r="AD15" s="99"/>
      <c r="AE15" s="771"/>
      <c r="AF15" s="787"/>
      <c r="AG15" s="771"/>
      <c r="AH15" s="771"/>
      <c r="AI15" s="771"/>
    </row>
    <row r="16" spans="1:35" s="278" customFormat="1" ht="19.350000000000001" customHeight="1">
      <c r="A16" s="614" t="s">
        <v>175</v>
      </c>
      <c r="B16" s="1315">
        <v>10</v>
      </c>
      <c r="C16" s="164"/>
      <c r="D16" s="1315">
        <v>10.899999999999999</v>
      </c>
      <c r="E16" s="623"/>
      <c r="F16" s="1315">
        <v>29.200000000000003</v>
      </c>
      <c r="G16" s="164"/>
      <c r="H16" s="1315">
        <v>15.100000000000001</v>
      </c>
      <c r="I16" s="615"/>
      <c r="J16" s="1315">
        <v>15.799999999999997</v>
      </c>
      <c r="K16" s="164"/>
      <c r="L16" s="1315">
        <f>$AA16-$B16-$D16-$F16-$H16-$J16</f>
        <v>11.70000000000001</v>
      </c>
      <c r="M16" s="615"/>
      <c r="N16" s="1315"/>
      <c r="O16" s="615"/>
      <c r="P16" s="1315"/>
      <c r="Q16" s="623"/>
      <c r="R16" s="1315"/>
      <c r="S16" s="623"/>
      <c r="T16" s="1315"/>
      <c r="U16" s="623"/>
      <c r="V16" s="1315"/>
      <c r="W16" s="623"/>
      <c r="X16" s="1315"/>
      <c r="Y16" s="616"/>
      <c r="Z16" s="617"/>
      <c r="AA16" s="1069">
        <v>92.7</v>
      </c>
      <c r="AB16" s="616"/>
      <c r="AC16" s="615"/>
      <c r="AD16" s="1069">
        <v>74.7</v>
      </c>
      <c r="AE16" s="790"/>
      <c r="AF16" s="764"/>
      <c r="AG16" s="778">
        <f>ROUND(SUM(AA16-AD16),1)</f>
        <v>18</v>
      </c>
      <c r="AH16" s="771"/>
      <c r="AI16" s="783">
        <f>ROUND(IF(AG16=0,0,AG16/ABS(AD16)),3)</f>
        <v>0.24099999999999999</v>
      </c>
    </row>
    <row r="17" spans="1:35" s="278" customFormat="1" ht="24" customHeight="1">
      <c r="A17" s="172" t="s">
        <v>147</v>
      </c>
      <c r="B17" s="1307">
        <f>ROUND(SUM(B16),1)</f>
        <v>10</v>
      </c>
      <c r="C17" s="270"/>
      <c r="D17" s="618">
        <f>ROUND(SUM(D16),1)</f>
        <v>10.9</v>
      </c>
      <c r="E17" s="270"/>
      <c r="F17" s="618">
        <f>ROUND(SUM(F16),1)</f>
        <v>29.2</v>
      </c>
      <c r="G17" s="270"/>
      <c r="H17" s="618">
        <f>ROUND(SUM(H16),1)</f>
        <v>15.1</v>
      </c>
      <c r="I17" s="271"/>
      <c r="J17" s="618">
        <f>ROUND(SUM(J16),1)</f>
        <v>15.8</v>
      </c>
      <c r="K17" s="270"/>
      <c r="L17" s="618">
        <f>ROUND(SUM(L16),1)</f>
        <v>11.7</v>
      </c>
      <c r="M17" s="619"/>
      <c r="N17" s="618">
        <f>ROUND(SUM(N16),1)</f>
        <v>0</v>
      </c>
      <c r="O17" s="619"/>
      <c r="P17" s="618">
        <f>ROUND(SUM(P16),1)</f>
        <v>0</v>
      </c>
      <c r="Q17" s="271"/>
      <c r="R17" s="618">
        <f t="shared" ref="R17" si="1">ROUND(SUM(R16),1)</f>
        <v>0</v>
      </c>
      <c r="S17" s="619"/>
      <c r="T17" s="618">
        <f>ROUND(SUM(T16),1)</f>
        <v>0</v>
      </c>
      <c r="U17" s="619"/>
      <c r="V17" s="618">
        <f>ROUND(SUM(V16),1)</f>
        <v>0</v>
      </c>
      <c r="W17" s="619"/>
      <c r="X17" s="618">
        <f>ROUND(SUM(X16),1)</f>
        <v>0</v>
      </c>
      <c r="Y17" s="620"/>
      <c r="Z17" s="621"/>
      <c r="AA17" s="624">
        <f>ROUND(SUM(AA16),1)</f>
        <v>92.7</v>
      </c>
      <c r="AB17" s="620"/>
      <c r="AC17" s="621"/>
      <c r="AD17" s="624">
        <f>ROUND(SUM(AD16),1)</f>
        <v>74.7</v>
      </c>
      <c r="AE17" s="791"/>
      <c r="AF17" s="764"/>
      <c r="AG17" s="795">
        <f>ROUND(SUM(AG16),1)</f>
        <v>18</v>
      </c>
      <c r="AH17" s="796"/>
      <c r="AI17" s="797">
        <f>ROUND(IF(AG17=0,0,AG17/ABS(AD17)),3)</f>
        <v>0.24099999999999999</v>
      </c>
    </row>
    <row r="18" spans="1:35" s="278" customFormat="1" ht="19.350000000000001" customHeight="1">
      <c r="A18" s="99"/>
      <c r="B18" s="269"/>
      <c r="C18" s="164"/>
      <c r="D18" s="269" t="s">
        <v>14</v>
      </c>
      <c r="E18" s="164"/>
      <c r="F18" s="269"/>
      <c r="G18" s="164"/>
      <c r="H18" s="622"/>
      <c r="I18" s="615"/>
      <c r="J18" s="622"/>
      <c r="K18" s="164"/>
      <c r="L18" s="622"/>
      <c r="M18" s="615"/>
      <c r="N18" s="622"/>
      <c r="O18" s="615"/>
      <c r="P18" s="622"/>
      <c r="Q18" s="615"/>
      <c r="R18" s="622"/>
      <c r="S18" s="615"/>
      <c r="T18" s="622"/>
      <c r="U18" s="615"/>
      <c r="V18" s="622"/>
      <c r="W18" s="615"/>
      <c r="X18" s="622"/>
      <c r="Y18" s="616"/>
      <c r="Z18" s="617"/>
      <c r="AA18" s="269"/>
      <c r="AB18" s="616"/>
      <c r="AC18" s="615"/>
      <c r="AD18" s="269"/>
      <c r="AE18" s="778"/>
      <c r="AF18" s="764"/>
      <c r="AG18" s="778"/>
      <c r="AH18" s="771"/>
      <c r="AI18" s="771"/>
    </row>
    <row r="19" spans="1:35" s="278" customFormat="1" ht="19.350000000000001" customHeight="1">
      <c r="A19" s="99"/>
      <c r="B19" s="164"/>
      <c r="C19" s="164"/>
      <c r="D19" s="164" t="s">
        <v>14</v>
      </c>
      <c r="E19" s="164"/>
      <c r="F19" s="164"/>
      <c r="G19" s="164"/>
      <c r="H19" s="615"/>
      <c r="I19" s="615"/>
      <c r="J19" s="615"/>
      <c r="K19" s="164"/>
      <c r="L19" s="615"/>
      <c r="M19" s="615"/>
      <c r="N19" s="615"/>
      <c r="O19" s="615"/>
      <c r="P19" s="615"/>
      <c r="Q19" s="615"/>
      <c r="R19" s="615"/>
      <c r="S19" s="615"/>
      <c r="T19" s="615"/>
      <c r="U19" s="615"/>
      <c r="V19" s="615"/>
      <c r="W19" s="615"/>
      <c r="X19" s="615"/>
      <c r="Y19" s="616"/>
      <c r="Z19" s="617"/>
      <c r="AA19" s="164"/>
      <c r="AB19" s="616"/>
      <c r="AC19" s="615"/>
      <c r="AD19" s="164"/>
      <c r="AE19" s="778"/>
      <c r="AF19" s="764"/>
      <c r="AG19" s="778"/>
      <c r="AH19" s="771"/>
      <c r="AI19" s="771"/>
    </row>
    <row r="20" spans="1:35" s="278" customFormat="1" ht="19.350000000000001" customHeight="1">
      <c r="A20" s="172" t="s">
        <v>22</v>
      </c>
      <c r="B20" s="164"/>
      <c r="C20" s="164"/>
      <c r="D20" s="164" t="s">
        <v>14</v>
      </c>
      <c r="E20" s="164"/>
      <c r="F20" s="164"/>
      <c r="G20" s="164"/>
      <c r="H20" s="615"/>
      <c r="I20" s="615"/>
      <c r="J20" s="615"/>
      <c r="K20" s="164"/>
      <c r="L20" s="615"/>
      <c r="M20" s="615"/>
      <c r="N20" s="615"/>
      <c r="O20" s="615"/>
      <c r="P20" s="615"/>
      <c r="Q20" s="615"/>
      <c r="R20" s="615"/>
      <c r="S20" s="615"/>
      <c r="T20" s="615"/>
      <c r="U20" s="615"/>
      <c r="V20" s="615"/>
      <c r="W20" s="615"/>
      <c r="X20" s="615"/>
      <c r="Y20" s="616"/>
      <c r="Z20" s="617"/>
      <c r="AA20" s="164"/>
      <c r="AB20" s="616"/>
      <c r="AC20" s="615"/>
      <c r="AD20" s="164"/>
      <c r="AE20" s="778"/>
      <c r="AF20" s="764"/>
      <c r="AG20" s="778"/>
      <c r="AH20" s="771"/>
      <c r="AI20" s="771"/>
    </row>
    <row r="21" spans="1:35" s="278" customFormat="1" ht="19.350000000000001" customHeight="1">
      <c r="A21" s="99" t="s">
        <v>149</v>
      </c>
      <c r="B21" s="165"/>
      <c r="C21" s="164"/>
      <c r="D21" s="164"/>
      <c r="E21" s="164"/>
      <c r="F21" s="164"/>
      <c r="G21" s="164"/>
      <c r="H21" s="615"/>
      <c r="I21" s="615"/>
      <c r="J21" s="615"/>
      <c r="K21" s="164"/>
      <c r="L21" s="615"/>
      <c r="M21" s="615"/>
      <c r="N21" s="615"/>
      <c r="O21" s="615"/>
      <c r="P21" s="615"/>
      <c r="Q21" s="615"/>
      <c r="R21" s="615"/>
      <c r="S21" s="615"/>
      <c r="T21" s="615"/>
      <c r="U21" s="615"/>
      <c r="V21" s="615"/>
      <c r="W21" s="615"/>
      <c r="X21" s="615"/>
      <c r="Y21" s="616"/>
      <c r="Z21" s="617"/>
      <c r="AA21" s="165"/>
      <c r="AB21" s="2007"/>
      <c r="AC21" s="2008"/>
      <c r="AD21" s="165"/>
      <c r="AE21" s="792"/>
      <c r="AF21" s="765"/>
      <c r="AG21" s="778"/>
      <c r="AH21" s="771"/>
      <c r="AI21" s="771"/>
    </row>
    <row r="22" spans="1:35" s="278" customFormat="1" ht="19.350000000000001" customHeight="1">
      <c r="A22" s="99" t="s">
        <v>215</v>
      </c>
      <c r="B22" s="623">
        <v>6.9</v>
      </c>
      <c r="C22" s="164"/>
      <c r="D22" s="623">
        <v>9</v>
      </c>
      <c r="E22" s="164"/>
      <c r="F22" s="623">
        <v>5.9</v>
      </c>
      <c r="G22" s="164"/>
      <c r="H22" s="623">
        <v>5.7000000000000011</v>
      </c>
      <c r="I22" s="615"/>
      <c r="J22" s="623">
        <v>10.299999999999997</v>
      </c>
      <c r="K22" s="164"/>
      <c r="L22" s="623">
        <f>$AA22-$B22-$D22-$F22-$H22-$J22</f>
        <v>6</v>
      </c>
      <c r="M22" s="615"/>
      <c r="N22" s="623"/>
      <c r="O22" s="615"/>
      <c r="P22" s="623"/>
      <c r="Q22" s="623"/>
      <c r="R22" s="623"/>
      <c r="S22" s="623"/>
      <c r="T22" s="623"/>
      <c r="U22" s="623"/>
      <c r="V22" s="623"/>
      <c r="W22" s="623"/>
      <c r="X22" s="623"/>
      <c r="Y22" s="616"/>
      <c r="Z22" s="617"/>
      <c r="AA22" s="623">
        <v>43.8</v>
      </c>
      <c r="AB22" s="616"/>
      <c r="AC22" s="615"/>
      <c r="AD22" s="623">
        <v>39.6</v>
      </c>
      <c r="AE22" s="1071"/>
      <c r="AF22" s="765"/>
      <c r="AG22" s="778">
        <f>ROUND(SUM(AA22-AD22),1)</f>
        <v>4.2</v>
      </c>
      <c r="AH22" s="771"/>
      <c r="AI22" s="1070">
        <f>ROUND(IF(AG22=0,0,AG22/ABS(AD22)),3)</f>
        <v>0.106</v>
      </c>
    </row>
    <row r="23" spans="1:35" s="278" customFormat="1" ht="19.350000000000001" customHeight="1">
      <c r="A23" s="614" t="s">
        <v>167</v>
      </c>
      <c r="B23" s="623">
        <v>0.1</v>
      </c>
      <c r="C23" s="164"/>
      <c r="D23" s="623">
        <v>5.6000000000000005</v>
      </c>
      <c r="E23" s="164"/>
      <c r="F23" s="623">
        <v>2.9999999999999991</v>
      </c>
      <c r="G23" s="164"/>
      <c r="H23" s="623">
        <v>2.2000000000000011</v>
      </c>
      <c r="I23" s="615"/>
      <c r="J23" s="623">
        <v>1.0999999999999996</v>
      </c>
      <c r="K23" s="164"/>
      <c r="L23" s="623">
        <f t="shared" ref="L23:L24" si="2">$AA23-$B23-$D23-$F23-$H23-$J23</f>
        <v>1.5999999999999996</v>
      </c>
      <c r="M23" s="615"/>
      <c r="N23" s="623"/>
      <c r="O23" s="615"/>
      <c r="P23" s="623"/>
      <c r="Q23" s="615"/>
      <c r="R23" s="623"/>
      <c r="S23" s="615"/>
      <c r="T23" s="623"/>
      <c r="U23" s="615"/>
      <c r="V23" s="623"/>
      <c r="W23" s="615"/>
      <c r="X23" s="623"/>
      <c r="Y23" s="616"/>
      <c r="Z23" s="617"/>
      <c r="AA23" s="623">
        <v>13.6</v>
      </c>
      <c r="AB23" s="616"/>
      <c r="AC23" s="615"/>
      <c r="AD23" s="623">
        <v>7.6</v>
      </c>
      <c r="AE23" s="792"/>
      <c r="AF23" s="765"/>
      <c r="AG23" s="778">
        <f>ROUND(SUM(AA23-AD23),1)</f>
        <v>6</v>
      </c>
      <c r="AH23" s="782"/>
      <c r="AI23" s="783">
        <f>ROUND(IF(AG23=0,0,AG23/ABS(AD23)),3)</f>
        <v>0.78900000000000003</v>
      </c>
    </row>
    <row r="24" spans="1:35" s="278" customFormat="1" ht="19.350000000000001" customHeight="1">
      <c r="A24" s="99" t="s">
        <v>152</v>
      </c>
      <c r="B24" s="623">
        <v>0</v>
      </c>
      <c r="C24" s="164"/>
      <c r="D24" s="1069">
        <v>12.6</v>
      </c>
      <c r="E24" s="164"/>
      <c r="F24" s="623">
        <v>3.7999999999999989</v>
      </c>
      <c r="G24" s="164"/>
      <c r="H24" s="1069">
        <v>3.9000000000000021</v>
      </c>
      <c r="I24" s="615"/>
      <c r="J24" s="1315">
        <v>4.3999999999999986</v>
      </c>
      <c r="K24" s="164"/>
      <c r="L24" s="1315">
        <f t="shared" si="2"/>
        <v>4.4000000000000004</v>
      </c>
      <c r="M24" s="615"/>
      <c r="N24" s="623"/>
      <c r="O24" s="615"/>
      <c r="P24" s="623"/>
      <c r="Q24" s="615"/>
      <c r="R24" s="623"/>
      <c r="S24" s="615"/>
      <c r="T24" s="623"/>
      <c r="U24" s="615"/>
      <c r="V24" s="1069"/>
      <c r="W24" s="615"/>
      <c r="X24" s="623"/>
      <c r="Y24" s="616"/>
      <c r="Z24" s="617"/>
      <c r="AA24" s="2009">
        <v>29.1</v>
      </c>
      <c r="AB24" s="616"/>
      <c r="AC24" s="615"/>
      <c r="AD24" s="2009">
        <v>25.2</v>
      </c>
      <c r="AE24" s="1071"/>
      <c r="AF24" s="765"/>
      <c r="AG24" s="778">
        <f>ROUND(SUM(AA24-AD24),1)</f>
        <v>3.9</v>
      </c>
      <c r="AH24" s="771"/>
      <c r="AI24" s="783">
        <f>ROUND(IF(AD24=0,1,AG24/ABS(AD24)),3)</f>
        <v>0.155</v>
      </c>
    </row>
    <row r="25" spans="1:35" s="278" customFormat="1" ht="22.5" customHeight="1">
      <c r="A25" s="172" t="s">
        <v>153</v>
      </c>
      <c r="B25" s="1284">
        <f>ROUND(SUM(B22)+SUM(B23)+SUM(B24),1)</f>
        <v>7</v>
      </c>
      <c r="C25" s="270"/>
      <c r="D25" s="624">
        <f>ROUND(SUM(D22)+SUM(D23)+SUM(D24),1)</f>
        <v>27.2</v>
      </c>
      <c r="E25" s="270"/>
      <c r="F25" s="1284">
        <f>ROUND(SUM(F22)+SUM(F23)+SUM(F24),1)</f>
        <v>12.7</v>
      </c>
      <c r="G25" s="624"/>
      <c r="H25" s="624">
        <f>ROUND(SUM(H22)+SUM(H23)+SUM(H24),1)</f>
        <v>11.8</v>
      </c>
      <c r="I25" s="619"/>
      <c r="J25" s="1287">
        <f>ROUND(SUM(J22)+SUM(J23)+SUM(J24),1)</f>
        <v>15.8</v>
      </c>
      <c r="K25" s="270"/>
      <c r="L25" s="1287">
        <f>ROUND(SUM(L22)+SUM(L23)+SUM(L24),1)</f>
        <v>12</v>
      </c>
      <c r="M25" s="619"/>
      <c r="N25" s="1287">
        <f>ROUND(SUM(N22)+SUM(N23)+SUM(N24),1)</f>
        <v>0</v>
      </c>
      <c r="O25" s="619"/>
      <c r="P25" s="1287">
        <f>ROUND(SUM(P22)+SUM(P23)+SUM(P24),1)</f>
        <v>0</v>
      </c>
      <c r="Q25" s="624"/>
      <c r="R25" s="1287">
        <f t="shared" ref="R25" si="3">ROUND(SUM(R22)+SUM(R23)+SUM(R24),1)</f>
        <v>0</v>
      </c>
      <c r="S25" s="619"/>
      <c r="T25" s="1284">
        <f>ROUND(SUM(T22)+SUM(T23)+SUM(T24),1)</f>
        <v>0</v>
      </c>
      <c r="U25" s="619"/>
      <c r="V25" s="2113">
        <f>ROUND(SUM(V22)+SUM(V23)+SUM(V24),1)</f>
        <v>0</v>
      </c>
      <c r="W25" s="619"/>
      <c r="X25" s="1287">
        <f>ROUND(SUM(X22)+SUM(X23)+SUM(X24),1)</f>
        <v>0</v>
      </c>
      <c r="Y25" s="620"/>
      <c r="Z25" s="621"/>
      <c r="AA25" s="633">
        <f>ROUND(SUM(AA22:AA24),1)</f>
        <v>86.5</v>
      </c>
      <c r="AB25" s="620"/>
      <c r="AC25" s="621"/>
      <c r="AD25" s="633">
        <f>ROUND(SUM(AD22:AD24),1)</f>
        <v>72.400000000000006</v>
      </c>
      <c r="AE25" s="793"/>
      <c r="AF25" s="765"/>
      <c r="AG25" s="795">
        <f>ROUND(SUM(AG22:AG24),1)</f>
        <v>14.1</v>
      </c>
      <c r="AH25" s="779"/>
      <c r="AI25" s="797">
        <f>ROUND(IF(AG25=0,0,AG25/ABS(AD25)),3)</f>
        <v>0.19500000000000001</v>
      </c>
    </row>
    <row r="26" spans="1:35" s="278" customFormat="1" ht="19.350000000000001" customHeight="1">
      <c r="A26" s="99"/>
      <c r="B26" s="269"/>
      <c r="C26" s="164"/>
      <c r="D26" s="269" t="s">
        <v>14</v>
      </c>
      <c r="E26" s="164"/>
      <c r="F26" s="269"/>
      <c r="G26" s="164"/>
      <c r="H26" s="622"/>
      <c r="I26" s="615"/>
      <c r="J26" s="622"/>
      <c r="K26" s="164"/>
      <c r="L26" s="622"/>
      <c r="M26" s="615"/>
      <c r="N26" s="622"/>
      <c r="O26" s="615"/>
      <c r="P26" s="622"/>
      <c r="Q26" s="615"/>
      <c r="R26" s="622"/>
      <c r="S26" s="615"/>
      <c r="T26" s="622"/>
      <c r="U26" s="615"/>
      <c r="V26" s="622"/>
      <c r="W26" s="615"/>
      <c r="X26" s="622"/>
      <c r="Y26" s="616"/>
      <c r="Z26" s="617"/>
      <c r="AA26" s="269"/>
      <c r="AB26" s="616"/>
      <c r="AC26" s="615"/>
      <c r="AD26" s="269"/>
      <c r="AE26" s="778"/>
      <c r="AF26" s="764"/>
      <c r="AG26" s="778"/>
      <c r="AH26" s="771"/>
      <c r="AI26" s="771"/>
    </row>
    <row r="27" spans="1:35" s="278" customFormat="1" ht="19.350000000000001" customHeight="1">
      <c r="A27" s="172" t="s">
        <v>154</v>
      </c>
      <c r="B27" s="164"/>
      <c r="C27" s="164"/>
      <c r="D27" s="164" t="s">
        <v>14</v>
      </c>
      <c r="E27" s="164"/>
      <c r="F27" s="164"/>
      <c r="G27" s="164"/>
      <c r="H27" s="615"/>
      <c r="I27" s="615"/>
      <c r="J27" s="615"/>
      <c r="K27" s="164"/>
      <c r="L27" s="615"/>
      <c r="M27" s="615"/>
      <c r="N27" s="615"/>
      <c r="O27" s="615"/>
      <c r="P27" s="615"/>
      <c r="Q27" s="615"/>
      <c r="R27" s="615"/>
      <c r="S27" s="615"/>
      <c r="T27" s="615"/>
      <c r="U27" s="615"/>
      <c r="V27" s="615"/>
      <c r="W27" s="615"/>
      <c r="X27" s="615"/>
      <c r="Y27" s="616"/>
      <c r="Z27" s="617"/>
      <c r="AA27" s="164"/>
      <c r="AB27" s="616"/>
      <c r="AC27" s="615"/>
      <c r="AD27" s="164"/>
      <c r="AE27" s="778"/>
      <c r="AF27" s="764"/>
      <c r="AG27" s="778"/>
      <c r="AH27" s="771"/>
      <c r="AI27" s="771"/>
    </row>
    <row r="28" spans="1:35" s="278" customFormat="1" ht="18.75" customHeight="1">
      <c r="A28" s="172" t="s">
        <v>44</v>
      </c>
      <c r="B28" s="625">
        <f>ROUND(B17-B25,1)</f>
        <v>3</v>
      </c>
      <c r="C28" s="270"/>
      <c r="D28" s="625">
        <f>ROUND(D17-D25,1)</f>
        <v>-16.3</v>
      </c>
      <c r="E28" s="270"/>
      <c r="F28" s="625">
        <f>ROUND(F17-F25,1)</f>
        <v>16.5</v>
      </c>
      <c r="G28" s="270"/>
      <c r="H28" s="625">
        <f>ROUND(H17-H25,1)</f>
        <v>3.3</v>
      </c>
      <c r="I28" s="270"/>
      <c r="J28" s="625">
        <f>ROUND(J17-J25,1)</f>
        <v>0</v>
      </c>
      <c r="K28" s="270"/>
      <c r="L28" s="625">
        <f>ROUND(L17-L25,1)</f>
        <v>-0.3</v>
      </c>
      <c r="M28" s="619"/>
      <c r="N28" s="625">
        <f>ROUND(N17-N25,1)</f>
        <v>0</v>
      </c>
      <c r="O28" s="619"/>
      <c r="P28" s="625">
        <f>ROUND(P17-P25,1)</f>
        <v>0</v>
      </c>
      <c r="Q28" s="2168"/>
      <c r="R28" s="625">
        <f t="shared" ref="R28" si="4">ROUND(R17-R25,1)</f>
        <v>0</v>
      </c>
      <c r="S28" s="619"/>
      <c r="T28" s="625">
        <f>ROUND(T17-T25,1)</f>
        <v>0</v>
      </c>
      <c r="U28" s="619"/>
      <c r="V28" s="625">
        <f>ROUND(V17-V25,1)</f>
        <v>0</v>
      </c>
      <c r="W28" s="619"/>
      <c r="X28" s="625">
        <f>ROUND(X17-X25,1)</f>
        <v>0</v>
      </c>
      <c r="Y28" s="620"/>
      <c r="Z28" s="621"/>
      <c r="AA28" s="626">
        <f>ROUND(AA17-AA25,1)</f>
        <v>6.2</v>
      </c>
      <c r="AB28" s="620"/>
      <c r="AC28" s="619"/>
      <c r="AD28" s="626">
        <f>ROUND(AD17-AD25,1)</f>
        <v>2.2999999999999998</v>
      </c>
      <c r="AE28" s="791"/>
      <c r="AF28" s="765"/>
      <c r="AG28" s="944">
        <f>ROUND(SUM(AA28-AD28),1)</f>
        <v>3.9</v>
      </c>
      <c r="AH28" s="771"/>
      <c r="AI28" s="1031">
        <f>ROUND(IF(AD28=0,1,AG28/ABS(AD28)),3)</f>
        <v>1.696</v>
      </c>
    </row>
    <row r="29" spans="1:35" s="278" customFormat="1" ht="19.350000000000001" customHeight="1">
      <c r="A29" s="99"/>
      <c r="B29" s="164"/>
      <c r="C29" s="164"/>
      <c r="D29" s="164" t="s">
        <v>14</v>
      </c>
      <c r="E29" s="164"/>
      <c r="F29" s="164"/>
      <c r="G29" s="164"/>
      <c r="H29" s="615"/>
      <c r="I29" s="615"/>
      <c r="J29" s="615" t="s">
        <v>1411</v>
      </c>
      <c r="K29" s="164"/>
      <c r="L29" s="615"/>
      <c r="M29" s="615"/>
      <c r="N29" s="622"/>
      <c r="O29" s="615"/>
      <c r="P29" s="615"/>
      <c r="Q29" s="615"/>
      <c r="R29" s="622"/>
      <c r="S29" s="615"/>
      <c r="T29" s="615"/>
      <c r="U29" s="615"/>
      <c r="V29" s="615"/>
      <c r="W29" s="615"/>
      <c r="X29" s="622"/>
      <c r="Y29" s="616"/>
      <c r="Z29" s="617"/>
      <c r="AA29" s="164"/>
      <c r="AB29" s="616"/>
      <c r="AC29" s="615"/>
      <c r="AD29" s="164"/>
      <c r="AE29" s="778"/>
      <c r="AF29" s="766"/>
      <c r="AG29" s="778"/>
      <c r="AH29" s="771"/>
      <c r="AI29" s="771"/>
    </row>
    <row r="30" spans="1:35" s="278" customFormat="1" ht="19.350000000000001" customHeight="1">
      <c r="A30" s="172" t="s">
        <v>45</v>
      </c>
      <c r="B30" s="164"/>
      <c r="C30" s="164"/>
      <c r="D30" s="164"/>
      <c r="E30" s="164"/>
      <c r="F30" s="164"/>
      <c r="G30" s="164"/>
      <c r="H30" s="615"/>
      <c r="I30" s="615"/>
      <c r="J30" s="615"/>
      <c r="K30" s="164"/>
      <c r="L30" s="615"/>
      <c r="M30" s="615"/>
      <c r="N30" s="615"/>
      <c r="O30" s="615"/>
      <c r="P30" s="615"/>
      <c r="Q30" s="615"/>
      <c r="R30" s="615"/>
      <c r="S30" s="615"/>
      <c r="T30" s="615"/>
      <c r="U30" s="615"/>
      <c r="V30" s="615"/>
      <c r="W30" s="615"/>
      <c r="X30" s="615"/>
      <c r="Y30" s="616"/>
      <c r="Z30" s="617"/>
      <c r="AA30" s="164"/>
      <c r="AB30" s="616"/>
      <c r="AC30" s="615"/>
      <c r="AD30" s="164"/>
      <c r="AE30" s="778"/>
      <c r="AF30" s="766"/>
      <c r="AG30" s="778"/>
      <c r="AH30" s="771"/>
      <c r="AI30" s="771"/>
    </row>
    <row r="31" spans="1:35" s="278" customFormat="1" ht="19.350000000000001" customHeight="1">
      <c r="A31" s="99" t="s">
        <v>178</v>
      </c>
      <c r="B31" s="623">
        <v>0</v>
      </c>
      <c r="C31" s="164"/>
      <c r="D31" s="623">
        <v>0</v>
      </c>
      <c r="E31" s="164"/>
      <c r="F31" s="623">
        <v>0</v>
      </c>
      <c r="G31" s="164"/>
      <c r="H31" s="623">
        <v>0</v>
      </c>
      <c r="I31" s="615"/>
      <c r="J31" s="623">
        <v>0</v>
      </c>
      <c r="K31" s="164"/>
      <c r="L31" s="623">
        <f>$AA31-$B31-$D31-$F31-$H31-$J31</f>
        <v>0</v>
      </c>
      <c r="M31" s="615"/>
      <c r="N31" s="623"/>
      <c r="O31" s="615"/>
      <c r="P31" s="623"/>
      <c r="Q31" s="615"/>
      <c r="R31" s="623"/>
      <c r="S31" s="615"/>
      <c r="T31" s="623"/>
      <c r="U31" s="615"/>
      <c r="V31" s="623"/>
      <c r="W31" s="615"/>
      <c r="X31" s="623"/>
      <c r="Y31" s="616"/>
      <c r="Z31" s="617"/>
      <c r="AA31" s="623">
        <v>0</v>
      </c>
      <c r="AB31" s="616"/>
      <c r="AC31" s="615"/>
      <c r="AD31" s="623">
        <v>0</v>
      </c>
      <c r="AE31" s="792"/>
      <c r="AF31" s="767"/>
      <c r="AG31" s="164">
        <f>ROUND(SUM(AA31-AD31),1)</f>
        <v>0</v>
      </c>
      <c r="AH31" s="782"/>
      <c r="AI31" s="783">
        <f>ROUND(IF(AG31=0,0,AG31/ABS(AD31)),3)</f>
        <v>0</v>
      </c>
    </row>
    <row r="32" spans="1:35" s="278" customFormat="1" ht="19.350000000000001" customHeight="1">
      <c r="A32" s="99" t="s">
        <v>179</v>
      </c>
      <c r="B32" s="623">
        <v>0</v>
      </c>
      <c r="C32" s="164"/>
      <c r="D32" s="623">
        <v>0</v>
      </c>
      <c r="E32" s="164"/>
      <c r="F32" s="623">
        <v>0</v>
      </c>
      <c r="G32" s="164"/>
      <c r="H32" s="1069">
        <v>0</v>
      </c>
      <c r="I32" s="615"/>
      <c r="J32" s="1315">
        <v>0</v>
      </c>
      <c r="K32" s="164"/>
      <c r="L32" s="1315">
        <f t="shared" ref="L32" si="5">$AA32-$B32-$D32-$F32-$H32-$J32</f>
        <v>0</v>
      </c>
      <c r="M32" s="615"/>
      <c r="N32" s="623"/>
      <c r="O32" s="615"/>
      <c r="P32" s="623"/>
      <c r="Q32" s="615"/>
      <c r="R32" s="623"/>
      <c r="S32" s="615"/>
      <c r="T32" s="623"/>
      <c r="U32" s="615"/>
      <c r="V32" s="1069"/>
      <c r="W32" s="615"/>
      <c r="X32" s="623"/>
      <c r="Y32" s="616"/>
      <c r="Z32" s="617"/>
      <c r="AA32" s="2009">
        <v>0</v>
      </c>
      <c r="AB32" s="616"/>
      <c r="AC32" s="615"/>
      <c r="AD32" s="2009">
        <v>0</v>
      </c>
      <c r="AE32" s="792"/>
      <c r="AF32" s="766"/>
      <c r="AG32" s="164">
        <f>ROUND(SUM(AA32-AD32),1)</f>
        <v>0</v>
      </c>
      <c r="AH32" s="782"/>
      <c r="AI32" s="783">
        <f>ROUND(IF(AG32=0,0,AG32/ABS(AD32)),3)</f>
        <v>0</v>
      </c>
    </row>
    <row r="33" spans="1:35" s="278" customFormat="1" ht="22.5" customHeight="1">
      <c r="A33" s="172" t="s">
        <v>204</v>
      </c>
      <c r="B33" s="627">
        <f>ROUND(SUM(B31:B32),1)</f>
        <v>0</v>
      </c>
      <c r="C33" s="270"/>
      <c r="D33" s="627">
        <f>ROUND(SUM(D31:D32),1)</f>
        <v>0</v>
      </c>
      <c r="E33" s="271"/>
      <c r="F33" s="627">
        <f>ROUND(SUM(F31:F32),1)</f>
        <v>0</v>
      </c>
      <c r="G33" s="271"/>
      <c r="H33" s="634">
        <f>ROUND(SUM(H31:H32),1)</f>
        <v>0</v>
      </c>
      <c r="I33" s="628"/>
      <c r="J33" s="627">
        <f>ROUND(SUM(J31:J32),1)</f>
        <v>0</v>
      </c>
      <c r="K33" s="271"/>
      <c r="L33" s="627">
        <f>ROUND(SUM(L31:L32),1)</f>
        <v>0</v>
      </c>
      <c r="M33" s="628"/>
      <c r="N33" s="627">
        <f>ROUND(SUM(N31:N32),1)</f>
        <v>0</v>
      </c>
      <c r="O33" s="628"/>
      <c r="P33" s="627">
        <f>ROUND(SUM(P31:P32),1)</f>
        <v>0</v>
      </c>
      <c r="Q33" s="628"/>
      <c r="R33" s="627">
        <f>ROUND(SUM(R31:R32),1)</f>
        <v>0</v>
      </c>
      <c r="S33" s="628"/>
      <c r="T33" s="627">
        <f>ROUND(SUM(T31:T32),1)</f>
        <v>0</v>
      </c>
      <c r="U33" s="628"/>
      <c r="V33" s="634">
        <f>ROUND(SUM(V31:V32),1)</f>
        <v>0</v>
      </c>
      <c r="W33" s="628"/>
      <c r="X33" s="627">
        <f>ROUND(SUM(X31:X32),1)</f>
        <v>0</v>
      </c>
      <c r="Y33" s="620"/>
      <c r="Z33" s="621"/>
      <c r="AA33" s="636">
        <f>ROUND(SUM(AA31:AA32),1)</f>
        <v>0</v>
      </c>
      <c r="AB33" s="2010"/>
      <c r="AC33" s="628"/>
      <c r="AD33" s="636">
        <f>ROUND(SUM(AD31:AD32),1)</f>
        <v>0</v>
      </c>
      <c r="AE33" s="793"/>
      <c r="AF33" s="767"/>
      <c r="AG33" s="795">
        <f>ROUND(SUM(AG31-AG32),1)</f>
        <v>0</v>
      </c>
      <c r="AH33" s="785"/>
      <c r="AI33" s="797">
        <f>ROUND(IF(AG33=0,0,AG33/ABS(AD33)),3)</f>
        <v>0</v>
      </c>
    </row>
    <row r="34" spans="1:35" s="278" customFormat="1" ht="19.350000000000001" customHeight="1">
      <c r="A34" s="99"/>
      <c r="B34" s="269"/>
      <c r="C34" s="164"/>
      <c r="D34" s="269" t="s">
        <v>14</v>
      </c>
      <c r="E34" s="164"/>
      <c r="F34" s="269"/>
      <c r="G34" s="164"/>
      <c r="H34" s="622"/>
      <c r="I34" s="615"/>
      <c r="J34" s="622"/>
      <c r="K34" s="164"/>
      <c r="L34" s="622"/>
      <c r="M34" s="615"/>
      <c r="N34" s="622"/>
      <c r="O34" s="615"/>
      <c r="P34" s="622"/>
      <c r="Q34" s="615"/>
      <c r="R34" s="622"/>
      <c r="S34" s="615"/>
      <c r="T34" s="622"/>
      <c r="U34" s="615"/>
      <c r="V34" s="622"/>
      <c r="W34" s="615"/>
      <c r="X34" s="622"/>
      <c r="Y34" s="616"/>
      <c r="Z34" s="617"/>
      <c r="AA34" s="269"/>
      <c r="AB34" s="616"/>
      <c r="AC34" s="615"/>
      <c r="AD34" s="269"/>
      <c r="AE34" s="778"/>
      <c r="AF34" s="764"/>
      <c r="AG34" s="778"/>
      <c r="AH34" s="771"/>
      <c r="AI34" s="771"/>
    </row>
    <row r="35" spans="1:35" s="278" customFormat="1" ht="19.350000000000001" customHeight="1">
      <c r="A35" s="172" t="s">
        <v>162</v>
      </c>
      <c r="B35" s="164"/>
      <c r="C35" s="164"/>
      <c r="D35" s="164" t="s">
        <v>14</v>
      </c>
      <c r="E35" s="164"/>
      <c r="F35" s="164"/>
      <c r="G35" s="164"/>
      <c r="H35" s="615"/>
      <c r="I35" s="615"/>
      <c r="J35" s="615"/>
      <c r="K35" s="164"/>
      <c r="L35" s="615"/>
      <c r="M35" s="615"/>
      <c r="N35" s="615"/>
      <c r="O35" s="615"/>
      <c r="P35" s="615"/>
      <c r="Q35" s="615"/>
      <c r="R35" s="615"/>
      <c r="S35" s="615"/>
      <c r="T35" s="615"/>
      <c r="U35" s="615"/>
      <c r="V35" s="615"/>
      <c r="W35" s="615"/>
      <c r="X35" s="615"/>
      <c r="Y35" s="616"/>
      <c r="Z35" s="617"/>
      <c r="AA35" s="164"/>
      <c r="AB35" s="616"/>
      <c r="AC35" s="615"/>
      <c r="AD35" s="164"/>
      <c r="AE35" s="778"/>
      <c r="AF35" s="764"/>
      <c r="AG35" s="778"/>
      <c r="AH35" s="771"/>
      <c r="AI35" s="771"/>
    </row>
    <row r="36" spans="1:35" s="278" customFormat="1" ht="19.350000000000001" customHeight="1">
      <c r="A36" s="172" t="s">
        <v>222</v>
      </c>
      <c r="B36" s="164"/>
      <c r="C36" s="164"/>
      <c r="D36" s="164"/>
      <c r="E36" s="164"/>
      <c r="F36" s="164"/>
      <c r="G36" s="164"/>
      <c r="H36" s="615"/>
      <c r="I36" s="615"/>
      <c r="J36" s="615"/>
      <c r="K36" s="164"/>
      <c r="L36" s="615"/>
      <c r="M36" s="615"/>
      <c r="N36" s="615"/>
      <c r="O36" s="615"/>
      <c r="P36" s="615"/>
      <c r="Q36" s="615"/>
      <c r="R36" s="615"/>
      <c r="S36" s="615"/>
      <c r="T36" s="271"/>
      <c r="U36" s="615"/>
      <c r="V36" s="271"/>
      <c r="W36" s="615"/>
      <c r="X36" s="615"/>
      <c r="Y36" s="616"/>
      <c r="Z36" s="617"/>
      <c r="AA36" s="164"/>
      <c r="AB36" s="616"/>
      <c r="AC36" s="615"/>
      <c r="AD36" s="271"/>
      <c r="AE36" s="794"/>
      <c r="AF36" s="768"/>
      <c r="AG36" s="778"/>
      <c r="AH36" s="771"/>
      <c r="AI36" s="771"/>
    </row>
    <row r="37" spans="1:35" s="279" customFormat="1" ht="19.350000000000001" customHeight="1">
      <c r="A37" s="172" t="s">
        <v>816</v>
      </c>
      <c r="B37" s="624">
        <f>ROUND(+B28+B33,1)</f>
        <v>3</v>
      </c>
      <c r="C37" s="270"/>
      <c r="D37" s="624">
        <f>ROUND(+D28+D33,1)</f>
        <v>-16.3</v>
      </c>
      <c r="E37" s="271"/>
      <c r="F37" s="624">
        <f>ROUND(+F28+F33,1)</f>
        <v>16.5</v>
      </c>
      <c r="G37" s="271"/>
      <c r="H37" s="624">
        <f>ROUND(+H28+H33,1)</f>
        <v>3.3</v>
      </c>
      <c r="I37" s="628"/>
      <c r="J37" s="624">
        <f>ROUND(+J28+J33,1)</f>
        <v>0</v>
      </c>
      <c r="K37" s="271"/>
      <c r="L37" s="624">
        <f>ROUND(+L28+L33,1)</f>
        <v>-0.3</v>
      </c>
      <c r="M37" s="624"/>
      <c r="N37" s="624">
        <f>ROUND(+N28+N33,1)</f>
        <v>0</v>
      </c>
      <c r="O37" s="624"/>
      <c r="P37" s="624">
        <f>ROUND(+P28+P33,1)</f>
        <v>0</v>
      </c>
      <c r="Q37" s="624"/>
      <c r="R37" s="624">
        <f>ROUND(+R28+R33,1)</f>
        <v>0</v>
      </c>
      <c r="S37" s="628"/>
      <c r="T37" s="624">
        <f>ROUND(+T28+T33,1)</f>
        <v>0</v>
      </c>
      <c r="U37" s="628"/>
      <c r="V37" s="624">
        <f>ROUND(+V28+V33,1)</f>
        <v>0</v>
      </c>
      <c r="W37" s="628"/>
      <c r="X37" s="624">
        <f>ROUND(+X28+X33,1)</f>
        <v>0</v>
      </c>
      <c r="Y37" s="620"/>
      <c r="Z37" s="621"/>
      <c r="AA37" s="624">
        <f>ROUND(AA28+AA33,1)</f>
        <v>6.2</v>
      </c>
      <c r="AB37" s="270"/>
      <c r="AC37" s="2011"/>
      <c r="AD37" s="624">
        <f>ROUND(AD28+AD33,1)</f>
        <v>2.2999999999999998</v>
      </c>
      <c r="AE37" s="791"/>
      <c r="AF37" s="769"/>
      <c r="AG37" s="944">
        <f>ROUND(SUM(AA37-AD37),1)</f>
        <v>3.9</v>
      </c>
      <c r="AH37" s="771"/>
      <c r="AI37" s="1030">
        <f>ROUND(IF(AD37=0,1,AG37/ABS(AD37)),3)</f>
        <v>1.696</v>
      </c>
    </row>
    <row r="38" spans="1:35" s="278" customFormat="1" ht="22.5" customHeight="1" thickBot="1">
      <c r="A38" s="172" t="s">
        <v>139</v>
      </c>
      <c r="B38" s="629">
        <f>ROUND(B13+B37,1)</f>
        <v>1258.7</v>
      </c>
      <c r="C38" s="268"/>
      <c r="D38" s="629">
        <f>ROUND(D13+D37,1)</f>
        <v>1242.4000000000001</v>
      </c>
      <c r="E38" s="268"/>
      <c r="F38" s="629">
        <f>ROUND(F13+F37,1)</f>
        <v>1258.9000000000001</v>
      </c>
      <c r="G38" s="268"/>
      <c r="H38" s="629">
        <f>ROUND(H13+H37,1)</f>
        <v>1262.2</v>
      </c>
      <c r="I38" s="630"/>
      <c r="J38" s="629">
        <f>ROUND(J13+J37,1)</f>
        <v>1262.2</v>
      </c>
      <c r="K38" s="268"/>
      <c r="L38" s="629">
        <f>ROUND(L13+L37,1)</f>
        <v>1261.9000000000001</v>
      </c>
      <c r="M38" s="268"/>
      <c r="N38" s="629">
        <f>ROUND(N13+N37,1)</f>
        <v>0</v>
      </c>
      <c r="O38" s="268"/>
      <c r="P38" s="629">
        <f>ROUND(P13+P37,1)</f>
        <v>0</v>
      </c>
      <c r="Q38" s="268"/>
      <c r="R38" s="629">
        <f>ROUND(R13+R37,1)</f>
        <v>0</v>
      </c>
      <c r="S38" s="630"/>
      <c r="T38" s="629">
        <f>ROUND(T13+T37,1)</f>
        <v>0</v>
      </c>
      <c r="U38" s="630"/>
      <c r="V38" s="629">
        <f>ROUND(V13+V37,1)</f>
        <v>0</v>
      </c>
      <c r="W38" s="630"/>
      <c r="X38" s="629">
        <f>ROUND(X13+X37,1)</f>
        <v>0</v>
      </c>
      <c r="Y38" s="607"/>
      <c r="Z38" s="608"/>
      <c r="AA38" s="629">
        <f>ROUND(SUM(AA13,AA37),1)</f>
        <v>1261.9000000000001</v>
      </c>
      <c r="AB38" s="268"/>
      <c r="AC38" s="2012"/>
      <c r="AD38" s="2013">
        <f>ROUND(SUM(AD13,AD37),1)</f>
        <v>321.2</v>
      </c>
      <c r="AE38" s="777"/>
      <c r="AF38" s="770"/>
      <c r="AG38" s="798">
        <f>ROUND(SUM(AA38-AD38),1)</f>
        <v>940.7</v>
      </c>
      <c r="AH38" s="784"/>
      <c r="AI38" s="970">
        <f>ROUND(IF(AD38=0,1,AG38/ABS(AD38)),3)</f>
        <v>2.9289999999999998</v>
      </c>
    </row>
    <row r="39" spans="1:35" s="278" customFormat="1" ht="19.350000000000001" customHeight="1" thickTop="1">
      <c r="A39" s="99" t="s">
        <v>14</v>
      </c>
      <c r="B39" s="631"/>
      <c r="C39" s="632"/>
      <c r="D39" s="631"/>
      <c r="E39" s="632"/>
      <c r="F39" s="631"/>
      <c r="G39" s="632"/>
      <c r="H39" s="631"/>
      <c r="I39" s="632"/>
      <c r="J39" s="631"/>
      <c r="K39" s="632"/>
      <c r="L39" s="631"/>
      <c r="M39" s="632"/>
      <c r="N39" s="631"/>
      <c r="O39" s="632"/>
      <c r="P39" s="631"/>
      <c r="Q39" s="632"/>
      <c r="R39" s="631"/>
      <c r="S39" s="632"/>
      <c r="T39" s="631"/>
      <c r="U39" s="632"/>
      <c r="V39" s="631"/>
      <c r="W39" s="632"/>
      <c r="X39" s="631"/>
      <c r="Y39" s="632"/>
      <c r="Z39" s="632"/>
      <c r="AA39" s="631"/>
      <c r="AB39" s="632"/>
      <c r="AC39" s="632"/>
      <c r="AD39" s="632"/>
      <c r="AE39" s="773"/>
      <c r="AF39" s="773"/>
      <c r="AG39" s="771"/>
      <c r="AH39" s="771"/>
      <c r="AI39" s="771"/>
    </row>
    <row r="40" spans="1:35" s="278" customFormat="1" ht="19.350000000000001" customHeight="1">
      <c r="B40" s="472"/>
      <c r="C40" s="472"/>
      <c r="D40" s="472"/>
      <c r="E40" s="472"/>
      <c r="F40" s="472"/>
      <c r="G40" s="472"/>
      <c r="H40" s="472"/>
      <c r="I40" s="472"/>
      <c r="J40" s="472"/>
      <c r="K40" s="472"/>
      <c r="L40" s="472"/>
      <c r="M40" s="472"/>
      <c r="N40" s="472"/>
      <c r="O40" s="472"/>
      <c r="P40" s="472"/>
      <c r="Q40" s="472"/>
      <c r="R40" s="472"/>
      <c r="S40" s="472"/>
      <c r="T40" s="472"/>
      <c r="U40" s="472"/>
      <c r="V40" s="472"/>
      <c r="W40" s="472"/>
      <c r="X40" s="472"/>
      <c r="Y40" s="472"/>
      <c r="Z40" s="632"/>
      <c r="AA40" s="632"/>
      <c r="AB40" s="632"/>
      <c r="AC40" s="632"/>
      <c r="AD40" s="632"/>
      <c r="AE40" s="773"/>
      <c r="AF40" s="773"/>
      <c r="AG40" s="771"/>
      <c r="AH40" s="771"/>
      <c r="AI40" s="771"/>
    </row>
    <row r="41" spans="1:35" ht="15.75" customHeight="1">
      <c r="A41" s="280"/>
      <c r="B41" s="472"/>
      <c r="C41" s="472"/>
      <c r="D41" s="472"/>
      <c r="E41" s="472"/>
      <c r="F41" s="472"/>
      <c r="G41" s="472"/>
      <c r="H41" s="472"/>
      <c r="I41" s="472"/>
      <c r="J41" s="472"/>
      <c r="K41" s="472"/>
      <c r="L41" s="472"/>
      <c r="M41" s="472"/>
      <c r="N41" s="472"/>
      <c r="O41" s="472"/>
      <c r="P41" s="472"/>
      <c r="Q41" s="472"/>
      <c r="R41" s="472"/>
      <c r="S41" s="472"/>
      <c r="T41" s="472"/>
      <c r="U41" s="472"/>
      <c r="V41" s="472"/>
      <c r="W41" s="472"/>
      <c r="X41" s="472"/>
      <c r="Y41" s="472"/>
      <c r="Z41" s="472"/>
      <c r="AA41" s="39"/>
      <c r="AB41" s="39"/>
      <c r="AC41" s="39"/>
      <c r="AD41" s="632"/>
      <c r="AE41" s="773"/>
      <c r="AF41" s="773"/>
    </row>
    <row r="42" spans="1:35">
      <c r="A42" s="278"/>
      <c r="B42" s="278"/>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row>
    <row r="43" spans="1:35" ht="13.5" customHeight="1">
      <c r="A43" s="499"/>
      <c r="B43" s="472"/>
      <c r="C43" s="472"/>
      <c r="D43" s="472"/>
      <c r="E43" s="472"/>
      <c r="F43" s="472"/>
      <c r="G43" s="472"/>
      <c r="H43" s="472"/>
      <c r="I43" s="472"/>
      <c r="J43" s="472"/>
      <c r="K43" s="472"/>
      <c r="L43" s="472"/>
      <c r="M43" s="472"/>
      <c r="N43" s="472"/>
      <c r="O43" s="472"/>
      <c r="P43" s="472"/>
      <c r="Q43" s="472"/>
      <c r="R43" s="472"/>
      <c r="S43" s="472"/>
      <c r="T43" s="472"/>
      <c r="U43" s="472"/>
      <c r="V43" s="472"/>
      <c r="W43" s="472"/>
      <c r="X43" s="472"/>
      <c r="Y43" s="472"/>
      <c r="Z43" s="472"/>
      <c r="AA43" s="39"/>
      <c r="AB43" s="39"/>
      <c r="AC43" s="39"/>
      <c r="AD43" s="632"/>
      <c r="AE43" s="773"/>
      <c r="AF43" s="773"/>
    </row>
    <row r="44" spans="1:35">
      <c r="A44" s="499"/>
      <c r="B44" s="472"/>
      <c r="C44" s="472"/>
      <c r="D44" s="472"/>
      <c r="E44" s="472"/>
      <c r="F44" s="472"/>
      <c r="G44" s="472"/>
      <c r="H44" s="472"/>
      <c r="I44" s="472"/>
      <c r="J44" s="472"/>
      <c r="K44" s="472"/>
      <c r="L44" s="472"/>
      <c r="M44" s="472"/>
      <c r="N44" s="472"/>
      <c r="O44" s="472"/>
      <c r="P44" s="472"/>
      <c r="Q44" s="472"/>
      <c r="R44" s="472"/>
      <c r="S44" s="472"/>
      <c r="T44" s="472"/>
      <c r="U44" s="472"/>
      <c r="V44" s="472"/>
      <c r="W44" s="472"/>
      <c r="X44" s="472"/>
      <c r="Y44" s="472"/>
      <c r="Z44" s="472"/>
      <c r="AA44" s="39"/>
      <c r="AB44" s="39"/>
      <c r="AC44" s="39"/>
      <c r="AD44" s="632"/>
      <c r="AE44" s="773"/>
      <c r="AF44" s="773"/>
    </row>
    <row r="45" spans="1:35">
      <c r="A45" s="499"/>
      <c r="B45" s="472"/>
      <c r="C45" s="472"/>
      <c r="D45" s="472"/>
      <c r="E45" s="472"/>
      <c r="F45" s="472"/>
      <c r="G45" s="472"/>
      <c r="H45" s="472"/>
      <c r="I45" s="472"/>
      <c r="J45" s="472"/>
      <c r="K45" s="472"/>
      <c r="L45" s="472"/>
      <c r="M45" s="472"/>
      <c r="N45" s="472"/>
      <c r="O45" s="472"/>
      <c r="P45" s="472"/>
      <c r="Q45" s="472"/>
      <c r="R45" s="472"/>
      <c r="S45" s="472"/>
      <c r="T45" s="472"/>
      <c r="U45" s="472"/>
      <c r="V45" s="472"/>
      <c r="W45" s="472"/>
      <c r="X45" s="472"/>
      <c r="Y45" s="472"/>
      <c r="Z45" s="472"/>
      <c r="AA45" s="39"/>
      <c r="AB45" s="39"/>
      <c r="AC45" s="39"/>
      <c r="AD45" s="632"/>
      <c r="AE45" s="773"/>
      <c r="AF45" s="773"/>
    </row>
    <row r="46" spans="1:35">
      <c r="A46" s="499"/>
      <c r="B46" s="472"/>
      <c r="C46" s="472"/>
      <c r="D46" s="472"/>
      <c r="E46" s="472"/>
      <c r="F46" s="472"/>
      <c r="G46" s="472"/>
      <c r="H46" s="472"/>
      <c r="I46" s="472"/>
      <c r="J46" s="472"/>
      <c r="K46" s="472"/>
      <c r="L46" s="472"/>
      <c r="M46" s="472"/>
      <c r="N46" s="472"/>
      <c r="O46" s="472"/>
      <c r="P46" s="472"/>
      <c r="Q46" s="472"/>
      <c r="R46" s="472"/>
      <c r="S46" s="472"/>
      <c r="T46" s="472"/>
      <c r="U46" s="472"/>
      <c r="V46" s="472"/>
      <c r="W46" s="472"/>
      <c r="X46" s="472"/>
      <c r="Y46" s="472"/>
      <c r="Z46" s="472"/>
      <c r="AA46" s="39"/>
      <c r="AB46" s="39"/>
      <c r="AC46" s="39"/>
      <c r="AD46" s="632"/>
      <c r="AE46" s="773"/>
      <c r="AF46" s="773"/>
    </row>
    <row r="47" spans="1:35">
      <c r="A47" s="499"/>
      <c r="B47" s="499"/>
      <c r="C47" s="499"/>
      <c r="D47" s="499"/>
      <c r="E47" s="499"/>
      <c r="F47" s="499"/>
      <c r="G47" s="499"/>
      <c r="H47" s="499"/>
      <c r="I47" s="499"/>
      <c r="J47" s="499"/>
      <c r="K47" s="499"/>
      <c r="L47" s="499"/>
      <c r="M47" s="499"/>
      <c r="N47" s="499"/>
      <c r="O47" s="499"/>
      <c r="P47" s="499"/>
      <c r="Q47" s="499"/>
      <c r="R47" s="499"/>
      <c r="S47" s="499"/>
      <c r="T47" s="499"/>
      <c r="U47" s="499"/>
      <c r="V47" s="499"/>
      <c r="W47" s="499"/>
      <c r="X47" s="499"/>
      <c r="Y47" s="499"/>
      <c r="Z47" s="499"/>
      <c r="AA47" s="21"/>
      <c r="AB47" s="21"/>
      <c r="AC47" s="21"/>
      <c r="AD47" s="99"/>
    </row>
  </sheetData>
  <mergeCells count="2">
    <mergeCell ref="AC9:AI9"/>
    <mergeCell ref="Z10:AI10"/>
  </mergeCells>
  <pageMargins left="0.25" right="0.25" top="0.5" bottom="0.25" header="0" footer="0.25"/>
  <pageSetup scale="42" firstPageNumber="36" fitToHeight="0" orientation="landscape" useFirstPageNumber="1" r:id="rId1"/>
  <headerFooter scaleWithDoc="0" alignWithMargins="0">
    <oddFooter>&amp;C&amp;8&amp;P</oddFooter>
  </headerFooter>
  <customProperties>
    <customPr name="SheetOptions" r:id="rId2"/>
  </customProperties>
  <ignoredErrors>
    <ignoredError sqref="AI24" formula="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7">
    <pageSetUpPr autoPageBreaks="0" fitToPage="1"/>
  </sheetPr>
  <dimension ref="A1:AJ47"/>
  <sheetViews>
    <sheetView showGridLines="0" zoomScale="80" zoomScaleNormal="80" workbookViewId="0"/>
  </sheetViews>
  <sheetFormatPr defaultColWidth="8.88671875" defaultRowHeight="12.75"/>
  <cols>
    <col min="1" max="1" width="46.88671875" style="276" customWidth="1"/>
    <col min="2" max="2" width="10" style="276" customWidth="1"/>
    <col min="3" max="3" width="1.88671875" style="276" customWidth="1"/>
    <col min="4" max="4" width="10.88671875" style="276" customWidth="1"/>
    <col min="5" max="5" width="1.88671875" style="276" customWidth="1"/>
    <col min="6" max="6" width="10" style="276" customWidth="1"/>
    <col min="7" max="7" width="1.88671875" style="276" customWidth="1"/>
    <col min="8" max="8" width="10" style="276" customWidth="1"/>
    <col min="9" max="9" width="1.88671875" style="276" customWidth="1"/>
    <col min="10" max="10" width="10.88671875" style="276" customWidth="1"/>
    <col min="11" max="11" width="1.88671875" style="276" customWidth="1"/>
    <col min="12" max="12" width="14.109375" style="276" customWidth="1"/>
    <col min="13" max="13" width="1.88671875" style="276" customWidth="1"/>
    <col min="14" max="14" width="15.44140625" style="276" bestFit="1" customWidth="1"/>
    <col min="15" max="15" width="1.88671875" style="276" customWidth="1"/>
    <col min="16" max="16" width="13.44140625" style="276" bestFit="1" customWidth="1"/>
    <col min="17" max="17" width="1.88671875" style="276" customWidth="1"/>
    <col min="18" max="18" width="15.109375" style="276" bestFit="1" customWidth="1"/>
    <col min="19" max="19" width="1.88671875" style="276" customWidth="1"/>
    <col min="20" max="20" width="11.88671875" style="276" customWidth="1"/>
    <col min="21" max="21" width="1.88671875" style="276" customWidth="1"/>
    <col min="22" max="22" width="12.88671875" style="276" bestFit="1" customWidth="1"/>
    <col min="23" max="23" width="1.88671875" style="276" customWidth="1"/>
    <col min="24" max="24" width="9.88671875" style="276" customWidth="1"/>
    <col min="25" max="26" width="1.88671875" style="276" customWidth="1"/>
    <col min="27" max="27" width="10.109375" style="276" customWidth="1"/>
    <col min="28" max="29" width="1.88671875" style="276" customWidth="1"/>
    <col min="30" max="30" width="10.109375" style="276" customWidth="1"/>
    <col min="31" max="31" width="1.88671875" style="276" customWidth="1"/>
    <col min="32" max="32" width="2.44140625" style="276" customWidth="1"/>
    <col min="33" max="33" width="10.109375" style="276" bestFit="1" customWidth="1"/>
    <col min="34" max="34" width="1.88671875" style="276" customWidth="1"/>
    <col min="35" max="35" width="11.109375" style="276" customWidth="1"/>
    <col min="36" max="16384" width="8.88671875" style="276"/>
  </cols>
  <sheetData>
    <row r="1" spans="1:36" ht="15">
      <c r="A1" s="468" t="s">
        <v>841</v>
      </c>
    </row>
    <row r="2" spans="1:36" ht="15">
      <c r="A2" s="598"/>
    </row>
    <row r="3" spans="1:36" ht="20.25" customHeight="1">
      <c r="A3" s="1906" t="s">
        <v>0</v>
      </c>
      <c r="B3" s="21"/>
      <c r="C3" s="21"/>
      <c r="D3" s="21"/>
      <c r="E3" s="21"/>
      <c r="F3" s="21"/>
      <c r="G3" s="21"/>
      <c r="H3" s="21"/>
      <c r="I3" s="21"/>
      <c r="J3" s="21"/>
      <c r="K3" s="19"/>
      <c r="L3" s="19"/>
      <c r="M3" s="21"/>
      <c r="N3" s="21"/>
      <c r="O3" s="21"/>
      <c r="P3" s="21"/>
      <c r="Q3" s="21"/>
      <c r="R3" s="21"/>
      <c r="S3" s="21"/>
      <c r="T3" s="21"/>
      <c r="U3" s="21"/>
      <c r="V3" s="21"/>
      <c r="W3" s="21"/>
      <c r="X3" s="21"/>
      <c r="Y3" s="21"/>
      <c r="Z3" s="21"/>
      <c r="AA3" s="21"/>
      <c r="AB3" s="21"/>
      <c r="AC3" s="21"/>
      <c r="AD3" s="21"/>
      <c r="AE3" s="21"/>
      <c r="AF3" s="21"/>
      <c r="AG3" s="278"/>
      <c r="AI3" s="602" t="s">
        <v>224</v>
      </c>
    </row>
    <row r="4" spans="1:36" ht="20.25" customHeight="1">
      <c r="A4" s="1002" t="s">
        <v>223</v>
      </c>
      <c r="B4" s="21"/>
      <c r="C4" s="21"/>
      <c r="D4" s="21"/>
      <c r="E4" s="21"/>
      <c r="F4" s="21"/>
      <c r="G4" s="21"/>
      <c r="H4" s="19" t="s">
        <v>14</v>
      </c>
      <c r="I4" s="21"/>
      <c r="J4" s="21"/>
      <c r="K4" s="19"/>
      <c r="L4" s="19"/>
      <c r="M4" s="21"/>
      <c r="N4" s="21"/>
      <c r="O4" s="21"/>
      <c r="P4" s="21"/>
      <c r="Q4" s="21"/>
      <c r="R4" s="21"/>
      <c r="S4" s="21"/>
      <c r="T4" s="21"/>
      <c r="U4" s="21"/>
      <c r="V4" s="21"/>
      <c r="W4" s="21"/>
      <c r="X4" s="21" t="s">
        <v>14</v>
      </c>
      <c r="Y4" s="21"/>
      <c r="Z4" s="21"/>
      <c r="AA4" s="21"/>
      <c r="AB4" s="21"/>
      <c r="AC4" s="21"/>
      <c r="AD4" s="21"/>
      <c r="AE4" s="21"/>
      <c r="AF4" s="21"/>
      <c r="AG4" s="278"/>
    </row>
    <row r="5" spans="1:36" ht="20.25" customHeight="1">
      <c r="A5" s="1002" t="s">
        <v>121</v>
      </c>
      <c r="B5" s="21"/>
      <c r="C5" s="21"/>
      <c r="D5" s="21"/>
      <c r="E5" s="21"/>
      <c r="F5" s="21"/>
      <c r="G5" s="21"/>
      <c r="H5" s="21"/>
      <c r="I5" s="21"/>
      <c r="J5" s="21"/>
      <c r="K5" s="19"/>
      <c r="L5" s="19"/>
      <c r="M5" s="21"/>
      <c r="N5" s="21"/>
      <c r="O5" s="21"/>
      <c r="P5" s="21"/>
      <c r="Q5" s="21"/>
      <c r="R5" s="21"/>
      <c r="S5" s="21"/>
      <c r="T5" s="21"/>
      <c r="U5" s="21"/>
      <c r="V5" s="21"/>
      <c r="W5" s="21"/>
      <c r="X5" s="21"/>
      <c r="Y5" s="21"/>
      <c r="Z5" s="21"/>
      <c r="AB5" s="277"/>
      <c r="AC5" s="277"/>
      <c r="AE5" s="602"/>
      <c r="AG5" s="278"/>
    </row>
    <row r="6" spans="1:36" ht="20.25" customHeight="1">
      <c r="A6" s="1002" t="str">
        <f>'Cashflow Governmental'!A6</f>
        <v xml:space="preserve">FISCAL YEAR 2023-2024   </v>
      </c>
      <c r="B6" s="21"/>
      <c r="C6" s="21"/>
      <c r="D6" s="21"/>
      <c r="E6" s="21"/>
      <c r="F6" s="21"/>
      <c r="G6" s="21"/>
      <c r="H6" s="21"/>
      <c r="I6" s="21"/>
      <c r="J6" s="21"/>
      <c r="K6" s="19"/>
      <c r="L6" s="19"/>
      <c r="M6" s="21"/>
      <c r="N6" s="21"/>
      <c r="O6" s="21"/>
      <c r="P6" s="21"/>
      <c r="Q6" s="21"/>
      <c r="R6" s="21"/>
      <c r="S6" s="21"/>
      <c r="T6" s="21"/>
      <c r="U6" s="21"/>
      <c r="V6" s="21"/>
      <c r="W6" s="21"/>
      <c r="X6" s="21"/>
      <c r="Y6" s="21"/>
      <c r="Z6" s="21"/>
      <c r="AA6" s="21"/>
      <c r="AB6" s="21"/>
      <c r="AC6" s="21"/>
      <c r="AD6" s="21"/>
      <c r="AE6" s="21"/>
      <c r="AF6" s="21"/>
      <c r="AG6" s="278"/>
    </row>
    <row r="7" spans="1:36" ht="20.25" customHeight="1">
      <c r="A7" s="1906" t="s">
        <v>1199</v>
      </c>
      <c r="B7" s="21"/>
      <c r="C7" s="21"/>
      <c r="D7" s="21"/>
      <c r="E7" s="21"/>
      <c r="F7" s="21"/>
      <c r="G7" s="21"/>
      <c r="H7" s="21"/>
      <c r="I7" s="21"/>
      <c r="J7" s="21"/>
      <c r="K7" s="19"/>
      <c r="L7" s="21"/>
      <c r="M7" s="21"/>
      <c r="N7" s="21"/>
      <c r="O7" s="21"/>
      <c r="P7" s="21"/>
      <c r="Q7" s="21"/>
      <c r="R7" s="21"/>
      <c r="S7" s="21"/>
      <c r="T7" s="21"/>
      <c r="U7" s="21"/>
      <c r="V7" s="21"/>
      <c r="W7" s="21"/>
      <c r="X7" s="21"/>
      <c r="Y7" s="21"/>
      <c r="Z7" s="21"/>
      <c r="AA7" s="771"/>
      <c r="AB7" s="771"/>
      <c r="AC7" s="771"/>
      <c r="AD7" s="771"/>
      <c r="AE7" s="771"/>
      <c r="AF7" s="771"/>
      <c r="AG7" s="771"/>
      <c r="AH7" s="771"/>
      <c r="AI7" s="771"/>
    </row>
    <row r="8" spans="1:36" s="278" customFormat="1" ht="19.350000000000001" customHeight="1">
      <c r="A8" s="129"/>
      <c r="B8" s="21"/>
      <c r="C8" s="21"/>
      <c r="D8" s="21"/>
      <c r="E8" s="21"/>
      <c r="F8" s="21"/>
      <c r="G8" s="21"/>
      <c r="H8" s="21"/>
      <c r="I8" s="21"/>
      <c r="J8" s="21"/>
      <c r="K8" s="21"/>
      <c r="L8" s="21"/>
      <c r="M8" s="21"/>
      <c r="N8" s="21"/>
      <c r="O8" s="21"/>
      <c r="P8" s="21"/>
      <c r="Q8" s="21"/>
      <c r="R8" s="21"/>
      <c r="S8" s="21"/>
      <c r="T8" s="21"/>
      <c r="U8" s="21"/>
      <c r="V8" s="21"/>
      <c r="W8" s="21"/>
      <c r="X8" s="21"/>
      <c r="Y8" s="21"/>
      <c r="Z8" s="21"/>
      <c r="AA8" s="771"/>
      <c r="AB8" s="771"/>
      <c r="AC8" s="771"/>
      <c r="AD8" s="771"/>
      <c r="AE8" s="771"/>
      <c r="AF8" s="771"/>
      <c r="AG8" s="771"/>
      <c r="AH8" s="771"/>
      <c r="AI8" s="771"/>
    </row>
    <row r="9" spans="1:36" s="278" customFormat="1" ht="19.350000000000001" customHeight="1">
      <c r="A9" s="21"/>
      <c r="B9" s="21"/>
      <c r="C9" s="21"/>
      <c r="D9" s="21"/>
      <c r="E9" s="21"/>
      <c r="F9" s="21"/>
      <c r="G9" s="21"/>
      <c r="H9" s="19"/>
      <c r="I9" s="19"/>
      <c r="J9" s="19"/>
      <c r="K9" s="21"/>
      <c r="L9" s="21"/>
      <c r="M9" s="21"/>
      <c r="N9" s="21"/>
      <c r="O9" s="21"/>
      <c r="P9" s="21"/>
      <c r="Q9" s="21"/>
      <c r="R9" s="21"/>
      <c r="S9" s="21"/>
      <c r="T9" s="21"/>
      <c r="U9" s="21"/>
      <c r="V9" s="21"/>
      <c r="W9" s="21"/>
      <c r="X9" s="21"/>
      <c r="Y9" s="21"/>
      <c r="Z9" s="21"/>
      <c r="AA9" s="771"/>
      <c r="AB9" s="771"/>
      <c r="AC9" s="2345"/>
      <c r="AD9" s="2346"/>
      <c r="AE9" s="2346"/>
      <c r="AF9" s="2346"/>
      <c r="AG9" s="2346"/>
      <c r="AH9" s="2346"/>
      <c r="AI9" s="2346"/>
    </row>
    <row r="10" spans="1:36" s="278" customFormat="1" ht="19.350000000000001" customHeight="1">
      <c r="A10" s="99"/>
      <c r="B10" s="99"/>
      <c r="C10" s="99"/>
      <c r="D10" s="99"/>
      <c r="E10" s="99"/>
      <c r="F10" s="99"/>
      <c r="G10" s="99"/>
      <c r="H10" s="99"/>
      <c r="I10" s="99"/>
      <c r="J10" s="99"/>
      <c r="K10" s="99"/>
      <c r="L10" s="99"/>
      <c r="M10" s="99"/>
      <c r="N10" s="99"/>
      <c r="O10" s="99"/>
      <c r="P10" s="99"/>
      <c r="Q10" s="99"/>
      <c r="R10" s="99"/>
      <c r="S10" s="99"/>
      <c r="T10" s="99"/>
      <c r="U10" s="99"/>
      <c r="V10" s="604"/>
      <c r="W10" s="99"/>
      <c r="X10" s="603"/>
      <c r="Y10" s="604"/>
      <c r="AA10" s="2344" t="s">
        <v>1515</v>
      </c>
      <c r="AB10" s="2347"/>
      <c r="AC10" s="2347"/>
      <c r="AD10" s="2347"/>
      <c r="AE10" s="2347"/>
      <c r="AF10" s="2347"/>
      <c r="AG10" s="2347"/>
      <c r="AH10" s="2347"/>
      <c r="AI10" s="2347"/>
    </row>
    <row r="11" spans="1:36" s="278" customFormat="1" ht="19.350000000000001" customHeight="1">
      <c r="A11" s="99"/>
      <c r="B11" s="561" t="str">
        <f>'Cashflow Governmental'!C13</f>
        <v>2023</v>
      </c>
      <c r="C11" s="172"/>
      <c r="D11" s="172"/>
      <c r="E11" s="172"/>
      <c r="F11" s="172"/>
      <c r="G11" s="172"/>
      <c r="H11" s="172"/>
      <c r="I11" s="172"/>
      <c r="J11" s="172"/>
      <c r="K11" s="172"/>
      <c r="L11" s="172"/>
      <c r="M11" s="172"/>
      <c r="N11" s="172"/>
      <c r="O11" s="172"/>
      <c r="P11" s="172"/>
      <c r="Q11" s="172"/>
      <c r="R11" s="172"/>
      <c r="S11" s="172"/>
      <c r="T11" s="561">
        <f>'Cashflow Governmental'!U13</f>
        <v>2024</v>
      </c>
      <c r="U11" s="172"/>
      <c r="V11" s="562"/>
      <c r="W11" s="172"/>
      <c r="X11" s="172"/>
      <c r="Y11" s="172"/>
      <c r="Z11" s="172"/>
      <c r="AA11" s="763"/>
      <c r="AB11" s="763"/>
      <c r="AC11" s="763"/>
      <c r="AD11" s="789"/>
      <c r="AE11" s="789"/>
      <c r="AF11" s="763"/>
      <c r="AG11" s="774" t="s">
        <v>7</v>
      </c>
      <c r="AH11" s="774"/>
      <c r="AI11" s="775" t="s">
        <v>8</v>
      </c>
    </row>
    <row r="12" spans="1:36" s="278" customFormat="1" ht="19.350000000000001" customHeight="1">
      <c r="A12" s="99"/>
      <c r="B12" s="562" t="s">
        <v>122</v>
      </c>
      <c r="C12" s="172"/>
      <c r="D12" s="605" t="s">
        <v>123</v>
      </c>
      <c r="E12" s="172"/>
      <c r="F12" s="605" t="s">
        <v>124</v>
      </c>
      <c r="G12" s="172"/>
      <c r="H12" s="605" t="s">
        <v>125</v>
      </c>
      <c r="I12" s="172"/>
      <c r="J12" s="606" t="s">
        <v>221</v>
      </c>
      <c r="K12" s="172"/>
      <c r="L12" s="606" t="s">
        <v>141</v>
      </c>
      <c r="M12" s="172"/>
      <c r="N12" s="606" t="s">
        <v>142</v>
      </c>
      <c r="O12" s="172"/>
      <c r="P12" s="605" t="s">
        <v>129</v>
      </c>
      <c r="Q12" s="172"/>
      <c r="R12" s="605" t="s">
        <v>130</v>
      </c>
      <c r="S12" s="172"/>
      <c r="T12" s="606" t="s">
        <v>131</v>
      </c>
      <c r="U12" s="172"/>
      <c r="V12" s="605" t="s">
        <v>132</v>
      </c>
      <c r="W12" s="172"/>
      <c r="X12" s="606" t="s">
        <v>182</v>
      </c>
      <c r="Y12" s="172"/>
      <c r="Z12" s="172"/>
      <c r="AA12" s="785">
        <f>'Cashflow Governmental'!AB14</f>
        <v>2023</v>
      </c>
      <c r="AB12" s="785"/>
      <c r="AC12" s="785"/>
      <c r="AD12" s="1858">
        <f>'Cashflow Governmental'!AE14</f>
        <v>2022</v>
      </c>
      <c r="AE12" s="785"/>
      <c r="AF12" s="785"/>
      <c r="AG12" s="776" t="s">
        <v>11</v>
      </c>
      <c r="AH12" s="774"/>
      <c r="AI12" s="776" t="s">
        <v>12</v>
      </c>
    </row>
    <row r="13" spans="1:36" s="278" customFormat="1" ht="19.350000000000001" customHeight="1">
      <c r="A13" s="172" t="s">
        <v>134</v>
      </c>
      <c r="B13" s="1065">
        <v>53.1</v>
      </c>
      <c r="C13" s="268"/>
      <c r="D13" s="1065">
        <f>B38</f>
        <v>53.9</v>
      </c>
      <c r="E13" s="1065"/>
      <c r="F13" s="1065">
        <f t="shared" ref="F13:L13" si="0">D38</f>
        <v>54.5</v>
      </c>
      <c r="G13" s="268"/>
      <c r="H13" s="1065">
        <f t="shared" si="0"/>
        <v>54.8</v>
      </c>
      <c r="I13" s="630"/>
      <c r="J13" s="1065">
        <f t="shared" si="0"/>
        <v>55.8</v>
      </c>
      <c r="K13" s="268"/>
      <c r="L13" s="1065">
        <f t="shared" si="0"/>
        <v>56.1</v>
      </c>
      <c r="M13" s="630"/>
      <c r="N13" s="1065"/>
      <c r="O13" s="630"/>
      <c r="P13" s="1065"/>
      <c r="Q13" s="1780"/>
      <c r="R13" s="1065"/>
      <c r="S13" s="1780"/>
      <c r="T13" s="1065"/>
      <c r="U13" s="1065"/>
      <c r="V13" s="1065"/>
      <c r="W13" s="1065"/>
      <c r="X13" s="1065"/>
      <c r="Y13" s="607"/>
      <c r="Z13" s="608"/>
      <c r="AA13" s="1796">
        <f>+B13</f>
        <v>53.1</v>
      </c>
      <c r="AB13" s="1797"/>
      <c r="AC13" s="1798"/>
      <c r="AD13" s="1065">
        <v>45.9</v>
      </c>
      <c r="AE13" s="1066"/>
      <c r="AF13" s="1067"/>
      <c r="AG13" s="777">
        <f>ROUND(SUM(AA13-AD13),1)</f>
        <v>7.2</v>
      </c>
      <c r="AH13" s="771"/>
      <c r="AI13" s="1068">
        <f>ROUND(IF(AG13=0,0,AG13/(AD13)),3)</f>
        <v>0.157</v>
      </c>
    </row>
    <row r="14" spans="1:36" s="278" customFormat="1" ht="19.350000000000001" customHeight="1">
      <c r="A14" s="99"/>
      <c r="B14" s="99"/>
      <c r="C14" s="99"/>
      <c r="D14" s="99"/>
      <c r="E14" s="99"/>
      <c r="F14" s="99"/>
      <c r="G14" s="99"/>
      <c r="H14" s="613"/>
      <c r="I14" s="613"/>
      <c r="J14" s="613"/>
      <c r="K14" s="99"/>
      <c r="L14" s="613"/>
      <c r="M14" s="613"/>
      <c r="N14" s="613"/>
      <c r="O14" s="613"/>
      <c r="P14" s="613"/>
      <c r="Q14" s="613"/>
      <c r="R14" s="610"/>
      <c r="S14" s="613"/>
      <c r="T14" s="613"/>
      <c r="U14" s="613"/>
      <c r="V14" s="613"/>
      <c r="W14" s="613"/>
      <c r="X14" s="613"/>
      <c r="Y14" s="611"/>
      <c r="Z14" s="612"/>
      <c r="AA14" s="771"/>
      <c r="AB14" s="1799"/>
      <c r="AC14" s="1782"/>
      <c r="AD14" s="771"/>
      <c r="AE14" s="771"/>
      <c r="AF14" s="787"/>
      <c r="AG14" s="771"/>
      <c r="AH14" s="771"/>
      <c r="AI14" s="771"/>
    </row>
    <row r="15" spans="1:36" s="278" customFormat="1" ht="19.350000000000001" customHeight="1">
      <c r="A15" s="172" t="s">
        <v>13</v>
      </c>
      <c r="B15" s="99"/>
      <c r="C15" s="99"/>
      <c r="D15" s="99"/>
      <c r="E15" s="99"/>
      <c r="F15" s="99"/>
      <c r="G15" s="99"/>
      <c r="H15" s="613"/>
      <c r="I15" s="613"/>
      <c r="J15" s="613"/>
      <c r="K15" s="99"/>
      <c r="L15" s="613"/>
      <c r="M15" s="613"/>
      <c r="N15" s="613"/>
      <c r="O15" s="613"/>
      <c r="P15" s="613"/>
      <c r="Q15" s="613"/>
      <c r="R15" s="610"/>
      <c r="S15" s="613"/>
      <c r="T15" s="613"/>
      <c r="U15" s="613"/>
      <c r="V15" s="613"/>
      <c r="W15" s="613"/>
      <c r="X15" s="613"/>
      <c r="Y15" s="611"/>
      <c r="Z15" s="612"/>
      <c r="AA15" s="771"/>
      <c r="AB15" s="1799"/>
      <c r="AC15" s="1782"/>
      <c r="AD15" s="771"/>
      <c r="AE15" s="771"/>
      <c r="AF15" s="787"/>
      <c r="AG15" s="771"/>
      <c r="AH15" s="771"/>
      <c r="AI15" s="771"/>
    </row>
    <row r="16" spans="1:36" s="278" customFormat="1" ht="19.350000000000001" customHeight="1">
      <c r="A16" s="614" t="s">
        <v>175</v>
      </c>
      <c r="B16" s="1069">
        <v>0.9</v>
      </c>
      <c r="C16" s="164"/>
      <c r="D16" s="1069">
        <v>0.70000000000000007</v>
      </c>
      <c r="E16" s="164"/>
      <c r="F16" s="1069">
        <v>0.4</v>
      </c>
      <c r="G16" s="623"/>
      <c r="H16" s="1069">
        <v>1.1000000000000001</v>
      </c>
      <c r="I16" s="615"/>
      <c r="J16" s="1069">
        <v>0.29999999999999982</v>
      </c>
      <c r="K16" s="164"/>
      <c r="L16" s="1069">
        <f>$AA16-$B16-$D16-$F16-$H16-$J16</f>
        <v>1.3000000000000003</v>
      </c>
      <c r="M16" s="615"/>
      <c r="N16" s="1069"/>
      <c r="O16" s="615"/>
      <c r="P16" s="1069"/>
      <c r="Q16" s="623"/>
      <c r="R16" s="1069"/>
      <c r="S16" s="623"/>
      <c r="T16" s="1069"/>
      <c r="U16" s="623"/>
      <c r="V16" s="1069"/>
      <c r="W16" s="623"/>
      <c r="X16" s="1069"/>
      <c r="Y16" s="616"/>
      <c r="Z16" s="617"/>
      <c r="AA16" s="1069">
        <v>4.7</v>
      </c>
      <c r="AB16" s="1990"/>
      <c r="AC16" s="1991"/>
      <c r="AD16" s="1069">
        <v>3.9</v>
      </c>
      <c r="AE16" s="790"/>
      <c r="AF16" s="764"/>
      <c r="AG16" s="164">
        <f>ROUND(SUM(AA16-AD16),1)</f>
        <v>0.8</v>
      </c>
      <c r="AH16" s="771"/>
      <c r="AI16" s="1203">
        <f>ROUND(IF(AD16=0,1,AG16/ABS(AD16)),3)</f>
        <v>0.20499999999999999</v>
      </c>
      <c r="AJ16" s="2083"/>
    </row>
    <row r="17" spans="1:35" s="278" customFormat="1" ht="24" customHeight="1">
      <c r="A17" s="172" t="s">
        <v>147</v>
      </c>
      <c r="B17" s="624">
        <f>ROUND(SUM(B16),1)</f>
        <v>0.9</v>
      </c>
      <c r="C17" s="270"/>
      <c r="D17" s="624">
        <f>ROUND(SUM(D16),1)</f>
        <v>0.7</v>
      </c>
      <c r="E17" s="270"/>
      <c r="F17" s="624">
        <f>ROUND(SUM(F16),1)</f>
        <v>0.4</v>
      </c>
      <c r="G17" s="270"/>
      <c r="H17" s="624">
        <f>ROUND(SUM(H16),1)</f>
        <v>1.1000000000000001</v>
      </c>
      <c r="I17" s="271"/>
      <c r="J17" s="1706">
        <f>ROUND(SUM(J16),1)</f>
        <v>0.3</v>
      </c>
      <c r="K17" s="270"/>
      <c r="L17" s="624">
        <f>ROUND(SUM(L16),1)</f>
        <v>1.3</v>
      </c>
      <c r="M17" s="619"/>
      <c r="N17" s="624">
        <f>ROUND(SUM(N16),1)</f>
        <v>0</v>
      </c>
      <c r="O17" s="619"/>
      <c r="P17" s="624">
        <f>ROUND(SUM(P16),1)</f>
        <v>0</v>
      </c>
      <c r="Q17" s="624">
        <f t="shared" ref="Q17:R17" si="1">ROUND(SUM(Q16),1)</f>
        <v>0</v>
      </c>
      <c r="R17" s="624">
        <f t="shared" si="1"/>
        <v>0</v>
      </c>
      <c r="S17" s="619"/>
      <c r="T17" s="624">
        <f>ROUND(SUM(T16),1)</f>
        <v>0</v>
      </c>
      <c r="U17" s="619"/>
      <c r="V17" s="1287">
        <f>ROUND(SUM(V16),1)</f>
        <v>0</v>
      </c>
      <c r="W17" s="619"/>
      <c r="X17" s="1284">
        <f>ROUND(SUM(X16),1)</f>
        <v>0</v>
      </c>
      <c r="Y17" s="620"/>
      <c r="Z17" s="621"/>
      <c r="AA17" s="791">
        <f>ROUND(SUM(AA16),1)</f>
        <v>4.7</v>
      </c>
      <c r="AB17" s="1992"/>
      <c r="AC17" s="1993"/>
      <c r="AD17" s="624">
        <f>ROUND(SUM(AD16),1)</f>
        <v>3.9</v>
      </c>
      <c r="AE17" s="791"/>
      <c r="AF17" s="764"/>
      <c r="AG17" s="795">
        <f>ROUND(SUM(AG16),1)</f>
        <v>0.8</v>
      </c>
      <c r="AH17" s="796"/>
      <c r="AI17" s="1204">
        <f>ROUND(IF(AD17=0,1,AG17/ABS(AD17)),3)</f>
        <v>0.20499999999999999</v>
      </c>
    </row>
    <row r="18" spans="1:35" s="278" customFormat="1" ht="19.350000000000001" customHeight="1">
      <c r="A18" s="99"/>
      <c r="B18" s="269"/>
      <c r="C18" s="164"/>
      <c r="D18" s="269" t="s">
        <v>14</v>
      </c>
      <c r="E18" s="164"/>
      <c r="F18" s="269"/>
      <c r="G18" s="164"/>
      <c r="H18" s="622"/>
      <c r="I18" s="615"/>
      <c r="J18" s="622"/>
      <c r="K18" s="164"/>
      <c r="L18" s="622"/>
      <c r="M18" s="615"/>
      <c r="N18" s="622"/>
      <c r="O18" s="615"/>
      <c r="P18" s="622"/>
      <c r="Q18" s="615"/>
      <c r="R18" s="622"/>
      <c r="S18" s="615"/>
      <c r="T18" s="622"/>
      <c r="U18" s="615"/>
      <c r="V18" s="622"/>
      <c r="W18" s="615"/>
      <c r="X18" s="622"/>
      <c r="Y18" s="616"/>
      <c r="Z18" s="617"/>
      <c r="AA18" s="1994"/>
      <c r="AB18" s="1990"/>
      <c r="AC18" s="1991"/>
      <c r="AD18" s="622"/>
      <c r="AE18" s="778"/>
      <c r="AF18" s="764"/>
      <c r="AG18" s="778"/>
      <c r="AH18" s="771"/>
      <c r="AI18" s="771"/>
    </row>
    <row r="19" spans="1:35" s="278" customFormat="1" ht="19.350000000000001" customHeight="1">
      <c r="A19" s="99"/>
      <c r="B19" s="164"/>
      <c r="C19" s="164"/>
      <c r="D19" s="164" t="s">
        <v>14</v>
      </c>
      <c r="E19" s="164"/>
      <c r="F19" s="164"/>
      <c r="G19" s="164"/>
      <c r="H19" s="615"/>
      <c r="I19" s="615"/>
      <c r="J19" s="615"/>
      <c r="K19" s="164"/>
      <c r="L19" s="615"/>
      <c r="M19" s="615"/>
      <c r="N19" s="615"/>
      <c r="O19" s="615"/>
      <c r="P19" s="615"/>
      <c r="Q19" s="615"/>
      <c r="R19" s="615"/>
      <c r="S19" s="615"/>
      <c r="T19" s="615"/>
      <c r="U19" s="615"/>
      <c r="V19" s="615"/>
      <c r="W19" s="615"/>
      <c r="X19" s="615"/>
      <c r="Y19" s="616"/>
      <c r="Z19" s="617"/>
      <c r="AA19" s="778"/>
      <c r="AB19" s="1990"/>
      <c r="AC19" s="1991"/>
      <c r="AD19" s="615"/>
      <c r="AE19" s="778"/>
      <c r="AF19" s="764"/>
      <c r="AG19" s="778"/>
      <c r="AH19" s="771"/>
      <c r="AI19" s="771"/>
    </row>
    <row r="20" spans="1:35" s="278" customFormat="1" ht="19.350000000000001" customHeight="1">
      <c r="A20" s="172" t="s">
        <v>22</v>
      </c>
      <c r="B20" s="164"/>
      <c r="C20" s="164"/>
      <c r="D20" s="164" t="s">
        <v>14</v>
      </c>
      <c r="E20" s="164"/>
      <c r="F20" s="164"/>
      <c r="G20" s="164"/>
      <c r="H20" s="615"/>
      <c r="I20" s="615"/>
      <c r="J20" s="615"/>
      <c r="K20" s="164"/>
      <c r="L20" s="615"/>
      <c r="M20" s="615"/>
      <c r="N20" s="615"/>
      <c r="O20" s="615"/>
      <c r="P20" s="615"/>
      <c r="Q20" s="615"/>
      <c r="R20" s="615"/>
      <c r="S20" s="615"/>
      <c r="T20" s="615"/>
      <c r="U20" s="615"/>
      <c r="V20" s="615"/>
      <c r="W20" s="615"/>
      <c r="X20" s="615"/>
      <c r="Y20" s="616"/>
      <c r="Z20" s="617"/>
      <c r="AA20" s="778"/>
      <c r="AB20" s="1990"/>
      <c r="AC20" s="1991"/>
      <c r="AD20" s="615"/>
      <c r="AE20" s="778"/>
      <c r="AF20" s="764"/>
      <c r="AG20" s="778"/>
      <c r="AH20" s="771"/>
      <c r="AI20" s="771"/>
    </row>
    <row r="21" spans="1:35" s="278" customFormat="1" ht="19.350000000000001" customHeight="1">
      <c r="A21" s="99" t="s">
        <v>149</v>
      </c>
      <c r="B21" s="165"/>
      <c r="C21" s="164"/>
      <c r="D21" s="164"/>
      <c r="E21" s="164"/>
      <c r="F21" s="164"/>
      <c r="G21" s="164"/>
      <c r="H21" s="615"/>
      <c r="I21" s="615"/>
      <c r="J21" s="615"/>
      <c r="K21" s="164"/>
      <c r="L21" s="615"/>
      <c r="M21" s="615"/>
      <c r="N21" s="615"/>
      <c r="O21" s="615"/>
      <c r="P21" s="615"/>
      <c r="Q21" s="615"/>
      <c r="R21" s="615"/>
      <c r="S21" s="615"/>
      <c r="T21" s="615"/>
      <c r="U21" s="615"/>
      <c r="V21" s="615"/>
      <c r="W21" s="615"/>
      <c r="X21" s="615"/>
      <c r="Y21" s="616"/>
      <c r="Z21" s="617"/>
      <c r="AA21" s="792"/>
      <c r="AB21" s="1995"/>
      <c r="AC21" s="1996"/>
      <c r="AD21" s="615"/>
      <c r="AE21" s="792"/>
      <c r="AF21" s="765"/>
      <c r="AG21" s="778"/>
      <c r="AH21" s="771"/>
      <c r="AI21" s="771"/>
    </row>
    <row r="22" spans="1:35" s="278" customFormat="1" ht="19.350000000000001" customHeight="1">
      <c r="A22" s="99" t="s">
        <v>215</v>
      </c>
      <c r="B22" s="623">
        <v>0.1</v>
      </c>
      <c r="C22" s="164"/>
      <c r="D22" s="623">
        <v>0</v>
      </c>
      <c r="E22" s="164"/>
      <c r="F22" s="623">
        <v>0.1</v>
      </c>
      <c r="G22" s="164"/>
      <c r="H22" s="623">
        <v>0</v>
      </c>
      <c r="I22" s="615"/>
      <c r="J22" s="623">
        <v>0</v>
      </c>
      <c r="K22" s="164"/>
      <c r="L22" s="623">
        <f>$AA22-$B22-$D22-$F22-$H22-$J22</f>
        <v>9.9999999999999978E-2</v>
      </c>
      <c r="M22" s="615"/>
      <c r="N22" s="623"/>
      <c r="O22" s="615"/>
      <c r="P22" s="623"/>
      <c r="Q22" s="623"/>
      <c r="R22" s="623"/>
      <c r="S22" s="623"/>
      <c r="T22" s="623"/>
      <c r="U22" s="623"/>
      <c r="V22" s="623"/>
      <c r="W22" s="623"/>
      <c r="X22" s="623"/>
      <c r="Y22" s="616"/>
      <c r="Z22" s="617"/>
      <c r="AA22" s="165">
        <v>0.3</v>
      </c>
      <c r="AB22" s="1990"/>
      <c r="AC22" s="1991"/>
      <c r="AD22" s="165">
        <v>0.30000000000000004</v>
      </c>
      <c r="AE22" s="1071"/>
      <c r="AF22" s="765"/>
      <c r="AG22" s="164">
        <f>ROUND(SUM(AA22-AD22),1)</f>
        <v>0</v>
      </c>
      <c r="AH22" s="771"/>
      <c r="AI22" s="485">
        <f>ROUND(IF(AD22=0,1,AG22/ABS(AD22)),3)</f>
        <v>0</v>
      </c>
    </row>
    <row r="23" spans="1:35" s="278" customFormat="1" ht="19.350000000000001" customHeight="1">
      <c r="A23" s="614" t="s">
        <v>167</v>
      </c>
      <c r="B23" s="623">
        <v>0</v>
      </c>
      <c r="C23" s="164"/>
      <c r="D23" s="623">
        <v>0</v>
      </c>
      <c r="E23" s="164"/>
      <c r="F23" s="623">
        <v>0</v>
      </c>
      <c r="G23" s="164"/>
      <c r="H23" s="623">
        <v>0</v>
      </c>
      <c r="I23" s="615"/>
      <c r="J23" s="623">
        <v>0</v>
      </c>
      <c r="K23" s="164"/>
      <c r="L23" s="623">
        <f t="shared" ref="L23:L24" si="2">$AA23-$B23-$D23-$F23-$H23-$J23</f>
        <v>0</v>
      </c>
      <c r="M23" s="615"/>
      <c r="N23" s="623"/>
      <c r="O23" s="165"/>
      <c r="P23" s="623"/>
      <c r="Q23" s="623"/>
      <c r="R23" s="623"/>
      <c r="S23" s="615"/>
      <c r="T23" s="623"/>
      <c r="U23" s="615"/>
      <c r="V23" s="623"/>
      <c r="W23" s="615"/>
      <c r="X23" s="623"/>
      <c r="Y23" s="616"/>
      <c r="Z23" s="617"/>
      <c r="AA23" s="165">
        <v>0</v>
      </c>
      <c r="AB23" s="1990"/>
      <c r="AC23" s="1991"/>
      <c r="AD23" s="165">
        <v>0</v>
      </c>
      <c r="AE23" s="792"/>
      <c r="AF23" s="765"/>
      <c r="AG23" s="164">
        <f>ROUND(SUM(AA23-AD23),1)</f>
        <v>0</v>
      </c>
      <c r="AH23" s="782"/>
      <c r="AI23" s="485">
        <f>ROUND(IF(AD23=0,0,AG23/ABS(AD23)),3)</f>
        <v>0</v>
      </c>
    </row>
    <row r="24" spans="1:35" s="278" customFormat="1" ht="19.350000000000001" customHeight="1">
      <c r="A24" s="99" t="s">
        <v>152</v>
      </c>
      <c r="B24" s="623">
        <v>0</v>
      </c>
      <c r="C24" s="164"/>
      <c r="D24" s="1069">
        <v>0.1</v>
      </c>
      <c r="E24" s="164"/>
      <c r="F24" s="623">
        <v>0</v>
      </c>
      <c r="G24" s="164"/>
      <c r="H24" s="1069">
        <v>0.1</v>
      </c>
      <c r="I24" s="615"/>
      <c r="J24" s="1069">
        <v>0</v>
      </c>
      <c r="K24" s="164"/>
      <c r="L24" s="623">
        <f t="shared" si="2"/>
        <v>0</v>
      </c>
      <c r="M24" s="615"/>
      <c r="N24" s="623"/>
      <c r="O24" s="615"/>
      <c r="P24" s="623"/>
      <c r="Q24" s="615"/>
      <c r="R24" s="623"/>
      <c r="S24" s="615"/>
      <c r="T24" s="623"/>
      <c r="U24" s="615"/>
      <c r="V24" s="1069"/>
      <c r="W24" s="615"/>
      <c r="X24" s="623"/>
      <c r="Y24" s="616"/>
      <c r="Z24" s="617"/>
      <c r="AA24" s="1997">
        <v>0.2</v>
      </c>
      <c r="AB24" s="1990"/>
      <c r="AC24" s="1991"/>
      <c r="AD24" s="1997">
        <v>0.1</v>
      </c>
      <c r="AE24" s="1071"/>
      <c r="AF24" s="765"/>
      <c r="AG24" s="164">
        <f>ROUND(SUM(AA24-AD24),1)</f>
        <v>0.1</v>
      </c>
      <c r="AH24" s="771"/>
      <c r="AI24" s="485">
        <f>ROUND(IF(AD24=0,1,AG24/ABS(AD24)),3)</f>
        <v>1</v>
      </c>
    </row>
    <row r="25" spans="1:35" s="278" customFormat="1" ht="22.5" customHeight="1">
      <c r="A25" s="172" t="s">
        <v>153</v>
      </c>
      <c r="B25" s="1288">
        <f>ROUND(SUM(B22:B24),1)</f>
        <v>0.1</v>
      </c>
      <c r="C25" s="270"/>
      <c r="D25" s="1298">
        <f>ROUND(SUM(D22:D24),1)</f>
        <v>0.1</v>
      </c>
      <c r="E25" s="270"/>
      <c r="F25" s="1298">
        <f>ROUND(SUM(F22:F24),1)</f>
        <v>0.1</v>
      </c>
      <c r="G25" s="270"/>
      <c r="H25" s="633">
        <f>ROUND(SUM(H22:H24),1)</f>
        <v>0.1</v>
      </c>
      <c r="I25" s="619"/>
      <c r="J25" s="1288">
        <f>ROUND(SUM(J22:J24),1)</f>
        <v>0</v>
      </c>
      <c r="K25" s="270"/>
      <c r="L25" s="1288">
        <f>ROUND(SUM(L22:L24),1)</f>
        <v>0.1</v>
      </c>
      <c r="M25" s="619"/>
      <c r="N25" s="1224">
        <f>ROUND(SUM(N22:N24),1)</f>
        <v>0</v>
      </c>
      <c r="O25" s="628"/>
      <c r="P25" s="1298">
        <f>ROUND(SUM(P22:P24),1)</f>
        <v>0</v>
      </c>
      <c r="Q25" s="633"/>
      <c r="R25" s="1298">
        <f t="shared" ref="R25" si="3">ROUND(SUM(R22:R24),1)</f>
        <v>0</v>
      </c>
      <c r="S25" s="619"/>
      <c r="T25" s="1298">
        <f>ROUND(SUM(T22:T24),1)</f>
        <v>0</v>
      </c>
      <c r="U25" s="628"/>
      <c r="V25" s="2114">
        <f>ROUND(SUM(V22:V24),1)</f>
        <v>0</v>
      </c>
      <c r="W25" s="628"/>
      <c r="X25" s="1288">
        <f>ROUND(SUM(X22:X24),1)</f>
        <v>0</v>
      </c>
      <c r="Y25" s="620"/>
      <c r="Z25" s="621"/>
      <c r="AA25" s="793">
        <f>ROUND(SUM(AA22:AA24),1)</f>
        <v>0.5</v>
      </c>
      <c r="AB25" s="1992"/>
      <c r="AC25" s="1993"/>
      <c r="AD25" s="633">
        <f>ROUND(SUM(AD22:AD24),1)</f>
        <v>0.4</v>
      </c>
      <c r="AE25" s="793"/>
      <c r="AF25" s="765"/>
      <c r="AG25" s="795">
        <f>ROUND(SUM(AG22:AG24),1)</f>
        <v>0.1</v>
      </c>
      <c r="AH25" s="779"/>
      <c r="AI25" s="797">
        <f>ROUND(IF(AD25=0,1,AG25/ABS(AD25)),3)</f>
        <v>0.25</v>
      </c>
    </row>
    <row r="26" spans="1:35" s="278" customFormat="1" ht="19.350000000000001" customHeight="1">
      <c r="A26" s="99"/>
      <c r="B26" s="269"/>
      <c r="C26" s="164"/>
      <c r="D26" s="269" t="s">
        <v>14</v>
      </c>
      <c r="E26" s="164"/>
      <c r="F26" s="269"/>
      <c r="G26" s="164"/>
      <c r="H26" s="622"/>
      <c r="I26" s="615"/>
      <c r="J26" s="622"/>
      <c r="K26" s="164"/>
      <c r="L26" s="622"/>
      <c r="M26" s="615"/>
      <c r="N26" s="622"/>
      <c r="O26" s="615"/>
      <c r="P26" s="622"/>
      <c r="Q26" s="615"/>
      <c r="R26" s="622"/>
      <c r="S26" s="615"/>
      <c r="T26" s="622"/>
      <c r="U26" s="615"/>
      <c r="V26" s="622"/>
      <c r="W26" s="615"/>
      <c r="X26" s="622"/>
      <c r="Y26" s="616"/>
      <c r="Z26" s="617"/>
      <c r="AA26" s="1994"/>
      <c r="AB26" s="1990"/>
      <c r="AC26" s="1991"/>
      <c r="AD26" s="622"/>
      <c r="AE26" s="778"/>
      <c r="AF26" s="764"/>
      <c r="AG26" s="778"/>
      <c r="AH26" s="771"/>
      <c r="AI26" s="771"/>
    </row>
    <row r="27" spans="1:35" s="278" customFormat="1" ht="19.350000000000001" customHeight="1">
      <c r="A27" s="172" t="s">
        <v>154</v>
      </c>
      <c r="B27" s="164"/>
      <c r="C27" s="164"/>
      <c r="D27" s="164" t="s">
        <v>14</v>
      </c>
      <c r="E27" s="164"/>
      <c r="F27" s="164"/>
      <c r="G27" s="164"/>
      <c r="H27" s="615"/>
      <c r="I27" s="615"/>
      <c r="J27" s="615"/>
      <c r="K27" s="164"/>
      <c r="L27" s="615"/>
      <c r="M27" s="615"/>
      <c r="N27" s="615"/>
      <c r="O27" s="615"/>
      <c r="P27" s="615"/>
      <c r="Q27" s="615"/>
      <c r="R27" s="615"/>
      <c r="S27" s="615"/>
      <c r="T27" s="615"/>
      <c r="U27" s="615"/>
      <c r="V27" s="615"/>
      <c r="W27" s="615"/>
      <c r="X27" s="615"/>
      <c r="Y27" s="616"/>
      <c r="Z27" s="617"/>
      <c r="AA27" s="778"/>
      <c r="AB27" s="1990"/>
      <c r="AC27" s="1991"/>
      <c r="AD27" s="615"/>
      <c r="AE27" s="778"/>
      <c r="AF27" s="764"/>
      <c r="AG27" s="778"/>
      <c r="AH27" s="771"/>
      <c r="AI27" s="771"/>
    </row>
    <row r="28" spans="1:35" s="278" customFormat="1" ht="18.75" customHeight="1">
      <c r="A28" s="172" t="s">
        <v>44</v>
      </c>
      <c r="B28" s="626">
        <f>ROUND(B17-B25,1)</f>
        <v>0.8</v>
      </c>
      <c r="C28" s="270"/>
      <c r="D28" s="626">
        <f>ROUND(D17-D25,1)</f>
        <v>0.6</v>
      </c>
      <c r="E28" s="634"/>
      <c r="F28" s="626">
        <f>ROUND(F17-F25,1)</f>
        <v>0.3</v>
      </c>
      <c r="G28" s="634"/>
      <c r="H28" s="626">
        <f>ROUND(H17-H25,1)</f>
        <v>1</v>
      </c>
      <c r="I28" s="634"/>
      <c r="J28" s="626">
        <f>ROUND(J17-J25,1)</f>
        <v>0.3</v>
      </c>
      <c r="K28" s="634"/>
      <c r="L28" s="626">
        <f>ROUND(L17-L25,1)</f>
        <v>1.2</v>
      </c>
      <c r="M28" s="635"/>
      <c r="N28" s="626">
        <f>ROUND(N17-N25,1)</f>
        <v>0</v>
      </c>
      <c r="O28" s="635"/>
      <c r="P28" s="626">
        <f>ROUND(P17-P25,1)</f>
        <v>0</v>
      </c>
      <c r="Q28" s="624"/>
      <c r="R28" s="626">
        <f t="shared" ref="R28" si="4">ROUND(R17-R25,1)</f>
        <v>0</v>
      </c>
      <c r="S28" s="635"/>
      <c r="T28" s="626">
        <f>ROUND(T17-T25,1)</f>
        <v>0</v>
      </c>
      <c r="U28" s="635"/>
      <c r="V28" s="626">
        <f>ROUND(V17-V25,1)</f>
        <v>0</v>
      </c>
      <c r="W28" s="635"/>
      <c r="X28" s="626">
        <f>ROUND(X17-X25,1)</f>
        <v>0</v>
      </c>
      <c r="Y28" s="620"/>
      <c r="Z28" s="621"/>
      <c r="AA28" s="1998">
        <f>ROUND(AA17-AA25,1)</f>
        <v>4.2</v>
      </c>
      <c r="AB28" s="1992"/>
      <c r="AC28" s="1999"/>
      <c r="AD28" s="626">
        <f>ROUND(AD17-AD25,1)</f>
        <v>3.5</v>
      </c>
      <c r="AE28" s="791"/>
      <c r="AF28" s="765"/>
      <c r="AG28" s="1785">
        <f>ROUND(SUM(AG17-AG25),1)</f>
        <v>0.7</v>
      </c>
      <c r="AH28" s="779"/>
      <c r="AI28" s="1290">
        <f>ROUND(IF(AD28=0,1,AG28/ABS(AD28)),3)</f>
        <v>0.2</v>
      </c>
    </row>
    <row r="29" spans="1:35" s="278" customFormat="1" ht="19.350000000000001" customHeight="1">
      <c r="A29" s="99"/>
      <c r="B29" s="164"/>
      <c r="C29" s="164"/>
      <c r="D29" s="164" t="s">
        <v>14</v>
      </c>
      <c r="E29" s="164"/>
      <c r="F29" s="164"/>
      <c r="G29" s="164"/>
      <c r="H29" s="615"/>
      <c r="I29" s="615"/>
      <c r="J29" s="615"/>
      <c r="K29" s="164"/>
      <c r="L29" s="615"/>
      <c r="M29" s="615"/>
      <c r="N29" s="622"/>
      <c r="O29" s="615"/>
      <c r="P29" s="615"/>
      <c r="Q29" s="615"/>
      <c r="R29" s="615"/>
      <c r="S29" s="615"/>
      <c r="T29" s="615"/>
      <c r="U29" s="615"/>
      <c r="V29" s="615"/>
      <c r="W29" s="615"/>
      <c r="X29" s="622"/>
      <c r="Y29" s="616"/>
      <c r="Z29" s="617"/>
      <c r="AA29" s="778"/>
      <c r="AB29" s="1990"/>
      <c r="AC29" s="1991"/>
      <c r="AD29" s="615"/>
      <c r="AE29" s="778"/>
      <c r="AF29" s="766"/>
      <c r="AG29" s="778"/>
      <c r="AH29" s="771"/>
      <c r="AI29" s="771"/>
    </row>
    <row r="30" spans="1:35" s="278" customFormat="1" ht="19.350000000000001" customHeight="1">
      <c r="A30" s="172" t="s">
        <v>45</v>
      </c>
      <c r="B30" s="164"/>
      <c r="C30" s="164"/>
      <c r="D30" s="164"/>
      <c r="E30" s="164"/>
      <c r="F30" s="164"/>
      <c r="G30" s="164"/>
      <c r="H30" s="615"/>
      <c r="I30" s="615"/>
      <c r="J30" s="615"/>
      <c r="K30" s="164"/>
      <c r="L30" s="615"/>
      <c r="M30" s="615"/>
      <c r="N30" s="615"/>
      <c r="O30" s="615"/>
      <c r="P30" s="615"/>
      <c r="Q30" s="615"/>
      <c r="R30" s="615"/>
      <c r="S30" s="615"/>
      <c r="T30" s="615"/>
      <c r="U30" s="615"/>
      <c r="V30" s="615"/>
      <c r="W30" s="615"/>
      <c r="X30" s="615"/>
      <c r="Y30" s="616"/>
      <c r="Z30" s="617"/>
      <c r="AA30" s="778"/>
      <c r="AB30" s="1990"/>
      <c r="AC30" s="1991"/>
      <c r="AD30" s="615"/>
      <c r="AE30" s="778"/>
      <c r="AF30" s="766"/>
      <c r="AG30" s="778"/>
      <c r="AH30" s="771"/>
      <c r="AI30" s="771"/>
    </row>
    <row r="31" spans="1:35" s="278" customFormat="1" ht="19.350000000000001" customHeight="1">
      <c r="A31" s="99" t="s">
        <v>178</v>
      </c>
      <c r="B31" s="623">
        <v>0</v>
      </c>
      <c r="C31" s="164"/>
      <c r="D31" s="623">
        <v>0</v>
      </c>
      <c r="E31" s="164"/>
      <c r="F31" s="623">
        <v>0</v>
      </c>
      <c r="G31" s="164"/>
      <c r="H31" s="623">
        <v>0</v>
      </c>
      <c r="I31" s="615"/>
      <c r="J31" s="623">
        <v>0</v>
      </c>
      <c r="K31" s="164"/>
      <c r="L31" s="623">
        <f>$AA31-$B31-$D31-$F31-$H31-$J31</f>
        <v>0</v>
      </c>
      <c r="M31" s="615"/>
      <c r="N31" s="623"/>
      <c r="O31" s="615"/>
      <c r="P31" s="623"/>
      <c r="Q31" s="615"/>
      <c r="R31" s="623"/>
      <c r="S31" s="615"/>
      <c r="T31" s="623"/>
      <c r="U31" s="615"/>
      <c r="V31" s="623"/>
      <c r="W31" s="615"/>
      <c r="X31" s="623"/>
      <c r="Y31" s="616"/>
      <c r="Z31" s="617"/>
      <c r="AA31" s="165">
        <v>0</v>
      </c>
      <c r="AB31" s="1990"/>
      <c r="AC31" s="1991"/>
      <c r="AD31" s="165">
        <v>0</v>
      </c>
      <c r="AE31" s="792"/>
      <c r="AF31" s="767"/>
      <c r="AG31" s="164">
        <f>ROUND(SUM(AA31-AD31),1)</f>
        <v>0</v>
      </c>
      <c r="AH31" s="782"/>
      <c r="AI31" s="1070">
        <f>ROUND(IF(AG31=0,0,AG31/ABS(AD31)),3)</f>
        <v>0</v>
      </c>
    </row>
    <row r="32" spans="1:35" s="278" customFormat="1" ht="19.350000000000001" customHeight="1">
      <c r="A32" s="99" t="s">
        <v>179</v>
      </c>
      <c r="B32" s="623">
        <v>0</v>
      </c>
      <c r="C32" s="164"/>
      <c r="D32" s="623">
        <v>0</v>
      </c>
      <c r="E32" s="164"/>
      <c r="F32" s="623">
        <v>0</v>
      </c>
      <c r="G32" s="164"/>
      <c r="H32" s="623">
        <v>0</v>
      </c>
      <c r="I32" s="615"/>
      <c r="J32" s="1069">
        <v>0</v>
      </c>
      <c r="K32" s="164"/>
      <c r="L32" s="623">
        <f>$AA32-$B32-$D32-$F32-$H32-$J32</f>
        <v>0</v>
      </c>
      <c r="M32" s="615"/>
      <c r="N32" s="623"/>
      <c r="O32" s="623"/>
      <c r="P32" s="623"/>
      <c r="Q32" s="615"/>
      <c r="R32" s="623"/>
      <c r="S32" s="615"/>
      <c r="T32" s="623"/>
      <c r="U32" s="615"/>
      <c r="V32" s="1069"/>
      <c r="W32" s="615"/>
      <c r="X32" s="623"/>
      <c r="Y32" s="616"/>
      <c r="Z32" s="617"/>
      <c r="AA32" s="165">
        <v>0</v>
      </c>
      <c r="AB32" s="2000"/>
      <c r="AC32" s="2001"/>
      <c r="AD32" s="165">
        <v>0</v>
      </c>
      <c r="AE32" s="792"/>
      <c r="AF32" s="766"/>
      <c r="AG32" s="164">
        <f>ROUND(SUM(AA32-AD32),1)</f>
        <v>0</v>
      </c>
      <c r="AH32" s="782"/>
      <c r="AI32" s="1070">
        <f>ROUND(IF(AG32=0,0,AG32/ABS(AD32)),3)</f>
        <v>0</v>
      </c>
    </row>
    <row r="33" spans="1:35" s="278" customFormat="1" ht="22.5" customHeight="1">
      <c r="A33" s="172" t="s">
        <v>204</v>
      </c>
      <c r="B33" s="636">
        <f>ROUND(SUM(B31:B32),1)</f>
        <v>0</v>
      </c>
      <c r="C33" s="270"/>
      <c r="D33" s="636">
        <f>ROUND(SUM(D31:D32),1)</f>
        <v>0</v>
      </c>
      <c r="E33" s="270"/>
      <c r="F33" s="636">
        <f>ROUND(SUM(F31:F32),1)</f>
        <v>0</v>
      </c>
      <c r="G33" s="270"/>
      <c r="H33" s="636">
        <f>ROUND(SUM(H31:H32),1)</f>
        <v>0</v>
      </c>
      <c r="I33" s="619"/>
      <c r="J33" s="636">
        <f>ROUND(SUM(J31:J32),1)</f>
        <v>0</v>
      </c>
      <c r="K33" s="270"/>
      <c r="L33" s="636">
        <f>ROUND(SUM(L31:L32),1)</f>
        <v>0</v>
      </c>
      <c r="M33" s="619"/>
      <c r="N33" s="636">
        <f>ROUND(SUM(N31:N32),1)</f>
        <v>0</v>
      </c>
      <c r="O33" s="619"/>
      <c r="P33" s="636">
        <f>ROUND(SUM(P31:P32),1)</f>
        <v>0</v>
      </c>
      <c r="Q33" s="633"/>
      <c r="R33" s="636">
        <f>ROUND(SUM(R31:R32),1)</f>
        <v>0</v>
      </c>
      <c r="S33" s="619"/>
      <c r="T33" s="636">
        <f>ROUND(SUM(T31:T32),1)</f>
        <v>0</v>
      </c>
      <c r="U33" s="619"/>
      <c r="V33" s="633">
        <f>ROUND(SUM(V31:V32),1)</f>
        <v>0</v>
      </c>
      <c r="W33" s="619"/>
      <c r="X33" s="636">
        <f>ROUND(SUM(X31:X32),1)</f>
        <v>0</v>
      </c>
      <c r="Y33" s="620"/>
      <c r="Z33" s="621"/>
      <c r="AA33" s="2002">
        <f>ROUND(SUM(AA31:AA32),1)</f>
        <v>0</v>
      </c>
      <c r="AB33" s="2003"/>
      <c r="AC33" s="2004"/>
      <c r="AD33" s="636">
        <f>ROUND(SUM(AD31:AD32),1)</f>
        <v>0</v>
      </c>
      <c r="AE33" s="793"/>
      <c r="AF33" s="767"/>
      <c r="AG33" s="795">
        <f>ROUND(SUM(AG31-AG32),1)</f>
        <v>0</v>
      </c>
      <c r="AH33" s="785"/>
      <c r="AI33" s="797">
        <f>ROUND(IF(AG33=0,0,AG33/ABS(AD33)),3)</f>
        <v>0</v>
      </c>
    </row>
    <row r="34" spans="1:35" s="278" customFormat="1" ht="19.350000000000001" customHeight="1">
      <c r="A34" s="99"/>
      <c r="B34" s="269"/>
      <c r="C34" s="164"/>
      <c r="D34" s="269" t="s">
        <v>14</v>
      </c>
      <c r="E34" s="164"/>
      <c r="F34" s="269"/>
      <c r="G34" s="164"/>
      <c r="H34" s="622"/>
      <c r="I34" s="615"/>
      <c r="J34" s="622"/>
      <c r="K34" s="164"/>
      <c r="L34" s="622"/>
      <c r="M34" s="615"/>
      <c r="N34" s="622"/>
      <c r="O34" s="615"/>
      <c r="P34" s="622"/>
      <c r="Q34" s="615"/>
      <c r="R34" s="622"/>
      <c r="S34" s="615"/>
      <c r="T34" s="622"/>
      <c r="U34" s="615"/>
      <c r="V34" s="622"/>
      <c r="W34" s="615"/>
      <c r="X34" s="622"/>
      <c r="Y34" s="616"/>
      <c r="Z34" s="617"/>
      <c r="AA34" s="1994"/>
      <c r="AB34" s="1990"/>
      <c r="AC34" s="1991"/>
      <c r="AD34" s="622"/>
      <c r="AE34" s="778"/>
      <c r="AF34" s="764"/>
      <c r="AG34" s="778"/>
      <c r="AH34" s="771"/>
      <c r="AI34" s="771"/>
    </row>
    <row r="35" spans="1:35" s="278" customFormat="1" ht="19.350000000000001" customHeight="1">
      <c r="A35" s="172" t="s">
        <v>162</v>
      </c>
      <c r="B35" s="164"/>
      <c r="C35" s="164"/>
      <c r="D35" s="164" t="s">
        <v>14</v>
      </c>
      <c r="E35" s="164"/>
      <c r="F35" s="164"/>
      <c r="G35" s="164"/>
      <c r="H35" s="615"/>
      <c r="I35" s="615"/>
      <c r="J35" s="615"/>
      <c r="K35" s="164"/>
      <c r="L35" s="615"/>
      <c r="M35" s="615"/>
      <c r="N35" s="615"/>
      <c r="O35" s="615"/>
      <c r="P35" s="615"/>
      <c r="Q35" s="615"/>
      <c r="R35" s="615"/>
      <c r="S35" s="615"/>
      <c r="T35" s="615"/>
      <c r="U35" s="615"/>
      <c r="V35" s="615"/>
      <c r="W35" s="615"/>
      <c r="X35" s="615"/>
      <c r="Y35" s="616"/>
      <c r="Z35" s="617"/>
      <c r="AA35" s="778"/>
      <c r="AB35" s="1990"/>
      <c r="AC35" s="1991"/>
      <c r="AD35" s="615"/>
      <c r="AE35" s="778"/>
      <c r="AF35" s="764"/>
      <c r="AG35" s="778"/>
      <c r="AH35" s="771"/>
      <c r="AI35" s="771"/>
    </row>
    <row r="36" spans="1:35" s="278" customFormat="1" ht="19.350000000000001" customHeight="1">
      <c r="A36" s="172" t="s">
        <v>222</v>
      </c>
      <c r="B36" s="164"/>
      <c r="C36" s="164"/>
      <c r="D36" s="164"/>
      <c r="E36" s="164"/>
      <c r="F36" s="164"/>
      <c r="G36" s="164"/>
      <c r="H36" s="615"/>
      <c r="I36" s="615"/>
      <c r="J36" s="615"/>
      <c r="K36" s="164"/>
      <c r="L36" s="615"/>
      <c r="M36" s="615"/>
      <c r="N36" s="615"/>
      <c r="O36" s="615"/>
      <c r="P36" s="615"/>
      <c r="Q36" s="615"/>
      <c r="R36" s="615"/>
      <c r="S36" s="615"/>
      <c r="T36" s="615"/>
      <c r="U36" s="615"/>
      <c r="V36" s="615"/>
      <c r="W36" s="615"/>
      <c r="X36" s="615"/>
      <c r="Y36" s="616"/>
      <c r="Z36" s="617"/>
      <c r="AA36" s="778"/>
      <c r="AB36" s="1990"/>
      <c r="AC36" s="1991"/>
      <c r="AD36" s="615"/>
      <c r="AE36" s="794"/>
      <c r="AF36" s="768"/>
      <c r="AG36" s="778"/>
      <c r="AH36" s="771"/>
      <c r="AI36" s="771"/>
    </row>
    <row r="37" spans="1:35" s="279" customFormat="1" ht="19.350000000000001" customHeight="1">
      <c r="A37" s="172" t="s">
        <v>164</v>
      </c>
      <c r="B37" s="624">
        <f>ROUND(B28+B33,1)</f>
        <v>0.8</v>
      </c>
      <c r="C37" s="270"/>
      <c r="D37" s="624">
        <f>ROUND(D28+D33,1)</f>
        <v>0.6</v>
      </c>
      <c r="E37" s="271"/>
      <c r="F37" s="624">
        <f>ROUND(F28+F33,1)</f>
        <v>0.3</v>
      </c>
      <c r="G37" s="271"/>
      <c r="H37" s="624">
        <f>ROUND(H28+H33,1)</f>
        <v>1</v>
      </c>
      <c r="I37" s="628"/>
      <c r="J37" s="624">
        <f>ROUND(J28+J33,1)</f>
        <v>0.3</v>
      </c>
      <c r="K37" s="271"/>
      <c r="L37" s="624">
        <f>ROUND(L28+L33,1)</f>
        <v>1.2</v>
      </c>
      <c r="M37" s="624"/>
      <c r="N37" s="624">
        <f>ROUND(N28+N33,1)</f>
        <v>0</v>
      </c>
      <c r="O37" s="624"/>
      <c r="P37" s="624">
        <f>ROUND(P28+P33,1)</f>
        <v>0</v>
      </c>
      <c r="Q37" s="624"/>
      <c r="R37" s="624">
        <f>ROUND(R28+R33,1)</f>
        <v>0</v>
      </c>
      <c r="S37" s="628"/>
      <c r="T37" s="624">
        <f>ROUND(T28+T33,1)</f>
        <v>0</v>
      </c>
      <c r="U37" s="628"/>
      <c r="V37" s="624">
        <f>ROUND(V28+V33,1)</f>
        <v>0</v>
      </c>
      <c r="W37" s="628"/>
      <c r="X37" s="624">
        <f>ROUND(X28+X33,1)</f>
        <v>0</v>
      </c>
      <c r="Y37" s="620"/>
      <c r="Z37" s="621"/>
      <c r="AA37" s="791">
        <f>ROUND(AA28+AA33,1)</f>
        <v>4.2</v>
      </c>
      <c r="AB37" s="1800"/>
      <c r="AC37" s="2005"/>
      <c r="AD37" s="624">
        <f>ROUND(AD28+AD33,1)</f>
        <v>3.5</v>
      </c>
      <c r="AE37" s="791"/>
      <c r="AF37" s="769"/>
      <c r="AG37" s="1800">
        <f>ROUND(SUM(AG28+AG33),1)</f>
        <v>0.7</v>
      </c>
      <c r="AH37" s="763"/>
      <c r="AI37" s="1290">
        <f>ROUND(IF(AD37=0,1,AG37/ABS(AD37)),3)</f>
        <v>0.2</v>
      </c>
    </row>
    <row r="38" spans="1:35" s="278" customFormat="1" ht="22.5" customHeight="1" thickBot="1">
      <c r="A38" s="172" t="s">
        <v>139</v>
      </c>
      <c r="B38" s="629">
        <f>ROUND(SUM(B13,B37),1)</f>
        <v>53.9</v>
      </c>
      <c r="C38" s="268"/>
      <c r="D38" s="629">
        <f>ROUND(SUM(D13,D37),1)</f>
        <v>54.5</v>
      </c>
      <c r="E38" s="268"/>
      <c r="F38" s="629">
        <f>ROUND(SUM(F13,F37),1)</f>
        <v>54.8</v>
      </c>
      <c r="G38" s="268"/>
      <c r="H38" s="629">
        <f>ROUND(SUM(H13,H37),1)</f>
        <v>55.8</v>
      </c>
      <c r="I38" s="630"/>
      <c r="J38" s="629">
        <f>ROUND(SUM(J13,J37),1)</f>
        <v>56.1</v>
      </c>
      <c r="K38" s="268"/>
      <c r="L38" s="629">
        <f>ROUND(SUM(L13,L37),1)</f>
        <v>57.3</v>
      </c>
      <c r="M38" s="268"/>
      <c r="N38" s="629">
        <f>ROUND(SUM(N13,N37),1)</f>
        <v>0</v>
      </c>
      <c r="O38" s="268"/>
      <c r="P38" s="629">
        <f>ROUND(SUM(P13,P37),1)</f>
        <v>0</v>
      </c>
      <c r="Q38" s="268"/>
      <c r="R38" s="629">
        <f>ROUND(SUM(R13,R37),1)</f>
        <v>0</v>
      </c>
      <c r="S38" s="630"/>
      <c r="T38" s="629">
        <f>ROUND(SUM(T13,T37),1)</f>
        <v>0</v>
      </c>
      <c r="U38" s="630"/>
      <c r="V38" s="629">
        <f>ROUND(SUM(V13,V37),1)</f>
        <v>0</v>
      </c>
      <c r="W38" s="630"/>
      <c r="X38" s="629">
        <f>ROUND(SUM(X13,X37),1)</f>
        <v>0</v>
      </c>
      <c r="Y38" s="607"/>
      <c r="Z38" s="608"/>
      <c r="AA38" s="2307">
        <f>ROUND(SUM(AA13,AA37),1)</f>
        <v>57.3</v>
      </c>
      <c r="AB38" s="777"/>
      <c r="AC38" s="2006"/>
      <c r="AD38" s="798">
        <f>ROUND(SUM(AD13,AD37),1)</f>
        <v>49.4</v>
      </c>
      <c r="AE38" s="777"/>
      <c r="AF38" s="770"/>
      <c r="AG38" s="798">
        <f>ROUND(SUM(AA38-AD38),1)</f>
        <v>7.9</v>
      </c>
      <c r="AH38" s="784"/>
      <c r="AI38" s="799">
        <f>ROUND(IF(AG38=0,0,AG38/ABS(AD38)),3)</f>
        <v>0.16</v>
      </c>
    </row>
    <row r="39" spans="1:35" s="278" customFormat="1" ht="19.350000000000001" customHeight="1" thickTop="1">
      <c r="A39" s="99" t="s">
        <v>14</v>
      </c>
      <c r="B39" s="631"/>
      <c r="C39" s="632"/>
      <c r="D39" s="631"/>
      <c r="E39" s="632"/>
      <c r="F39" s="631"/>
      <c r="G39" s="632"/>
      <c r="H39" s="631"/>
      <c r="I39" s="632"/>
      <c r="J39" s="631"/>
      <c r="K39" s="632"/>
      <c r="L39" s="631"/>
      <c r="M39" s="632"/>
      <c r="N39" s="631"/>
      <c r="O39" s="632"/>
      <c r="P39" s="631"/>
      <c r="Q39" s="632"/>
      <c r="R39" s="631"/>
      <c r="S39" s="632"/>
      <c r="T39" s="631"/>
      <c r="U39" s="632"/>
      <c r="V39" s="631"/>
      <c r="W39" s="632"/>
      <c r="X39" s="631"/>
      <c r="Y39" s="632"/>
      <c r="Z39" s="632"/>
      <c r="AA39" s="2166"/>
      <c r="AB39" s="773"/>
      <c r="AC39" s="773"/>
      <c r="AD39" s="773"/>
      <c r="AE39" s="773"/>
      <c r="AF39" s="773"/>
      <c r="AG39" s="771"/>
      <c r="AH39" s="771"/>
      <c r="AI39" s="771"/>
    </row>
    <row r="40" spans="1:35" s="278" customFormat="1" ht="19.350000000000001" customHeight="1">
      <c r="B40" s="39"/>
      <c r="C40" s="39"/>
      <c r="D40" s="39"/>
      <c r="E40" s="39"/>
      <c r="F40" s="39"/>
      <c r="G40" s="39"/>
      <c r="H40" s="39"/>
      <c r="I40" s="39"/>
      <c r="J40" s="39"/>
      <c r="K40" s="39"/>
      <c r="L40" s="39"/>
      <c r="M40" s="39"/>
      <c r="N40" s="39"/>
      <c r="O40" s="39"/>
      <c r="P40" s="39"/>
      <c r="Q40" s="39"/>
      <c r="R40" s="39"/>
      <c r="S40" s="39"/>
      <c r="T40" s="39"/>
      <c r="U40" s="39"/>
      <c r="V40" s="39"/>
      <c r="W40" s="39"/>
      <c r="X40" s="39"/>
      <c r="Y40" s="39"/>
      <c r="Z40" s="39"/>
      <c r="AA40" s="36"/>
      <c r="AB40" s="39"/>
      <c r="AC40" s="39"/>
      <c r="AD40" s="39"/>
      <c r="AE40" s="39"/>
      <c r="AF40" s="39"/>
    </row>
    <row r="41" spans="1:35" ht="15.75" customHeight="1">
      <c r="A41" s="280"/>
      <c r="B41" s="39"/>
      <c r="C41" s="39"/>
      <c r="D41" s="39"/>
      <c r="E41" s="39"/>
      <c r="F41" s="39"/>
      <c r="G41" s="39"/>
      <c r="H41" s="39"/>
      <c r="I41" s="39"/>
      <c r="J41" s="39"/>
      <c r="K41" s="39"/>
      <c r="L41" s="39"/>
      <c r="M41" s="39"/>
      <c r="N41" s="39"/>
      <c r="O41" s="39"/>
      <c r="P41" s="39"/>
      <c r="Q41" s="39"/>
      <c r="R41" s="39"/>
      <c r="S41" s="39"/>
      <c r="T41" s="39"/>
      <c r="U41" s="39"/>
      <c r="V41" s="39"/>
      <c r="W41" s="39"/>
      <c r="X41" s="39"/>
      <c r="Y41" s="39"/>
      <c r="Z41" s="39"/>
      <c r="AA41" s="36"/>
      <c r="AB41" s="39"/>
      <c r="AC41" s="39"/>
      <c r="AD41" s="39"/>
      <c r="AE41" s="39"/>
      <c r="AF41" s="39"/>
    </row>
    <row r="42" spans="1:35" ht="15">
      <c r="A42" s="278"/>
    </row>
    <row r="43" spans="1:35" ht="13.5" customHeight="1">
      <c r="A43" s="499"/>
      <c r="B43" s="39"/>
      <c r="C43" s="39"/>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row>
    <row r="44" spans="1:35" ht="15">
      <c r="A44" s="21"/>
      <c r="B44" s="39"/>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row>
    <row r="45" spans="1:35" ht="15">
      <c r="A45" s="21"/>
      <c r="B45" s="39"/>
      <c r="C45" s="39"/>
      <c r="D45" s="39"/>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c r="AE45" s="39"/>
      <c r="AF45" s="39"/>
    </row>
    <row r="46" spans="1:35" ht="15">
      <c r="A46" s="21"/>
      <c r="B46" s="39"/>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row>
    <row r="47" spans="1:35" ht="15">
      <c r="A47" s="21"/>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row>
  </sheetData>
  <mergeCells count="2">
    <mergeCell ref="AC9:AI9"/>
    <mergeCell ref="AA10:AI10"/>
  </mergeCells>
  <pageMargins left="0.25" right="0.25" top="0.5" bottom="0.25" header="0" footer="0.25"/>
  <pageSetup scale="42" firstPageNumber="37" fitToHeight="0" orientation="landscape" useFirstPageNumber="1" r:id="rId1"/>
  <headerFooter scaleWithDoc="0" alignWithMargins="0">
    <oddFooter>&amp;C&amp;8&amp;P</oddFooter>
  </headerFooter>
  <customProperties>
    <customPr name="SheetOptions" r:id="rId2"/>
  </customProperties>
  <ignoredErrors>
    <ignoredError sqref="AI23" formula="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8">
    <pageSetUpPr autoPageBreaks="0"/>
  </sheetPr>
  <dimension ref="A1:L169"/>
  <sheetViews>
    <sheetView showGridLines="0" zoomScale="90" zoomScaleNormal="90" workbookViewId="0"/>
  </sheetViews>
  <sheetFormatPr defaultColWidth="8.88671875" defaultRowHeight="15.75"/>
  <cols>
    <col min="1" max="1" width="56.88671875" style="533" customWidth="1"/>
    <col min="2" max="2" width="2.109375" style="533" customWidth="1"/>
    <col min="3" max="3" width="19" style="532" customWidth="1"/>
    <col min="4" max="4" width="1.88671875" style="533" customWidth="1"/>
    <col min="5" max="5" width="16.44140625" style="533" customWidth="1"/>
    <col min="6" max="6" width="1.5546875" style="533" customWidth="1"/>
    <col min="7" max="7" width="16.5546875" style="533" customWidth="1"/>
    <col min="8" max="8" width="1.5546875" style="533" customWidth="1"/>
    <col min="9" max="9" width="17.88671875" style="533" customWidth="1"/>
    <col min="10" max="10" width="1.5546875" style="533" customWidth="1"/>
    <col min="11" max="11" width="20.109375" style="533" customWidth="1"/>
    <col min="12" max="12" width="6.109375" style="533" customWidth="1"/>
    <col min="13" max="16384" width="8.88671875" style="533"/>
  </cols>
  <sheetData>
    <row r="1" spans="1:12">
      <c r="A1" s="468" t="s">
        <v>841</v>
      </c>
    </row>
    <row r="2" spans="1:12">
      <c r="A2" s="1686"/>
    </row>
    <row r="3" spans="1:12" ht="17.850000000000001" customHeight="1">
      <c r="A3" s="1687" t="s">
        <v>0</v>
      </c>
      <c r="B3" s="564"/>
      <c r="C3" s="564"/>
      <c r="D3" s="564"/>
      <c r="E3" s="564"/>
      <c r="F3" s="564"/>
      <c r="G3" s="564"/>
      <c r="H3" s="564"/>
      <c r="I3" s="564"/>
      <c r="J3" s="564"/>
      <c r="K3" s="1688" t="s">
        <v>226</v>
      </c>
      <c r="L3" s="564"/>
    </row>
    <row r="4" spans="1:12" ht="17.850000000000001" customHeight="1">
      <c r="A4" s="1687" t="s">
        <v>225</v>
      </c>
      <c r="B4" s="564"/>
      <c r="C4" s="564" t="s">
        <v>14</v>
      </c>
      <c r="D4" s="564"/>
      <c r="E4" s="564"/>
      <c r="F4" s="564"/>
      <c r="G4" s="564"/>
      <c r="H4" s="564"/>
      <c r="I4" s="564"/>
      <c r="J4" s="564"/>
      <c r="L4" s="1689"/>
    </row>
    <row r="5" spans="1:12" ht="17.850000000000001" customHeight="1">
      <c r="A5" s="1687" t="s">
        <v>1120</v>
      </c>
      <c r="B5" s="564"/>
      <c r="C5" s="564"/>
      <c r="D5" s="564"/>
      <c r="E5" s="564"/>
      <c r="F5" s="564"/>
      <c r="G5" s="564"/>
      <c r="H5" s="564"/>
      <c r="I5" s="564"/>
      <c r="J5" s="564"/>
      <c r="K5" s="1690"/>
      <c r="L5" s="1690"/>
    </row>
    <row r="6" spans="1:12" ht="17.850000000000001" customHeight="1">
      <c r="A6" s="1691" t="s">
        <v>227</v>
      </c>
      <c r="B6" s="564"/>
      <c r="C6" s="564"/>
      <c r="D6" s="564"/>
      <c r="E6" s="2129"/>
      <c r="F6" s="564"/>
      <c r="G6" s="564"/>
      <c r="H6" s="564"/>
      <c r="I6" s="564"/>
      <c r="J6" s="564"/>
      <c r="K6" s="309"/>
      <c r="L6" s="309"/>
    </row>
    <row r="7" spans="1:12" ht="17.850000000000001" customHeight="1">
      <c r="A7" s="1691" t="s">
        <v>1435</v>
      </c>
      <c r="B7" s="564"/>
      <c r="C7" s="564"/>
      <c r="D7" s="564"/>
      <c r="E7" s="564"/>
      <c r="F7" s="564"/>
      <c r="G7" s="564"/>
      <c r="H7" s="564"/>
      <c r="I7" s="564"/>
      <c r="J7" s="564"/>
      <c r="K7" s="309"/>
      <c r="L7" s="309"/>
    </row>
    <row r="8" spans="1:12" ht="17.850000000000001" customHeight="1">
      <c r="A8" s="1691" t="s">
        <v>1517</v>
      </c>
      <c r="B8" s="564"/>
      <c r="C8" s="564"/>
      <c r="D8" s="564"/>
      <c r="E8" s="564" t="s">
        <v>14</v>
      </c>
      <c r="F8" s="564"/>
      <c r="G8" s="564"/>
      <c r="H8" s="564"/>
      <c r="I8" s="564"/>
      <c r="J8" s="564"/>
      <c r="K8" s="564"/>
      <c r="L8" s="564"/>
    </row>
    <row r="9" spans="1:12" ht="17.850000000000001" customHeight="1">
      <c r="A9" s="1687" t="s">
        <v>1203</v>
      </c>
      <c r="B9" s="1692" t="s">
        <v>228</v>
      </c>
      <c r="C9" s="530"/>
      <c r="D9" s="530"/>
      <c r="E9" s="530"/>
      <c r="F9" s="530"/>
      <c r="G9" s="530"/>
      <c r="H9" s="530"/>
      <c r="I9" s="530"/>
      <c r="J9" s="530"/>
      <c r="K9" s="530"/>
      <c r="L9" s="530"/>
    </row>
    <row r="10" spans="1:12">
      <c r="A10" s="530"/>
      <c r="B10" s="530"/>
      <c r="C10" s="306" t="s">
        <v>229</v>
      </c>
      <c r="D10" s="310"/>
      <c r="E10" s="310"/>
      <c r="F10" s="310"/>
      <c r="G10" s="310"/>
      <c r="H10" s="310"/>
      <c r="I10" s="306" t="s">
        <v>230</v>
      </c>
      <c r="J10" s="310"/>
      <c r="K10" s="306" t="s">
        <v>229</v>
      </c>
      <c r="L10" s="306"/>
    </row>
    <row r="11" spans="1:12">
      <c r="A11" s="530"/>
      <c r="B11" s="530"/>
      <c r="C11" s="1851" t="s">
        <v>1516</v>
      </c>
      <c r="D11" s="310"/>
      <c r="E11" s="1328" t="s">
        <v>231</v>
      </c>
      <c r="F11" s="310"/>
      <c r="G11" s="1329" t="s">
        <v>232</v>
      </c>
      <c r="H11" s="310"/>
      <c r="I11" s="1329" t="s">
        <v>233</v>
      </c>
      <c r="J11" s="310"/>
      <c r="K11" s="1693" t="s">
        <v>1518</v>
      </c>
      <c r="L11" s="1330"/>
    </row>
    <row r="12" spans="1:12">
      <c r="A12" s="530"/>
      <c r="B12" s="530"/>
      <c r="C12" s="1330"/>
      <c r="D12" s="310"/>
      <c r="E12" s="306"/>
      <c r="F12" s="310"/>
      <c r="G12" s="306"/>
      <c r="H12" s="310"/>
      <c r="I12" s="306"/>
      <c r="J12" s="310"/>
      <c r="K12" s="1694"/>
      <c r="L12" s="1330"/>
    </row>
    <row r="13" spans="1:12">
      <c r="A13" s="307" t="s">
        <v>143</v>
      </c>
      <c r="B13" s="530"/>
      <c r="C13" s="530"/>
      <c r="D13" s="530"/>
      <c r="E13" s="529"/>
      <c r="F13" s="530"/>
      <c r="G13" s="529"/>
      <c r="H13" s="530"/>
      <c r="I13" s="529"/>
      <c r="J13" s="530"/>
      <c r="K13" s="530"/>
      <c r="L13" s="530"/>
    </row>
    <row r="14" spans="1:12">
      <c r="A14" s="530" t="s">
        <v>234</v>
      </c>
      <c r="B14" s="529"/>
      <c r="C14" s="1074">
        <v>0</v>
      </c>
      <c r="D14" s="1075"/>
      <c r="E14" s="1074">
        <v>3.9E-2</v>
      </c>
      <c r="F14" s="1075"/>
      <c r="G14" s="1074">
        <v>5363.3140000000003</v>
      </c>
      <c r="H14" s="1075"/>
      <c r="I14" s="1074">
        <v>5363.2749999999996</v>
      </c>
      <c r="J14" s="529"/>
      <c r="K14" s="572">
        <f>ROUND(SUM(C14)+SUM(E14)-SUM(G14)+SUM(I14),3)</f>
        <v>0</v>
      </c>
      <c r="L14" s="1294"/>
    </row>
    <row r="15" spans="1:12">
      <c r="A15" s="530" t="s">
        <v>235</v>
      </c>
      <c r="B15" s="530"/>
      <c r="C15" s="1076">
        <v>42494.78</v>
      </c>
      <c r="D15" s="1075"/>
      <c r="E15" s="1076">
        <v>7149.3059999999996</v>
      </c>
      <c r="F15" s="1075"/>
      <c r="G15" s="1076">
        <v>1441.3219999999999</v>
      </c>
      <c r="H15" s="1075"/>
      <c r="I15" s="1076">
        <v>-256.298</v>
      </c>
      <c r="J15" s="529"/>
      <c r="K15" s="466">
        <f t="shared" ref="K15:K23" si="0">ROUND(SUM(C15)+SUM(E15)-SUM(G15)+SUM(I15),3)</f>
        <v>47946.466</v>
      </c>
      <c r="L15" s="1297"/>
    </row>
    <row r="16" spans="1:12">
      <c r="A16" s="531" t="s">
        <v>236</v>
      </c>
      <c r="B16" s="530"/>
      <c r="C16" s="1076">
        <v>0</v>
      </c>
      <c r="D16" s="1075"/>
      <c r="E16" s="1076">
        <v>0</v>
      </c>
      <c r="F16" s="1075"/>
      <c r="G16" s="1076">
        <v>0</v>
      </c>
      <c r="H16" s="1075"/>
      <c r="I16" s="1076">
        <v>0</v>
      </c>
      <c r="J16" s="529"/>
      <c r="K16" s="466">
        <f t="shared" si="0"/>
        <v>0</v>
      </c>
      <c r="L16" s="1297"/>
    </row>
    <row r="17" spans="1:12">
      <c r="A17" s="530" t="s">
        <v>237</v>
      </c>
      <c r="B17" s="530"/>
      <c r="C17" s="1076">
        <v>0</v>
      </c>
      <c r="D17" s="1075"/>
      <c r="E17" s="1076">
        <v>0</v>
      </c>
      <c r="F17" s="1075"/>
      <c r="G17" s="1076">
        <v>0</v>
      </c>
      <c r="H17" s="1075"/>
      <c r="I17" s="1076">
        <v>0</v>
      </c>
      <c r="J17" s="529"/>
      <c r="K17" s="466">
        <f t="shared" si="0"/>
        <v>0</v>
      </c>
      <c r="L17" s="1297"/>
    </row>
    <row r="18" spans="1:12">
      <c r="A18" s="530" t="s">
        <v>238</v>
      </c>
      <c r="B18" s="530"/>
      <c r="C18" s="1076">
        <v>0</v>
      </c>
      <c r="D18" s="1075"/>
      <c r="E18" s="1076">
        <v>0</v>
      </c>
      <c r="F18" s="1075"/>
      <c r="G18" s="1076">
        <v>0</v>
      </c>
      <c r="H18" s="1075"/>
      <c r="I18" s="1076">
        <v>0</v>
      </c>
      <c r="J18" s="529"/>
      <c r="K18" s="466">
        <f t="shared" si="0"/>
        <v>0</v>
      </c>
      <c r="L18" s="1297"/>
    </row>
    <row r="19" spans="1:12">
      <c r="A19" s="530" t="s">
        <v>239</v>
      </c>
      <c r="B19" s="530"/>
      <c r="C19" s="1076">
        <v>25.51</v>
      </c>
      <c r="D19" s="1075"/>
      <c r="E19" s="1076">
        <v>0</v>
      </c>
      <c r="F19" s="1075"/>
      <c r="G19" s="1076">
        <v>4.1000000000000002E-2</v>
      </c>
      <c r="H19" s="1075"/>
      <c r="I19" s="1076">
        <v>0</v>
      </c>
      <c r="J19" s="529"/>
      <c r="K19" s="466">
        <f t="shared" si="0"/>
        <v>25.469000000000001</v>
      </c>
      <c r="L19" s="466"/>
    </row>
    <row r="20" spans="1:12">
      <c r="A20" s="530" t="s">
        <v>240</v>
      </c>
      <c r="B20" s="530"/>
      <c r="C20" s="1076">
        <v>0</v>
      </c>
      <c r="D20" s="1075"/>
      <c r="E20" s="1076">
        <v>0</v>
      </c>
      <c r="F20" s="1075"/>
      <c r="G20" s="1076">
        <v>0</v>
      </c>
      <c r="H20" s="1075"/>
      <c r="I20" s="1076">
        <v>0</v>
      </c>
      <c r="J20" s="529"/>
      <c r="K20" s="466">
        <f t="shared" si="0"/>
        <v>0</v>
      </c>
      <c r="L20" s="1297"/>
    </row>
    <row r="21" spans="1:12">
      <c r="A21" s="531" t="s">
        <v>241</v>
      </c>
      <c r="B21" s="530"/>
      <c r="C21" s="1076">
        <v>0</v>
      </c>
      <c r="D21" s="1075"/>
      <c r="E21" s="1076">
        <v>0</v>
      </c>
      <c r="F21" s="1075"/>
      <c r="G21" s="1076">
        <v>0</v>
      </c>
      <c r="H21" s="1075"/>
      <c r="I21" s="1076">
        <v>0</v>
      </c>
      <c r="J21" s="529"/>
      <c r="K21" s="466">
        <f t="shared" si="0"/>
        <v>0</v>
      </c>
      <c r="L21" s="1297"/>
    </row>
    <row r="22" spans="1:12">
      <c r="A22" s="531" t="s">
        <v>242</v>
      </c>
      <c r="B22" s="530"/>
      <c r="C22" s="1076">
        <v>0</v>
      </c>
      <c r="D22" s="1075"/>
      <c r="E22" s="1076">
        <v>0</v>
      </c>
      <c r="F22" s="1075"/>
      <c r="G22" s="1076">
        <v>0</v>
      </c>
      <c r="H22" s="1075"/>
      <c r="I22" s="1076">
        <v>0</v>
      </c>
      <c r="J22" s="529"/>
      <c r="K22" s="466">
        <f t="shared" si="0"/>
        <v>0</v>
      </c>
      <c r="L22" s="1297"/>
    </row>
    <row r="23" spans="1:12">
      <c r="A23" s="531" t="s">
        <v>243</v>
      </c>
      <c r="B23" s="530"/>
      <c r="C23" s="1076">
        <v>0</v>
      </c>
      <c r="D23" s="1075"/>
      <c r="E23" s="1076">
        <v>0</v>
      </c>
      <c r="F23" s="1075"/>
      <c r="G23" s="1076">
        <v>0</v>
      </c>
      <c r="H23" s="1075"/>
      <c r="I23" s="1076">
        <v>0</v>
      </c>
      <c r="J23" s="529"/>
      <c r="K23" s="466">
        <f t="shared" si="0"/>
        <v>0</v>
      </c>
      <c r="L23" s="1297"/>
    </row>
    <row r="24" spans="1:12">
      <c r="A24" s="304" t="s">
        <v>244</v>
      </c>
      <c r="B24" s="530"/>
      <c r="C24" s="305">
        <f>ROUND(SUM(C14:C23),3)</f>
        <v>42520.29</v>
      </c>
      <c r="D24" s="306"/>
      <c r="E24" s="305">
        <f>ROUND(SUM(E14:E23),3)</f>
        <v>7149.3450000000003</v>
      </c>
      <c r="F24" s="306"/>
      <c r="G24" s="305">
        <f>ROUND(SUM(G14:G23),3)</f>
        <v>6804.6769999999997</v>
      </c>
      <c r="H24" s="306"/>
      <c r="I24" s="305">
        <f>ROUND(SUM(I14:I23),3)</f>
        <v>5106.9769999999999</v>
      </c>
      <c r="J24" s="306"/>
      <c r="K24" s="305">
        <f>ROUND(SUM(K14:K23),3)</f>
        <v>47971.934999999998</v>
      </c>
      <c r="L24" s="312"/>
    </row>
    <row r="25" spans="1:12" ht="8.25" customHeight="1">
      <c r="A25" s="304"/>
      <c r="B25" s="530"/>
      <c r="C25" s="529"/>
      <c r="D25" s="466"/>
      <c r="E25" s="529"/>
      <c r="F25" s="466"/>
      <c r="G25" s="529"/>
      <c r="H25" s="466"/>
      <c r="I25" s="529"/>
      <c r="J25" s="466"/>
      <c r="K25" s="529"/>
      <c r="L25" s="529"/>
    </row>
    <row r="26" spans="1:12" ht="17.25">
      <c r="A26" s="531"/>
      <c r="B26" s="530"/>
      <c r="C26" s="530"/>
      <c r="D26" s="530"/>
      <c r="E26" s="530"/>
      <c r="F26" s="494"/>
      <c r="G26" s="530"/>
      <c r="H26" s="494"/>
      <c r="I26" s="530"/>
      <c r="J26" s="530"/>
      <c r="K26" s="466"/>
      <c r="L26" s="466"/>
    </row>
    <row r="27" spans="1:12" ht="17.25">
      <c r="A27" s="307" t="s">
        <v>759</v>
      </c>
      <c r="B27" s="530"/>
      <c r="C27" s="530"/>
      <c r="D27" s="530"/>
      <c r="E27" s="530"/>
      <c r="F27" s="494"/>
      <c r="G27" s="530"/>
      <c r="H27" s="494"/>
      <c r="I27" s="530"/>
      <c r="J27" s="530"/>
      <c r="K27" s="530"/>
      <c r="L27" s="530"/>
    </row>
    <row r="28" spans="1:12">
      <c r="A28" s="531" t="s">
        <v>245</v>
      </c>
      <c r="B28" s="530"/>
      <c r="C28" s="1076">
        <v>0.83699999999999997</v>
      </c>
      <c r="D28" s="1075"/>
      <c r="E28" s="1076">
        <v>4.0000000000000001E-3</v>
      </c>
      <c r="F28" s="1075"/>
      <c r="G28" s="1076">
        <v>0.01</v>
      </c>
      <c r="H28" s="1075"/>
      <c r="I28" s="1076">
        <v>0</v>
      </c>
      <c r="J28" s="529"/>
      <c r="K28" s="466">
        <f t="shared" ref="K28:K33" si="1">ROUND(SUM(C28)+SUM(E28)-SUM(G28)+SUM(I28),3)</f>
        <v>0.83099999999999996</v>
      </c>
      <c r="L28" s="1737"/>
    </row>
    <row r="29" spans="1:12">
      <c r="A29" s="531" t="s">
        <v>246</v>
      </c>
      <c r="B29" s="530"/>
      <c r="C29" s="1076">
        <v>64.956999999999994</v>
      </c>
      <c r="D29" s="1075"/>
      <c r="E29" s="1076">
        <v>0.74</v>
      </c>
      <c r="F29" s="1075"/>
      <c r="G29" s="1076">
        <v>0.63900000000000001</v>
      </c>
      <c r="H29" s="1075"/>
      <c r="I29" s="1076">
        <v>0</v>
      </c>
      <c r="J29" s="529"/>
      <c r="K29" s="466">
        <f t="shared" si="1"/>
        <v>65.058000000000007</v>
      </c>
      <c r="L29" s="1737"/>
    </row>
    <row r="30" spans="1:12">
      <c r="A30" s="530" t="s">
        <v>247</v>
      </c>
      <c r="B30" s="1692" t="s">
        <v>228</v>
      </c>
      <c r="C30" s="1076">
        <v>281.37</v>
      </c>
      <c r="D30" s="1075"/>
      <c r="E30" s="1076">
        <v>20.835000000000001</v>
      </c>
      <c r="F30" s="1075"/>
      <c r="G30" s="1076">
        <v>0.27800000000000002</v>
      </c>
      <c r="H30" s="1075"/>
      <c r="I30" s="1076">
        <v>0</v>
      </c>
      <c r="J30" s="529"/>
      <c r="K30" s="466">
        <f t="shared" si="1"/>
        <v>301.92700000000002</v>
      </c>
      <c r="L30" s="1737"/>
    </row>
    <row r="31" spans="1:12">
      <c r="A31" s="531" t="s">
        <v>248</v>
      </c>
      <c r="B31" s="1692"/>
      <c r="C31" s="1076">
        <v>2.4E-2</v>
      </c>
      <c r="D31" s="1075"/>
      <c r="E31" s="1076">
        <v>0</v>
      </c>
      <c r="F31" s="1075"/>
      <c r="G31" s="1076">
        <v>0.03</v>
      </c>
      <c r="H31" s="1075"/>
      <c r="I31" s="1076">
        <v>0</v>
      </c>
      <c r="J31" s="529"/>
      <c r="K31" s="466">
        <f t="shared" si="1"/>
        <v>-6.0000000000000001E-3</v>
      </c>
      <c r="L31" s="1737"/>
    </row>
    <row r="32" spans="1:12">
      <c r="A32" s="531" t="s">
        <v>249</v>
      </c>
      <c r="B32" s="1692"/>
      <c r="C32" s="1076">
        <v>0.58099999999999996</v>
      </c>
      <c r="D32" s="1075"/>
      <c r="E32" s="1076">
        <v>2E-3</v>
      </c>
      <c r="F32" s="1075"/>
      <c r="G32" s="1076">
        <v>5.7999999999999996E-2</v>
      </c>
      <c r="H32" s="1075"/>
      <c r="I32" s="1076">
        <v>0</v>
      </c>
      <c r="J32" s="529"/>
      <c r="K32" s="466">
        <f t="shared" si="1"/>
        <v>0.52500000000000002</v>
      </c>
      <c r="L32" s="1737"/>
    </row>
    <row r="33" spans="1:12">
      <c r="A33" s="530" t="s">
        <v>250</v>
      </c>
      <c r="B33" s="530"/>
      <c r="C33" s="1076">
        <v>10.795</v>
      </c>
      <c r="D33" s="1075"/>
      <c r="E33" s="1076">
        <v>0.71299999999999997</v>
      </c>
      <c r="F33" s="1075"/>
      <c r="G33" s="1076">
        <v>0.36399999999999999</v>
      </c>
      <c r="H33" s="1075"/>
      <c r="I33" s="1076">
        <v>0</v>
      </c>
      <c r="J33" s="529"/>
      <c r="K33" s="466">
        <f t="shared" si="1"/>
        <v>11.144</v>
      </c>
      <c r="L33" s="1737"/>
    </row>
    <row r="34" spans="1:12">
      <c r="A34" s="530" t="s">
        <v>251</v>
      </c>
      <c r="B34" s="530"/>
      <c r="C34" s="1852"/>
      <c r="D34"/>
      <c r="E34" s="1093"/>
      <c r="F34" s="1093"/>
      <c r="G34" s="1093"/>
      <c r="H34" s="1093"/>
      <c r="I34" s="1093"/>
      <c r="J34" s="308"/>
      <c r="K34" s="979"/>
      <c r="L34" s="1295"/>
    </row>
    <row r="35" spans="1:12">
      <c r="A35" s="530" t="s">
        <v>252</v>
      </c>
      <c r="B35" s="530"/>
      <c r="C35" s="1076">
        <v>10.117000000000001</v>
      </c>
      <c r="D35" s="1075"/>
      <c r="E35" s="1076">
        <v>0.77700000000000002</v>
      </c>
      <c r="F35" s="1075"/>
      <c r="G35" s="1076">
        <v>0.47199999999999998</v>
      </c>
      <c r="H35" s="1075"/>
      <c r="I35" s="1076">
        <v>0</v>
      </c>
      <c r="J35" s="529"/>
      <c r="K35" s="466">
        <f t="shared" ref="K35:K60" si="2">ROUND(SUM(C35)+SUM(E35)-SUM(G35)+SUM(I35),3)</f>
        <v>10.422000000000001</v>
      </c>
      <c r="L35" s="1096"/>
    </row>
    <row r="36" spans="1:12">
      <c r="A36" s="530" t="s">
        <v>253</v>
      </c>
      <c r="B36" s="530"/>
      <c r="C36" s="1076">
        <v>0</v>
      </c>
      <c r="D36" s="1075"/>
      <c r="E36" s="1076">
        <v>0</v>
      </c>
      <c r="F36" s="1075"/>
      <c r="G36" s="1076">
        <v>0</v>
      </c>
      <c r="H36" s="1075"/>
      <c r="I36" s="1076">
        <v>0</v>
      </c>
      <c r="J36" s="529"/>
      <c r="K36" s="466">
        <f t="shared" si="2"/>
        <v>0</v>
      </c>
      <c r="L36" s="1737"/>
    </row>
    <row r="37" spans="1:12">
      <c r="A37" s="530" t="s">
        <v>254</v>
      </c>
      <c r="B37" s="530"/>
      <c r="C37" s="1076">
        <v>6.2640000000000002</v>
      </c>
      <c r="D37" s="1075"/>
      <c r="E37" s="1076">
        <v>2.8000000000000001E-2</v>
      </c>
      <c r="F37" s="1075"/>
      <c r="G37" s="1076">
        <v>0</v>
      </c>
      <c r="H37" s="1075"/>
      <c r="I37" s="1076">
        <v>4.8369999999999997</v>
      </c>
      <c r="J37" s="529"/>
      <c r="K37" s="466">
        <f t="shared" si="2"/>
        <v>11.129</v>
      </c>
      <c r="L37" s="1737"/>
    </row>
    <row r="38" spans="1:12">
      <c r="A38" s="1243" t="s">
        <v>255</v>
      </c>
      <c r="B38" s="1695"/>
      <c r="C38" s="1076">
        <v>0</v>
      </c>
      <c r="D38" s="1075"/>
      <c r="E38" s="1076">
        <v>0</v>
      </c>
      <c r="F38" s="1075"/>
      <c r="G38" s="1076">
        <v>0</v>
      </c>
      <c r="H38" s="1075"/>
      <c r="I38" s="1076">
        <v>0</v>
      </c>
      <c r="J38" s="529"/>
      <c r="K38" s="466">
        <f t="shared" si="2"/>
        <v>0</v>
      </c>
      <c r="L38" s="1737"/>
    </row>
    <row r="39" spans="1:12">
      <c r="A39" s="531" t="s">
        <v>256</v>
      </c>
      <c r="B39" s="530"/>
      <c r="C39" s="1076">
        <v>693.82399999999996</v>
      </c>
      <c r="D39" s="1075"/>
      <c r="E39" s="1076">
        <v>648.36099999999999</v>
      </c>
      <c r="F39" s="1075"/>
      <c r="G39" s="1076">
        <v>788.20699999999999</v>
      </c>
      <c r="H39" s="1075"/>
      <c r="I39" s="1076">
        <v>0</v>
      </c>
      <c r="J39" s="529"/>
      <c r="K39" s="466">
        <f t="shared" si="2"/>
        <v>553.97799999999995</v>
      </c>
      <c r="L39" s="1096"/>
    </row>
    <row r="40" spans="1:12">
      <c r="A40" s="530" t="s">
        <v>257</v>
      </c>
      <c r="B40" s="530"/>
      <c r="C40" s="1076">
        <v>63.423000000000002</v>
      </c>
      <c r="D40" s="1075"/>
      <c r="E40" s="1094">
        <v>51.637</v>
      </c>
      <c r="F40" s="1075"/>
      <c r="G40" s="1076">
        <v>49.929000000000002</v>
      </c>
      <c r="H40" s="1075"/>
      <c r="I40" s="1076">
        <v>15.664999999999999</v>
      </c>
      <c r="J40" s="529"/>
      <c r="K40" s="466">
        <f t="shared" si="2"/>
        <v>80.796000000000006</v>
      </c>
      <c r="L40" s="1737"/>
    </row>
    <row r="41" spans="1:12">
      <c r="A41" s="531" t="s">
        <v>258</v>
      </c>
      <c r="B41" s="530"/>
      <c r="C41" s="1076">
        <v>1523.2429999999999</v>
      </c>
      <c r="D41" s="1075"/>
      <c r="E41" s="1076">
        <v>264.59199999999998</v>
      </c>
      <c r="F41" s="1075"/>
      <c r="G41" s="1076">
        <v>2092.6559999999999</v>
      </c>
      <c r="H41" s="1075"/>
      <c r="I41" s="1076">
        <v>0</v>
      </c>
      <c r="J41" s="529"/>
      <c r="K41" s="466">
        <f t="shared" si="2"/>
        <v>-304.82100000000003</v>
      </c>
      <c r="L41" s="1737"/>
    </row>
    <row r="42" spans="1:12">
      <c r="A42" s="531" t="s">
        <v>259</v>
      </c>
      <c r="B42" s="530"/>
      <c r="C42" s="1076">
        <v>15.721</v>
      </c>
      <c r="D42" s="1075"/>
      <c r="E42" s="1076">
        <v>2.79</v>
      </c>
      <c r="F42" s="1075"/>
      <c r="G42" s="1076">
        <v>0.68200000000000005</v>
      </c>
      <c r="H42" s="1075"/>
      <c r="I42" s="1076">
        <v>0</v>
      </c>
      <c r="J42" s="529"/>
      <c r="K42" s="466">
        <f t="shared" si="2"/>
        <v>17.829000000000001</v>
      </c>
      <c r="L42" s="1737"/>
    </row>
    <row r="43" spans="1:12">
      <c r="A43" s="530" t="s">
        <v>260</v>
      </c>
      <c r="B43" s="530"/>
      <c r="C43" s="1076">
        <v>-0.115</v>
      </c>
      <c r="D43" s="1075"/>
      <c r="E43" s="1076">
        <v>0</v>
      </c>
      <c r="F43" s="1075"/>
      <c r="G43" s="1076">
        <v>5.3999999999999999E-2</v>
      </c>
      <c r="H43" s="1075"/>
      <c r="I43" s="1076">
        <v>0</v>
      </c>
      <c r="J43" s="529"/>
      <c r="K43" s="466">
        <f t="shared" si="2"/>
        <v>-0.16900000000000001</v>
      </c>
      <c r="L43" s="1737"/>
    </row>
    <row r="44" spans="1:12">
      <c r="A44" s="530" t="s">
        <v>1055</v>
      </c>
      <c r="B44" s="530"/>
      <c r="C44" s="1076">
        <v>2.323</v>
      </c>
      <c r="D44" s="1075"/>
      <c r="E44" s="1076">
        <v>5.048</v>
      </c>
      <c r="F44" s="1075"/>
      <c r="G44" s="1076">
        <v>7.9009999999999998</v>
      </c>
      <c r="H44" s="1075"/>
      <c r="I44" s="1076">
        <v>0</v>
      </c>
      <c r="J44" s="529"/>
      <c r="K44" s="466">
        <f t="shared" si="2"/>
        <v>-0.53</v>
      </c>
      <c r="L44" s="1096"/>
    </row>
    <row r="45" spans="1:12">
      <c r="A45" s="530" t="s">
        <v>261</v>
      </c>
      <c r="B45" s="530"/>
      <c r="C45" s="1076">
        <v>114.77</v>
      </c>
      <c r="D45" s="1075"/>
      <c r="E45" s="1076">
        <v>9.4689999999999994</v>
      </c>
      <c r="F45" s="1075"/>
      <c r="G45" s="1076">
        <v>2.9929999999999999</v>
      </c>
      <c r="H45" s="1075"/>
      <c r="I45" s="1076">
        <v>0</v>
      </c>
      <c r="J45" s="529"/>
      <c r="K45" s="466">
        <f t="shared" si="2"/>
        <v>121.246</v>
      </c>
      <c r="L45" s="1737"/>
    </row>
    <row r="46" spans="1:12">
      <c r="A46" s="530" t="s">
        <v>262</v>
      </c>
      <c r="B46" s="530"/>
      <c r="C46" s="1076">
        <v>10.484999999999999</v>
      </c>
      <c r="D46" s="1075"/>
      <c r="E46" s="1076">
        <v>1.8460000000000001</v>
      </c>
      <c r="F46" s="1075"/>
      <c r="G46" s="1076">
        <v>1.4670000000000001</v>
      </c>
      <c r="H46" s="1075"/>
      <c r="I46" s="1076">
        <v>-2.0640000000000001</v>
      </c>
      <c r="J46" s="529"/>
      <c r="K46" s="466">
        <f t="shared" si="2"/>
        <v>8.8000000000000007</v>
      </c>
      <c r="L46" s="1737" t="s">
        <v>14</v>
      </c>
    </row>
    <row r="47" spans="1:12">
      <c r="A47" s="530" t="s">
        <v>263</v>
      </c>
      <c r="B47" s="530"/>
      <c r="C47" s="1076">
        <v>4.4669999999999996</v>
      </c>
      <c r="D47" s="1075"/>
      <c r="E47" s="1076">
        <v>5.032</v>
      </c>
      <c r="F47" s="1075"/>
      <c r="G47" s="1076">
        <v>3.9850000000000003</v>
      </c>
      <c r="H47" s="1075"/>
      <c r="I47" s="1076">
        <v>0</v>
      </c>
      <c r="J47" s="529"/>
      <c r="K47" s="466">
        <f t="shared" si="2"/>
        <v>5.5140000000000002</v>
      </c>
      <c r="L47" s="1737"/>
    </row>
    <row r="48" spans="1:12">
      <c r="A48" s="530" t="s">
        <v>264</v>
      </c>
      <c r="B48" s="530"/>
      <c r="C48" s="1076">
        <v>12.753</v>
      </c>
      <c r="D48" s="1075"/>
      <c r="E48" s="1076">
        <v>1.2270000000000001</v>
      </c>
      <c r="F48" s="1075"/>
      <c r="G48" s="1076">
        <v>0.1</v>
      </c>
      <c r="H48" s="1075"/>
      <c r="I48" s="1076">
        <v>0</v>
      </c>
      <c r="J48" s="529"/>
      <c r="K48" s="466">
        <f t="shared" si="2"/>
        <v>13.88</v>
      </c>
      <c r="L48" s="1737"/>
    </row>
    <row r="49" spans="1:12">
      <c r="A49" s="531" t="s">
        <v>265</v>
      </c>
      <c r="B49" s="530"/>
      <c r="C49" s="1076">
        <v>0.54300000000000004</v>
      </c>
      <c r="D49" s="1075"/>
      <c r="E49" s="1076">
        <v>4.0000000000000001E-3</v>
      </c>
      <c r="F49" s="1075"/>
      <c r="G49" s="1076">
        <v>0</v>
      </c>
      <c r="H49" s="1075"/>
      <c r="I49" s="1076">
        <v>0</v>
      </c>
      <c r="J49" s="529"/>
      <c r="K49" s="466">
        <f t="shared" si="2"/>
        <v>0.54700000000000004</v>
      </c>
      <c r="L49" s="1737"/>
    </row>
    <row r="50" spans="1:12">
      <c r="A50" s="530" t="s">
        <v>266</v>
      </c>
      <c r="B50" s="530"/>
      <c r="C50" s="1076">
        <v>998.38099999999997</v>
      </c>
      <c r="D50" s="1075"/>
      <c r="E50" s="1076">
        <v>532.98800000000006</v>
      </c>
      <c r="F50" s="1075"/>
      <c r="G50" s="1076">
        <v>248.673</v>
      </c>
      <c r="H50" s="1075"/>
      <c r="I50" s="1076">
        <v>7.109</v>
      </c>
      <c r="J50" s="529"/>
      <c r="K50" s="466">
        <f t="shared" si="2"/>
        <v>1289.8050000000001</v>
      </c>
      <c r="L50" s="1737"/>
    </row>
    <row r="51" spans="1:12">
      <c r="A51" s="530" t="s">
        <v>267</v>
      </c>
      <c r="B51" s="530"/>
      <c r="C51" s="1076">
        <v>-36.134999999999998</v>
      </c>
      <c r="D51" s="1075"/>
      <c r="E51" s="1076">
        <v>3.2</v>
      </c>
      <c r="F51" s="1075"/>
      <c r="G51" s="1076">
        <v>3.1280000000000001</v>
      </c>
      <c r="H51" s="1075"/>
      <c r="I51" s="1076">
        <v>0</v>
      </c>
      <c r="J51" s="529"/>
      <c r="K51" s="466">
        <f t="shared" si="2"/>
        <v>-36.063000000000002</v>
      </c>
      <c r="L51" s="1737"/>
    </row>
    <row r="52" spans="1:12">
      <c r="A52" s="530" t="s">
        <v>268</v>
      </c>
      <c r="B52" s="530"/>
      <c r="C52" s="1076">
        <v>7.4999999999999997E-2</v>
      </c>
      <c r="D52" s="1075"/>
      <c r="E52" s="1076">
        <v>0</v>
      </c>
      <c r="F52" s="1075"/>
      <c r="G52" s="1076">
        <v>0</v>
      </c>
      <c r="H52" s="1075"/>
      <c r="I52" s="1076">
        <v>0</v>
      </c>
      <c r="J52" s="529"/>
      <c r="K52" s="466">
        <f t="shared" si="2"/>
        <v>7.4999999999999997E-2</v>
      </c>
      <c r="L52" s="1737"/>
    </row>
    <row r="53" spans="1:12">
      <c r="A53" s="530" t="s">
        <v>860</v>
      </c>
      <c r="B53" s="530"/>
      <c r="C53" s="1076">
        <v>13.68</v>
      </c>
      <c r="D53" s="1075"/>
      <c r="E53" s="1076">
        <v>0.152</v>
      </c>
      <c r="F53" s="1075"/>
      <c r="G53" s="1076">
        <v>9.8000000000000004E-2</v>
      </c>
      <c r="H53" s="1075"/>
      <c r="I53" s="1076">
        <v>0</v>
      </c>
      <c r="J53" s="529"/>
      <c r="K53" s="466">
        <f t="shared" si="2"/>
        <v>13.734</v>
      </c>
      <c r="L53" s="1737"/>
    </row>
    <row r="54" spans="1:12">
      <c r="A54" s="530" t="s">
        <v>269</v>
      </c>
      <c r="B54" s="530"/>
      <c r="C54" s="1076">
        <v>0</v>
      </c>
      <c r="D54" s="1075"/>
      <c r="E54" s="1076">
        <v>0</v>
      </c>
      <c r="F54" s="1075"/>
      <c r="G54" s="1076">
        <v>0</v>
      </c>
      <c r="H54" s="1075"/>
      <c r="I54" s="1076">
        <v>0</v>
      </c>
      <c r="J54" s="529"/>
      <c r="K54" s="466">
        <f t="shared" si="2"/>
        <v>0</v>
      </c>
      <c r="L54" s="1737"/>
    </row>
    <row r="55" spans="1:12">
      <c r="A55" s="531" t="s">
        <v>270</v>
      </c>
      <c r="B55" s="530"/>
      <c r="C55" s="1076">
        <v>0.48299999999999998</v>
      </c>
      <c r="D55" s="1075"/>
      <c r="E55" s="1076">
        <v>1E-3</v>
      </c>
      <c r="F55" s="1075"/>
      <c r="G55" s="1076">
        <v>0</v>
      </c>
      <c r="H55" s="1075"/>
      <c r="I55" s="1076">
        <v>0</v>
      </c>
      <c r="J55" s="529"/>
      <c r="K55" s="466">
        <f t="shared" si="2"/>
        <v>0.48399999999999999</v>
      </c>
      <c r="L55" s="1096"/>
    </row>
    <row r="56" spans="1:12">
      <c r="A56" s="531" t="s">
        <v>271</v>
      </c>
      <c r="B56" s="530"/>
      <c r="C56" s="1076">
        <v>0</v>
      </c>
      <c r="D56" s="1075"/>
      <c r="E56" s="1076">
        <v>0</v>
      </c>
      <c r="F56" s="1075"/>
      <c r="G56" s="1076">
        <v>0</v>
      </c>
      <c r="H56" s="1075"/>
      <c r="I56" s="1076">
        <v>0</v>
      </c>
      <c r="J56" s="529"/>
      <c r="K56" s="466">
        <f t="shared" si="2"/>
        <v>0</v>
      </c>
      <c r="L56" s="1737"/>
    </row>
    <row r="57" spans="1:12">
      <c r="A57" s="531" t="s">
        <v>272</v>
      </c>
      <c r="B57" s="530"/>
      <c r="C57" s="1076">
        <v>0</v>
      </c>
      <c r="D57" s="1075"/>
      <c r="E57" s="1076">
        <v>0</v>
      </c>
      <c r="F57" s="1075"/>
      <c r="G57" s="1076">
        <v>0</v>
      </c>
      <c r="H57" s="1075"/>
      <c r="I57" s="1076">
        <v>0</v>
      </c>
      <c r="J57" s="529"/>
      <c r="K57" s="466">
        <f t="shared" si="2"/>
        <v>0</v>
      </c>
      <c r="L57" s="1737"/>
    </row>
    <row r="58" spans="1:12">
      <c r="A58" s="531" t="s">
        <v>1196</v>
      </c>
      <c r="B58" s="530"/>
      <c r="C58" s="1076">
        <v>0.66</v>
      </c>
      <c r="D58" s="1075"/>
      <c r="E58" s="1076">
        <v>4.0000000000000001E-3</v>
      </c>
      <c r="F58" s="1075"/>
      <c r="G58" s="1076">
        <v>0</v>
      </c>
      <c r="H58" s="1075"/>
      <c r="I58" s="1076">
        <v>0</v>
      </c>
      <c r="J58" s="529"/>
      <c r="K58" s="466">
        <f t="shared" si="2"/>
        <v>0.66400000000000003</v>
      </c>
      <c r="L58" s="1737"/>
    </row>
    <row r="59" spans="1:12">
      <c r="A59" s="531" t="s">
        <v>273</v>
      </c>
      <c r="B59" s="530"/>
      <c r="C59" s="1076">
        <v>2649.92</v>
      </c>
      <c r="D59" s="1075"/>
      <c r="E59" s="1076">
        <v>394.68099999999998</v>
      </c>
      <c r="F59" s="1075"/>
      <c r="G59" s="1076">
        <v>245.80099999999999</v>
      </c>
      <c r="H59" s="1075"/>
      <c r="I59" s="1076">
        <v>26.459</v>
      </c>
      <c r="J59" s="529"/>
      <c r="K59" s="466">
        <f t="shared" si="2"/>
        <v>2825.259</v>
      </c>
      <c r="L59" s="1737"/>
    </row>
    <row r="60" spans="1:12">
      <c r="A60" s="530" t="s">
        <v>274</v>
      </c>
      <c r="B60" s="530"/>
      <c r="C60" s="1076">
        <v>22.448</v>
      </c>
      <c r="D60" s="1075"/>
      <c r="E60" s="1076">
        <v>0.13900000000000001</v>
      </c>
      <c r="F60" s="1075"/>
      <c r="G60" s="1076">
        <v>3.984</v>
      </c>
      <c r="H60" s="1075"/>
      <c r="I60" s="1076">
        <v>0</v>
      </c>
      <c r="J60" s="529"/>
      <c r="K60" s="466">
        <f t="shared" si="2"/>
        <v>18.603000000000002</v>
      </c>
      <c r="L60" s="1737"/>
    </row>
    <row r="61" spans="1:12">
      <c r="A61" s="530"/>
      <c r="B61" s="530"/>
      <c r="C61" s="1076"/>
      <c r="D61" s="1075"/>
      <c r="E61" s="1076"/>
      <c r="F61" s="1075"/>
      <c r="G61" s="1076"/>
      <c r="H61" s="1075"/>
      <c r="I61" s="1076"/>
      <c r="J61" s="529"/>
      <c r="K61" s="466"/>
      <c r="L61" s="1096"/>
    </row>
    <row r="62" spans="1:12">
      <c r="A62" s="307" t="s">
        <v>801</v>
      </c>
      <c r="B62" s="530"/>
      <c r="C62" s="1076"/>
      <c r="D62" s="1075"/>
      <c r="E62" s="1076"/>
      <c r="F62" s="1075"/>
      <c r="G62" s="1076"/>
      <c r="H62" s="1075"/>
      <c r="I62" s="1076"/>
      <c r="J62" s="529"/>
      <c r="K62" s="466"/>
      <c r="L62" s="1096"/>
    </row>
    <row r="63" spans="1:12">
      <c r="A63" s="530" t="s">
        <v>275</v>
      </c>
      <c r="B63" s="529"/>
      <c r="C63" s="1076">
        <v>5.5E-2</v>
      </c>
      <c r="D63" s="1075"/>
      <c r="E63" s="1076">
        <v>0</v>
      </c>
      <c r="F63" s="1075"/>
      <c r="G63" s="1076">
        <v>0</v>
      </c>
      <c r="H63" s="1075"/>
      <c r="I63" s="1076">
        <v>0</v>
      </c>
      <c r="J63" s="529"/>
      <c r="K63" s="466">
        <f>ROUND(SUM(C63)+SUM(E63)-SUM(G63)+SUM(I63),3)</f>
        <v>5.5E-2</v>
      </c>
      <c r="L63" s="1096"/>
    </row>
    <row r="64" spans="1:12">
      <c r="A64" s="530" t="s">
        <v>276</v>
      </c>
      <c r="B64" s="530"/>
      <c r="C64" s="1076">
        <v>2455.4520000000002</v>
      </c>
      <c r="D64" s="1075"/>
      <c r="E64" s="1076">
        <v>642.44299999999998</v>
      </c>
      <c r="F64" s="1075"/>
      <c r="G64" s="1076">
        <v>556.36</v>
      </c>
      <c r="H64" s="1075"/>
      <c r="I64" s="1076">
        <v>40.284999999999997</v>
      </c>
      <c r="J64" s="529"/>
      <c r="K64" s="466">
        <f>ROUND(SUM(C64)+SUM(E64)-SUM(G64)+SUM(I64),3)</f>
        <v>2581.8200000000002</v>
      </c>
      <c r="L64" s="1737"/>
    </row>
    <row r="65" spans="1:12">
      <c r="A65" s="531" t="s">
        <v>277</v>
      </c>
      <c r="B65" s="530"/>
      <c r="C65" s="1076">
        <v>3.226</v>
      </c>
      <c r="D65" s="1075"/>
      <c r="E65" s="1076">
        <v>0.7</v>
      </c>
      <c r="F65" s="1075"/>
      <c r="G65" s="1076">
        <v>1.153</v>
      </c>
      <c r="H65" s="1075"/>
      <c r="I65" s="1076">
        <v>0</v>
      </c>
      <c r="J65" s="529"/>
      <c r="K65" s="466">
        <f>ROUND(SUM(C65)+SUM(E65)-SUM(G65)+SUM(I65),3)</f>
        <v>2.7730000000000001</v>
      </c>
      <c r="L65" s="1737"/>
    </row>
    <row r="66" spans="1:12">
      <c r="A66" s="530" t="s">
        <v>278</v>
      </c>
      <c r="B66" s="530"/>
      <c r="C66" s="1076">
        <v>0.80700000000000005</v>
      </c>
      <c r="D66" s="1075"/>
      <c r="E66" s="1076">
        <v>0.39800000000000002</v>
      </c>
      <c r="F66" s="1075"/>
      <c r="G66" s="1076">
        <v>0.22600000000000001</v>
      </c>
      <c r="H66" s="1075"/>
      <c r="I66" s="1076">
        <v>0</v>
      </c>
      <c r="J66" s="529"/>
      <c r="K66" s="466">
        <f>ROUND(SUM(C66)+SUM(E66)-SUM(G66)+SUM(I66),3)</f>
        <v>0.97899999999999998</v>
      </c>
      <c r="L66" s="1737"/>
    </row>
    <row r="67" spans="1:12">
      <c r="A67" s="530" t="s">
        <v>279</v>
      </c>
      <c r="B67" s="530"/>
      <c r="C67" s="1852"/>
      <c r="D67"/>
      <c r="E67" s="1094"/>
      <c r="F67" s="1095"/>
      <c r="G67" s="1094"/>
      <c r="H67" s="1095"/>
      <c r="I67" s="1096"/>
      <c r="J67" s="530"/>
      <c r="K67" s="466" t="s">
        <v>14</v>
      </c>
      <c r="L67" s="1737"/>
    </row>
    <row r="68" spans="1:12">
      <c r="A68" s="530" t="s">
        <v>280</v>
      </c>
      <c r="B68" s="530"/>
      <c r="C68" s="1076">
        <v>104.69799999999999</v>
      </c>
      <c r="D68" s="1075"/>
      <c r="E68" s="1076">
        <v>0.47899999999999998</v>
      </c>
      <c r="F68" s="1075"/>
      <c r="G68" s="1076">
        <v>1.325</v>
      </c>
      <c r="H68" s="1075"/>
      <c r="I68" s="1076">
        <v>0</v>
      </c>
      <c r="J68" s="529"/>
      <c r="K68" s="466">
        <f t="shared" ref="K68:K73" si="3">ROUND(SUM(C68)+SUM(E68)-SUM(G68)+SUM(I68),3)</f>
        <v>103.852</v>
      </c>
      <c r="L68" s="1737"/>
    </row>
    <row r="69" spans="1:12">
      <c r="A69" s="530" t="s">
        <v>281</v>
      </c>
      <c r="B69" s="309"/>
      <c r="C69" s="1076">
        <v>0.55900000000000005</v>
      </c>
      <c r="D69" s="1075"/>
      <c r="E69" s="1076">
        <v>3.0000000000000001E-3</v>
      </c>
      <c r="F69" s="1075"/>
      <c r="G69" s="1076">
        <v>6.2E-2</v>
      </c>
      <c r="H69" s="1075"/>
      <c r="I69" s="1076">
        <v>0</v>
      </c>
      <c r="J69" s="529"/>
      <c r="K69" s="466">
        <f t="shared" si="3"/>
        <v>0.5</v>
      </c>
      <c r="L69" s="1737"/>
    </row>
    <row r="70" spans="1:12">
      <c r="A70" s="530" t="s">
        <v>282</v>
      </c>
      <c r="B70" s="530"/>
      <c r="C70" s="1076">
        <v>2.5000000000000001E-2</v>
      </c>
      <c r="D70" s="1075"/>
      <c r="E70" s="1076">
        <v>0</v>
      </c>
      <c r="F70" s="1075"/>
      <c r="G70" s="1076">
        <v>0</v>
      </c>
      <c r="H70" s="1075"/>
      <c r="I70" s="1076">
        <v>0</v>
      </c>
      <c r="J70" s="529"/>
      <c r="K70" s="466">
        <f t="shared" si="3"/>
        <v>2.5000000000000001E-2</v>
      </c>
      <c r="L70" s="1737"/>
    </row>
    <row r="71" spans="1:12">
      <c r="A71" s="531" t="s">
        <v>283</v>
      </c>
      <c r="B71" s="530"/>
      <c r="C71" s="1076">
        <v>6.1719999999999997</v>
      </c>
      <c r="D71" s="1075"/>
      <c r="E71" s="1076">
        <v>2.8000000000000001E-2</v>
      </c>
      <c r="F71" s="1075"/>
      <c r="G71" s="1076">
        <v>1.353</v>
      </c>
      <c r="H71" s="1075"/>
      <c r="I71" s="1076">
        <v>0</v>
      </c>
      <c r="J71" s="529"/>
      <c r="K71" s="466">
        <f t="shared" si="3"/>
        <v>4.8470000000000004</v>
      </c>
      <c r="L71" s="1737"/>
    </row>
    <row r="72" spans="1:12">
      <c r="A72" s="530" t="s">
        <v>284</v>
      </c>
      <c r="B72" s="530"/>
      <c r="C72" s="1076">
        <v>-23.510999999999999</v>
      </c>
      <c r="D72" s="1075"/>
      <c r="E72" s="1076">
        <v>4.2000000000000003E-2</v>
      </c>
      <c r="F72" s="1075"/>
      <c r="G72" s="1076">
        <v>0.215</v>
      </c>
      <c r="H72" s="1075"/>
      <c r="I72" s="1076">
        <v>0</v>
      </c>
      <c r="J72" s="529"/>
      <c r="K72" s="466">
        <f t="shared" si="3"/>
        <v>-23.684000000000001</v>
      </c>
      <c r="L72" s="1737"/>
    </row>
    <row r="73" spans="1:12">
      <c r="A73" s="530" t="s">
        <v>285</v>
      </c>
      <c r="B73" s="530"/>
      <c r="C73" s="1076">
        <v>9.6000000000000002E-2</v>
      </c>
      <c r="D73" s="1075"/>
      <c r="E73" s="1076">
        <v>6.0000000000000001E-3</v>
      </c>
      <c r="F73" s="1075"/>
      <c r="G73" s="1076">
        <v>0</v>
      </c>
      <c r="H73" s="1075"/>
      <c r="I73" s="1076">
        <v>0</v>
      </c>
      <c r="J73" s="529"/>
      <c r="K73" s="466">
        <f t="shared" si="3"/>
        <v>0.10199999999999999</v>
      </c>
      <c r="L73" s="1096"/>
    </row>
    <row r="74" spans="1:12">
      <c r="A74" s="530" t="s">
        <v>286</v>
      </c>
      <c r="B74" s="530"/>
      <c r="C74" s="1852"/>
      <c r="D74"/>
      <c r="E74" s="1094"/>
      <c r="F74" s="1095"/>
      <c r="G74" s="1094"/>
      <c r="H74" s="1095"/>
      <c r="I74" s="1094"/>
      <c r="J74" s="530"/>
      <c r="K74" s="466"/>
      <c r="L74" s="1094"/>
    </row>
    <row r="75" spans="1:12">
      <c r="A75" s="530" t="s">
        <v>287</v>
      </c>
      <c r="B75" s="530"/>
      <c r="C75" s="1076">
        <v>1E-3</v>
      </c>
      <c r="D75" s="1075"/>
      <c r="E75" s="1076">
        <v>0</v>
      </c>
      <c r="F75" s="1075"/>
      <c r="G75" s="1076">
        <v>0</v>
      </c>
      <c r="H75" s="1075"/>
      <c r="I75" s="1076">
        <v>0</v>
      </c>
      <c r="J75" s="529"/>
      <c r="K75" s="466">
        <f t="shared" ref="K75:K90" si="4">ROUND(SUM(C75)+SUM(E75)-SUM(G75)+SUM(I75),3)</f>
        <v>1E-3</v>
      </c>
      <c r="L75" s="1737"/>
    </row>
    <row r="76" spans="1:12">
      <c r="A76" s="530" t="s">
        <v>288</v>
      </c>
      <c r="B76" s="530"/>
      <c r="C76" s="1076">
        <v>-44.116999999999997</v>
      </c>
      <c r="D76" s="1075"/>
      <c r="E76" s="1076">
        <v>0</v>
      </c>
      <c r="F76" s="1075"/>
      <c r="G76" s="1094">
        <v>2.673</v>
      </c>
      <c r="H76" s="1075"/>
      <c r="I76" s="1076">
        <v>0</v>
      </c>
      <c r="J76" s="529"/>
      <c r="K76" s="466">
        <f t="shared" si="4"/>
        <v>-46.79</v>
      </c>
      <c r="L76" s="1737"/>
    </row>
    <row r="77" spans="1:12">
      <c r="A77" s="530" t="s">
        <v>289</v>
      </c>
      <c r="B77" s="530"/>
      <c r="C77" s="1076">
        <v>49.63</v>
      </c>
      <c r="D77" s="1075"/>
      <c r="E77" s="1076">
        <v>10.682</v>
      </c>
      <c r="F77" s="1075"/>
      <c r="G77" s="1076">
        <v>6.6379999999999999</v>
      </c>
      <c r="H77" s="1075"/>
      <c r="I77" s="1076">
        <v>0</v>
      </c>
      <c r="J77" s="529"/>
      <c r="K77" s="466">
        <f t="shared" si="4"/>
        <v>53.673999999999999</v>
      </c>
      <c r="L77" s="1096"/>
    </row>
    <row r="78" spans="1:12">
      <c r="A78" s="530" t="s">
        <v>290</v>
      </c>
      <c r="B78" s="530"/>
      <c r="C78" s="1076">
        <v>0.31</v>
      </c>
      <c r="D78" s="1075"/>
      <c r="E78" s="1076">
        <v>3.0000000000000001E-3</v>
      </c>
      <c r="F78" s="1075"/>
      <c r="G78" s="1076">
        <v>0</v>
      </c>
      <c r="H78" s="1075"/>
      <c r="I78" s="1076">
        <v>0</v>
      </c>
      <c r="J78" s="529"/>
      <c r="K78" s="466">
        <f t="shared" si="4"/>
        <v>0.313</v>
      </c>
      <c r="L78" s="1096"/>
    </row>
    <row r="79" spans="1:12">
      <c r="A79" s="531" t="s">
        <v>291</v>
      </c>
      <c r="B79" s="530"/>
      <c r="C79" s="1076">
        <v>936.81500000000005</v>
      </c>
      <c r="D79" s="1075"/>
      <c r="E79" s="1076">
        <v>49.058</v>
      </c>
      <c r="F79" s="1075"/>
      <c r="G79" s="1076">
        <v>19.481000000000002</v>
      </c>
      <c r="H79" s="1075"/>
      <c r="I79" s="1076">
        <v>0</v>
      </c>
      <c r="J79" s="529"/>
      <c r="K79" s="466">
        <f t="shared" si="4"/>
        <v>966.39200000000005</v>
      </c>
      <c r="L79" s="1737"/>
    </row>
    <row r="80" spans="1:12">
      <c r="A80" s="530" t="s">
        <v>292</v>
      </c>
      <c r="B80" s="530"/>
      <c r="C80" s="1076">
        <v>27.32</v>
      </c>
      <c r="D80" s="1075"/>
      <c r="E80" s="1076">
        <v>1.405</v>
      </c>
      <c r="F80" s="1075"/>
      <c r="G80" s="1076">
        <v>1.7999999999999999E-2</v>
      </c>
      <c r="H80" s="1075"/>
      <c r="I80" s="1076">
        <v>-4.1890000000000001</v>
      </c>
      <c r="J80" s="529"/>
      <c r="K80" s="466">
        <f t="shared" si="4"/>
        <v>24.518000000000001</v>
      </c>
      <c r="L80" s="1096"/>
    </row>
    <row r="81" spans="1:12">
      <c r="A81" s="531" t="s">
        <v>293</v>
      </c>
      <c r="B81" s="530"/>
      <c r="C81" s="1076">
        <v>169.82400000000001</v>
      </c>
      <c r="D81" s="1075"/>
      <c r="E81" s="1076">
        <v>0.55100000000000005</v>
      </c>
      <c r="F81" s="1075"/>
      <c r="G81" s="1076">
        <v>61.728999999999999</v>
      </c>
      <c r="H81" s="1075"/>
      <c r="I81" s="1076">
        <v>12.879</v>
      </c>
      <c r="J81" s="529"/>
      <c r="K81" s="466">
        <f t="shared" si="4"/>
        <v>121.52500000000001</v>
      </c>
      <c r="L81" s="1737"/>
    </row>
    <row r="82" spans="1:12">
      <c r="A82" s="531" t="s">
        <v>1054</v>
      </c>
      <c r="B82" s="530"/>
      <c r="C82" s="1076">
        <v>79.73</v>
      </c>
      <c r="D82" s="1075"/>
      <c r="E82" s="1076">
        <v>13.566000000000001</v>
      </c>
      <c r="F82" s="1075"/>
      <c r="G82" s="1076">
        <v>1.7230000000000001</v>
      </c>
      <c r="H82" s="1075"/>
      <c r="I82" s="1076">
        <v>0</v>
      </c>
      <c r="J82" s="529"/>
      <c r="K82" s="466">
        <f t="shared" si="4"/>
        <v>91.572999999999993</v>
      </c>
      <c r="L82" s="1737"/>
    </row>
    <row r="83" spans="1:12">
      <c r="A83" s="531" t="s">
        <v>1393</v>
      </c>
      <c r="B83" s="530"/>
      <c r="C83" s="1076">
        <v>11.529</v>
      </c>
      <c r="D83" s="1075"/>
      <c r="E83" s="1076">
        <v>0.36099999999999999</v>
      </c>
      <c r="F83" s="1075"/>
      <c r="G83" s="1076">
        <v>0.41099999999999998</v>
      </c>
      <c r="H83" s="1075"/>
      <c r="I83" s="1076">
        <v>0</v>
      </c>
      <c r="J83" s="529"/>
      <c r="K83" s="466">
        <f t="shared" si="4"/>
        <v>11.478999999999999</v>
      </c>
      <c r="L83" s="1096"/>
    </row>
    <row r="84" spans="1:12">
      <c r="A84" s="531" t="s">
        <v>1106</v>
      </c>
      <c r="B84" s="530"/>
      <c r="C84" s="1076">
        <v>244.59700000000001</v>
      </c>
      <c r="D84" s="1075"/>
      <c r="E84" s="1076">
        <v>1.212</v>
      </c>
      <c r="F84" s="1075"/>
      <c r="G84" s="1076">
        <v>3.6709999999999998</v>
      </c>
      <c r="H84" s="1075"/>
      <c r="I84" s="1076">
        <v>0</v>
      </c>
      <c r="J84" s="529"/>
      <c r="K84" s="466">
        <f t="shared" si="4"/>
        <v>242.13800000000001</v>
      </c>
      <c r="L84" s="1737"/>
    </row>
    <row r="85" spans="1:12">
      <c r="A85" s="531" t="s">
        <v>1388</v>
      </c>
      <c r="B85" s="530"/>
      <c r="C85" s="1076">
        <v>-22.553000000000001</v>
      </c>
      <c r="D85" s="1075"/>
      <c r="E85" s="1076">
        <v>6.7549999999999999</v>
      </c>
      <c r="F85" s="1075"/>
      <c r="G85" s="1076">
        <v>7.3940000000000001</v>
      </c>
      <c r="H85" s="1075"/>
      <c r="I85" s="1076">
        <v>0</v>
      </c>
      <c r="J85" s="529"/>
      <c r="K85" s="466">
        <f>ROUND(SUM(C85)+SUM(E85)-SUM(G85)+SUM(I85),3)</f>
        <v>-23.192</v>
      </c>
      <c r="L85" s="1737"/>
    </row>
    <row r="86" spans="1:12">
      <c r="A86" s="531" t="s">
        <v>1149</v>
      </c>
      <c r="B86" s="530"/>
      <c r="C86" s="1076">
        <v>573.36</v>
      </c>
      <c r="D86" s="1075"/>
      <c r="E86" s="1076">
        <v>2.5819999999999999</v>
      </c>
      <c r="F86" s="1075"/>
      <c r="G86" s="1076">
        <v>0</v>
      </c>
      <c r="H86" s="1075"/>
      <c r="I86" s="1076">
        <v>0</v>
      </c>
      <c r="J86" s="529"/>
      <c r="K86" s="466">
        <f t="shared" si="4"/>
        <v>575.94200000000001</v>
      </c>
      <c r="L86" s="1737"/>
    </row>
    <row r="87" spans="1:12">
      <c r="A87" s="531" t="s">
        <v>1187</v>
      </c>
      <c r="B87" s="530"/>
      <c r="C87" s="1076">
        <v>9.1999999999999998E-2</v>
      </c>
      <c r="D87" s="1075"/>
      <c r="E87" s="1076">
        <v>2E-3</v>
      </c>
      <c r="F87" s="1075"/>
      <c r="G87" s="1076">
        <v>0</v>
      </c>
      <c r="H87" s="1075"/>
      <c r="I87" s="1076">
        <v>0</v>
      </c>
      <c r="J87" s="529"/>
      <c r="K87" s="466">
        <f t="shared" si="4"/>
        <v>9.4E-2</v>
      </c>
      <c r="L87" s="1737"/>
    </row>
    <row r="88" spans="1:12">
      <c r="A88" s="531" t="s">
        <v>1394</v>
      </c>
      <c r="B88" s="530"/>
      <c r="C88" s="1076">
        <v>29.948</v>
      </c>
      <c r="D88" s="1075"/>
      <c r="E88" s="1076">
        <v>0.47399999999999998</v>
      </c>
      <c r="F88" s="1075"/>
      <c r="G88" s="1076">
        <v>0</v>
      </c>
      <c r="H88" s="1075"/>
      <c r="I88" s="1076">
        <v>0</v>
      </c>
      <c r="J88" s="529"/>
      <c r="K88" s="466">
        <f>ROUND(SUM(C88)+SUM(E88)-SUM(G88)+SUM(I88),3)</f>
        <v>30.422000000000001</v>
      </c>
      <c r="L88" s="1737"/>
    </row>
    <row r="89" spans="1:12">
      <c r="A89" s="531" t="s">
        <v>1395</v>
      </c>
      <c r="B89" s="530"/>
      <c r="C89" s="1076">
        <v>680.33900000000006</v>
      </c>
      <c r="D89" s="1075"/>
      <c r="E89" s="1076">
        <v>66.906000000000006</v>
      </c>
      <c r="F89" s="1075"/>
      <c r="G89" s="1076">
        <v>1061.047</v>
      </c>
      <c r="H89" s="1075"/>
      <c r="I89" s="1076">
        <v>0</v>
      </c>
      <c r="J89" s="529"/>
      <c r="K89" s="466">
        <f>ROUND(SUM(C89)+SUM(E89)-SUM(G89)+SUM(I89),3)</f>
        <v>-313.80200000000002</v>
      </c>
      <c r="L89" s="1737"/>
    </row>
    <row r="90" spans="1:12">
      <c r="A90" s="1095" t="s">
        <v>772</v>
      </c>
      <c r="B90" s="530"/>
      <c r="C90" s="1076">
        <v>331.32900000000001</v>
      </c>
      <c r="D90" s="1075"/>
      <c r="E90" s="1076">
        <v>-4.4379999999999997</v>
      </c>
      <c r="F90" s="1075"/>
      <c r="G90" s="1076">
        <v>0</v>
      </c>
      <c r="H90" s="1075"/>
      <c r="I90" s="1076">
        <v>-12.861000000000001</v>
      </c>
      <c r="J90" s="529"/>
      <c r="K90" s="466">
        <f t="shared" si="4"/>
        <v>314.02999999999997</v>
      </c>
      <c r="L90" s="1737"/>
    </row>
    <row r="91" spans="1:12">
      <c r="A91" s="306" t="s">
        <v>294</v>
      </c>
      <c r="B91" s="530"/>
      <c r="C91" s="311">
        <f>ROUND(SUM(C28:C90),3)</f>
        <v>12081.627</v>
      </c>
      <c r="D91" s="310"/>
      <c r="E91" s="311">
        <f>ROUND(SUM(E28:E90),3)</f>
        <v>2737.4879999999998</v>
      </c>
      <c r="F91" s="310"/>
      <c r="G91" s="311">
        <f>ROUND(SUM(G28:G90),3)</f>
        <v>5176.9880000000003</v>
      </c>
      <c r="H91" s="310"/>
      <c r="I91" s="311">
        <f>ROUND(SUM(I28:I90),3)</f>
        <v>88.12</v>
      </c>
      <c r="J91" s="310"/>
      <c r="K91" s="311">
        <f>ROUND(SUM(K28:K90),3)</f>
        <v>9730.2469999999994</v>
      </c>
      <c r="L91" s="1296"/>
    </row>
    <row r="92" spans="1:12" ht="11.25" customHeight="1">
      <c r="A92" s="530"/>
      <c r="B92" s="530"/>
      <c r="C92" s="530"/>
      <c r="D92" s="530"/>
      <c r="E92" s="530"/>
      <c r="F92" s="530"/>
      <c r="G92" s="530"/>
      <c r="H92" s="530"/>
      <c r="I92" s="530"/>
      <c r="J92" s="530"/>
      <c r="K92" s="530"/>
      <c r="L92" s="530"/>
    </row>
    <row r="93" spans="1:12">
      <c r="A93" s="307" t="s">
        <v>295</v>
      </c>
      <c r="B93" s="530"/>
      <c r="C93" s="530"/>
      <c r="D93" s="530"/>
      <c r="E93" s="530"/>
      <c r="F93" s="530"/>
      <c r="G93" s="530"/>
      <c r="H93" s="530"/>
      <c r="I93" s="530"/>
      <c r="J93" s="530"/>
      <c r="K93" s="530"/>
      <c r="L93" s="530"/>
    </row>
    <row r="94" spans="1:12">
      <c r="A94" s="530" t="s">
        <v>830</v>
      </c>
      <c r="B94" s="530"/>
      <c r="C94" s="1076">
        <v>-60.347999999999999</v>
      </c>
      <c r="D94" s="1075"/>
      <c r="E94" s="1076">
        <v>287.52199999999999</v>
      </c>
      <c r="F94" s="1075"/>
      <c r="G94" s="1076">
        <v>228.874</v>
      </c>
      <c r="H94" s="1075"/>
      <c r="I94" s="1076">
        <v>-1.9430000000000001</v>
      </c>
      <c r="J94" s="529"/>
      <c r="K94" s="466">
        <f t="shared" ref="K94:K100" si="5">ROUND(SUM(C94)+SUM(E94)-SUM(G94)+SUM(I94),3)</f>
        <v>-3.6429999999999998</v>
      </c>
      <c r="L94" s="466"/>
    </row>
    <row r="95" spans="1:12">
      <c r="A95" s="530" t="s">
        <v>296</v>
      </c>
      <c r="B95" s="530"/>
      <c r="C95" s="1076">
        <v>9754.9040000000005</v>
      </c>
      <c r="D95" s="1075"/>
      <c r="E95" s="1076">
        <v>4939.6930000000002</v>
      </c>
      <c r="F95" s="1075"/>
      <c r="G95" s="1076">
        <v>3705.9459999999999</v>
      </c>
      <c r="H95" s="1075"/>
      <c r="I95" s="1076">
        <v>-92.798000000000002</v>
      </c>
      <c r="J95" s="529"/>
      <c r="K95" s="466">
        <f t="shared" si="5"/>
        <v>10895.852999999999</v>
      </c>
      <c r="L95" s="466"/>
    </row>
    <row r="96" spans="1:12">
      <c r="A96" s="530" t="s">
        <v>297</v>
      </c>
      <c r="B96" s="308"/>
      <c r="C96" s="1076">
        <v>-79.486999999999995</v>
      </c>
      <c r="D96" s="1075"/>
      <c r="E96" s="1076">
        <v>304.65000000000003</v>
      </c>
      <c r="F96" s="1075"/>
      <c r="G96" s="1076">
        <v>339.18</v>
      </c>
      <c r="H96" s="1075"/>
      <c r="I96" s="1076">
        <v>0</v>
      </c>
      <c r="J96" s="529"/>
      <c r="K96" s="466">
        <f t="shared" si="5"/>
        <v>-114.017</v>
      </c>
      <c r="L96" s="466"/>
    </row>
    <row r="97" spans="1:12">
      <c r="A97" s="530" t="s">
        <v>1387</v>
      </c>
      <c r="B97" s="530"/>
      <c r="C97" s="1076">
        <v>6304.2269999999999</v>
      </c>
      <c r="D97" s="1075"/>
      <c r="E97" s="1076">
        <v>511.52199999999999</v>
      </c>
      <c r="F97" s="1075"/>
      <c r="G97" s="1076">
        <v>439.726</v>
      </c>
      <c r="H97" s="1075"/>
      <c r="I97" s="1076">
        <v>-17.231999999999999</v>
      </c>
      <c r="J97" s="529"/>
      <c r="K97" s="466">
        <f t="shared" si="5"/>
        <v>6358.7910000000002</v>
      </c>
      <c r="L97" s="466"/>
    </row>
    <row r="98" spans="1:12">
      <c r="A98" s="530" t="s">
        <v>298</v>
      </c>
      <c r="B98" s="530"/>
      <c r="C98" s="1076">
        <v>155.66999999999999</v>
      </c>
      <c r="D98" s="1075"/>
      <c r="E98" s="1076">
        <v>26.885000000000002</v>
      </c>
      <c r="F98" s="1075"/>
      <c r="G98" s="1076">
        <v>26.943000000000001</v>
      </c>
      <c r="H98" s="1075"/>
      <c r="I98" s="1076">
        <v>0</v>
      </c>
      <c r="J98" s="529"/>
      <c r="K98" s="466">
        <f t="shared" si="5"/>
        <v>155.61199999999999</v>
      </c>
      <c r="L98" s="466"/>
    </row>
    <row r="99" spans="1:12">
      <c r="A99" s="530" t="s">
        <v>1386</v>
      </c>
      <c r="B99" s="530"/>
      <c r="C99" s="1076">
        <v>-0.47499999999999998</v>
      </c>
      <c r="D99" s="1075"/>
      <c r="E99" s="1076">
        <v>9.4E-2</v>
      </c>
      <c r="F99" s="1075"/>
      <c r="G99" s="1076">
        <v>0.129</v>
      </c>
      <c r="H99" s="1075"/>
      <c r="I99" s="1076">
        <v>0</v>
      </c>
      <c r="J99" s="529"/>
      <c r="K99" s="466">
        <f t="shared" si="5"/>
        <v>-0.51</v>
      </c>
      <c r="L99" s="466"/>
    </row>
    <row r="100" spans="1:12">
      <c r="A100" s="531" t="s">
        <v>299</v>
      </c>
      <c r="B100" s="530"/>
      <c r="C100" s="1076">
        <v>-3.2770000000000001</v>
      </c>
      <c r="D100" s="1075"/>
      <c r="E100" s="1076">
        <v>9.09</v>
      </c>
      <c r="F100" s="1075"/>
      <c r="G100" s="1076">
        <v>18.553000000000001</v>
      </c>
      <c r="H100" s="1075"/>
      <c r="I100" s="1076">
        <v>0</v>
      </c>
      <c r="J100" s="529"/>
      <c r="K100" s="466">
        <f t="shared" si="5"/>
        <v>-12.74</v>
      </c>
      <c r="L100" s="466"/>
    </row>
    <row r="101" spans="1:12">
      <c r="A101" s="306" t="s">
        <v>300</v>
      </c>
      <c r="B101" s="530"/>
      <c r="C101" s="311">
        <f>ROUND(SUM(C94:C100),3)</f>
        <v>16071.214</v>
      </c>
      <c r="D101" s="310"/>
      <c r="E101" s="311">
        <f>ROUND(SUM(E94:E100),3)</f>
        <v>6079.4560000000001</v>
      </c>
      <c r="F101" s="310"/>
      <c r="G101" s="311">
        <f>ROUND(SUM(G94:G100),3)</f>
        <v>4759.3509999999997</v>
      </c>
      <c r="H101" s="310"/>
      <c r="I101" s="311">
        <f>ROUND(SUM(I94:I100),3)</f>
        <v>-111.973</v>
      </c>
      <c r="J101" s="310"/>
      <c r="K101" s="311">
        <f>ROUND(SUM(K94:K100),3)</f>
        <v>17279.346000000001</v>
      </c>
      <c r="L101" s="310"/>
    </row>
    <row r="102" spans="1:12" ht="12" customHeight="1">
      <c r="A102" s="310"/>
      <c r="B102" s="530"/>
      <c r="C102" s="530"/>
      <c r="D102" s="530"/>
      <c r="E102" s="530"/>
      <c r="F102" s="530"/>
      <c r="G102" s="530"/>
      <c r="H102" s="530"/>
      <c r="I102" s="530"/>
      <c r="J102" s="530"/>
      <c r="K102" s="530"/>
      <c r="L102" s="530"/>
    </row>
    <row r="103" spans="1:12">
      <c r="A103" s="1697" t="s">
        <v>301</v>
      </c>
      <c r="B103" s="530"/>
      <c r="C103" s="1331">
        <f>C101+C91</f>
        <v>28152.841</v>
      </c>
      <c r="D103" s="310"/>
      <c r="E103" s="1331">
        <f>E91+E101</f>
        <v>8816.9439999999995</v>
      </c>
      <c r="F103" s="310"/>
      <c r="G103" s="1331">
        <f>G91+G101</f>
        <v>9936.3389999999999</v>
      </c>
      <c r="H103" s="310"/>
      <c r="I103" s="1331">
        <f>I91+I101</f>
        <v>-23.852999999999994</v>
      </c>
      <c r="J103" s="310"/>
      <c r="K103" s="1331">
        <f>K91+K101</f>
        <v>27009.593000000001</v>
      </c>
      <c r="L103" s="310"/>
    </row>
    <row r="104" spans="1:12" ht="10.5" customHeight="1">
      <c r="A104" s="1698"/>
      <c r="B104" s="530"/>
      <c r="C104" s="530"/>
      <c r="D104" s="530"/>
      <c r="E104" s="530"/>
      <c r="F104" s="530"/>
      <c r="G104" s="530"/>
      <c r="H104" s="530"/>
      <c r="I104" s="530"/>
      <c r="J104" s="530"/>
      <c r="K104" s="530"/>
      <c r="L104" s="530"/>
    </row>
    <row r="105" spans="1:12" ht="17.25">
      <c r="A105" s="307" t="s">
        <v>181</v>
      </c>
      <c r="B105" s="530"/>
      <c r="C105" s="530"/>
      <c r="D105" s="530"/>
      <c r="E105" s="494"/>
      <c r="F105" s="494"/>
      <c r="G105" s="494"/>
      <c r="H105" s="494"/>
      <c r="I105" s="494"/>
      <c r="J105" s="308"/>
      <c r="K105" s="494"/>
      <c r="L105" s="530"/>
    </row>
    <row r="106" spans="1:12">
      <c r="A106" s="530" t="s">
        <v>302</v>
      </c>
      <c r="B106" s="530"/>
      <c r="C106" s="1076">
        <v>0</v>
      </c>
      <c r="D106" s="1075"/>
      <c r="E106" s="1076">
        <v>0</v>
      </c>
      <c r="F106" s="1075"/>
      <c r="G106" s="1076">
        <v>0</v>
      </c>
      <c r="H106" s="1075"/>
      <c r="I106" s="1076">
        <v>0</v>
      </c>
      <c r="J106" s="529"/>
      <c r="K106" s="466">
        <f t="shared" ref="K106:K112" si="6">ROUND(SUM(C106)+SUM(E106)-SUM(G106)+SUM(I106),3)</f>
        <v>0</v>
      </c>
      <c r="L106" s="1297"/>
    </row>
    <row r="107" spans="1:12">
      <c r="A107" s="530" t="s">
        <v>303</v>
      </c>
      <c r="B107" s="530"/>
      <c r="C107" s="1076">
        <v>95.043000000000006</v>
      </c>
      <c r="D107" s="1075"/>
      <c r="E107" s="1076">
        <v>11.41</v>
      </c>
      <c r="F107" s="1075"/>
      <c r="G107" s="1076">
        <v>0</v>
      </c>
      <c r="H107" s="1075"/>
      <c r="I107" s="1076">
        <v>-18.361999999999998</v>
      </c>
      <c r="J107" s="529"/>
      <c r="K107" s="466">
        <f>ROUND(SUM(C107)+SUM(E107)-SUM(G107)+SUM(I107),3)</f>
        <v>88.090999999999994</v>
      </c>
      <c r="L107" s="466"/>
    </row>
    <row r="108" spans="1:12">
      <c r="A108" s="530" t="s">
        <v>304</v>
      </c>
      <c r="B108" s="530"/>
      <c r="C108" s="1076">
        <v>926.52499999999998</v>
      </c>
      <c r="D108" s="1075"/>
      <c r="E108" s="1076">
        <v>4562.5320000000002</v>
      </c>
      <c r="F108" s="1075"/>
      <c r="G108" s="1076">
        <v>427.49200000000002</v>
      </c>
      <c r="H108" s="1075"/>
      <c r="I108" s="1076">
        <v>-5003.8670000000002</v>
      </c>
      <c r="J108" s="529"/>
      <c r="K108" s="466">
        <f t="shared" si="6"/>
        <v>57.698</v>
      </c>
      <c r="L108" s="466"/>
    </row>
    <row r="109" spans="1:12">
      <c r="A109" s="530" t="s">
        <v>305</v>
      </c>
      <c r="B109" s="530"/>
      <c r="C109" s="1076">
        <v>0</v>
      </c>
      <c r="D109" s="1075"/>
      <c r="E109" s="1076">
        <v>0</v>
      </c>
      <c r="F109" s="1075"/>
      <c r="G109" s="1076">
        <v>0</v>
      </c>
      <c r="H109" s="1075"/>
      <c r="I109" s="1076">
        <v>0</v>
      </c>
      <c r="J109" s="529"/>
      <c r="K109" s="466">
        <f t="shared" si="6"/>
        <v>0</v>
      </c>
      <c r="L109" s="1297"/>
    </row>
    <row r="110" spans="1:12">
      <c r="A110" s="530" t="s">
        <v>306</v>
      </c>
      <c r="B110" s="530"/>
      <c r="C110" s="1076">
        <v>35.627000000000002</v>
      </c>
      <c r="D110" s="1075"/>
      <c r="E110" s="1076">
        <v>16.616</v>
      </c>
      <c r="F110" s="1075"/>
      <c r="G110" s="1076">
        <v>0</v>
      </c>
      <c r="H110" s="1075"/>
      <c r="I110" s="1076">
        <v>-11.092000000000001</v>
      </c>
      <c r="J110" s="529"/>
      <c r="K110" s="466">
        <f t="shared" si="6"/>
        <v>41.151000000000003</v>
      </c>
      <c r="L110" s="466"/>
    </row>
    <row r="111" spans="1:12">
      <c r="A111" s="530" t="s">
        <v>307</v>
      </c>
      <c r="B111" s="530"/>
      <c r="C111" s="1076">
        <v>5.17</v>
      </c>
      <c r="D111" s="1075"/>
      <c r="E111" s="1076">
        <v>90.132999999999996</v>
      </c>
      <c r="F111" s="1075"/>
      <c r="G111" s="1076">
        <v>0</v>
      </c>
      <c r="H111" s="1075"/>
      <c r="I111" s="1076">
        <v>-89.087000000000003</v>
      </c>
      <c r="J111" s="529"/>
      <c r="K111" s="466">
        <f t="shared" si="6"/>
        <v>6.2160000000000002</v>
      </c>
      <c r="L111" s="466" t="s">
        <v>14</v>
      </c>
    </row>
    <row r="112" spans="1:12">
      <c r="A112" s="531" t="s">
        <v>308</v>
      </c>
      <c r="B112" s="530"/>
      <c r="C112" s="1076">
        <v>0</v>
      </c>
      <c r="D112" s="1075"/>
      <c r="E112" s="1076">
        <v>0</v>
      </c>
      <c r="F112" s="1075"/>
      <c r="G112" s="1076">
        <v>0</v>
      </c>
      <c r="H112" s="1075"/>
      <c r="I112" s="1076">
        <v>0</v>
      </c>
      <c r="J112" s="529"/>
      <c r="K112" s="466">
        <f t="shared" si="6"/>
        <v>0</v>
      </c>
      <c r="L112" s="466" t="s">
        <v>14</v>
      </c>
    </row>
    <row r="113" spans="1:12">
      <c r="A113" s="310" t="s">
        <v>309</v>
      </c>
      <c r="B113" s="1699"/>
      <c r="C113" s="311">
        <f>ROUND(SUM(C106:C112),3)</f>
        <v>1062.365</v>
      </c>
      <c r="D113" s="312"/>
      <c r="E113" s="311">
        <f>ROUND(SUM(E106:E112),3)</f>
        <v>4680.6909999999998</v>
      </c>
      <c r="F113" s="312"/>
      <c r="G113" s="311">
        <f>ROUND(SUM(G106:G112),3)</f>
        <v>427.49200000000002</v>
      </c>
      <c r="H113" s="312"/>
      <c r="I113" s="311">
        <f>ROUND(SUM(I106:I112),3)</f>
        <v>-5122.4080000000004</v>
      </c>
      <c r="J113" s="312"/>
      <c r="K113" s="311">
        <f>ROUND(SUM(K106:K112),3)</f>
        <v>193.15600000000001</v>
      </c>
      <c r="L113" s="310" t="s">
        <v>14</v>
      </c>
    </row>
    <row r="114" spans="1:12">
      <c r="A114" s="530"/>
      <c r="B114" s="530"/>
      <c r="C114" s="530"/>
      <c r="D114" s="530"/>
      <c r="E114" s="530"/>
      <c r="F114" s="530"/>
      <c r="G114" s="530"/>
      <c r="H114" s="530"/>
      <c r="I114" s="530"/>
      <c r="J114" s="530"/>
      <c r="K114" s="530" t="s">
        <v>14</v>
      </c>
      <c r="L114" s="530"/>
    </row>
    <row r="115" spans="1:12">
      <c r="A115" s="1700" t="s">
        <v>802</v>
      </c>
      <c r="B115" s="530"/>
      <c r="K115" s="532"/>
      <c r="L115" s="466"/>
    </row>
    <row r="116" spans="1:12">
      <c r="A116" s="530" t="s">
        <v>310</v>
      </c>
      <c r="B116" s="529"/>
      <c r="C116" s="1076">
        <v>0</v>
      </c>
      <c r="D116" s="1075"/>
      <c r="E116" s="1076">
        <v>695.67499999999995</v>
      </c>
      <c r="F116" s="1075"/>
      <c r="G116" s="2216">
        <v>637.79499999999996</v>
      </c>
      <c r="H116" s="1075"/>
      <c r="I116" s="1076">
        <v>-57.88</v>
      </c>
      <c r="J116" s="529"/>
      <c r="K116" s="466">
        <f>ROUND(SUM(C116)+SUM(E116)-SUM(G116)+SUM(I116),3)</f>
        <v>0</v>
      </c>
      <c r="L116" s="1297"/>
    </row>
    <row r="117" spans="1:12">
      <c r="A117" s="530" t="s">
        <v>311</v>
      </c>
      <c r="B117" s="531"/>
      <c r="C117" s="1076">
        <v>73.075999999999993</v>
      </c>
      <c r="D117" s="1075"/>
      <c r="E117" s="2216">
        <v>222.22</v>
      </c>
      <c r="F117" s="1075"/>
      <c r="G117" s="1076">
        <v>165.88900000000001</v>
      </c>
      <c r="H117" s="1075"/>
      <c r="I117" s="2216">
        <v>13.206</v>
      </c>
      <c r="J117" s="2217"/>
      <c r="K117" s="2218">
        <f t="shared" ref="K117:K131" si="7">ROUND(SUM(C117)+SUM(E117)-SUM(G117)+SUM(I117),3)</f>
        <v>142.613</v>
      </c>
      <c r="L117" s="466"/>
    </row>
    <row r="118" spans="1:12">
      <c r="A118" s="530" t="s">
        <v>312</v>
      </c>
      <c r="B118" s="530"/>
      <c r="C118" s="1076">
        <v>135.77500000000001</v>
      </c>
      <c r="D118" s="1075"/>
      <c r="E118" s="1076">
        <v>0.64900000000000002</v>
      </c>
      <c r="F118" s="1075"/>
      <c r="G118" s="1076">
        <v>6.1859999999999999</v>
      </c>
      <c r="H118" s="1075"/>
      <c r="I118" s="1076">
        <v>0</v>
      </c>
      <c r="J118" s="529"/>
      <c r="K118" s="466">
        <f t="shared" si="7"/>
        <v>130.238</v>
      </c>
      <c r="L118" s="466"/>
    </row>
    <row r="119" spans="1:12">
      <c r="A119" s="530" t="s">
        <v>313</v>
      </c>
      <c r="B119" s="530"/>
      <c r="C119" s="1076">
        <v>14.128</v>
      </c>
      <c r="D119" s="1075"/>
      <c r="E119" s="1076">
        <v>6.3E-2</v>
      </c>
      <c r="F119" s="1075"/>
      <c r="G119" s="1076">
        <v>0</v>
      </c>
      <c r="H119" s="1075"/>
      <c r="I119" s="1076">
        <v>0</v>
      </c>
      <c r="J119" s="529"/>
      <c r="K119" s="466">
        <f t="shared" si="7"/>
        <v>14.191000000000001</v>
      </c>
      <c r="L119" s="466"/>
    </row>
    <row r="120" spans="1:12">
      <c r="A120" s="530" t="s">
        <v>314</v>
      </c>
      <c r="B120" s="530"/>
      <c r="C120" s="1076">
        <v>-167.261</v>
      </c>
      <c r="D120" s="1075"/>
      <c r="E120" s="1076">
        <v>1E-3</v>
      </c>
      <c r="F120" s="1075"/>
      <c r="G120" s="1076">
        <v>14.129</v>
      </c>
      <c r="H120" s="1075"/>
      <c r="I120" s="1076">
        <v>0</v>
      </c>
      <c r="J120" s="529"/>
      <c r="K120" s="466">
        <f t="shared" si="7"/>
        <v>-181.38900000000001</v>
      </c>
      <c r="L120" s="466"/>
    </row>
    <row r="121" spans="1:12">
      <c r="A121" s="530" t="s">
        <v>315</v>
      </c>
      <c r="B121" s="530"/>
      <c r="C121" s="1076">
        <v>1.6E-2</v>
      </c>
      <c r="D121" s="1075"/>
      <c r="E121" s="1076">
        <v>0</v>
      </c>
      <c r="F121" s="1075"/>
      <c r="G121" s="1076">
        <v>0</v>
      </c>
      <c r="H121" s="1075"/>
      <c r="I121" s="1076">
        <v>0</v>
      </c>
      <c r="J121" s="529"/>
      <c r="K121" s="466">
        <f t="shared" si="7"/>
        <v>1.6E-2</v>
      </c>
      <c r="L121" s="466"/>
    </row>
    <row r="122" spans="1:12">
      <c r="A122" s="530" t="s">
        <v>316</v>
      </c>
      <c r="B122" s="530"/>
      <c r="C122" s="1076">
        <v>312.15199999999999</v>
      </c>
      <c r="D122" s="1075"/>
      <c r="E122" s="1076">
        <v>29.507000000000001</v>
      </c>
      <c r="F122" s="1075"/>
      <c r="G122" s="1076">
        <v>29.489000000000001</v>
      </c>
      <c r="H122" s="1075"/>
      <c r="I122" s="1076">
        <v>0</v>
      </c>
      <c r="J122" s="529"/>
      <c r="K122" s="466">
        <f t="shared" si="7"/>
        <v>312.17</v>
      </c>
      <c r="L122" s="466"/>
    </row>
    <row r="123" spans="1:12">
      <c r="A123" s="530" t="s">
        <v>317</v>
      </c>
      <c r="B123" s="530"/>
      <c r="C123" s="1076">
        <v>0</v>
      </c>
      <c r="D123" s="1075"/>
      <c r="E123" s="1076">
        <v>0</v>
      </c>
      <c r="F123" s="1075"/>
      <c r="G123" s="1076">
        <v>0</v>
      </c>
      <c r="H123" s="1075"/>
      <c r="I123" s="1076">
        <v>0</v>
      </c>
      <c r="J123" s="529"/>
      <c r="K123" s="466">
        <f t="shared" si="7"/>
        <v>0</v>
      </c>
      <c r="L123" s="466"/>
    </row>
    <row r="124" spans="1:12">
      <c r="A124" s="530" t="s">
        <v>318</v>
      </c>
      <c r="B124" s="530"/>
      <c r="C124" s="1076">
        <v>0.16400000000000001</v>
      </c>
      <c r="D124" s="1075"/>
      <c r="E124" s="1076">
        <v>0</v>
      </c>
      <c r="F124" s="1075"/>
      <c r="G124" s="1076">
        <v>0</v>
      </c>
      <c r="H124" s="1075"/>
      <c r="I124" s="1076">
        <v>0</v>
      </c>
      <c r="J124" s="529"/>
      <c r="K124" s="466">
        <f t="shared" si="7"/>
        <v>0.16400000000000001</v>
      </c>
      <c r="L124" s="466"/>
    </row>
    <row r="125" spans="1:12">
      <c r="A125" s="530" t="s">
        <v>829</v>
      </c>
      <c r="B125" s="530"/>
      <c r="C125" s="1076">
        <v>0</v>
      </c>
      <c r="D125" s="1075"/>
      <c r="E125" s="1076">
        <v>0</v>
      </c>
      <c r="F125" s="1075"/>
      <c r="G125" s="1076">
        <v>0</v>
      </c>
      <c r="H125" s="1075"/>
      <c r="I125" s="1076">
        <v>0</v>
      </c>
      <c r="J125" s="529"/>
      <c r="K125" s="466">
        <f t="shared" si="7"/>
        <v>0</v>
      </c>
      <c r="L125" s="466"/>
    </row>
    <row r="126" spans="1:12">
      <c r="A126" s="530" t="s">
        <v>319</v>
      </c>
      <c r="B126" s="530"/>
      <c r="C126" s="1076">
        <v>0</v>
      </c>
      <c r="D126" s="1075"/>
      <c r="E126" s="1076">
        <v>0</v>
      </c>
      <c r="F126" s="1075"/>
      <c r="G126" s="1076">
        <v>0</v>
      </c>
      <c r="H126" s="1075"/>
      <c r="I126" s="1076">
        <v>0</v>
      </c>
      <c r="J126" s="529"/>
      <c r="K126" s="466">
        <f t="shared" si="7"/>
        <v>0</v>
      </c>
      <c r="L126" s="466"/>
    </row>
    <row r="127" spans="1:12">
      <c r="A127" s="530" t="s">
        <v>320</v>
      </c>
      <c r="B127" s="530"/>
      <c r="C127" s="1076">
        <v>3.3279999999999998</v>
      </c>
      <c r="D127" s="1075"/>
      <c r="E127" s="1076">
        <v>0</v>
      </c>
      <c r="F127" s="1075"/>
      <c r="G127" s="1076">
        <v>0</v>
      </c>
      <c r="H127" s="1075"/>
      <c r="I127" s="1076">
        <v>0</v>
      </c>
      <c r="J127" s="529"/>
      <c r="K127" s="466">
        <f t="shared" si="7"/>
        <v>3.3279999999999998</v>
      </c>
      <c r="L127" s="466"/>
    </row>
    <row r="128" spans="1:12">
      <c r="A128" s="530" t="s">
        <v>321</v>
      </c>
      <c r="B128" s="530"/>
      <c r="C128" s="1076">
        <v>0.73699999999999999</v>
      </c>
      <c r="D128" s="1075"/>
      <c r="E128" s="1076">
        <v>0</v>
      </c>
      <c r="F128" s="1075"/>
      <c r="G128" s="1076">
        <v>0</v>
      </c>
      <c r="H128" s="1075"/>
      <c r="I128" s="1076">
        <v>0</v>
      </c>
      <c r="J128" s="529"/>
      <c r="K128" s="466">
        <f t="shared" si="7"/>
        <v>0.73699999999999999</v>
      </c>
      <c r="L128" s="466"/>
    </row>
    <row r="129" spans="1:12">
      <c r="A129" s="530" t="s">
        <v>322</v>
      </c>
      <c r="B129" s="530"/>
      <c r="C129" s="1076">
        <v>17.21</v>
      </c>
      <c r="D129" s="1075"/>
      <c r="E129" s="1076">
        <v>0</v>
      </c>
      <c r="F129" s="1075"/>
      <c r="G129" s="1076">
        <v>0</v>
      </c>
      <c r="H129" s="1075"/>
      <c r="I129" s="1076">
        <v>0</v>
      </c>
      <c r="J129" s="529"/>
      <c r="K129" s="466">
        <f t="shared" si="7"/>
        <v>17.21</v>
      </c>
      <c r="L129" s="466"/>
    </row>
    <row r="130" spans="1:12">
      <c r="A130" s="530" t="s">
        <v>323</v>
      </c>
      <c r="B130" s="530"/>
      <c r="C130" s="1076">
        <v>4.2549999999999999</v>
      </c>
      <c r="D130" s="1075"/>
      <c r="E130" s="1076">
        <v>0</v>
      </c>
      <c r="F130" s="1075"/>
      <c r="G130" s="1076">
        <v>0</v>
      </c>
      <c r="H130" s="1075"/>
      <c r="I130" s="1076">
        <v>0</v>
      </c>
      <c r="J130" s="529"/>
      <c r="K130" s="466">
        <f t="shared" si="7"/>
        <v>4.2549999999999999</v>
      </c>
      <c r="L130" s="466"/>
    </row>
    <row r="131" spans="1:12">
      <c r="A131" s="530" t="s">
        <v>324</v>
      </c>
      <c r="B131" s="530"/>
      <c r="C131" s="1076">
        <v>5.55</v>
      </c>
      <c r="D131" s="1075"/>
      <c r="E131" s="1076">
        <v>0</v>
      </c>
      <c r="F131" s="1075"/>
      <c r="G131" s="1076">
        <v>0</v>
      </c>
      <c r="H131" s="1075"/>
      <c r="I131" s="1076">
        <v>0</v>
      </c>
      <c r="J131" s="529"/>
      <c r="K131" s="466">
        <f t="shared" si="7"/>
        <v>5.55</v>
      </c>
      <c r="L131" s="466"/>
    </row>
    <row r="132" spans="1:12">
      <c r="A132" s="530" t="s">
        <v>325</v>
      </c>
      <c r="B132" s="530"/>
      <c r="C132" s="2219"/>
      <c r="D132"/>
      <c r="E132" s="1094"/>
      <c r="F132" s="1075"/>
      <c r="G132" s="1094" t="s">
        <v>14</v>
      </c>
      <c r="H132" s="1075"/>
      <c r="I132" s="1094"/>
      <c r="J132" s="530"/>
      <c r="K132" s="1297"/>
      <c r="L132" s="466"/>
    </row>
    <row r="133" spans="1:12">
      <c r="A133" s="530" t="s">
        <v>326</v>
      </c>
      <c r="B133" s="530"/>
      <c r="C133" s="1076">
        <v>2.778</v>
      </c>
      <c r="D133" s="1075"/>
      <c r="E133" s="1076">
        <v>0</v>
      </c>
      <c r="F133" s="1075"/>
      <c r="G133" s="1076">
        <v>0</v>
      </c>
      <c r="H133" s="1075"/>
      <c r="I133" s="1076">
        <v>0</v>
      </c>
      <c r="J133" s="529"/>
      <c r="K133" s="466">
        <f t="shared" ref="K133:K155" si="8">ROUND(SUM(C133)+SUM(E133)-SUM(G133)+SUM(I133),3)</f>
        <v>2.778</v>
      </c>
      <c r="L133" s="466"/>
    </row>
    <row r="134" spans="1:12">
      <c r="A134" s="530" t="s">
        <v>327</v>
      </c>
      <c r="B134" s="530"/>
      <c r="C134" s="1076">
        <v>1.4279999999999999</v>
      </c>
      <c r="D134" s="1075"/>
      <c r="E134" s="1076">
        <v>0</v>
      </c>
      <c r="F134" s="1075"/>
      <c r="G134" s="1076">
        <v>0</v>
      </c>
      <c r="H134" s="1075"/>
      <c r="I134" s="1076">
        <v>0</v>
      </c>
      <c r="J134" s="529"/>
      <c r="K134" s="466">
        <f t="shared" si="8"/>
        <v>1.4279999999999999</v>
      </c>
      <c r="L134" s="466"/>
    </row>
    <row r="135" spans="1:12">
      <c r="A135" s="530" t="s">
        <v>1057</v>
      </c>
      <c r="B135" s="530"/>
      <c r="C135" s="1076">
        <v>0</v>
      </c>
      <c r="D135" s="1075"/>
      <c r="E135" s="1076">
        <v>0</v>
      </c>
      <c r="F135" s="1075"/>
      <c r="G135" s="1076">
        <v>0</v>
      </c>
      <c r="H135" s="1075"/>
      <c r="I135" s="1076">
        <v>0</v>
      </c>
      <c r="J135" s="529"/>
      <c r="K135" s="466">
        <f t="shared" si="8"/>
        <v>0</v>
      </c>
      <c r="L135" s="466"/>
    </row>
    <row r="136" spans="1:12">
      <c r="A136" s="530" t="s">
        <v>1121</v>
      </c>
      <c r="B136" s="530"/>
      <c r="C136" s="1076">
        <v>0</v>
      </c>
      <c r="D136" s="1075"/>
      <c r="E136" s="1076">
        <v>0</v>
      </c>
      <c r="F136" s="1075"/>
      <c r="G136" s="1076">
        <v>0</v>
      </c>
      <c r="H136" s="1075"/>
      <c r="I136" s="1076">
        <v>0</v>
      </c>
      <c r="J136" s="529"/>
      <c r="K136" s="466">
        <f t="shared" si="8"/>
        <v>0</v>
      </c>
      <c r="L136" s="466"/>
    </row>
    <row r="137" spans="1:12">
      <c r="A137" s="530" t="s">
        <v>1430</v>
      </c>
      <c r="B137" s="530"/>
      <c r="C137" s="1076">
        <v>0</v>
      </c>
      <c r="D137" s="1075"/>
      <c r="E137" s="1076">
        <v>0</v>
      </c>
      <c r="F137" s="1075"/>
      <c r="G137" s="1076">
        <v>0</v>
      </c>
      <c r="H137" s="1075"/>
      <c r="I137" s="1076">
        <v>0</v>
      </c>
      <c r="J137" s="529"/>
      <c r="K137" s="466">
        <f>ROUND(SUM(C137)+SUM(E137)-SUM(G137)+SUM(I137),3)</f>
        <v>0</v>
      </c>
      <c r="L137" s="466"/>
    </row>
    <row r="138" spans="1:12">
      <c r="A138" s="530" t="s">
        <v>328</v>
      </c>
      <c r="B138" s="530"/>
      <c r="C138" s="1076">
        <v>0</v>
      </c>
      <c r="D138" s="1075"/>
      <c r="E138" s="1076">
        <v>0</v>
      </c>
      <c r="F138" s="1075"/>
      <c r="G138" s="1076">
        <v>0</v>
      </c>
      <c r="H138" s="1075"/>
      <c r="I138" s="1076">
        <v>0</v>
      </c>
      <c r="J138" s="529"/>
      <c r="K138" s="466">
        <f t="shared" si="8"/>
        <v>0</v>
      </c>
      <c r="L138" s="466"/>
    </row>
    <row r="139" spans="1:12">
      <c r="A139" s="530" t="s">
        <v>329</v>
      </c>
      <c r="B139" s="530"/>
      <c r="C139" s="1076">
        <v>0</v>
      </c>
      <c r="D139" s="1075"/>
      <c r="E139" s="1076">
        <v>0</v>
      </c>
      <c r="F139" s="1075"/>
      <c r="G139" s="1076">
        <v>0</v>
      </c>
      <c r="H139" s="1075"/>
      <c r="I139" s="1076">
        <v>0</v>
      </c>
      <c r="J139" s="529"/>
      <c r="K139" s="466">
        <f t="shared" si="8"/>
        <v>0</v>
      </c>
      <c r="L139" s="466"/>
    </row>
    <row r="140" spans="1:12">
      <c r="A140" s="530" t="s">
        <v>330</v>
      </c>
      <c r="B140" s="530"/>
      <c r="C140" s="1076">
        <v>-534.125</v>
      </c>
      <c r="D140" s="1075"/>
      <c r="E140" s="2216">
        <v>191.64400000000001</v>
      </c>
      <c r="F140" s="1075"/>
      <c r="G140" s="1076">
        <v>185.316</v>
      </c>
      <c r="H140" s="1075"/>
      <c r="I140" s="1076">
        <v>0</v>
      </c>
      <c r="J140" s="529"/>
      <c r="K140" s="2218">
        <f t="shared" si="8"/>
        <v>-527.79700000000003</v>
      </c>
      <c r="L140" s="466"/>
    </row>
    <row r="141" spans="1:12">
      <c r="A141" s="530" t="s">
        <v>331</v>
      </c>
      <c r="B141" s="530"/>
      <c r="C141" s="1076">
        <v>1.131</v>
      </c>
      <c r="D141" s="1075"/>
      <c r="E141" s="1076">
        <v>5.0000000000000001E-3</v>
      </c>
      <c r="F141" s="1075"/>
      <c r="G141" s="1076">
        <v>0</v>
      </c>
      <c r="H141" s="1075"/>
      <c r="I141" s="1076">
        <v>0</v>
      </c>
      <c r="J141" s="529"/>
      <c r="K141" s="466">
        <f t="shared" si="8"/>
        <v>1.1359999999999999</v>
      </c>
      <c r="L141" s="1297"/>
    </row>
    <row r="142" spans="1:12">
      <c r="A142" s="531" t="s">
        <v>332</v>
      </c>
      <c r="B142" s="530"/>
      <c r="C142" s="1076">
        <v>-142.75700000000001</v>
      </c>
      <c r="D142" s="1075"/>
      <c r="E142" s="1076">
        <v>1.38</v>
      </c>
      <c r="F142" s="1075"/>
      <c r="G142" s="1076">
        <v>14.305999999999999</v>
      </c>
      <c r="H142" s="1075"/>
      <c r="I142" s="1076">
        <v>-0.91200000000000003</v>
      </c>
      <c r="J142" s="529"/>
      <c r="K142" s="466">
        <f t="shared" si="8"/>
        <v>-156.595</v>
      </c>
      <c r="L142" s="466"/>
    </row>
    <row r="143" spans="1:12">
      <c r="A143" s="530" t="s">
        <v>333</v>
      </c>
      <c r="B143" s="530"/>
      <c r="C143" s="1076">
        <v>0.56399999999999995</v>
      </c>
      <c r="D143" s="1075"/>
      <c r="E143" s="1076">
        <v>3.0000000000000001E-3</v>
      </c>
      <c r="F143" s="1075"/>
      <c r="G143" s="1076">
        <v>0</v>
      </c>
      <c r="H143" s="1075"/>
      <c r="I143" s="1076">
        <v>0</v>
      </c>
      <c r="J143" s="529"/>
      <c r="K143" s="466">
        <f t="shared" si="8"/>
        <v>0.56699999999999995</v>
      </c>
      <c r="L143" s="466"/>
    </row>
    <row r="144" spans="1:12">
      <c r="A144" s="530" t="s">
        <v>334</v>
      </c>
      <c r="B144" s="530"/>
      <c r="C144" s="1076">
        <v>-23.312999999999999</v>
      </c>
      <c r="D144" s="1075"/>
      <c r="E144" s="1076">
        <v>1E-3</v>
      </c>
      <c r="F144" s="1075"/>
      <c r="G144" s="1076">
        <v>0.77500000000000002</v>
      </c>
      <c r="H144" s="1075"/>
      <c r="I144" s="1076">
        <v>0</v>
      </c>
      <c r="J144" s="529"/>
      <c r="K144" s="466">
        <f t="shared" si="8"/>
        <v>-24.087</v>
      </c>
      <c r="L144" s="466"/>
    </row>
    <row r="145" spans="1:12">
      <c r="A145" s="530" t="s">
        <v>335</v>
      </c>
      <c r="B145" s="530"/>
      <c r="C145" s="1076">
        <v>-12.942</v>
      </c>
      <c r="D145" s="1075"/>
      <c r="E145" s="1076">
        <v>0</v>
      </c>
      <c r="F145" s="1075"/>
      <c r="G145" s="1076">
        <v>0</v>
      </c>
      <c r="H145" s="1075"/>
      <c r="I145" s="1076">
        <v>0</v>
      </c>
      <c r="J145" s="529"/>
      <c r="K145" s="466">
        <f t="shared" si="8"/>
        <v>-12.942</v>
      </c>
      <c r="L145" s="466"/>
    </row>
    <row r="146" spans="1:12">
      <c r="A146" s="530" t="s">
        <v>336</v>
      </c>
      <c r="B146" s="530"/>
      <c r="C146" s="1076">
        <v>-899.375</v>
      </c>
      <c r="D146" s="1075"/>
      <c r="E146" s="1076">
        <v>0</v>
      </c>
      <c r="F146" s="1075"/>
      <c r="G146" s="1076">
        <v>23.09</v>
      </c>
      <c r="H146" s="1075"/>
      <c r="I146" s="1076">
        <v>0</v>
      </c>
      <c r="J146" s="529"/>
      <c r="K146" s="466">
        <f t="shared" si="8"/>
        <v>-922.46500000000003</v>
      </c>
      <c r="L146" s="466"/>
    </row>
    <row r="147" spans="1:12">
      <c r="A147" s="530" t="s">
        <v>337</v>
      </c>
      <c r="B147" s="530"/>
      <c r="C147" s="1076">
        <v>23.864000000000001</v>
      </c>
      <c r="D147" s="1075"/>
      <c r="E147" s="1076">
        <v>0.16400000000000001</v>
      </c>
      <c r="F147" s="1075"/>
      <c r="G147" s="1076">
        <v>0.64</v>
      </c>
      <c r="H147" s="1075"/>
      <c r="I147" s="1076">
        <v>0</v>
      </c>
      <c r="J147" s="529"/>
      <c r="K147" s="466">
        <f t="shared" si="8"/>
        <v>23.388000000000002</v>
      </c>
      <c r="L147" s="466"/>
    </row>
    <row r="148" spans="1:12">
      <c r="A148" s="530" t="s">
        <v>836</v>
      </c>
      <c r="B148" s="530"/>
      <c r="C148" s="1076">
        <v>-12.016</v>
      </c>
      <c r="D148" s="1075"/>
      <c r="E148" s="1076">
        <v>0</v>
      </c>
      <c r="F148" s="1075"/>
      <c r="G148" s="1076">
        <v>0</v>
      </c>
      <c r="H148" s="1075"/>
      <c r="I148" s="1076">
        <v>0</v>
      </c>
      <c r="J148" s="529"/>
      <c r="K148" s="466">
        <f t="shared" si="8"/>
        <v>-12.016</v>
      </c>
      <c r="L148" s="466"/>
    </row>
    <row r="149" spans="1:12">
      <c r="A149" s="530" t="s">
        <v>338</v>
      </c>
      <c r="B149" s="530"/>
      <c r="C149" s="1076">
        <v>146.827</v>
      </c>
      <c r="D149" s="1075"/>
      <c r="E149" s="1076">
        <v>3.7010000000000001</v>
      </c>
      <c r="F149" s="1075"/>
      <c r="G149" s="1076">
        <v>3.9750000000000001</v>
      </c>
      <c r="H149" s="1075"/>
      <c r="I149" s="1076">
        <v>1.645</v>
      </c>
      <c r="J149" s="529"/>
      <c r="K149" s="466">
        <f t="shared" si="8"/>
        <v>148.19800000000001</v>
      </c>
      <c r="L149" s="466"/>
    </row>
    <row r="150" spans="1:12">
      <c r="A150" s="530" t="s">
        <v>339</v>
      </c>
      <c r="B150" s="530"/>
      <c r="C150" s="1076">
        <v>9.0999999999999998E-2</v>
      </c>
      <c r="D150" s="1075"/>
      <c r="E150" s="1076">
        <v>0</v>
      </c>
      <c r="F150" s="1075"/>
      <c r="G150" s="1076">
        <v>0</v>
      </c>
      <c r="H150" s="1075"/>
      <c r="I150" s="1076">
        <v>0</v>
      </c>
      <c r="J150" s="529"/>
      <c r="K150" s="466">
        <f t="shared" si="8"/>
        <v>9.0999999999999998E-2</v>
      </c>
      <c r="L150" s="466"/>
    </row>
    <row r="151" spans="1:12">
      <c r="A151" s="530" t="s">
        <v>340</v>
      </c>
      <c r="B151" s="530"/>
      <c r="C151" s="1076">
        <v>-675.12400000000002</v>
      </c>
      <c r="D151" s="1075"/>
      <c r="E151" s="1076">
        <v>1E-3</v>
      </c>
      <c r="F151" s="1075"/>
      <c r="G151" s="1076">
        <v>31.869</v>
      </c>
      <c r="H151" s="1075"/>
      <c r="I151" s="1076">
        <v>0</v>
      </c>
      <c r="J151" s="529"/>
      <c r="K151" s="466">
        <f t="shared" si="8"/>
        <v>-706.99199999999996</v>
      </c>
      <c r="L151" s="1297"/>
    </row>
    <row r="152" spans="1:12">
      <c r="A152" s="530" t="s">
        <v>341</v>
      </c>
      <c r="B152" s="530"/>
      <c r="C152" s="1076">
        <v>-358.28399999999999</v>
      </c>
      <c r="D152" s="1075"/>
      <c r="E152" s="1076">
        <v>0</v>
      </c>
      <c r="F152" s="1075"/>
      <c r="G152" s="1076">
        <v>30.803999999999998</v>
      </c>
      <c r="H152" s="1075"/>
      <c r="I152" s="1076">
        <v>0</v>
      </c>
      <c r="J152" s="529"/>
      <c r="K152" s="466">
        <f t="shared" si="8"/>
        <v>-389.08800000000002</v>
      </c>
      <c r="L152" s="466"/>
    </row>
    <row r="153" spans="1:12">
      <c r="A153" s="530" t="s">
        <v>342</v>
      </c>
      <c r="B153" s="530"/>
      <c r="C153" s="1076">
        <v>93.582999999999998</v>
      </c>
      <c r="D153" s="1075"/>
      <c r="E153" s="1076">
        <v>0.42799999999999999</v>
      </c>
      <c r="F153" s="1075"/>
      <c r="G153" s="1076">
        <v>1.286</v>
      </c>
      <c r="H153" s="1075"/>
      <c r="I153" s="1076">
        <v>0</v>
      </c>
      <c r="J153" s="529"/>
      <c r="K153" s="466">
        <f t="shared" si="8"/>
        <v>92.724999999999994</v>
      </c>
      <c r="L153" s="466"/>
    </row>
    <row r="154" spans="1:12">
      <c r="A154" s="530" t="s">
        <v>343</v>
      </c>
      <c r="B154" s="530"/>
      <c r="C154" s="1076">
        <v>-42.834000000000003</v>
      </c>
      <c r="D154" s="1075"/>
      <c r="E154" s="1076">
        <v>3.9119999999999999</v>
      </c>
      <c r="F154" s="1075"/>
      <c r="G154" s="1076">
        <v>-0.158</v>
      </c>
      <c r="H154" s="1075"/>
      <c r="I154" s="1076">
        <v>0</v>
      </c>
      <c r="J154" s="529"/>
      <c r="K154" s="466">
        <f t="shared" si="8"/>
        <v>-38.764000000000003</v>
      </c>
      <c r="L154" s="466"/>
    </row>
    <row r="155" spans="1:12">
      <c r="A155" s="530" t="s">
        <v>1063</v>
      </c>
      <c r="B155" s="530"/>
      <c r="C155" s="1076">
        <v>70.412999999999997</v>
      </c>
      <c r="D155" s="1075"/>
      <c r="E155" s="1076">
        <v>0</v>
      </c>
      <c r="F155" s="1075"/>
      <c r="G155" s="1076">
        <v>48.754999999999995</v>
      </c>
      <c r="H155" s="1075"/>
      <c r="I155" s="1076">
        <v>80</v>
      </c>
      <c r="J155" s="529"/>
      <c r="K155" s="466">
        <f t="shared" si="8"/>
        <v>101.658</v>
      </c>
      <c r="L155" s="466"/>
    </row>
    <row r="156" spans="1:12">
      <c r="A156" s="310" t="s">
        <v>1293</v>
      </c>
      <c r="B156" s="530"/>
      <c r="C156" s="311">
        <f>ROUND(SUM(C116:C155),3)</f>
        <v>-1960.961</v>
      </c>
      <c r="D156" s="310"/>
      <c r="E156" s="311">
        <f>ROUND(SUM(E116:E155),3)</f>
        <v>1149.354</v>
      </c>
      <c r="F156" s="310"/>
      <c r="G156" s="311">
        <f>ROUND(SUM(G116:G155),3)</f>
        <v>1194.146</v>
      </c>
      <c r="H156" s="310"/>
      <c r="I156" s="311">
        <f>ROUND(SUM(I116:I155),3)</f>
        <v>36.058999999999997</v>
      </c>
      <c r="J156" s="310"/>
      <c r="K156" s="311">
        <f>ROUND(SUM(K116:K155),3)</f>
        <v>-1969.694</v>
      </c>
      <c r="L156" s="310"/>
    </row>
    <row r="157" spans="1:12">
      <c r="A157" s="310"/>
      <c r="B157" s="530"/>
      <c r="C157" s="530"/>
      <c r="D157" s="530"/>
      <c r="E157" s="534"/>
      <c r="F157" s="534"/>
      <c r="G157" s="534"/>
      <c r="H157" s="534"/>
      <c r="I157" s="534"/>
      <c r="J157" s="530"/>
      <c r="K157" s="530"/>
      <c r="L157" s="530"/>
    </row>
    <row r="158" spans="1:12" ht="16.5" thickBot="1">
      <c r="A158" s="310" t="s">
        <v>344</v>
      </c>
      <c r="B158" s="312"/>
      <c r="C158" s="313">
        <f>ROUND(SUM(C24+C103+C113+C156),3)</f>
        <v>69774.535000000003</v>
      </c>
      <c r="D158" s="312"/>
      <c r="E158" s="313">
        <f>ROUND(SUM(E24+E103+E113+E156),3)</f>
        <v>21796.333999999999</v>
      </c>
      <c r="F158" s="314"/>
      <c r="G158" s="313">
        <f>ROUND(SUM(G24+G103+G113+G156),3)</f>
        <v>18362.653999999999</v>
      </c>
      <c r="H158" s="314"/>
      <c r="I158" s="313">
        <f>ROUND(SUM(I24+I103+I113+I156),3)</f>
        <v>-3.2250000000000001</v>
      </c>
      <c r="J158" s="312"/>
      <c r="K158" s="313">
        <f>ROUND(SUM(K24+K103+K113+K156),3)</f>
        <v>73204.990000000005</v>
      </c>
      <c r="L158" s="315"/>
    </row>
    <row r="159" spans="1:12" ht="16.5" thickTop="1">
      <c r="A159" s="530"/>
      <c r="B159" s="530"/>
      <c r="C159" s="530" t="s">
        <v>14</v>
      </c>
      <c r="D159" s="530"/>
      <c r="E159" s="530"/>
      <c r="F159" s="530"/>
      <c r="G159" s="530"/>
      <c r="H159" s="530"/>
      <c r="I159" s="530"/>
      <c r="J159" s="530"/>
      <c r="K159" s="530"/>
      <c r="L159" s="530"/>
    </row>
    <row r="160" spans="1:12">
      <c r="A160" s="530"/>
      <c r="B160" s="530"/>
      <c r="C160" s="530" t="s">
        <v>14</v>
      </c>
      <c r="D160" s="530"/>
      <c r="E160" s="530"/>
      <c r="F160" s="530"/>
      <c r="G160" s="530"/>
      <c r="H160" s="530"/>
      <c r="I160" s="530"/>
      <c r="J160" s="530"/>
      <c r="K160" s="530" t="s">
        <v>14</v>
      </c>
      <c r="L160" s="530"/>
    </row>
    <row r="161" spans="1:12">
      <c r="A161" s="309"/>
      <c r="B161" s="530"/>
      <c r="C161" s="530"/>
      <c r="D161" s="530"/>
      <c r="E161" s="1844"/>
      <c r="F161" s="530"/>
      <c r="G161" s="530" t="s">
        <v>14</v>
      </c>
      <c r="H161" s="530"/>
      <c r="I161" s="534" t="s">
        <v>14</v>
      </c>
      <c r="J161" s="530"/>
      <c r="K161" s="1845" t="s">
        <v>14</v>
      </c>
      <c r="L161" s="530"/>
    </row>
    <row r="162" spans="1:12">
      <c r="A162" s="530" t="s">
        <v>14</v>
      </c>
      <c r="B162" s="530"/>
      <c r="C162" s="530"/>
      <c r="D162" s="530"/>
      <c r="E162" s="530"/>
      <c r="F162" s="530"/>
      <c r="G162" s="532" t="s">
        <v>14</v>
      </c>
      <c r="H162" s="530"/>
      <c r="I162" s="530" t="s">
        <v>14</v>
      </c>
      <c r="J162" s="530"/>
      <c r="K162" s="530" t="s">
        <v>14</v>
      </c>
      <c r="L162" s="530"/>
    </row>
    <row r="163" spans="1:12">
      <c r="A163" s="530"/>
      <c r="B163" s="530"/>
      <c r="C163" s="530"/>
      <c r="D163" s="530"/>
      <c r="E163" s="530"/>
      <c r="F163" s="530"/>
      <c r="G163" s="530"/>
      <c r="H163" s="530"/>
      <c r="I163" s="530" t="s">
        <v>14</v>
      </c>
      <c r="J163" s="530"/>
      <c r="K163" s="530" t="s">
        <v>14</v>
      </c>
      <c r="L163" s="530"/>
    </row>
    <row r="164" spans="1:12">
      <c r="A164" s="535"/>
      <c r="B164" s="530"/>
      <c r="C164" s="530"/>
      <c r="D164" s="530"/>
      <c r="E164" s="530"/>
      <c r="F164" s="530"/>
      <c r="G164" s="530"/>
      <c r="H164" s="530"/>
      <c r="I164" s="536" t="s">
        <v>14</v>
      </c>
      <c r="J164" s="530"/>
      <c r="K164" s="530" t="s">
        <v>14</v>
      </c>
      <c r="L164" s="530"/>
    </row>
    <row r="165" spans="1:12">
      <c r="I165" s="2069" t="s">
        <v>14</v>
      </c>
      <c r="K165" s="1696" t="s">
        <v>14</v>
      </c>
    </row>
    <row r="169" spans="1:12">
      <c r="I169" s="315"/>
    </row>
  </sheetData>
  <printOptions horizontalCentered="1"/>
  <pageMargins left="0.5" right="0.25" top="0.32" bottom="0.25" header="0.27" footer="0.1"/>
  <pageSetup scale="59" firstPageNumber="38" fitToHeight="3" orientation="landscape" useFirstPageNumber="1" r:id="rId1"/>
  <headerFooter scaleWithDoc="0" alignWithMargins="0">
    <oddFooter>&amp;C&amp;8&amp;P</oddFooter>
    <firstFooter>&amp;C28</firstFooter>
  </headerFooter>
  <rowBreaks count="2" manualBreakCount="2">
    <brk id="60" max="11" man="1"/>
    <brk id="113" max="11" man="1"/>
  </rowBreaks>
  <customProperties>
    <customPr name="SheetOptions" r:id="rId2"/>
  </customPropertie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9">
    <pageSetUpPr autoPageBreaks="0"/>
  </sheetPr>
  <dimension ref="A1:O95"/>
  <sheetViews>
    <sheetView showGridLines="0" zoomScale="80" workbookViewId="0"/>
  </sheetViews>
  <sheetFormatPr defaultColWidth="8.88671875" defaultRowHeight="18"/>
  <cols>
    <col min="1" max="1" width="55.88671875" style="1332" customWidth="1"/>
    <col min="2" max="2" width="6.109375" style="1332" customWidth="1"/>
    <col min="3" max="3" width="20.109375" style="1332" customWidth="1"/>
    <col min="4" max="4" width="3.109375" style="1332" customWidth="1"/>
    <col min="5" max="5" width="17.109375" style="1332" customWidth="1"/>
    <col min="6" max="6" width="3.5546875" style="1332" customWidth="1"/>
    <col min="7" max="7" width="18.109375" style="1332" customWidth="1"/>
    <col min="8" max="8" width="3.109375" style="1332" customWidth="1"/>
    <col min="9" max="9" width="18.5546875" style="1332" customWidth="1"/>
    <col min="10" max="10" width="3.44140625" style="1332" customWidth="1"/>
    <col min="11" max="11" width="22.109375" style="1332" customWidth="1"/>
    <col min="12" max="12" width="15.5546875" style="1332" customWidth="1"/>
    <col min="13" max="13" width="9.88671875" style="1332" bestFit="1" customWidth="1"/>
    <col min="14" max="16384" width="8.88671875" style="1332"/>
  </cols>
  <sheetData>
    <row r="1" spans="1:11">
      <c r="A1" s="468" t="s">
        <v>841</v>
      </c>
    </row>
    <row r="2" spans="1:11">
      <c r="A2" s="1714"/>
    </row>
    <row r="3" spans="1:11" s="316" customFormat="1" ht="18" customHeight="1">
      <c r="A3" s="320" t="s">
        <v>0</v>
      </c>
      <c r="B3" s="1715"/>
      <c r="C3" s="1715"/>
      <c r="D3" s="1715"/>
      <c r="E3" s="1333"/>
      <c r="F3" s="1333"/>
      <c r="I3" s="320"/>
      <c r="J3" s="320"/>
      <c r="K3" s="323" t="s">
        <v>345</v>
      </c>
    </row>
    <row r="4" spans="1:11" s="316" customFormat="1" ht="18" customHeight="1">
      <c r="A4" s="320" t="s">
        <v>346</v>
      </c>
      <c r="B4" s="1715"/>
      <c r="C4" s="1715"/>
      <c r="D4" s="1715"/>
      <c r="E4" s="1333"/>
      <c r="F4" s="1333"/>
      <c r="I4" s="320"/>
      <c r="J4" s="320"/>
      <c r="K4" s="320"/>
    </row>
    <row r="5" spans="1:11" s="316" customFormat="1" ht="18" customHeight="1">
      <c r="A5" s="326" t="s">
        <v>1123</v>
      </c>
      <c r="B5" s="1715"/>
      <c r="C5" s="1715"/>
      <c r="D5" s="1715"/>
      <c r="E5" s="1333"/>
      <c r="F5" s="1333"/>
      <c r="I5" s="320"/>
      <c r="J5" s="320"/>
      <c r="K5" s="320"/>
    </row>
    <row r="6" spans="1:11" s="316" customFormat="1" ht="18" customHeight="1">
      <c r="A6" s="326" t="s">
        <v>347</v>
      </c>
      <c r="B6" s="1715"/>
      <c r="C6" s="1715"/>
      <c r="D6" s="1715"/>
      <c r="E6" s="1333"/>
      <c r="F6" s="1333"/>
      <c r="I6" s="320"/>
      <c r="J6" s="320"/>
      <c r="K6" s="320"/>
    </row>
    <row r="7" spans="1:11" s="316" customFormat="1" ht="18" customHeight="1">
      <c r="A7" s="326" t="str">
        <f>'Sch 1 '!A7</f>
        <v>FISCAL YEAR 2023-2024</v>
      </c>
      <c r="B7" s="1715"/>
      <c r="C7" s="1715"/>
      <c r="D7" s="1715"/>
      <c r="E7" s="1333"/>
      <c r="F7" s="1333"/>
      <c r="I7" s="320"/>
      <c r="J7" s="320"/>
      <c r="K7" s="320"/>
    </row>
    <row r="8" spans="1:11" s="316" customFormat="1" ht="18" customHeight="1">
      <c r="A8" s="326" t="str">
        <f>'Sch 1 '!A8</f>
        <v>FOR THE MONTH OF SEPTEMBER 2023</v>
      </c>
      <c r="B8" s="1715"/>
      <c r="C8" s="1715"/>
      <c r="D8" s="1715"/>
      <c r="E8" s="1333" t="s">
        <v>14</v>
      </c>
      <c r="G8" s="1333"/>
      <c r="I8" s="320"/>
      <c r="J8" s="320"/>
      <c r="K8" s="320"/>
    </row>
    <row r="9" spans="1:11" s="316" customFormat="1" ht="18" customHeight="1">
      <c r="A9" s="320" t="s">
        <v>1199</v>
      </c>
      <c r="B9" s="1715"/>
      <c r="C9" s="1715"/>
      <c r="D9" s="1715"/>
      <c r="E9" s="1333"/>
      <c r="F9" s="1333"/>
      <c r="I9" s="320"/>
      <c r="J9" s="320"/>
      <c r="K9" s="320"/>
    </row>
    <row r="10" spans="1:11" s="316" customFormat="1">
      <c r="A10" s="320"/>
      <c r="B10" s="320"/>
      <c r="D10" s="320"/>
    </row>
    <row r="11" spans="1:11" s="316" customFormat="1">
      <c r="A11" s="320"/>
      <c r="B11" s="320"/>
      <c r="C11" s="320"/>
      <c r="D11" s="320"/>
      <c r="E11" s="320"/>
      <c r="F11" s="320"/>
      <c r="G11" s="320"/>
      <c r="H11" s="320"/>
      <c r="I11" s="320"/>
      <c r="J11" s="320"/>
      <c r="K11" s="320"/>
    </row>
    <row r="12" spans="1:11" s="316" customFormat="1">
      <c r="A12" s="320"/>
      <c r="B12" s="320"/>
      <c r="C12" s="336"/>
      <c r="D12" s="320"/>
      <c r="E12" s="320"/>
      <c r="F12" s="320"/>
      <c r="G12" s="320"/>
      <c r="H12" s="320"/>
      <c r="I12" s="336" t="s">
        <v>348</v>
      </c>
      <c r="J12" s="320"/>
      <c r="K12" s="336"/>
    </row>
    <row r="13" spans="1:11" s="316" customFormat="1">
      <c r="A13" s="320"/>
      <c r="B13" s="320"/>
      <c r="C13" s="336" t="s">
        <v>229</v>
      </c>
      <c r="D13" s="320"/>
      <c r="E13" s="320"/>
      <c r="F13" s="320"/>
      <c r="G13" s="320"/>
      <c r="H13" s="320"/>
      <c r="I13" s="336" t="s">
        <v>349</v>
      </c>
      <c r="J13" s="320"/>
      <c r="K13" s="336" t="s">
        <v>229</v>
      </c>
    </row>
    <row r="14" spans="1:11" s="316" customFormat="1">
      <c r="A14" s="335" t="s">
        <v>350</v>
      </c>
      <c r="B14" s="320"/>
      <c r="C14" s="1848" t="str">
        <f>'Sch 1 '!C11</f>
        <v>SEPTEMBER 1, 2023</v>
      </c>
      <c r="D14" s="320"/>
      <c r="E14" s="336" t="s">
        <v>231</v>
      </c>
      <c r="F14" s="320"/>
      <c r="G14" s="336" t="s">
        <v>232</v>
      </c>
      <c r="H14" s="320"/>
      <c r="I14" s="336" t="s">
        <v>233</v>
      </c>
      <c r="J14" s="320"/>
      <c r="K14" s="657" t="str">
        <f>'Sch 1 '!K11</f>
        <v>SEPTEMBER 30, 2023</v>
      </c>
    </row>
    <row r="15" spans="1:11" s="316" customFormat="1" ht="12" customHeight="1">
      <c r="C15" s="1849"/>
      <c r="E15" s="1334"/>
      <c r="G15" s="1334"/>
      <c r="I15" s="1334"/>
      <c r="K15" s="1334"/>
    </row>
    <row r="16" spans="1:11" s="316" customFormat="1">
      <c r="A16" s="327" t="s">
        <v>212</v>
      </c>
      <c r="E16" s="324"/>
    </row>
    <row r="17" spans="1:12" s="316" customFormat="1" ht="12" customHeight="1">
      <c r="E17" s="324"/>
    </row>
    <row r="18" spans="1:12" s="316" customFormat="1" ht="16.5" customHeight="1">
      <c r="A18" s="2065" t="s">
        <v>1385</v>
      </c>
      <c r="C18" s="1077">
        <v>356.495</v>
      </c>
      <c r="D18" s="1078"/>
      <c r="E18" s="1077">
        <v>16.172000000000001</v>
      </c>
      <c r="F18" s="1078"/>
      <c r="G18" s="1077">
        <v>4.2210000000000001</v>
      </c>
      <c r="H18" s="1078"/>
      <c r="I18" s="1077">
        <v>0</v>
      </c>
      <c r="J18" s="1079"/>
      <c r="K18" s="1080">
        <f t="shared" ref="K18" si="0">ROUND(SUM(C18)+SUM(E18)-SUM(G18)+SUM(I18),3)</f>
        <v>368.44600000000003</v>
      </c>
      <c r="L18" s="513"/>
    </row>
    <row r="19" spans="1:12" s="316" customFormat="1" ht="16.350000000000001" customHeight="1">
      <c r="A19" s="316" t="s">
        <v>351</v>
      </c>
      <c r="B19" s="317"/>
      <c r="C19" s="1081">
        <v>0.16300000000000001</v>
      </c>
      <c r="D19" s="1078"/>
      <c r="E19" s="1081">
        <v>-2.5999999999999999E-2</v>
      </c>
      <c r="F19" s="1078"/>
      <c r="G19" s="1081">
        <v>2E-3</v>
      </c>
      <c r="H19" s="1078"/>
      <c r="I19" s="1081">
        <v>0</v>
      </c>
      <c r="J19" s="1079"/>
      <c r="K19" s="1082">
        <f t="shared" ref="K19:K25" si="1">ROUND(SUM(C19)+SUM(E19)-SUM(G19)+SUM(I19),3)</f>
        <v>0.13500000000000001</v>
      </c>
      <c r="L19" s="513"/>
    </row>
    <row r="20" spans="1:12" s="316" customFormat="1" ht="15.75" customHeight="1">
      <c r="A20" s="316" t="s">
        <v>352</v>
      </c>
      <c r="C20" s="1081">
        <v>5.6230000000000002</v>
      </c>
      <c r="D20" s="1078"/>
      <c r="E20" s="1081">
        <v>3.67</v>
      </c>
      <c r="F20" s="1078"/>
      <c r="G20" s="1081">
        <v>3.3260000000000001</v>
      </c>
      <c r="H20" s="1078"/>
      <c r="I20" s="1081">
        <v>0</v>
      </c>
      <c r="J20" s="1079"/>
      <c r="K20" s="1082">
        <f>ROUND(SUM(C20)+SUM(E20)-SUM(G20)+SUM(I20),3)</f>
        <v>5.9669999999999996</v>
      </c>
      <c r="L20" s="513"/>
    </row>
    <row r="21" spans="1:12" s="316" customFormat="1" ht="16.350000000000001" customHeight="1">
      <c r="A21" s="316" t="s">
        <v>353</v>
      </c>
      <c r="C21" s="1081">
        <v>2.6549999999999998</v>
      </c>
      <c r="D21" s="1078"/>
      <c r="E21" s="1081">
        <v>3.6680000000000001</v>
      </c>
      <c r="F21" s="1078"/>
      <c r="G21" s="1081">
        <v>3.5179999999999998</v>
      </c>
      <c r="H21" s="1078"/>
      <c r="I21" s="1081">
        <v>0</v>
      </c>
      <c r="J21" s="1079"/>
      <c r="K21" s="1082">
        <f t="shared" si="1"/>
        <v>2.8050000000000002</v>
      </c>
      <c r="L21" s="513"/>
    </row>
    <row r="22" spans="1:12" s="316" customFormat="1" ht="16.350000000000001" customHeight="1">
      <c r="A22" s="316" t="s">
        <v>871</v>
      </c>
      <c r="C22" s="1081">
        <v>12.666</v>
      </c>
      <c r="D22" s="1078"/>
      <c r="E22" s="1081">
        <v>7.7750000000000004</v>
      </c>
      <c r="F22" s="1078"/>
      <c r="G22" s="1081">
        <v>2.5819999999999999</v>
      </c>
      <c r="H22" s="1078"/>
      <c r="I22" s="1081">
        <v>0</v>
      </c>
      <c r="J22" s="1079"/>
      <c r="K22" s="1082">
        <f t="shared" si="1"/>
        <v>17.859000000000002</v>
      </c>
      <c r="L22" s="513"/>
    </row>
    <row r="23" spans="1:12" s="316" customFormat="1" ht="16.350000000000001" customHeight="1">
      <c r="A23" s="316" t="s">
        <v>872</v>
      </c>
      <c r="C23" s="1081">
        <v>1.962</v>
      </c>
      <c r="D23" s="1078"/>
      <c r="E23" s="1081">
        <v>8.9999999999999993E-3</v>
      </c>
      <c r="F23" s="1078"/>
      <c r="G23" s="1081">
        <v>1.4E-2</v>
      </c>
      <c r="H23" s="1078"/>
      <c r="I23" s="1081">
        <v>0</v>
      </c>
      <c r="J23" s="1079"/>
      <c r="K23" s="1082">
        <f t="shared" si="1"/>
        <v>1.9570000000000001</v>
      </c>
      <c r="L23" s="513"/>
    </row>
    <row r="24" spans="1:12" s="316" customFormat="1" ht="16.350000000000001" customHeight="1">
      <c r="A24" s="316" t="s">
        <v>873</v>
      </c>
      <c r="C24" s="1081">
        <v>2.19</v>
      </c>
      <c r="D24" s="1078"/>
      <c r="E24" s="1081">
        <v>1.4999999999999999E-2</v>
      </c>
      <c r="F24" s="1078"/>
      <c r="G24" s="1081">
        <v>0.03</v>
      </c>
      <c r="H24" s="1078"/>
      <c r="I24" s="1081">
        <v>0</v>
      </c>
      <c r="J24" s="1079"/>
      <c r="K24" s="1082">
        <f t="shared" si="1"/>
        <v>2.1749999999999998</v>
      </c>
      <c r="L24" s="513"/>
    </row>
    <row r="25" spans="1:12" s="316" customFormat="1" ht="16.350000000000001" customHeight="1">
      <c r="A25" s="316" t="s">
        <v>354</v>
      </c>
      <c r="C25" s="1081">
        <v>5.1240000000000006</v>
      </c>
      <c r="D25" s="1078"/>
      <c r="E25" s="1081">
        <v>0.95399999999999996</v>
      </c>
      <c r="F25" s="1078"/>
      <c r="G25" s="1081">
        <v>8.3000000000000004E-2</v>
      </c>
      <c r="H25" s="1078"/>
      <c r="I25" s="1081">
        <v>0</v>
      </c>
      <c r="J25" s="1079"/>
      <c r="K25" s="1082">
        <f t="shared" si="1"/>
        <v>5.9950000000000001</v>
      </c>
      <c r="L25" s="513"/>
    </row>
    <row r="26" spans="1:12" s="316" customFormat="1" ht="16.350000000000001" customHeight="1">
      <c r="A26" s="1830" t="s">
        <v>1215</v>
      </c>
      <c r="C26" s="1081">
        <v>197.57900000000001</v>
      </c>
      <c r="D26" s="1078"/>
      <c r="E26" s="1081">
        <v>241.83500000000001</v>
      </c>
      <c r="F26" s="1078"/>
      <c r="G26" s="1081">
        <v>360.31</v>
      </c>
      <c r="H26" s="1078"/>
      <c r="I26" s="1081">
        <v>0</v>
      </c>
      <c r="J26" s="1079"/>
      <c r="K26" s="1082">
        <f>ROUND(SUM(C26)+SUM(E26)-SUM(G26)+SUM(I26),3)</f>
        <v>79.103999999999999</v>
      </c>
      <c r="L26" s="513"/>
    </row>
    <row r="27" spans="1:12" s="316" customFormat="1" ht="16.350000000000001" customHeight="1">
      <c r="A27" s="324" t="s">
        <v>376</v>
      </c>
      <c r="C27" s="1081">
        <v>93.222999999999999</v>
      </c>
      <c r="D27" s="1078"/>
      <c r="E27" s="1081">
        <v>140.54999999999998</v>
      </c>
      <c r="F27" s="1078"/>
      <c r="G27" s="1081">
        <v>205.78399999999999</v>
      </c>
      <c r="H27" s="1078"/>
      <c r="I27" s="1081">
        <v>0</v>
      </c>
      <c r="J27" s="1079"/>
      <c r="K27" s="1082">
        <f>ROUND(SUM(C27)+SUM(E27)-SUM(G27)+SUM(I27),3)</f>
        <v>27.989000000000001</v>
      </c>
      <c r="L27" s="513"/>
    </row>
    <row r="28" spans="1:12" s="316" customFormat="1" ht="20.100000000000001" customHeight="1">
      <c r="A28" s="320" t="s">
        <v>355</v>
      </c>
      <c r="C28" s="1016">
        <f>ROUND(SUM(C18:C27),3)</f>
        <v>677.68</v>
      </c>
      <c r="D28" s="505"/>
      <c r="E28" s="1016">
        <f>ROUND(SUM(E18:E27),3)</f>
        <v>414.62200000000001</v>
      </c>
      <c r="F28" s="505"/>
      <c r="G28" s="1016">
        <f>ROUND(SUM(G18:G27),3)</f>
        <v>579.87</v>
      </c>
      <c r="H28" s="505"/>
      <c r="I28" s="1016">
        <f>ROUND(SUM(I18:I27),3)</f>
        <v>0</v>
      </c>
      <c r="J28" s="505"/>
      <c r="K28" s="1016">
        <f>ROUND(SUM(K18:K27),3)</f>
        <v>512.43200000000002</v>
      </c>
      <c r="L28" s="513"/>
    </row>
    <row r="29" spans="1:12" s="316" customFormat="1" ht="15" customHeight="1">
      <c r="C29" s="507"/>
      <c r="D29" s="318"/>
      <c r="E29" s="507"/>
      <c r="F29" s="318"/>
      <c r="G29" s="507"/>
      <c r="H29" s="318"/>
      <c r="I29" s="318"/>
      <c r="J29" s="318"/>
      <c r="K29" s="507"/>
      <c r="L29" s="513"/>
    </row>
    <row r="30" spans="1:12" s="316" customFormat="1" ht="15" customHeight="1">
      <c r="C30" s="318"/>
      <c r="D30" s="1713" t="s">
        <v>228</v>
      </c>
      <c r="E30" s="318"/>
      <c r="F30" s="318"/>
      <c r="G30" s="318"/>
      <c r="H30" s="318"/>
      <c r="I30" s="318"/>
      <c r="J30" s="318"/>
      <c r="K30" s="318"/>
      <c r="L30" s="513"/>
    </row>
    <row r="31" spans="1:12" s="316" customFormat="1" ht="15" customHeight="1">
      <c r="C31" s="318"/>
      <c r="D31" s="318"/>
      <c r="E31" s="318"/>
      <c r="F31" s="318"/>
      <c r="G31" s="318"/>
      <c r="H31" s="318"/>
      <c r="I31" s="318"/>
      <c r="J31" s="318"/>
      <c r="K31" s="318"/>
      <c r="L31" s="513"/>
    </row>
    <row r="32" spans="1:12" s="316" customFormat="1" ht="18" customHeight="1">
      <c r="A32" s="327" t="s">
        <v>217</v>
      </c>
      <c r="C32" s="318"/>
      <c r="D32" s="318"/>
      <c r="E32" s="318"/>
      <c r="F32" s="318"/>
      <c r="G32" s="318"/>
      <c r="H32" s="318"/>
      <c r="I32" s="318"/>
      <c r="J32" s="318"/>
      <c r="K32" s="318"/>
      <c r="L32" s="513"/>
    </row>
    <row r="33" spans="1:15" s="316" customFormat="1" ht="15" customHeight="1">
      <c r="A33" s="327"/>
      <c r="C33" s="318"/>
      <c r="D33" s="318"/>
      <c r="E33" s="318"/>
      <c r="F33" s="318"/>
      <c r="G33" s="318"/>
      <c r="H33" s="318"/>
      <c r="I33" s="318"/>
      <c r="J33" s="318"/>
      <c r="K33" s="318"/>
      <c r="L33" s="513"/>
    </row>
    <row r="34" spans="1:15" s="316" customFormat="1" ht="16.350000000000001" customHeight="1">
      <c r="A34" s="316" t="s">
        <v>874</v>
      </c>
      <c r="C34" s="1081">
        <v>-34.365000000000002</v>
      </c>
      <c r="D34" s="1078"/>
      <c r="E34" s="1081">
        <v>29.966000000000001</v>
      </c>
      <c r="F34" s="1078"/>
      <c r="G34" s="1081">
        <v>28.859000000000002</v>
      </c>
      <c r="H34" s="1078"/>
      <c r="I34" s="1954">
        <v>0.38700000000000001</v>
      </c>
      <c r="J34" s="1079"/>
      <c r="K34" s="1082">
        <f t="shared" ref="K34:K41" si="2">ROUND(SUM(C34)+SUM(E34)-SUM(G34)+SUM(I34),3)</f>
        <v>-32.871000000000002</v>
      </c>
      <c r="L34" s="513"/>
      <c r="M34" s="318"/>
    </row>
    <row r="35" spans="1:15" s="316" customFormat="1" ht="16.350000000000001" customHeight="1">
      <c r="A35" s="316" t="s">
        <v>356</v>
      </c>
      <c r="C35" s="1081">
        <v>-12.818</v>
      </c>
      <c r="D35" s="1078"/>
      <c r="E35" s="1081">
        <v>5.718</v>
      </c>
      <c r="F35" s="1078"/>
      <c r="G35" s="1081">
        <v>20.605</v>
      </c>
      <c r="H35" s="1078"/>
      <c r="I35" s="1081">
        <v>2.8410000000000002</v>
      </c>
      <c r="J35" s="1079"/>
      <c r="K35" s="1082">
        <f t="shared" si="2"/>
        <v>-24.864000000000001</v>
      </c>
      <c r="L35" s="513"/>
      <c r="M35" s="318"/>
    </row>
    <row r="36" spans="1:15" s="316" customFormat="1" ht="16.350000000000001" customHeight="1">
      <c r="A36" s="316" t="s">
        <v>357</v>
      </c>
      <c r="C36" s="1081">
        <v>-6.5000000000000002E-2</v>
      </c>
      <c r="D36" s="1078"/>
      <c r="E36" s="1081">
        <v>6.0000000000000001E-3</v>
      </c>
      <c r="F36" s="1078"/>
      <c r="G36" s="1081">
        <v>4.3999999999999997E-2</v>
      </c>
      <c r="H36" s="1078"/>
      <c r="I36" s="1081">
        <v>0</v>
      </c>
      <c r="J36" s="1079"/>
      <c r="K36" s="1082">
        <f t="shared" si="2"/>
        <v>-0.10299999999999999</v>
      </c>
      <c r="L36" s="513"/>
      <c r="M36" s="318"/>
    </row>
    <row r="37" spans="1:15" s="316" customFormat="1" ht="16.350000000000001" customHeight="1">
      <c r="A37" s="316" t="s">
        <v>358</v>
      </c>
      <c r="C37" s="1081">
        <v>4.3999999999999997E-2</v>
      </c>
      <c r="D37" s="1078"/>
      <c r="E37" s="1081">
        <v>3.0000000000000001E-3</v>
      </c>
      <c r="F37" s="1078"/>
      <c r="G37" s="1081">
        <v>0</v>
      </c>
      <c r="H37" s="1078"/>
      <c r="I37" s="1081">
        <v>0</v>
      </c>
      <c r="J37" s="1079"/>
      <c r="K37" s="1082">
        <f t="shared" si="2"/>
        <v>4.7E-2</v>
      </c>
      <c r="L37" s="513"/>
      <c r="M37" s="318"/>
    </row>
    <row r="38" spans="1:15" s="316" customFormat="1" ht="16.350000000000001" customHeight="1">
      <c r="A38" s="316" t="s">
        <v>875</v>
      </c>
      <c r="C38" s="1081">
        <v>1.3959999999999999</v>
      </c>
      <c r="D38" s="1078"/>
      <c r="E38" s="1081">
        <v>7.0000000000000001E-3</v>
      </c>
      <c r="F38" s="1078"/>
      <c r="G38" s="1081">
        <v>0.126</v>
      </c>
      <c r="H38" s="1078"/>
      <c r="I38" s="1081">
        <v>0</v>
      </c>
      <c r="J38" s="1079"/>
      <c r="K38" s="1082">
        <f t="shared" si="2"/>
        <v>1.2769999999999999</v>
      </c>
      <c r="L38" s="513"/>
      <c r="M38" s="318"/>
    </row>
    <row r="39" spans="1:15" s="316" customFormat="1" ht="16.350000000000001" customHeight="1">
      <c r="A39" s="316" t="s">
        <v>359</v>
      </c>
      <c r="C39" s="1081">
        <v>-70.328000000000003</v>
      </c>
      <c r="D39" s="1078"/>
      <c r="E39" s="1081">
        <v>0</v>
      </c>
      <c r="F39" s="1078"/>
      <c r="G39" s="1081">
        <v>6.3859999999999992</v>
      </c>
      <c r="H39" s="1078"/>
      <c r="I39" s="1081">
        <v>0</v>
      </c>
      <c r="J39" s="1079"/>
      <c r="K39" s="1082">
        <f t="shared" si="2"/>
        <v>-76.713999999999999</v>
      </c>
      <c r="L39" s="513"/>
      <c r="M39" s="318" t="s">
        <v>14</v>
      </c>
    </row>
    <row r="40" spans="1:15" s="316" customFormat="1" ht="16.350000000000001" customHeight="1">
      <c r="A40" s="316" t="s">
        <v>360</v>
      </c>
      <c r="C40" s="1081">
        <v>-7.3819999999999997</v>
      </c>
      <c r="D40" s="1078"/>
      <c r="E40" s="1081">
        <v>0</v>
      </c>
      <c r="F40" s="1078"/>
      <c r="G40" s="1081">
        <v>1.2469999999999999</v>
      </c>
      <c r="H40" s="1078"/>
      <c r="I40" s="1081">
        <v>0</v>
      </c>
      <c r="J40" s="1079"/>
      <c r="K40" s="1082">
        <f t="shared" si="2"/>
        <v>-8.6289999999999996</v>
      </c>
      <c r="L40" s="513"/>
      <c r="M40" s="318" t="s">
        <v>14</v>
      </c>
    </row>
    <row r="41" spans="1:15" s="316" customFormat="1" ht="16.350000000000001" customHeight="1">
      <c r="A41" s="316" t="s">
        <v>361</v>
      </c>
      <c r="C41" s="1081">
        <v>-9.1340000000000003</v>
      </c>
      <c r="D41" s="1078"/>
      <c r="E41" s="1081">
        <v>2.0960000000000001</v>
      </c>
      <c r="F41" s="1078"/>
      <c r="G41" s="1081">
        <v>4.7889999999999997</v>
      </c>
      <c r="H41" s="1078"/>
      <c r="I41" s="1081">
        <v>-3.0000000000000001E-3</v>
      </c>
      <c r="J41" s="1079"/>
      <c r="K41" s="1082">
        <f t="shared" si="2"/>
        <v>-11.83</v>
      </c>
      <c r="L41" s="513"/>
      <c r="M41" s="318"/>
    </row>
    <row r="42" spans="1:15" s="316" customFormat="1" ht="20.100000000000001" customHeight="1">
      <c r="A42" s="320" t="s">
        <v>362</v>
      </c>
      <c r="C42" s="1016">
        <f>ROUND(SUM(C34:C41),3)</f>
        <v>-132.65199999999999</v>
      </c>
      <c r="D42" s="506"/>
      <c r="E42" s="1016">
        <f>ROUND(SUM(E34:E41),3)</f>
        <v>37.795999999999999</v>
      </c>
      <c r="F42" s="506"/>
      <c r="G42" s="1016">
        <f>ROUND(SUM(G34:G41),3)</f>
        <v>62.055999999999997</v>
      </c>
      <c r="H42" s="506"/>
      <c r="I42" s="1016">
        <f>ROUND(SUM(I34:I41),3)</f>
        <v>3.2250000000000001</v>
      </c>
      <c r="J42" s="506"/>
      <c r="K42" s="1016">
        <f>ROUND(SUM(K34:K41),3)</f>
        <v>-153.68700000000001</v>
      </c>
      <c r="L42" s="513"/>
    </row>
    <row r="43" spans="1:15" s="316" customFormat="1" ht="15" customHeight="1">
      <c r="A43" s="320"/>
      <c r="C43" s="1850"/>
      <c r="D43" s="1336"/>
      <c r="E43" s="1335"/>
      <c r="F43" s="1336"/>
      <c r="G43" s="1335"/>
      <c r="H43" s="1336"/>
      <c r="I43" s="1707"/>
      <c r="J43" s="1336"/>
      <c r="K43" s="1335"/>
      <c r="L43" s="513"/>
    </row>
    <row r="44" spans="1:15" s="316" customFormat="1" ht="15" customHeight="1">
      <c r="A44" s="320"/>
      <c r="C44" s="1707"/>
      <c r="D44" s="1336"/>
      <c r="E44" s="1336"/>
      <c r="F44" s="1336"/>
      <c r="G44" s="1336" t="s">
        <v>14</v>
      </c>
      <c r="H44" s="1336"/>
      <c r="I44" s="1707"/>
      <c r="J44" s="1336"/>
      <c r="K44" s="1336"/>
      <c r="L44" s="513"/>
    </row>
    <row r="45" spans="1:15" s="316" customFormat="1" ht="20.100000000000001" customHeight="1" thickBot="1">
      <c r="A45" s="320" t="s">
        <v>63</v>
      </c>
      <c r="B45" s="317"/>
      <c r="C45" s="1337">
        <f>ROUND(SUM(C42)+SUM(C28),3)</f>
        <v>545.02800000000002</v>
      </c>
      <c r="D45" s="515"/>
      <c r="E45" s="1337">
        <f>ROUND(SUM(E42)+SUM(E28),3)</f>
        <v>452.41800000000001</v>
      </c>
      <c r="F45" s="515"/>
      <c r="G45" s="1337">
        <f>ROUND(SUM(G42)+SUM(G28),3)</f>
        <v>641.92600000000004</v>
      </c>
      <c r="H45" s="515"/>
      <c r="I45" s="1337">
        <f>ROUND(SUM(I42)+SUM(I28),3)</f>
        <v>3.2250000000000001</v>
      </c>
      <c r="J45" s="515"/>
      <c r="K45" s="1337">
        <f>ROUND(SUM(K42)+SUM(K28),3)</f>
        <v>358.745</v>
      </c>
      <c r="L45" s="513"/>
    </row>
    <row r="46" spans="1:15" s="316" customFormat="1" ht="18.75" thickTop="1">
      <c r="C46" s="1338"/>
      <c r="D46" s="1336"/>
      <c r="E46" s="1338" t="s">
        <v>14</v>
      </c>
      <c r="F46" s="1336"/>
      <c r="G46" s="1338"/>
      <c r="H46" s="1336"/>
      <c r="I46" s="501"/>
      <c r="J46" s="1336"/>
      <c r="K46" s="1338"/>
    </row>
    <row r="47" spans="1:15" s="316" customFormat="1">
      <c r="A47" s="1716"/>
      <c r="B47" s="1332"/>
      <c r="C47" s="1340"/>
      <c r="D47" s="1340"/>
      <c r="E47" s="1339" t="s">
        <v>14</v>
      </c>
      <c r="F47" s="1339"/>
      <c r="G47" s="1717"/>
      <c r="H47" s="1339" t="s">
        <v>14</v>
      </c>
      <c r="I47" s="1718" t="s">
        <v>14</v>
      </c>
      <c r="J47" s="1340"/>
      <c r="K47" s="1719"/>
      <c r="L47" s="1332"/>
      <c r="M47" s="1332"/>
      <c r="N47" s="1332"/>
      <c r="O47" s="1332"/>
    </row>
    <row r="48" spans="1:15" s="316" customFormat="1">
      <c r="A48" s="1332"/>
      <c r="B48" s="1332"/>
      <c r="C48" s="1340"/>
      <c r="D48" s="1340"/>
      <c r="E48" s="519" t="s">
        <v>14</v>
      </c>
      <c r="F48" s="519"/>
      <c r="G48" s="519"/>
      <c r="H48" s="519"/>
      <c r="I48" s="519" t="s">
        <v>14</v>
      </c>
      <c r="J48" s="519"/>
      <c r="K48" s="519"/>
      <c r="L48" s="1332"/>
      <c r="M48" s="1332"/>
      <c r="N48" s="1332"/>
      <c r="O48" s="1332"/>
    </row>
    <row r="49" spans="1:15" s="316" customFormat="1">
      <c r="A49" s="1332"/>
      <c r="B49" s="1332"/>
      <c r="C49" s="1340"/>
      <c r="D49" s="1340"/>
      <c r="E49" s="1340" t="s">
        <v>14</v>
      </c>
      <c r="F49" s="1340"/>
      <c r="G49" s="1720"/>
      <c r="H49" s="1332"/>
      <c r="I49" s="1721" t="s">
        <v>14</v>
      </c>
      <c r="J49" s="1340"/>
      <c r="K49" s="1340"/>
      <c r="L49" s="1332"/>
      <c r="M49" s="1332"/>
      <c r="N49" s="1332"/>
      <c r="O49" s="1332"/>
    </row>
    <row r="50" spans="1:15" s="316" customFormat="1">
      <c r="A50" s="1332"/>
      <c r="B50" s="1332"/>
      <c r="C50" s="1340"/>
      <c r="D50" s="1340"/>
      <c r="E50" s="519" t="s">
        <v>14</v>
      </c>
      <c r="F50" s="1340"/>
      <c r="G50" s="1340"/>
      <c r="H50" s="1332"/>
      <c r="I50" s="1721" t="s">
        <v>14</v>
      </c>
      <c r="J50" s="1340"/>
      <c r="K50" s="1340"/>
      <c r="L50" s="1332"/>
      <c r="M50" s="1332"/>
      <c r="N50" s="1332"/>
      <c r="O50" s="1332"/>
    </row>
    <row r="51" spans="1:15" s="316" customFormat="1">
      <c r="A51" s="1332"/>
      <c r="B51" s="1332"/>
      <c r="C51" s="1340"/>
      <c r="D51" s="1340"/>
      <c r="E51" s="519" t="s">
        <v>14</v>
      </c>
      <c r="F51" s="1340"/>
      <c r="G51" s="1340"/>
      <c r="H51" s="1332"/>
      <c r="I51" s="1721" t="s">
        <v>14</v>
      </c>
      <c r="J51" s="1340"/>
      <c r="K51" s="1340"/>
      <c r="L51" s="1332"/>
      <c r="M51" s="1332"/>
      <c r="N51" s="1332"/>
      <c r="O51" s="1332"/>
    </row>
    <row r="52" spans="1:15" s="316" customFormat="1">
      <c r="A52" s="1332"/>
      <c r="B52" s="1332"/>
      <c r="C52" s="1340"/>
      <c r="D52" s="1340"/>
      <c r="E52" s="1340"/>
      <c r="F52" s="1340"/>
      <c r="G52" s="1340"/>
      <c r="H52" s="1332"/>
      <c r="I52" s="1721" t="s">
        <v>14</v>
      </c>
      <c r="J52" s="1340"/>
      <c r="K52" s="1340"/>
      <c r="L52" s="1332"/>
      <c r="M52" s="1332"/>
      <c r="N52" s="1332"/>
      <c r="O52" s="1332"/>
    </row>
    <row r="53" spans="1:15" s="316" customFormat="1">
      <c r="B53" s="1332"/>
      <c r="C53" s="1340"/>
      <c r="D53" s="1340"/>
      <c r="E53" s="1340"/>
      <c r="F53" s="1340"/>
      <c r="G53" s="1340"/>
      <c r="H53" s="1332"/>
      <c r="I53" s="1721" t="s">
        <v>14</v>
      </c>
      <c r="J53" s="1340"/>
      <c r="K53" s="1340"/>
      <c r="L53" s="1332"/>
      <c r="M53" s="1332"/>
      <c r="N53" s="1332"/>
      <c r="O53" s="1332"/>
    </row>
    <row r="54" spans="1:15" s="316" customFormat="1">
      <c r="A54" s="1332"/>
      <c r="B54" s="1332"/>
      <c r="C54" s="1340"/>
      <c r="D54" s="1340"/>
      <c r="E54" s="1340"/>
      <c r="F54" s="1340"/>
      <c r="G54" s="1340"/>
      <c r="H54" s="1332"/>
      <c r="I54" s="1332"/>
      <c r="J54" s="1340"/>
      <c r="K54" s="1340"/>
      <c r="L54" s="1332"/>
      <c r="M54" s="1332"/>
      <c r="N54" s="1332"/>
      <c r="O54" s="1332"/>
    </row>
    <row r="55" spans="1:15" s="316" customFormat="1">
      <c r="A55" s="1332"/>
      <c r="B55" s="1332"/>
      <c r="C55" s="1340"/>
      <c r="D55" s="1340"/>
      <c r="E55" s="1340"/>
      <c r="F55" s="1340"/>
      <c r="G55" s="1340"/>
      <c r="H55" s="1332"/>
      <c r="I55" s="1332"/>
      <c r="J55" s="1340"/>
      <c r="K55" s="1340"/>
      <c r="L55" s="1332"/>
      <c r="M55" s="1332"/>
      <c r="N55" s="1332"/>
      <c r="O55" s="1332"/>
    </row>
    <row r="56" spans="1:15" s="316" customFormat="1">
      <c r="A56" s="1332"/>
      <c r="B56" s="1332"/>
      <c r="C56" s="1340"/>
      <c r="D56" s="1340"/>
      <c r="E56" s="1340"/>
      <c r="F56" s="1340"/>
      <c r="G56" s="1340"/>
      <c r="H56" s="1332"/>
      <c r="I56" s="1332"/>
      <c r="J56" s="1340"/>
      <c r="K56" s="1340"/>
      <c r="L56" s="1332"/>
      <c r="M56" s="1332"/>
      <c r="N56" s="1332"/>
      <c r="O56" s="1332"/>
    </row>
    <row r="57" spans="1:15" s="316" customFormat="1">
      <c r="A57" s="1332"/>
      <c r="B57" s="1332"/>
      <c r="C57" s="1340"/>
      <c r="D57" s="1340"/>
      <c r="E57" s="1340"/>
      <c r="F57" s="1340"/>
      <c r="G57" s="1340"/>
      <c r="H57" s="1332"/>
      <c r="I57" s="1332"/>
      <c r="J57" s="1340"/>
      <c r="K57" s="1340"/>
      <c r="L57" s="1332"/>
      <c r="M57" s="1332"/>
      <c r="N57" s="1332"/>
      <c r="O57" s="1332"/>
    </row>
    <row r="58" spans="1:15" s="316" customFormat="1">
      <c r="A58" s="1332"/>
      <c r="B58" s="1332"/>
      <c r="C58" s="1340"/>
      <c r="D58" s="1340"/>
      <c r="E58" s="1340"/>
      <c r="F58" s="1340"/>
      <c r="G58" s="1340"/>
      <c r="H58" s="1332"/>
      <c r="I58" s="1332"/>
      <c r="J58" s="1340"/>
      <c r="K58" s="1340"/>
      <c r="L58" s="1332"/>
      <c r="M58" s="1332"/>
      <c r="N58" s="1332"/>
      <c r="O58" s="1332"/>
    </row>
    <row r="59" spans="1:15" s="316" customFormat="1">
      <c r="A59" s="1332"/>
      <c r="B59" s="1332"/>
      <c r="C59" s="1340"/>
      <c r="D59" s="1340"/>
      <c r="E59" s="1340"/>
      <c r="F59" s="1340"/>
      <c r="G59" s="1340"/>
      <c r="H59" s="1332"/>
      <c r="I59" s="1332"/>
      <c r="J59" s="1340"/>
      <c r="K59" s="1340"/>
      <c r="L59" s="1332"/>
      <c r="M59" s="1332"/>
      <c r="N59" s="1332"/>
      <c r="O59" s="1332"/>
    </row>
    <row r="60" spans="1:15" s="316" customFormat="1">
      <c r="A60" s="1332"/>
      <c r="B60" s="1332"/>
      <c r="C60" s="1340"/>
      <c r="D60" s="1340"/>
      <c r="E60" s="1340"/>
      <c r="F60" s="1340"/>
      <c r="G60" s="1340"/>
      <c r="H60" s="1332"/>
      <c r="I60" s="1332"/>
      <c r="J60" s="1340"/>
      <c r="K60" s="1340"/>
      <c r="L60" s="1332"/>
      <c r="M60" s="1332"/>
      <c r="N60" s="1332"/>
      <c r="O60" s="1332"/>
    </row>
    <row r="61" spans="1:15" s="316" customFormat="1">
      <c r="A61" s="1332"/>
      <c r="B61" s="1332"/>
      <c r="C61" s="1340"/>
      <c r="D61" s="1340"/>
      <c r="E61" s="1340"/>
      <c r="F61" s="1340"/>
      <c r="G61" s="1340"/>
      <c r="H61" s="1332"/>
      <c r="I61" s="1332"/>
      <c r="J61" s="1340"/>
      <c r="K61" s="1340"/>
      <c r="L61" s="1332"/>
      <c r="M61" s="1332"/>
      <c r="N61" s="1332"/>
      <c r="O61" s="1332"/>
    </row>
    <row r="62" spans="1:15" s="316" customFormat="1">
      <c r="A62" s="1332"/>
      <c r="B62" s="1332"/>
      <c r="C62" s="1340"/>
      <c r="D62" s="1340"/>
      <c r="E62" s="1340"/>
      <c r="F62" s="1340"/>
      <c r="G62" s="1340"/>
      <c r="H62" s="1332"/>
      <c r="I62" s="1332"/>
      <c r="J62" s="1340"/>
      <c r="K62" s="1340"/>
      <c r="L62" s="1332"/>
      <c r="M62" s="1332"/>
      <c r="N62" s="1332"/>
      <c r="O62" s="1332"/>
    </row>
    <row r="63" spans="1:15" s="316" customFormat="1">
      <c r="A63" s="1332"/>
      <c r="B63" s="1332"/>
      <c r="C63" s="1340"/>
      <c r="D63" s="1340"/>
      <c r="E63" s="1340"/>
      <c r="F63" s="1340"/>
      <c r="G63" s="1340"/>
      <c r="H63" s="1332"/>
      <c r="I63" s="1332"/>
      <c r="J63" s="1340"/>
      <c r="K63" s="1340"/>
      <c r="L63" s="1332"/>
      <c r="M63" s="1332"/>
      <c r="N63" s="1332"/>
      <c r="O63" s="1332"/>
    </row>
    <row r="64" spans="1:15" s="316" customFormat="1">
      <c r="A64" s="1332"/>
      <c r="B64" s="1332"/>
      <c r="C64" s="1340"/>
      <c r="D64" s="1340"/>
      <c r="E64" s="1340"/>
      <c r="F64" s="1340"/>
      <c r="G64" s="1340"/>
      <c r="H64" s="1332"/>
      <c r="I64" s="1332"/>
      <c r="J64" s="1340"/>
      <c r="K64" s="1340"/>
      <c r="L64" s="1332"/>
      <c r="M64" s="1332"/>
      <c r="N64" s="1332"/>
      <c r="O64" s="1332"/>
    </row>
    <row r="65" spans="1:15" s="316" customFormat="1">
      <c r="A65" s="1332"/>
      <c r="B65" s="1332"/>
      <c r="C65" s="1340"/>
      <c r="D65" s="1340"/>
      <c r="E65" s="1340"/>
      <c r="F65" s="1340"/>
      <c r="G65" s="1340"/>
      <c r="H65" s="1332"/>
      <c r="I65" s="1332"/>
      <c r="J65" s="1340"/>
      <c r="K65" s="1340"/>
      <c r="L65" s="1332"/>
      <c r="M65" s="1332"/>
      <c r="N65" s="1332"/>
      <c r="O65" s="1332"/>
    </row>
    <row r="66" spans="1:15" s="316" customFormat="1">
      <c r="A66" s="1332"/>
      <c r="B66" s="1332"/>
      <c r="C66" s="1340"/>
      <c r="D66" s="1340"/>
      <c r="E66" s="1340"/>
      <c r="F66" s="1340"/>
      <c r="G66" s="1340"/>
      <c r="H66" s="1332"/>
      <c r="I66" s="1332"/>
      <c r="J66" s="1340"/>
      <c r="K66" s="1340"/>
      <c r="L66" s="1332"/>
      <c r="M66" s="1332"/>
      <c r="N66" s="1332"/>
      <c r="O66" s="1332"/>
    </row>
    <row r="67" spans="1:15" s="316" customFormat="1">
      <c r="A67" s="1332"/>
      <c r="B67" s="1332"/>
      <c r="C67" s="1340"/>
      <c r="D67" s="1340"/>
      <c r="E67" s="1340"/>
      <c r="F67" s="1340"/>
      <c r="G67" s="1340"/>
      <c r="H67" s="1332"/>
      <c r="I67" s="1332"/>
      <c r="J67" s="1340"/>
      <c r="K67" s="1340"/>
      <c r="L67" s="1332"/>
      <c r="M67" s="1332"/>
      <c r="N67" s="1332"/>
      <c r="O67" s="1332"/>
    </row>
    <row r="68" spans="1:15" s="316" customFormat="1">
      <c r="A68" s="1332"/>
      <c r="B68" s="1332"/>
      <c r="C68" s="1340"/>
      <c r="D68" s="1340"/>
      <c r="E68" s="1340"/>
      <c r="F68" s="1340"/>
      <c r="G68" s="1340"/>
      <c r="H68" s="1332"/>
      <c r="I68" s="1332"/>
      <c r="J68" s="1340"/>
      <c r="K68" s="1340"/>
      <c r="L68" s="1332"/>
      <c r="M68" s="1332"/>
      <c r="N68" s="1332"/>
      <c r="O68" s="1332"/>
    </row>
    <row r="69" spans="1:15" s="316" customFormat="1">
      <c r="A69" s="1332"/>
      <c r="B69" s="1332"/>
      <c r="C69" s="1340"/>
      <c r="D69" s="1340"/>
      <c r="E69" s="1340"/>
      <c r="F69" s="1340"/>
      <c r="G69" s="1340"/>
      <c r="H69" s="1332"/>
      <c r="I69" s="1332"/>
      <c r="J69" s="1340"/>
      <c r="K69" s="1340"/>
      <c r="L69" s="1332"/>
      <c r="M69" s="1332"/>
      <c r="N69" s="1332"/>
      <c r="O69" s="1332"/>
    </row>
    <row r="70" spans="1:15" s="316" customFormat="1">
      <c r="A70" s="1332"/>
      <c r="B70" s="1332"/>
      <c r="C70" s="1340"/>
      <c r="D70" s="1340"/>
      <c r="E70" s="1340"/>
      <c r="F70" s="1340"/>
      <c r="G70" s="1340"/>
      <c r="H70" s="1332"/>
      <c r="I70" s="1332"/>
      <c r="J70" s="1340"/>
      <c r="K70" s="1340"/>
      <c r="L70" s="1332"/>
      <c r="M70" s="1332"/>
      <c r="N70" s="1332"/>
      <c r="O70" s="1332"/>
    </row>
    <row r="71" spans="1:15" s="316" customFormat="1">
      <c r="A71" s="1332"/>
      <c r="B71" s="1332"/>
      <c r="C71" s="1340"/>
      <c r="D71" s="1340"/>
      <c r="E71" s="1340"/>
      <c r="F71" s="1340"/>
      <c r="G71" s="1340"/>
      <c r="H71" s="1332"/>
      <c r="I71" s="1332"/>
      <c r="J71" s="1340"/>
      <c r="K71" s="1340"/>
      <c r="L71" s="1332"/>
      <c r="M71" s="1332"/>
      <c r="N71" s="1332"/>
      <c r="O71" s="1332"/>
    </row>
    <row r="72" spans="1:15" s="316" customFormat="1">
      <c r="A72" s="1332"/>
      <c r="B72" s="1332"/>
      <c r="C72" s="1340"/>
      <c r="D72" s="1340"/>
      <c r="E72" s="1340"/>
      <c r="F72" s="1340"/>
      <c r="G72" s="1340"/>
      <c r="H72" s="1332"/>
      <c r="I72" s="1332"/>
      <c r="J72" s="1340"/>
      <c r="K72" s="1340"/>
      <c r="L72" s="1332"/>
      <c r="M72" s="1332"/>
      <c r="N72" s="1332"/>
      <c r="O72" s="1332"/>
    </row>
    <row r="73" spans="1:15" s="316" customFormat="1">
      <c r="A73" s="1332"/>
      <c r="B73" s="1332"/>
      <c r="C73" s="1340"/>
      <c r="D73" s="1340"/>
      <c r="E73" s="1340"/>
      <c r="F73" s="1340"/>
      <c r="G73" s="1340"/>
      <c r="H73" s="1332"/>
      <c r="I73" s="1332"/>
      <c r="J73" s="1340"/>
      <c r="K73" s="1340"/>
      <c r="L73" s="1332"/>
      <c r="M73" s="1332"/>
      <c r="N73" s="1332"/>
      <c r="O73" s="1332"/>
    </row>
    <row r="74" spans="1:15" s="316" customFormat="1">
      <c r="A74" s="1332"/>
      <c r="B74" s="1332"/>
      <c r="C74" s="1340"/>
      <c r="D74" s="1340"/>
      <c r="E74" s="1340"/>
      <c r="F74" s="1340"/>
      <c r="G74" s="1340"/>
      <c r="H74" s="1332"/>
      <c r="I74" s="1332"/>
      <c r="J74" s="1340"/>
      <c r="K74" s="1340"/>
      <c r="L74" s="1332"/>
      <c r="M74" s="1332"/>
      <c r="N74" s="1332"/>
      <c r="O74" s="1332"/>
    </row>
    <row r="75" spans="1:15" s="316" customFormat="1">
      <c r="A75" s="1332"/>
      <c r="B75" s="1332"/>
      <c r="C75" s="1340"/>
      <c r="D75" s="1340"/>
      <c r="E75" s="1340"/>
      <c r="F75" s="1340"/>
      <c r="G75" s="1340"/>
      <c r="H75" s="1332"/>
      <c r="I75" s="1332"/>
      <c r="J75" s="1340"/>
      <c r="K75" s="1340"/>
      <c r="L75" s="1332"/>
      <c r="M75" s="1332"/>
      <c r="N75" s="1332"/>
      <c r="O75" s="1332"/>
    </row>
    <row r="76" spans="1:15" s="316" customFormat="1">
      <c r="A76" s="1332"/>
      <c r="B76" s="1332"/>
      <c r="C76" s="1340"/>
      <c r="D76" s="1340"/>
      <c r="E76" s="1340"/>
      <c r="F76" s="1340"/>
      <c r="G76" s="1340"/>
      <c r="H76" s="1332"/>
      <c r="I76" s="1332"/>
      <c r="J76" s="1340"/>
      <c r="K76" s="1340"/>
      <c r="L76" s="1332"/>
      <c r="M76" s="1332"/>
      <c r="N76" s="1332"/>
      <c r="O76" s="1332"/>
    </row>
    <row r="77" spans="1:15" s="316" customFormat="1">
      <c r="A77" s="1332"/>
      <c r="B77" s="1332"/>
      <c r="C77" s="1340"/>
      <c r="D77" s="1340"/>
      <c r="E77" s="1340"/>
      <c r="F77" s="1340"/>
      <c r="G77" s="1340"/>
      <c r="H77" s="1332"/>
      <c r="I77" s="1332"/>
      <c r="J77" s="1340"/>
      <c r="K77" s="1340"/>
      <c r="L77" s="1332"/>
      <c r="M77" s="1332"/>
      <c r="N77" s="1332"/>
      <c r="O77" s="1332"/>
    </row>
    <row r="78" spans="1:15" s="316" customFormat="1">
      <c r="A78" s="1332"/>
      <c r="B78" s="1332"/>
      <c r="C78" s="1340"/>
      <c r="D78" s="1340"/>
      <c r="E78" s="1340"/>
      <c r="F78" s="1340"/>
      <c r="G78" s="1340"/>
      <c r="H78" s="1332"/>
      <c r="I78" s="1332"/>
      <c r="J78" s="1340"/>
      <c r="K78" s="1340"/>
      <c r="L78" s="1332"/>
      <c r="M78" s="1332"/>
      <c r="N78" s="1332"/>
      <c r="O78" s="1332"/>
    </row>
    <row r="79" spans="1:15" s="316" customFormat="1">
      <c r="A79" s="1332"/>
      <c r="B79" s="1332"/>
      <c r="C79" s="1340"/>
      <c r="D79" s="1340"/>
      <c r="E79" s="1340"/>
      <c r="F79" s="1340"/>
      <c r="G79" s="1340"/>
      <c r="H79" s="1332"/>
      <c r="I79" s="1332"/>
      <c r="J79" s="1340"/>
      <c r="K79" s="1340"/>
      <c r="L79" s="1332"/>
      <c r="M79" s="1332"/>
      <c r="N79" s="1332"/>
      <c r="O79" s="1332"/>
    </row>
    <row r="80" spans="1:15" s="316" customFormat="1">
      <c r="A80" s="1332"/>
      <c r="B80" s="1332"/>
      <c r="C80" s="1340"/>
      <c r="D80" s="1340"/>
      <c r="E80" s="1340"/>
      <c r="F80" s="1340"/>
      <c r="G80" s="1340"/>
      <c r="H80" s="1332"/>
      <c r="I80" s="1332"/>
      <c r="J80" s="1340"/>
      <c r="K80" s="1340"/>
      <c r="L80" s="1332"/>
      <c r="M80" s="1332"/>
      <c r="N80" s="1332"/>
      <c r="O80" s="1332"/>
    </row>
    <row r="81" spans="1:15" s="316" customFormat="1">
      <c r="A81" s="1332"/>
      <c r="B81" s="1332"/>
      <c r="C81" s="1340"/>
      <c r="D81" s="1340"/>
      <c r="E81" s="1340"/>
      <c r="F81" s="1340"/>
      <c r="G81" s="1340"/>
      <c r="H81" s="1332"/>
      <c r="I81" s="1332"/>
      <c r="J81" s="1340"/>
      <c r="K81" s="1340"/>
      <c r="L81" s="1332"/>
      <c r="M81" s="1332"/>
      <c r="N81" s="1332"/>
      <c r="O81" s="1332"/>
    </row>
    <row r="82" spans="1:15" s="316" customFormat="1">
      <c r="A82" s="1332"/>
      <c r="B82" s="1332"/>
      <c r="C82" s="1340"/>
      <c r="D82" s="1340"/>
      <c r="E82" s="1340"/>
      <c r="F82" s="1340"/>
      <c r="G82" s="1340"/>
      <c r="H82" s="1332"/>
      <c r="I82" s="1332"/>
      <c r="J82" s="1340"/>
      <c r="K82" s="1340"/>
      <c r="L82" s="1332"/>
      <c r="M82" s="1332"/>
      <c r="N82" s="1332"/>
      <c r="O82" s="1332"/>
    </row>
    <row r="83" spans="1:15" s="316" customFormat="1">
      <c r="A83" s="1332"/>
      <c r="B83" s="1332"/>
      <c r="C83" s="1340"/>
      <c r="D83" s="1340"/>
      <c r="E83" s="1340"/>
      <c r="F83" s="1340"/>
      <c r="G83" s="1340"/>
      <c r="H83" s="1332"/>
      <c r="I83" s="1332"/>
      <c r="J83" s="1340"/>
      <c r="K83" s="1340"/>
      <c r="L83" s="1332"/>
      <c r="M83" s="1332"/>
      <c r="N83" s="1332"/>
      <c r="O83" s="1332"/>
    </row>
    <row r="84" spans="1:15" s="316" customFormat="1">
      <c r="A84" s="1332"/>
      <c r="B84" s="1332"/>
      <c r="C84" s="1340"/>
      <c r="D84" s="1340"/>
      <c r="E84" s="1340"/>
      <c r="F84" s="1340"/>
      <c r="G84" s="1340"/>
      <c r="H84" s="1332"/>
      <c r="I84" s="1332"/>
      <c r="J84" s="1340"/>
      <c r="K84" s="1340"/>
      <c r="L84" s="1332"/>
      <c r="M84" s="1332"/>
      <c r="N84" s="1332"/>
      <c r="O84" s="1332"/>
    </row>
    <row r="85" spans="1:15" s="316" customFormat="1">
      <c r="A85" s="1332"/>
      <c r="B85" s="1332"/>
      <c r="C85" s="1340"/>
      <c r="D85" s="1340"/>
      <c r="E85" s="1340"/>
      <c r="F85" s="1340"/>
      <c r="G85" s="1340"/>
      <c r="H85" s="1332"/>
      <c r="I85" s="1332"/>
      <c r="J85" s="1340"/>
      <c r="K85" s="1340"/>
      <c r="L85" s="1332"/>
      <c r="M85" s="1332"/>
      <c r="N85" s="1332"/>
      <c r="O85" s="1332"/>
    </row>
    <row r="86" spans="1:15" s="316" customFormat="1">
      <c r="A86" s="1332"/>
      <c r="B86" s="1332"/>
      <c r="C86" s="1340"/>
      <c r="D86" s="1340"/>
      <c r="E86" s="1340"/>
      <c r="F86" s="1340"/>
      <c r="G86" s="1340"/>
      <c r="H86" s="1332"/>
      <c r="I86" s="1332"/>
      <c r="J86" s="1340"/>
      <c r="K86" s="1340"/>
      <c r="L86" s="1332"/>
      <c r="M86" s="1332"/>
      <c r="N86" s="1332"/>
      <c r="O86" s="1332"/>
    </row>
    <row r="87" spans="1:15" s="316" customFormat="1">
      <c r="A87" s="1332"/>
      <c r="B87" s="1332"/>
      <c r="C87" s="1340"/>
      <c r="D87" s="1340"/>
      <c r="E87" s="1340"/>
      <c r="F87" s="1340"/>
      <c r="G87" s="1340"/>
      <c r="H87" s="1332"/>
      <c r="I87" s="1332"/>
      <c r="J87" s="1340"/>
      <c r="K87" s="1340"/>
      <c r="L87" s="1332"/>
      <c r="M87" s="1332"/>
      <c r="N87" s="1332"/>
      <c r="O87" s="1332"/>
    </row>
    <row r="88" spans="1:15" s="316" customFormat="1">
      <c r="A88" s="1332"/>
      <c r="B88" s="1332"/>
      <c r="C88" s="1340"/>
      <c r="D88" s="1340"/>
      <c r="E88" s="1340"/>
      <c r="F88" s="1340"/>
      <c r="G88" s="1340"/>
      <c r="H88" s="1332"/>
      <c r="I88" s="1332"/>
      <c r="J88" s="1340"/>
      <c r="K88" s="1340"/>
      <c r="L88" s="1332"/>
      <c r="M88" s="1332"/>
      <c r="N88" s="1332"/>
      <c r="O88" s="1332"/>
    </row>
    <row r="89" spans="1:15" s="316" customFormat="1">
      <c r="A89" s="1332"/>
      <c r="B89" s="1332"/>
      <c r="C89" s="1340"/>
      <c r="D89" s="1340"/>
      <c r="E89" s="1340"/>
      <c r="F89" s="1340"/>
      <c r="G89" s="1340"/>
      <c r="H89" s="1332"/>
      <c r="I89" s="1332"/>
      <c r="J89" s="1340"/>
      <c r="K89" s="1340"/>
      <c r="L89" s="1332"/>
      <c r="M89" s="1332"/>
      <c r="N89" s="1332"/>
      <c r="O89" s="1332"/>
    </row>
    <row r="90" spans="1:15" s="316" customFormat="1">
      <c r="A90" s="1332"/>
      <c r="B90" s="1332"/>
      <c r="C90" s="1340"/>
      <c r="D90" s="1340"/>
      <c r="E90" s="1340"/>
      <c r="F90" s="1340"/>
      <c r="G90" s="1340"/>
      <c r="H90" s="1332"/>
      <c r="I90" s="1332"/>
      <c r="J90" s="1340"/>
      <c r="K90" s="1340"/>
      <c r="L90" s="1332"/>
      <c r="M90" s="1332"/>
      <c r="N90" s="1332"/>
      <c r="O90" s="1332"/>
    </row>
    <row r="91" spans="1:15" s="316" customFormat="1">
      <c r="A91" s="1332"/>
      <c r="B91" s="1332"/>
      <c r="C91" s="1340"/>
      <c r="D91" s="1340"/>
      <c r="E91" s="1340"/>
      <c r="F91" s="1340"/>
      <c r="G91" s="1340"/>
      <c r="H91" s="1332"/>
      <c r="I91" s="1332"/>
      <c r="J91" s="1340"/>
      <c r="K91" s="1340"/>
      <c r="L91" s="1332"/>
      <c r="M91" s="1332"/>
      <c r="N91" s="1332"/>
      <c r="O91" s="1332"/>
    </row>
    <row r="92" spans="1:15" s="316" customFormat="1">
      <c r="A92" s="1332"/>
      <c r="B92" s="1332"/>
      <c r="C92" s="1340"/>
      <c r="D92" s="1340"/>
      <c r="E92" s="1340"/>
      <c r="F92" s="1340"/>
      <c r="G92" s="1340"/>
      <c r="H92" s="1332"/>
      <c r="I92" s="1332"/>
      <c r="J92" s="1340"/>
      <c r="K92" s="1340"/>
      <c r="L92" s="1332"/>
      <c r="M92" s="1332"/>
      <c r="N92" s="1332"/>
      <c r="O92" s="1332"/>
    </row>
    <row r="93" spans="1:15" s="316" customFormat="1">
      <c r="A93" s="1332"/>
      <c r="B93" s="1332"/>
      <c r="C93" s="1340"/>
      <c r="D93" s="1340"/>
      <c r="E93" s="1340"/>
      <c r="F93" s="1340"/>
      <c r="G93" s="1340"/>
      <c r="H93" s="1332"/>
      <c r="I93" s="1332"/>
      <c r="J93" s="1340"/>
      <c r="K93" s="1340"/>
      <c r="L93" s="1332"/>
      <c r="M93" s="1332"/>
      <c r="N93" s="1332"/>
      <c r="O93" s="1332"/>
    </row>
    <row r="94" spans="1:15" s="316" customFormat="1">
      <c r="A94" s="1332"/>
      <c r="B94" s="1332"/>
      <c r="C94" s="1340"/>
      <c r="D94" s="1340"/>
      <c r="E94" s="1340"/>
      <c r="F94" s="1340"/>
      <c r="G94" s="1340"/>
      <c r="H94" s="1332"/>
      <c r="I94" s="1332"/>
      <c r="J94" s="1340"/>
      <c r="K94" s="1340"/>
      <c r="L94" s="1332"/>
      <c r="M94" s="1332"/>
      <c r="N94" s="1332"/>
      <c r="O94" s="1332"/>
    </row>
    <row r="95" spans="1:15" s="316" customFormat="1">
      <c r="A95" s="1332"/>
      <c r="B95" s="1332"/>
      <c r="C95" s="1340"/>
      <c r="D95" s="1340"/>
      <c r="E95" s="1340"/>
      <c r="F95" s="1340"/>
      <c r="G95" s="1340"/>
      <c r="H95" s="1332"/>
      <c r="I95" s="1332"/>
      <c r="J95" s="1340"/>
      <c r="K95" s="1340"/>
      <c r="L95" s="1332"/>
      <c r="M95" s="1332"/>
      <c r="N95" s="1332"/>
      <c r="O95" s="1332"/>
    </row>
  </sheetData>
  <pageMargins left="0.75" right="0.5" top="0.5" bottom="0.5" header="0" footer="0.25"/>
  <pageSetup scale="60" firstPageNumber="41" orientation="landscape" useFirstPageNumber="1" r:id="rId1"/>
  <headerFooter scaleWithDoc="0" alignWithMargins="0">
    <oddFooter>&amp;C&amp;8&amp;P</oddFooter>
  </headerFooter>
  <customProperties>
    <customPr name="SheetOptions" r:id="rId2"/>
  </customProperties>
  <ignoredErrors>
    <ignoredError sqref="K19" formula="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0">
    <pageSetUpPr fitToPage="1"/>
  </sheetPr>
  <dimension ref="A1:N139"/>
  <sheetViews>
    <sheetView showGridLines="0" zoomScale="80" workbookViewId="0"/>
  </sheetViews>
  <sheetFormatPr defaultColWidth="8.88671875" defaultRowHeight="12.75"/>
  <cols>
    <col min="1" max="1" width="56.109375" style="319" customWidth="1"/>
    <col min="2" max="2" width="5.88671875" style="319" customWidth="1"/>
    <col min="3" max="3" width="9.88671875" style="319" customWidth="1"/>
    <col min="4" max="4" width="20.88671875" style="319" customWidth="1"/>
    <col min="5" max="5" width="1.88671875" style="319" customWidth="1"/>
    <col min="6" max="6" width="20.88671875" style="319" customWidth="1"/>
    <col min="7" max="7" width="2.109375" style="319" customWidth="1"/>
    <col min="8" max="8" width="20.88671875" style="319" customWidth="1"/>
    <col min="9" max="9" width="1.88671875" style="319" customWidth="1"/>
    <col min="10" max="10" width="20.88671875" style="319" customWidth="1"/>
    <col min="11" max="11" width="2.109375" style="319" customWidth="1"/>
    <col min="12" max="12" width="22.88671875" style="319" customWidth="1"/>
    <col min="13" max="13" width="2.44140625" style="319" customWidth="1"/>
    <col min="14" max="16384" width="8.88671875" style="319"/>
  </cols>
  <sheetData>
    <row r="1" spans="1:13" ht="15">
      <c r="A1" s="468" t="s">
        <v>841</v>
      </c>
    </row>
    <row r="2" spans="1:13" ht="18" customHeight="1"/>
    <row r="3" spans="1:13" ht="18">
      <c r="A3" s="320" t="s">
        <v>0</v>
      </c>
      <c r="B3" s="321"/>
      <c r="C3" s="321"/>
      <c r="D3" s="322"/>
      <c r="E3" s="322"/>
      <c r="F3" s="321"/>
      <c r="G3" s="321" t="s">
        <v>14</v>
      </c>
      <c r="H3" s="321"/>
      <c r="I3" s="321"/>
      <c r="J3" s="321"/>
      <c r="K3" s="321"/>
      <c r="L3" s="323" t="s">
        <v>363</v>
      </c>
      <c r="M3" s="322"/>
    </row>
    <row r="4" spans="1:13" ht="18">
      <c r="A4" s="320" t="s">
        <v>364</v>
      </c>
      <c r="B4" s="321"/>
      <c r="C4" s="321"/>
      <c r="D4" s="322"/>
      <c r="E4" s="322"/>
      <c r="F4" s="321"/>
      <c r="G4" s="321"/>
      <c r="H4" s="321"/>
      <c r="I4" s="321"/>
      <c r="J4" s="321"/>
      <c r="K4" s="321"/>
      <c r="L4" s="325"/>
      <c r="M4" s="322"/>
    </row>
    <row r="5" spans="1:13" ht="18">
      <c r="A5" s="326" t="s">
        <v>1441</v>
      </c>
      <c r="B5" s="321"/>
      <c r="C5" s="321"/>
      <c r="D5" s="322"/>
      <c r="E5" s="322"/>
      <c r="F5" s="321"/>
      <c r="G5" s="321"/>
      <c r="H5" s="321"/>
      <c r="I5" s="321"/>
      <c r="J5" s="321"/>
      <c r="K5" s="321"/>
      <c r="L5" s="321"/>
      <c r="M5" s="322"/>
    </row>
    <row r="6" spans="1:13" ht="18">
      <c r="A6" s="326" t="s">
        <v>347</v>
      </c>
      <c r="B6" s="321"/>
      <c r="C6" s="321"/>
      <c r="D6" s="322"/>
      <c r="E6" s="322"/>
      <c r="F6" s="321"/>
      <c r="G6" s="321"/>
      <c r="H6" s="321"/>
      <c r="I6" s="321"/>
      <c r="J6" s="321"/>
      <c r="K6" s="321"/>
      <c r="L6" s="321"/>
      <c r="M6" s="322"/>
    </row>
    <row r="7" spans="1:13" ht="18">
      <c r="A7" s="326" t="str">
        <f>'Sch 2 '!A7</f>
        <v>FISCAL YEAR 2023-2024</v>
      </c>
      <c r="B7" s="321"/>
      <c r="C7" s="321"/>
      <c r="D7" s="322"/>
      <c r="E7" s="322"/>
      <c r="F7" s="321"/>
      <c r="G7" s="321"/>
      <c r="H7" s="321"/>
      <c r="I7" s="321"/>
      <c r="J7" s="321"/>
      <c r="K7" s="321"/>
      <c r="L7" s="321"/>
      <c r="M7" s="322"/>
    </row>
    <row r="8" spans="1:13" ht="18">
      <c r="A8" s="326" t="str">
        <f>'Sch 2 '!A8</f>
        <v>FOR THE MONTH OF SEPTEMBER 2023</v>
      </c>
      <c r="B8" s="321"/>
      <c r="C8" s="321"/>
      <c r="D8" s="322"/>
      <c r="E8" s="322"/>
      <c r="F8" s="321"/>
      <c r="G8" s="321"/>
      <c r="H8" s="321"/>
      <c r="I8" s="321"/>
      <c r="J8" s="321"/>
      <c r="K8" s="321"/>
      <c r="L8" s="321"/>
      <c r="M8" s="322"/>
    </row>
    <row r="9" spans="1:13" ht="18">
      <c r="A9" s="583" t="s">
        <v>1199</v>
      </c>
      <c r="B9" s="321"/>
      <c r="C9" s="321"/>
      <c r="D9" s="322"/>
      <c r="E9" s="322"/>
      <c r="F9" s="321"/>
      <c r="G9" s="321"/>
      <c r="H9" s="321"/>
      <c r="I9" s="321"/>
      <c r="J9" s="321"/>
      <c r="K9" s="321"/>
      <c r="L9" s="321"/>
      <c r="M9" s="322"/>
    </row>
    <row r="10" spans="1:13" ht="18">
      <c r="A10" s="320"/>
      <c r="B10" s="320"/>
      <c r="C10" s="320"/>
      <c r="D10" s="336"/>
      <c r="E10" s="320"/>
      <c r="F10" s="320"/>
      <c r="G10" s="320"/>
      <c r="H10" s="320"/>
      <c r="I10" s="320"/>
      <c r="J10" s="336" t="s">
        <v>348</v>
      </c>
      <c r="K10" s="320"/>
      <c r="L10" s="336"/>
      <c r="M10" s="322"/>
    </row>
    <row r="11" spans="1:13" ht="18">
      <c r="A11" s="320"/>
      <c r="B11" s="320"/>
      <c r="C11" s="320"/>
      <c r="D11" s="336" t="s">
        <v>229</v>
      </c>
      <c r="E11" s="320"/>
      <c r="F11" s="320"/>
      <c r="G11" s="320"/>
      <c r="H11" s="320"/>
      <c r="I11" s="320"/>
      <c r="J11" s="336" t="s">
        <v>349</v>
      </c>
      <c r="K11" s="320"/>
      <c r="L11" s="336" t="s">
        <v>229</v>
      </c>
      <c r="M11" s="322"/>
    </row>
    <row r="12" spans="1:13" ht="18">
      <c r="A12" s="335" t="s">
        <v>350</v>
      </c>
      <c r="B12" s="320"/>
      <c r="C12" s="320"/>
      <c r="D12" s="657" t="str">
        <f>'Sch 1 '!C11</f>
        <v>SEPTEMBER 1, 2023</v>
      </c>
      <c r="E12" s="320"/>
      <c r="F12" s="336" t="s">
        <v>231</v>
      </c>
      <c r="G12" s="320"/>
      <c r="H12" s="336" t="s">
        <v>232</v>
      </c>
      <c r="I12" s="320"/>
      <c r="J12" s="336" t="s">
        <v>233</v>
      </c>
      <c r="K12" s="320"/>
      <c r="L12" s="657" t="str">
        <f>'Sch 1 '!K11</f>
        <v>SEPTEMBER 30, 2023</v>
      </c>
      <c r="M12" s="322"/>
    </row>
    <row r="13" spans="1:13" ht="9.75" customHeight="1">
      <c r="A13" s="320" t="s">
        <v>14</v>
      </c>
      <c r="B13" s="320"/>
      <c r="C13" s="320"/>
      <c r="D13" s="500" t="s">
        <v>14</v>
      </c>
      <c r="E13" s="320"/>
      <c r="F13" s="500" t="s">
        <v>14</v>
      </c>
      <c r="G13" s="320"/>
      <c r="H13" s="500" t="s">
        <v>14</v>
      </c>
      <c r="I13" s="320"/>
      <c r="J13" s="500" t="s">
        <v>14</v>
      </c>
      <c r="K13" s="320" t="s">
        <v>14</v>
      </c>
      <c r="L13" s="500" t="s">
        <v>14</v>
      </c>
      <c r="M13" s="322"/>
    </row>
    <row r="14" spans="1:13" ht="18" customHeight="1">
      <c r="A14" s="327" t="s">
        <v>756</v>
      </c>
      <c r="B14" s="324"/>
      <c r="C14" s="324"/>
      <c r="D14" s="501"/>
      <c r="E14" s="501"/>
      <c r="F14" s="338"/>
      <c r="G14" s="316"/>
      <c r="H14" s="338"/>
      <c r="I14" s="501"/>
      <c r="J14" s="501"/>
      <c r="K14" s="501"/>
      <c r="L14" s="501"/>
      <c r="M14" s="328"/>
    </row>
    <row r="15" spans="1:13" ht="7.5" customHeight="1">
      <c r="A15" s="320"/>
      <c r="B15" s="324"/>
      <c r="C15" s="324"/>
      <c r="D15" s="501"/>
      <c r="E15" s="501"/>
      <c r="F15" s="501"/>
      <c r="G15" s="501"/>
      <c r="H15" s="501"/>
      <c r="I15" s="501"/>
      <c r="J15" s="501"/>
      <c r="K15" s="501"/>
      <c r="L15" s="501"/>
      <c r="M15" s="328"/>
    </row>
    <row r="16" spans="1:13" ht="15.75" customHeight="1">
      <c r="A16" s="324" t="s">
        <v>876</v>
      </c>
      <c r="B16" s="324"/>
      <c r="C16" s="324"/>
      <c r="D16" s="1077">
        <v>-9.34</v>
      </c>
      <c r="E16" s="1078"/>
      <c r="F16" s="1077">
        <v>6.0119999999999996</v>
      </c>
      <c r="G16" s="1078"/>
      <c r="H16" s="1077">
        <v>11.979000000000001</v>
      </c>
      <c r="I16" s="1078"/>
      <c r="J16" s="1077">
        <v>0</v>
      </c>
      <c r="K16" s="1079"/>
      <c r="L16" s="1080">
        <f>ROUND(SUM(D16)+SUM(F16)-SUM(H16)+SUM(J16),3)</f>
        <v>-15.307</v>
      </c>
      <c r="M16" s="328"/>
    </row>
    <row r="17" spans="1:13" ht="15.75" customHeight="1">
      <c r="A17" s="324" t="s">
        <v>1406</v>
      </c>
      <c r="B17" s="324"/>
      <c r="C17" s="324"/>
      <c r="D17" s="1083">
        <v>1271.4939999999999</v>
      </c>
      <c r="E17" s="1078"/>
      <c r="F17" s="1083">
        <v>5.7249999999999996</v>
      </c>
      <c r="G17" s="1078"/>
      <c r="H17" s="1083">
        <v>0</v>
      </c>
      <c r="I17" s="1078"/>
      <c r="J17" s="1083">
        <v>0</v>
      </c>
      <c r="K17" s="1079"/>
      <c r="L17" s="1084">
        <f>ROUND(SUM(D17)+SUM(F17)-SUM(H17)+SUM(J17),3)</f>
        <v>1277.2190000000001</v>
      </c>
      <c r="M17" s="328"/>
    </row>
    <row r="18" spans="1:13" ht="6.75" customHeight="1">
      <c r="A18" s="320"/>
      <c r="B18" s="324"/>
      <c r="C18" s="324"/>
      <c r="D18" s="1847" t="s">
        <v>14</v>
      </c>
      <c r="E18" s="501"/>
      <c r="F18" s="502" t="s">
        <v>14</v>
      </c>
      <c r="G18" s="501"/>
      <c r="H18" s="502" t="s">
        <v>14</v>
      </c>
      <c r="I18" s="501"/>
      <c r="J18" s="503" t="s">
        <v>14</v>
      </c>
      <c r="K18" s="501"/>
      <c r="L18" s="504" t="s">
        <v>14</v>
      </c>
      <c r="M18" s="328"/>
    </row>
    <row r="19" spans="1:13" ht="17.25" customHeight="1">
      <c r="A19" s="320" t="s">
        <v>1407</v>
      </c>
      <c r="B19" s="324"/>
      <c r="C19" s="324"/>
      <c r="D19" s="505">
        <f>ROUND(SUM(D16:D17),3)</f>
        <v>1262.154</v>
      </c>
      <c r="E19" s="506"/>
      <c r="F19" s="505">
        <f>ROUND(SUM(F16:F17),3)</f>
        <v>11.737</v>
      </c>
      <c r="G19" s="506"/>
      <c r="H19" s="505">
        <f>ROUND(SUM(H16:H17),3)</f>
        <v>11.978999999999999</v>
      </c>
      <c r="I19" s="506"/>
      <c r="J19" s="649">
        <f>ROUND(SUM(J16:J17),3)</f>
        <v>0</v>
      </c>
      <c r="K19" s="506"/>
      <c r="L19" s="505">
        <f>ROUND(SUM(L16:L17),3)</f>
        <v>1261.912</v>
      </c>
      <c r="M19" s="329"/>
    </row>
    <row r="20" spans="1:13" ht="12" customHeight="1">
      <c r="A20" s="320"/>
      <c r="B20" s="324"/>
      <c r="C20" s="324"/>
      <c r="D20" s="507"/>
      <c r="E20" s="318"/>
      <c r="F20" s="507"/>
      <c r="G20" s="318"/>
      <c r="H20" s="507"/>
      <c r="I20" s="318"/>
      <c r="J20" s="318"/>
      <c r="K20" s="318"/>
      <c r="L20" s="507"/>
      <c r="M20" s="328"/>
    </row>
    <row r="21" spans="1:13" ht="18" customHeight="1">
      <c r="A21" s="327" t="s">
        <v>223</v>
      </c>
      <c r="B21" s="320"/>
      <c r="C21" s="320"/>
      <c r="D21" s="506"/>
      <c r="E21" s="506"/>
      <c r="F21" s="506"/>
      <c r="G21" s="506"/>
      <c r="H21" s="506"/>
      <c r="I21" s="506"/>
      <c r="J21" s="506"/>
      <c r="K21" s="506"/>
      <c r="L21" s="506"/>
      <c r="M21" s="322"/>
    </row>
    <row r="22" spans="1:13" ht="7.5" customHeight="1">
      <c r="A22" s="320"/>
      <c r="B22" s="320"/>
      <c r="C22" s="320"/>
      <c r="D22" s="506"/>
      <c r="E22" s="506"/>
      <c r="F22" s="506"/>
      <c r="G22" s="506"/>
      <c r="H22" s="506"/>
      <c r="I22" s="506"/>
      <c r="J22" s="506"/>
      <c r="K22" s="506"/>
      <c r="L22" s="318"/>
      <c r="M22" s="322"/>
    </row>
    <row r="23" spans="1:13" ht="17.850000000000001" customHeight="1">
      <c r="A23" s="508" t="s">
        <v>1383</v>
      </c>
      <c r="B23" s="320"/>
      <c r="C23" s="320"/>
      <c r="D23" s="1081">
        <v>39.530999999999999</v>
      </c>
      <c r="E23" s="1078"/>
      <c r="F23" s="1081">
        <v>1.103</v>
      </c>
      <c r="G23" s="1078"/>
      <c r="H23" s="1081">
        <v>2.9000000000000001E-2</v>
      </c>
      <c r="I23" s="1078"/>
      <c r="J23" s="1081">
        <v>0</v>
      </c>
      <c r="K23" s="1079"/>
      <c r="L23" s="1082">
        <f>ROUND(SUM(D23)+SUM(F23)-SUM(H23)+SUM(J23),3)</f>
        <v>40.604999999999997</v>
      </c>
      <c r="M23" s="322"/>
    </row>
    <row r="24" spans="1:13" ht="16.5" customHeight="1">
      <c r="A24" s="508" t="s">
        <v>365</v>
      </c>
      <c r="B24" s="320"/>
      <c r="C24" s="337"/>
      <c r="D24" s="1081">
        <v>3.468</v>
      </c>
      <c r="E24" s="1078"/>
      <c r="F24" s="1081">
        <v>1.6E-2</v>
      </c>
      <c r="G24" s="1078"/>
      <c r="H24" s="1081">
        <v>1.2E-2</v>
      </c>
      <c r="I24" s="1078"/>
      <c r="J24" s="1081">
        <v>0</v>
      </c>
      <c r="K24" s="1079"/>
      <c r="L24" s="1082">
        <f>ROUND(SUM(D24)+SUM(F24)-SUM(H24)+SUM(J24),3)</f>
        <v>3.472</v>
      </c>
      <c r="M24" s="322"/>
    </row>
    <row r="25" spans="1:13" ht="15.75" customHeight="1">
      <c r="A25" s="508" t="s">
        <v>366</v>
      </c>
      <c r="B25" s="320"/>
      <c r="C25" s="320"/>
      <c r="D25" s="1083">
        <v>13.061</v>
      </c>
      <c r="E25" s="1078"/>
      <c r="F25" s="1083">
        <v>0.19700000000000001</v>
      </c>
      <c r="G25" s="1078"/>
      <c r="H25" s="1083">
        <v>5.2999999999999999E-2</v>
      </c>
      <c r="I25" s="1078"/>
      <c r="J25" s="1083">
        <v>0</v>
      </c>
      <c r="K25" s="1079"/>
      <c r="L25" s="1084">
        <f>ROUND(SUM(D25)+SUM(F25)-SUM(H25)+SUM(J25),3)</f>
        <v>13.205</v>
      </c>
      <c r="M25" s="322"/>
    </row>
    <row r="26" spans="1:13" ht="6.75" customHeight="1">
      <c r="A26" s="508"/>
      <c r="B26" s="320"/>
      <c r="C26" s="320"/>
      <c r="D26" s="318"/>
      <c r="E26" s="318"/>
      <c r="F26" s="318" t="s">
        <v>14</v>
      </c>
      <c r="G26" s="318"/>
      <c r="H26" s="509"/>
      <c r="I26" s="318"/>
      <c r="J26" s="510"/>
      <c r="K26" s="318"/>
      <c r="L26" s="318"/>
      <c r="M26" s="322"/>
    </row>
    <row r="27" spans="1:13" ht="17.25" customHeight="1">
      <c r="A27" s="326" t="s">
        <v>1060</v>
      </c>
      <c r="B27" s="320"/>
      <c r="C27" s="337"/>
      <c r="D27" s="511">
        <f>ROUND(SUM(D23:D25),3)</f>
        <v>56.06</v>
      </c>
      <c r="E27" s="506"/>
      <c r="F27" s="511">
        <f>ROUND(SUM(F23:F25),3)</f>
        <v>1.3160000000000001</v>
      </c>
      <c r="G27" s="506"/>
      <c r="H27" s="511">
        <f>ROUND(SUM(H23:H25),3)</f>
        <v>9.4E-2</v>
      </c>
      <c r="I27" s="506"/>
      <c r="J27" s="511">
        <f>ROUND(SUM(J23:J25),3)</f>
        <v>0</v>
      </c>
      <c r="K27" s="506"/>
      <c r="L27" s="511">
        <f>ROUND(SUM(L23:L25),3)</f>
        <v>57.281999999999996</v>
      </c>
      <c r="M27" s="330"/>
    </row>
    <row r="28" spans="1:13" ht="12" customHeight="1">
      <c r="A28" s="320"/>
      <c r="B28" s="320"/>
      <c r="C28" s="320"/>
      <c r="D28" s="506"/>
      <c r="E28" s="506"/>
      <c r="F28" s="506"/>
      <c r="G28" s="506"/>
      <c r="H28" s="506"/>
      <c r="I28" s="506"/>
      <c r="J28" s="506"/>
      <c r="K28" s="506"/>
      <c r="L28" s="506"/>
      <c r="M28" s="322"/>
    </row>
    <row r="29" spans="1:13" ht="18">
      <c r="A29" s="327" t="s">
        <v>367</v>
      </c>
      <c r="B29" s="320"/>
      <c r="C29" s="320"/>
      <c r="D29" s="506"/>
      <c r="E29" s="506"/>
      <c r="F29" s="506"/>
      <c r="G29" s="506"/>
      <c r="H29" s="506"/>
      <c r="I29" s="506"/>
      <c r="J29" s="506"/>
      <c r="K29" s="506"/>
      <c r="L29" s="506"/>
      <c r="M29" s="322"/>
    </row>
    <row r="30" spans="1:13" ht="7.5" customHeight="1">
      <c r="A30" s="324" t="s">
        <v>14</v>
      </c>
      <c r="B30" s="324"/>
      <c r="C30" s="324"/>
      <c r="D30" s="318"/>
      <c r="E30" s="318"/>
      <c r="F30" s="318"/>
      <c r="G30" s="318"/>
      <c r="H30" s="318"/>
      <c r="I30" s="318"/>
      <c r="J30" s="318"/>
      <c r="K30" s="318"/>
      <c r="L30" s="318"/>
      <c r="M30" s="322"/>
    </row>
    <row r="31" spans="1:13" ht="16.5" customHeight="1">
      <c r="A31" s="324" t="s">
        <v>868</v>
      </c>
      <c r="B31" s="324"/>
      <c r="C31" s="324" t="s">
        <v>14</v>
      </c>
      <c r="D31" s="1081">
        <v>6.0720000000000001</v>
      </c>
      <c r="E31" s="1078"/>
      <c r="F31" s="1081">
        <v>9.5000000000000001E-2</v>
      </c>
      <c r="G31" s="1078"/>
      <c r="H31" s="1081">
        <v>0</v>
      </c>
      <c r="I31" s="1078"/>
      <c r="J31" s="1081">
        <v>0</v>
      </c>
      <c r="K31" s="1079"/>
      <c r="L31" s="1082">
        <f t="shared" ref="L31:L46" si="0">ROUND(SUM(D31)+SUM(F31)-SUM(H31)+SUM(J31),3)</f>
        <v>6.1669999999999998</v>
      </c>
      <c r="M31" s="328"/>
    </row>
    <row r="32" spans="1:13" ht="15.75" customHeight="1">
      <c r="A32" s="508" t="s">
        <v>368</v>
      </c>
      <c r="B32" s="324"/>
      <c r="C32" s="324"/>
      <c r="D32" s="1081">
        <v>0.64400000000000002</v>
      </c>
      <c r="E32" s="1078"/>
      <c r="F32" s="1081">
        <v>3.0000000000000001E-3</v>
      </c>
      <c r="G32" s="1078"/>
      <c r="H32" s="1081">
        <v>0</v>
      </c>
      <c r="I32" s="1078"/>
      <c r="J32" s="1081">
        <v>0</v>
      </c>
      <c r="K32" s="1079"/>
      <c r="L32" s="1082">
        <f t="shared" si="0"/>
        <v>0.64700000000000002</v>
      </c>
      <c r="M32" s="328"/>
    </row>
    <row r="33" spans="1:14" ht="16.5" customHeight="1">
      <c r="A33" s="324" t="s">
        <v>369</v>
      </c>
      <c r="B33" s="324"/>
      <c r="C33" s="324"/>
      <c r="D33" s="1081">
        <v>809.93399999999997</v>
      </c>
      <c r="E33" s="1078"/>
      <c r="F33" s="1081">
        <v>1078.57</v>
      </c>
      <c r="G33" s="1078"/>
      <c r="H33" s="1081">
        <v>1063.7850000000001</v>
      </c>
      <c r="I33" s="1078"/>
      <c r="J33" s="1081">
        <v>0</v>
      </c>
      <c r="K33" s="1079"/>
      <c r="L33" s="1082">
        <f t="shared" si="0"/>
        <v>824.71900000000005</v>
      </c>
      <c r="M33" s="328"/>
    </row>
    <row r="34" spans="1:14" ht="16.5" customHeight="1">
      <c r="A34" s="324" t="s">
        <v>370</v>
      </c>
      <c r="B34" s="324"/>
      <c r="C34" s="324" t="s">
        <v>14</v>
      </c>
      <c r="D34" s="1081">
        <v>14.991</v>
      </c>
      <c r="E34" s="1078"/>
      <c r="F34" s="1081">
        <v>107.904</v>
      </c>
      <c r="G34" s="1078"/>
      <c r="H34" s="1081">
        <v>107.90600000000001</v>
      </c>
      <c r="I34" s="1078"/>
      <c r="J34" s="1081">
        <v>0</v>
      </c>
      <c r="K34" s="1079"/>
      <c r="L34" s="1082">
        <f>ROUND(SUM(D34)+SUM(F34)-SUM(H34)+SUM(J34),3)</f>
        <v>14.989000000000001</v>
      </c>
      <c r="M34" s="328"/>
    </row>
    <row r="35" spans="1:14" ht="16.5" customHeight="1">
      <c r="A35" s="324" t="s">
        <v>879</v>
      </c>
      <c r="B35" s="324"/>
      <c r="C35" s="324"/>
      <c r="D35" s="1081">
        <v>54.57</v>
      </c>
      <c r="E35" s="1078"/>
      <c r="F35" s="1081">
        <v>390.33</v>
      </c>
      <c r="G35" s="1078"/>
      <c r="H35" s="1081">
        <v>393.71199999999999</v>
      </c>
      <c r="I35" s="1078"/>
      <c r="J35" s="1081">
        <v>0</v>
      </c>
      <c r="K35" s="1079"/>
      <c r="L35" s="1082">
        <f t="shared" si="0"/>
        <v>51.188000000000002</v>
      </c>
      <c r="M35" s="328"/>
    </row>
    <row r="36" spans="1:14" ht="16.5" customHeight="1">
      <c r="A36" s="324" t="s">
        <v>371</v>
      </c>
      <c r="B36" s="324"/>
      <c r="C36" s="324" t="s">
        <v>14</v>
      </c>
      <c r="D36" s="1081">
        <v>19.3</v>
      </c>
      <c r="E36" s="1078"/>
      <c r="F36" s="1081">
        <v>4.3250000000000002</v>
      </c>
      <c r="G36" s="1078"/>
      <c r="H36" s="1081">
        <v>9.1940000000000008</v>
      </c>
      <c r="I36" s="1078"/>
      <c r="J36" s="1081">
        <v>0</v>
      </c>
      <c r="K36" s="1079"/>
      <c r="L36" s="1082">
        <f t="shared" si="0"/>
        <v>14.430999999999999</v>
      </c>
      <c r="M36" s="328"/>
    </row>
    <row r="37" spans="1:14" ht="15.75" customHeight="1">
      <c r="A37" s="324" t="s">
        <v>372</v>
      </c>
      <c r="B37" s="324"/>
      <c r="C37" s="324"/>
      <c r="D37" s="1081">
        <v>0.66200000000000003</v>
      </c>
      <c r="E37" s="1078"/>
      <c r="F37" s="1081">
        <v>1.663</v>
      </c>
      <c r="G37" s="1078"/>
      <c r="H37" s="1081">
        <v>1.905</v>
      </c>
      <c r="I37" s="1078"/>
      <c r="J37" s="1081">
        <v>0</v>
      </c>
      <c r="K37" s="1079"/>
      <c r="L37" s="1082">
        <f t="shared" si="0"/>
        <v>0.42</v>
      </c>
      <c r="M37" s="328"/>
      <c r="N37" s="319" t="s">
        <v>14</v>
      </c>
    </row>
    <row r="38" spans="1:14" ht="15.75" customHeight="1">
      <c r="A38" s="324" t="s">
        <v>373</v>
      </c>
      <c r="B38" s="324"/>
      <c r="C38" s="324"/>
      <c r="D38" s="1081">
        <v>708.76099999999997</v>
      </c>
      <c r="E38" s="1078"/>
      <c r="F38" s="1081">
        <v>95.309000000000012</v>
      </c>
      <c r="G38" s="1078"/>
      <c r="H38" s="1081">
        <v>83.968000000000004</v>
      </c>
      <c r="I38" s="1078"/>
      <c r="J38" s="1081">
        <v>0</v>
      </c>
      <c r="K38" s="1079"/>
      <c r="L38" s="1082">
        <f t="shared" si="0"/>
        <v>720.10199999999998</v>
      </c>
      <c r="M38" s="332"/>
    </row>
    <row r="39" spans="1:14" ht="16.5" customHeight="1">
      <c r="A39" s="324" t="s">
        <v>374</v>
      </c>
      <c r="B39" s="324"/>
      <c r="C39" s="324"/>
      <c r="D39" s="1081">
        <v>0</v>
      </c>
      <c r="E39" s="1078"/>
      <c r="F39" s="1081">
        <v>0</v>
      </c>
      <c r="G39" s="1078"/>
      <c r="H39" s="1081">
        <v>0</v>
      </c>
      <c r="I39" s="1078"/>
      <c r="J39" s="1081">
        <v>0</v>
      </c>
      <c r="K39" s="1079"/>
      <c r="L39" s="1082">
        <f t="shared" si="0"/>
        <v>0</v>
      </c>
      <c r="M39" s="328"/>
    </row>
    <row r="40" spans="1:14" ht="16.5" customHeight="1">
      <c r="A40" s="324" t="s">
        <v>375</v>
      </c>
      <c r="B40" s="324"/>
      <c r="C40" s="324"/>
      <c r="D40" s="1081">
        <v>1078.548</v>
      </c>
      <c r="E40" s="1078"/>
      <c r="F40" s="1081">
        <v>2761.723</v>
      </c>
      <c r="G40" s="1078"/>
      <c r="H40" s="1081">
        <v>2860.6489999999999</v>
      </c>
      <c r="I40" s="1078"/>
      <c r="J40" s="1081">
        <v>0</v>
      </c>
      <c r="K40" s="1079"/>
      <c r="L40" s="1082">
        <f t="shared" si="0"/>
        <v>979.62199999999996</v>
      </c>
      <c r="M40" s="328"/>
    </row>
    <row r="41" spans="1:14" ht="16.5" customHeight="1">
      <c r="A41" s="324" t="s">
        <v>882</v>
      </c>
      <c r="B41" s="324"/>
      <c r="C41" s="324"/>
      <c r="D41" s="1081">
        <v>30.556999999999999</v>
      </c>
      <c r="E41" s="1078"/>
      <c r="F41" s="1081">
        <v>6.5269999999999992</v>
      </c>
      <c r="G41" s="1078"/>
      <c r="H41" s="1081">
        <v>6.5289999999999999</v>
      </c>
      <c r="I41" s="1078"/>
      <c r="J41" s="1081">
        <v>0</v>
      </c>
      <c r="K41" s="1079"/>
      <c r="L41" s="1082">
        <f t="shared" si="0"/>
        <v>30.555</v>
      </c>
      <c r="M41" s="328"/>
    </row>
    <row r="42" spans="1:14" ht="16.5" customHeight="1">
      <c r="A42" s="324" t="s">
        <v>883</v>
      </c>
      <c r="B42" s="324"/>
      <c r="C42" s="324"/>
      <c r="D42" s="1081">
        <v>552.23099999999999</v>
      </c>
      <c r="E42" s="1078"/>
      <c r="F42" s="1081">
        <v>6839.1819999999998</v>
      </c>
      <c r="G42" s="1078"/>
      <c r="H42" s="1081">
        <v>6844.1909999999998</v>
      </c>
      <c r="I42" s="1078"/>
      <c r="J42" s="1081">
        <v>0</v>
      </c>
      <c r="K42" s="1079"/>
      <c r="L42" s="1082">
        <f t="shared" si="0"/>
        <v>547.22199999999998</v>
      </c>
      <c r="M42" s="328"/>
    </row>
    <row r="43" spans="1:14" ht="15.75" customHeight="1">
      <c r="A43" s="324" t="s">
        <v>377</v>
      </c>
      <c r="B43" s="324"/>
      <c r="C43" s="324"/>
      <c r="D43" s="1081">
        <v>0</v>
      </c>
      <c r="E43" s="1078"/>
      <c r="F43" s="1081">
        <v>0</v>
      </c>
      <c r="G43" s="1078"/>
      <c r="H43" s="1081">
        <v>0</v>
      </c>
      <c r="I43" s="1078"/>
      <c r="J43" s="1081">
        <v>0</v>
      </c>
      <c r="K43" s="1079"/>
      <c r="L43" s="1082">
        <f t="shared" si="0"/>
        <v>0</v>
      </c>
      <c r="M43" s="328"/>
    </row>
    <row r="44" spans="1:14" ht="15.75" customHeight="1">
      <c r="A44" s="324" t="s">
        <v>877</v>
      </c>
      <c r="B44" s="324"/>
      <c r="C44" s="324"/>
      <c r="D44" s="1081">
        <v>417.12900000000002</v>
      </c>
      <c r="E44" s="1078"/>
      <c r="F44" s="1081">
        <v>-179.946</v>
      </c>
      <c r="G44" s="1078"/>
      <c r="H44" s="1081">
        <v>0</v>
      </c>
      <c r="I44" s="1078"/>
      <c r="J44" s="1081">
        <v>0</v>
      </c>
      <c r="K44" s="1079"/>
      <c r="L44" s="1082">
        <f t="shared" si="0"/>
        <v>237.18299999999999</v>
      </c>
      <c r="M44" s="328"/>
    </row>
    <row r="45" spans="1:14" ht="15.75" customHeight="1">
      <c r="A45" s="324" t="s">
        <v>878</v>
      </c>
      <c r="B45" s="324"/>
      <c r="C45" s="324"/>
      <c r="D45" s="1081">
        <v>-46.738</v>
      </c>
      <c r="E45" s="1078"/>
      <c r="F45" s="1081">
        <v>208.30100000000002</v>
      </c>
      <c r="G45" s="1078"/>
      <c r="H45" s="1081">
        <v>170.27600000000001</v>
      </c>
      <c r="I45" s="1078"/>
      <c r="J45" s="1081">
        <v>0</v>
      </c>
      <c r="K45" s="1079"/>
      <c r="L45" s="1082">
        <f t="shared" si="0"/>
        <v>-8.7129999999999992</v>
      </c>
      <c r="M45" s="328"/>
    </row>
    <row r="46" spans="1:14" ht="18" customHeight="1">
      <c r="A46" s="324" t="s">
        <v>1062</v>
      </c>
      <c r="B46" s="324"/>
      <c r="C46" s="324"/>
      <c r="D46" s="1081">
        <v>0</v>
      </c>
      <c r="E46" s="1078"/>
      <c r="F46" s="1081">
        <v>0</v>
      </c>
      <c r="G46" s="1078"/>
      <c r="H46" s="1081">
        <v>0</v>
      </c>
      <c r="I46" s="1078"/>
      <c r="J46" s="1081">
        <v>0</v>
      </c>
      <c r="K46" s="1079"/>
      <c r="L46" s="1082">
        <f t="shared" si="0"/>
        <v>0</v>
      </c>
      <c r="M46" s="328"/>
    </row>
    <row r="47" spans="1:14" ht="6.75" customHeight="1">
      <c r="A47" s="508"/>
      <c r="B47" s="320"/>
      <c r="C47" s="320"/>
      <c r="D47" s="318"/>
      <c r="E47" s="318"/>
      <c r="F47" s="318" t="s">
        <v>14</v>
      </c>
      <c r="G47" s="318"/>
      <c r="H47" s="509"/>
      <c r="I47" s="318"/>
      <c r="J47" s="510"/>
      <c r="K47" s="318"/>
      <c r="L47" s="318"/>
      <c r="M47" s="322"/>
    </row>
    <row r="48" spans="1:14" ht="17.25" customHeight="1">
      <c r="A48" s="320" t="s">
        <v>1058</v>
      </c>
      <c r="B48" s="324"/>
      <c r="C48" s="324"/>
      <c r="D48" s="512">
        <f>ROUND(SUM(D31:D46),3)</f>
        <v>3646.6610000000001</v>
      </c>
      <c r="E48" s="505"/>
      <c r="F48" s="512">
        <f>ROUND(SUM(F31:F46),3)</f>
        <v>11313.986000000001</v>
      </c>
      <c r="G48" s="505"/>
      <c r="H48" s="512">
        <f>ROUND(SUM(H31:H46),3)</f>
        <v>11542.115</v>
      </c>
      <c r="I48" s="505"/>
      <c r="J48" s="512">
        <f>ROUND(SUM(J31:J46),3)</f>
        <v>0</v>
      </c>
      <c r="K48" s="505"/>
      <c r="L48" s="512">
        <f>ROUND(SUM(L31:L46),3)</f>
        <v>3418.5320000000002</v>
      </c>
      <c r="M48" s="329"/>
    </row>
    <row r="49" spans="1:13" ht="12" customHeight="1">
      <c r="A49" s="320"/>
      <c r="B49" s="324"/>
      <c r="C49" s="324"/>
      <c r="D49" s="507" t="s">
        <v>14</v>
      </c>
      <c r="E49" s="318"/>
      <c r="F49" s="507" t="s">
        <v>14</v>
      </c>
      <c r="G49" s="318"/>
      <c r="H49" s="507" t="s">
        <v>14</v>
      </c>
      <c r="I49" s="318"/>
      <c r="J49" s="318" t="s">
        <v>14</v>
      </c>
      <c r="K49" s="318"/>
      <c r="L49" s="507" t="s">
        <v>14</v>
      </c>
      <c r="M49" s="328"/>
    </row>
    <row r="50" spans="1:13" ht="3" customHeight="1">
      <c r="A50" s="320"/>
      <c r="B50" s="324"/>
      <c r="C50" s="324"/>
      <c r="D50" s="513"/>
      <c r="E50" s="513"/>
      <c r="F50" s="513"/>
      <c r="G50" s="513"/>
      <c r="H50" s="513"/>
      <c r="I50" s="513"/>
      <c r="J50" s="513"/>
      <c r="K50" s="513"/>
      <c r="L50" s="513"/>
      <c r="M50" s="328"/>
    </row>
    <row r="51" spans="1:13" ht="18.75" thickBot="1">
      <c r="A51" s="320" t="s">
        <v>1059</v>
      </c>
      <c r="B51" s="324"/>
      <c r="C51" s="337"/>
      <c r="D51" s="514">
        <f>ROUND(D19+D27+D48,3)</f>
        <v>4964.875</v>
      </c>
      <c r="E51" s="515"/>
      <c r="F51" s="514">
        <f>ROUND(F19+F27+F48,3)</f>
        <v>11327.039000000001</v>
      </c>
      <c r="G51" s="515"/>
      <c r="H51" s="514">
        <f>ROUND(H19+H27+H48,3)</f>
        <v>11554.188</v>
      </c>
      <c r="I51" s="516"/>
      <c r="J51" s="514">
        <f>ROUND(J19+J27+J48,3)</f>
        <v>0</v>
      </c>
      <c r="K51" s="515"/>
      <c r="L51" s="514">
        <f>ROUND(L19+L27+L48,3)</f>
        <v>4737.7259999999997</v>
      </c>
      <c r="M51" s="329"/>
    </row>
    <row r="52" spans="1:13" ht="12" customHeight="1" thickTop="1">
      <c r="A52" s="324"/>
      <c r="B52" s="324"/>
      <c r="C52" s="324"/>
      <c r="D52" s="517" t="s">
        <v>14</v>
      </c>
      <c r="E52" s="501"/>
      <c r="F52" s="517" t="s">
        <v>14</v>
      </c>
      <c r="G52" s="501"/>
      <c r="H52" s="517" t="s">
        <v>14</v>
      </c>
      <c r="I52" s="501"/>
      <c r="J52" s="501" t="s">
        <v>14</v>
      </c>
      <c r="K52" s="501"/>
      <c r="L52" s="517" t="s">
        <v>14</v>
      </c>
      <c r="M52" s="328"/>
    </row>
    <row r="53" spans="1:13" ht="15.75" customHeight="1">
      <c r="A53" s="518"/>
      <c r="B53" s="324"/>
      <c r="C53" s="324"/>
      <c r="D53" s="324"/>
      <c r="E53" s="324"/>
      <c r="F53" s="324"/>
      <c r="G53" s="324"/>
      <c r="H53" s="324"/>
      <c r="I53" s="324"/>
      <c r="J53" s="324" t="s">
        <v>14</v>
      </c>
      <c r="K53" s="324"/>
      <c r="L53" s="324"/>
      <c r="M53" s="324"/>
    </row>
    <row r="54" spans="1:13" ht="18">
      <c r="A54" s="324"/>
      <c r="B54" s="324"/>
      <c r="C54" s="324"/>
      <c r="D54" s="331"/>
      <c r="E54" s="324"/>
      <c r="F54" s="1081" t="s">
        <v>14</v>
      </c>
      <c r="G54" s="324"/>
      <c r="H54" s="324"/>
      <c r="I54" s="324"/>
      <c r="J54" s="324" t="s">
        <v>14</v>
      </c>
      <c r="K54" s="324"/>
      <c r="L54" s="333"/>
      <c r="M54" s="324"/>
    </row>
    <row r="55" spans="1:13" ht="18">
      <c r="A55" s="331"/>
      <c r="B55" s="324"/>
      <c r="C55" s="324"/>
      <c r="D55" s="324"/>
      <c r="E55" s="324"/>
      <c r="F55" s="324"/>
      <c r="G55" s="324"/>
      <c r="H55" s="324"/>
      <c r="I55" s="324"/>
      <c r="J55" s="324" t="s">
        <v>14</v>
      </c>
      <c r="K55" s="324"/>
      <c r="L55" s="324"/>
      <c r="M55" s="324"/>
    </row>
    <row r="56" spans="1:13" ht="18">
      <c r="A56" s="331"/>
      <c r="B56" s="324"/>
      <c r="C56" s="324"/>
      <c r="D56" s="324"/>
      <c r="E56" s="324"/>
      <c r="F56" s="324"/>
      <c r="G56" s="324"/>
      <c r="H56" s="324"/>
      <c r="I56" s="324"/>
      <c r="J56" s="324"/>
      <c r="K56" s="324"/>
      <c r="L56" s="324"/>
      <c r="M56" s="324"/>
    </row>
    <row r="57" spans="1:13" ht="18">
      <c r="A57" s="331"/>
      <c r="B57" s="324"/>
      <c r="C57" s="324"/>
      <c r="D57" s="324"/>
      <c r="E57" s="324"/>
      <c r="F57" s="324"/>
      <c r="G57" s="324"/>
      <c r="H57" s="324"/>
      <c r="I57" s="324"/>
      <c r="J57" s="324"/>
      <c r="K57" s="324"/>
      <c r="L57" s="324"/>
      <c r="M57" s="324"/>
    </row>
    <row r="58" spans="1:13" ht="18">
      <c r="A58" s="331"/>
      <c r="B58" s="324"/>
      <c r="C58" s="324"/>
      <c r="D58" s="324"/>
      <c r="E58" s="324"/>
      <c r="F58" s="324"/>
      <c r="G58" s="324"/>
      <c r="H58" s="324"/>
      <c r="I58" s="324"/>
      <c r="J58" s="324"/>
      <c r="K58" s="324"/>
      <c r="L58" s="324"/>
      <c r="M58" s="324"/>
    </row>
    <row r="59" spans="1:13" ht="18">
      <c r="A59" s="331"/>
      <c r="B59" s="324"/>
      <c r="C59" s="324"/>
      <c r="D59" s="324"/>
      <c r="E59" s="324"/>
      <c r="F59" s="324"/>
      <c r="G59" s="324"/>
      <c r="H59" s="324"/>
      <c r="I59" s="324"/>
      <c r="J59" s="324"/>
      <c r="K59" s="324"/>
      <c r="L59" s="324"/>
      <c r="M59" s="324"/>
    </row>
    <row r="60" spans="1:13" ht="18">
      <c r="A60" s="324"/>
      <c r="B60" s="324"/>
      <c r="C60" s="324"/>
      <c r="D60" s="324"/>
      <c r="E60" s="324"/>
      <c r="F60" s="324"/>
      <c r="G60" s="324"/>
      <c r="H60" s="324"/>
      <c r="I60" s="324"/>
      <c r="J60" s="324"/>
      <c r="K60" s="324"/>
      <c r="L60" s="324"/>
      <c r="M60" s="324"/>
    </row>
    <row r="61" spans="1:13" ht="18">
      <c r="A61" s="324"/>
      <c r="B61" s="324"/>
      <c r="C61" s="324"/>
      <c r="D61" s="324"/>
      <c r="E61" s="324"/>
      <c r="F61" s="324"/>
      <c r="G61" s="324"/>
      <c r="H61" s="324"/>
      <c r="I61" s="324"/>
      <c r="J61" s="324"/>
      <c r="K61" s="324"/>
      <c r="L61" s="324"/>
      <c r="M61" s="324"/>
    </row>
    <row r="62" spans="1:13" ht="18">
      <c r="A62" s="324"/>
      <c r="B62" s="324"/>
      <c r="C62" s="324"/>
      <c r="D62" s="324"/>
      <c r="E62" s="324"/>
      <c r="F62" s="324"/>
      <c r="G62" s="324"/>
      <c r="H62" s="324"/>
      <c r="I62" s="324"/>
      <c r="J62" s="324"/>
      <c r="K62" s="324"/>
      <c r="L62" s="324"/>
      <c r="M62" s="324"/>
    </row>
    <row r="63" spans="1:13" ht="18">
      <c r="A63" s="324"/>
      <c r="B63" s="324"/>
      <c r="C63" s="324"/>
      <c r="D63" s="324"/>
      <c r="E63" s="324"/>
      <c r="F63" s="324"/>
      <c r="G63" s="324"/>
      <c r="H63" s="324"/>
      <c r="I63" s="324"/>
      <c r="J63" s="324"/>
      <c r="K63" s="324"/>
      <c r="L63" s="324"/>
      <c r="M63" s="324"/>
    </row>
    <row r="64" spans="1:13" ht="18">
      <c r="A64" s="324"/>
      <c r="B64" s="324"/>
      <c r="C64" s="324"/>
      <c r="D64" s="334"/>
      <c r="E64" s="324"/>
      <c r="F64" s="324"/>
      <c r="G64" s="324"/>
      <c r="H64" s="324"/>
      <c r="I64" s="324"/>
      <c r="J64" s="334"/>
      <c r="K64" s="324"/>
      <c r="L64" s="334"/>
      <c r="M64" s="324"/>
    </row>
    <row r="65" spans="1:13" ht="18">
      <c r="A65" s="324"/>
      <c r="B65" s="324"/>
      <c r="C65" s="324"/>
      <c r="D65" s="334"/>
      <c r="E65" s="324"/>
      <c r="F65" s="324"/>
      <c r="G65" s="324"/>
      <c r="H65" s="324"/>
      <c r="I65" s="324"/>
      <c r="J65" s="334"/>
      <c r="K65" s="324"/>
      <c r="L65" s="334"/>
      <c r="M65" s="324"/>
    </row>
    <row r="66" spans="1:13" ht="18">
      <c r="A66" s="335"/>
      <c r="B66" s="324"/>
      <c r="C66" s="324"/>
      <c r="D66" s="336"/>
      <c r="E66" s="324"/>
      <c r="F66" s="336"/>
      <c r="G66" s="324"/>
      <c r="H66" s="336"/>
      <c r="I66" s="324"/>
      <c r="J66" s="336"/>
      <c r="K66" s="324"/>
      <c r="L66" s="336"/>
      <c r="M66" s="324"/>
    </row>
    <row r="67" spans="1:13" ht="18">
      <c r="A67" s="324"/>
      <c r="B67" s="324"/>
      <c r="C67" s="324"/>
      <c r="D67" s="324"/>
      <c r="E67" s="324"/>
      <c r="F67" s="324"/>
      <c r="G67" s="324"/>
      <c r="H67" s="324"/>
      <c r="I67" s="324"/>
      <c r="J67" s="324"/>
      <c r="K67" s="324"/>
      <c r="L67" s="324"/>
      <c r="M67" s="324"/>
    </row>
    <row r="68" spans="1:13" ht="18">
      <c r="A68" s="327"/>
      <c r="B68" s="324"/>
      <c r="C68" s="324"/>
      <c r="D68" s="324"/>
      <c r="E68" s="324"/>
      <c r="F68" s="324"/>
      <c r="G68" s="324"/>
      <c r="H68" s="324"/>
      <c r="I68" s="324"/>
      <c r="J68" s="324"/>
      <c r="K68" s="324"/>
      <c r="L68" s="324"/>
      <c r="M68" s="324"/>
    </row>
    <row r="69" spans="1:13" ht="18">
      <c r="A69" s="324"/>
      <c r="B69" s="324"/>
      <c r="C69" s="324"/>
      <c r="D69" s="324"/>
      <c r="E69" s="324"/>
      <c r="F69" s="324"/>
      <c r="G69" s="324"/>
      <c r="H69" s="324"/>
      <c r="I69" s="324"/>
      <c r="J69" s="324"/>
      <c r="K69" s="324"/>
      <c r="L69" s="324"/>
      <c r="M69" s="324"/>
    </row>
    <row r="70" spans="1:13" ht="20.100000000000001" customHeight="1">
      <c r="A70" s="324"/>
      <c r="B70" s="324"/>
      <c r="C70" s="337"/>
      <c r="D70" s="338"/>
      <c r="E70" s="337"/>
      <c r="F70" s="339"/>
      <c r="G70" s="337"/>
      <c r="H70" s="340"/>
      <c r="I70" s="337"/>
      <c r="J70" s="341"/>
      <c r="K70" s="337"/>
      <c r="L70" s="338"/>
      <c r="M70" s="324"/>
    </row>
    <row r="71" spans="1:13" ht="20.100000000000001" customHeight="1">
      <c r="A71" s="324"/>
      <c r="B71" s="324"/>
      <c r="C71" s="324"/>
      <c r="D71" s="338"/>
      <c r="E71" s="324"/>
      <c r="F71" s="324"/>
      <c r="G71" s="324"/>
      <c r="H71" s="340"/>
      <c r="I71" s="324"/>
      <c r="J71" s="341"/>
      <c r="K71" s="324"/>
      <c r="L71" s="338"/>
      <c r="M71" s="324"/>
    </row>
    <row r="72" spans="1:13" ht="20.100000000000001" customHeight="1">
      <c r="A72" s="324"/>
      <c r="B72" s="324"/>
      <c r="C72" s="324"/>
      <c r="D72" s="338"/>
      <c r="E72" s="324"/>
      <c r="F72" s="324"/>
      <c r="G72" s="324"/>
      <c r="H72" s="342"/>
      <c r="I72" s="324"/>
      <c r="J72" s="341"/>
      <c r="K72" s="324"/>
      <c r="L72" s="338"/>
      <c r="M72" s="324"/>
    </row>
    <row r="73" spans="1:13" ht="20.100000000000001" customHeight="1">
      <c r="A73" s="324"/>
      <c r="B73" s="324"/>
      <c r="C73" s="324"/>
      <c r="D73" s="338"/>
      <c r="E73" s="324"/>
      <c r="F73" s="324"/>
      <c r="G73" s="324"/>
      <c r="H73" s="340"/>
      <c r="I73" s="324"/>
      <c r="J73" s="341"/>
      <c r="K73" s="324"/>
      <c r="L73" s="338"/>
      <c r="M73" s="324"/>
    </row>
    <row r="74" spans="1:13" ht="20.100000000000001" customHeight="1">
      <c r="A74" s="324"/>
      <c r="B74" s="324"/>
      <c r="C74" s="324"/>
      <c r="D74" s="338"/>
      <c r="E74" s="324"/>
      <c r="F74" s="324"/>
      <c r="G74" s="324"/>
      <c r="H74" s="340"/>
      <c r="I74" s="324"/>
      <c r="J74" s="341"/>
      <c r="K74" s="324"/>
      <c r="L74" s="338"/>
      <c r="M74" s="324"/>
    </row>
    <row r="75" spans="1:13" ht="20.100000000000001" customHeight="1">
      <c r="A75" s="324"/>
      <c r="B75" s="324"/>
      <c r="C75" s="324"/>
      <c r="D75" s="338"/>
      <c r="E75" s="324"/>
      <c r="F75" s="324"/>
      <c r="G75" s="324"/>
      <c r="H75" s="343"/>
      <c r="I75" s="324"/>
      <c r="J75" s="341"/>
      <c r="K75" s="324"/>
      <c r="L75" s="338"/>
      <c r="M75" s="324"/>
    </row>
    <row r="76" spans="1:13" ht="18">
      <c r="A76" s="519"/>
      <c r="B76" s="324"/>
      <c r="C76" s="324"/>
      <c r="D76" s="324"/>
      <c r="E76" s="324"/>
      <c r="F76" s="324"/>
      <c r="G76" s="324"/>
      <c r="H76" s="324"/>
      <c r="I76" s="324"/>
      <c r="J76" s="324"/>
      <c r="K76" s="324"/>
      <c r="L76" s="324"/>
      <c r="M76" s="324"/>
    </row>
    <row r="77" spans="1:13" ht="18">
      <c r="A77" s="344"/>
      <c r="B77" s="324"/>
      <c r="C77" s="324"/>
      <c r="D77" s="324"/>
      <c r="E77" s="324"/>
      <c r="F77" s="324"/>
      <c r="G77" s="324"/>
      <c r="H77" s="324"/>
      <c r="I77" s="324"/>
      <c r="J77" s="324"/>
      <c r="K77" s="324"/>
      <c r="L77" s="324"/>
      <c r="M77" s="324"/>
    </row>
    <row r="78" spans="1:13" ht="18">
      <c r="A78" s="324"/>
      <c r="B78" s="324"/>
      <c r="C78" s="324"/>
      <c r="D78" s="324"/>
      <c r="E78" s="324"/>
      <c r="F78" s="324"/>
      <c r="G78" s="324"/>
      <c r="H78" s="324"/>
      <c r="I78" s="324"/>
      <c r="J78" s="324"/>
      <c r="K78" s="324"/>
      <c r="L78" s="324"/>
      <c r="M78" s="324"/>
    </row>
    <row r="79" spans="1:13" ht="18">
      <c r="A79" s="324"/>
      <c r="B79" s="324"/>
      <c r="C79" s="324"/>
      <c r="D79" s="324"/>
      <c r="E79" s="324"/>
      <c r="F79" s="324"/>
      <c r="G79" s="324"/>
      <c r="H79" s="324"/>
      <c r="I79" s="324"/>
      <c r="J79" s="324"/>
      <c r="K79" s="324"/>
      <c r="L79" s="324"/>
      <c r="M79" s="324"/>
    </row>
    <row r="80" spans="1:13" ht="18">
      <c r="A80" s="324"/>
      <c r="B80" s="324"/>
      <c r="C80" s="324"/>
      <c r="D80" s="324"/>
      <c r="E80" s="324"/>
      <c r="F80" s="324"/>
      <c r="G80" s="324"/>
      <c r="H80" s="324"/>
      <c r="I80" s="324"/>
      <c r="J80" s="324"/>
      <c r="K80" s="324"/>
      <c r="L80" s="324"/>
      <c r="M80" s="324"/>
    </row>
    <row r="81" spans="1:13" ht="18">
      <c r="A81" s="324"/>
      <c r="B81" s="324"/>
      <c r="C81" s="324"/>
      <c r="D81" s="324"/>
      <c r="E81" s="324"/>
      <c r="F81" s="324"/>
      <c r="G81" s="324"/>
      <c r="H81" s="324"/>
      <c r="I81" s="324"/>
      <c r="J81" s="324"/>
      <c r="K81" s="324"/>
      <c r="L81" s="324"/>
      <c r="M81" s="324"/>
    </row>
    <row r="82" spans="1:13" ht="18">
      <c r="A82" s="324"/>
      <c r="B82" s="324"/>
      <c r="C82" s="324"/>
      <c r="D82" s="324"/>
      <c r="E82" s="324"/>
      <c r="F82" s="324"/>
      <c r="G82" s="324"/>
      <c r="H82" s="324"/>
      <c r="I82" s="324"/>
      <c r="J82" s="324"/>
      <c r="K82" s="324"/>
      <c r="L82" s="324"/>
      <c r="M82" s="324"/>
    </row>
    <row r="83" spans="1:13" ht="18">
      <c r="A83" s="519"/>
      <c r="B83" s="324"/>
      <c r="C83" s="324"/>
      <c r="D83" s="324"/>
      <c r="E83" s="324"/>
      <c r="F83" s="324"/>
      <c r="G83" s="324"/>
      <c r="H83" s="324"/>
      <c r="I83" s="324"/>
      <c r="J83" s="324"/>
      <c r="K83" s="324"/>
      <c r="L83" s="324"/>
      <c r="M83" s="324"/>
    </row>
    <row r="84" spans="1:13" s="324" customFormat="1" ht="18"/>
    <row r="85" spans="1:13" ht="18">
      <c r="A85" s="324"/>
      <c r="B85" s="324"/>
      <c r="C85" s="324"/>
      <c r="D85" s="324"/>
      <c r="E85" s="324"/>
      <c r="F85" s="324"/>
      <c r="G85" s="324"/>
      <c r="H85" s="324"/>
      <c r="I85" s="324"/>
      <c r="J85" s="324"/>
      <c r="K85" s="324"/>
      <c r="L85" s="324"/>
      <c r="M85" s="324"/>
    </row>
    <row r="86" spans="1:13" s="324" customFormat="1" ht="18"/>
    <row r="87" spans="1:13" s="324" customFormat="1" ht="18"/>
    <row r="88" spans="1:13" s="324" customFormat="1" ht="18"/>
    <row r="89" spans="1:13" ht="18">
      <c r="A89" s="324"/>
      <c r="B89" s="324"/>
      <c r="C89" s="324"/>
      <c r="D89" s="324"/>
      <c r="E89" s="324"/>
      <c r="F89" s="324"/>
      <c r="G89" s="324"/>
      <c r="H89" s="324"/>
      <c r="I89" s="324"/>
      <c r="J89" s="324"/>
      <c r="K89" s="324"/>
      <c r="L89" s="324"/>
      <c r="M89" s="324"/>
    </row>
    <row r="90" spans="1:13" s="324" customFormat="1" ht="18"/>
    <row r="91" spans="1:13" s="324" customFormat="1" ht="18"/>
    <row r="92" spans="1:13" s="324" customFormat="1" ht="18"/>
    <row r="93" spans="1:13" s="324" customFormat="1" ht="18"/>
    <row r="94" spans="1:13" s="324" customFormat="1" ht="18"/>
    <row r="95" spans="1:13" s="324" customFormat="1" ht="18"/>
    <row r="96" spans="1:13" s="324" customFormat="1" ht="18"/>
    <row r="97" s="324" customFormat="1" ht="18"/>
    <row r="98" s="324" customFormat="1" ht="18"/>
    <row r="99" s="324" customFormat="1" ht="18"/>
    <row r="100" s="324" customFormat="1" ht="18"/>
    <row r="101" s="324" customFormat="1" ht="18"/>
    <row r="102" s="324" customFormat="1" ht="18"/>
    <row r="103" s="324" customFormat="1" ht="18"/>
    <row r="104" s="324" customFormat="1" ht="18"/>
    <row r="105" s="324" customFormat="1" ht="18"/>
    <row r="106" s="324" customFormat="1" ht="18"/>
    <row r="107" s="324" customFormat="1" ht="18"/>
    <row r="108" s="324" customFormat="1" ht="18"/>
    <row r="109" s="324" customFormat="1" ht="18"/>
    <row r="110" s="324" customFormat="1" ht="18"/>
    <row r="111" s="324" customFormat="1" ht="18"/>
    <row r="112" s="324" customFormat="1" ht="18"/>
    <row r="113" s="324" customFormat="1" ht="18"/>
    <row r="114" s="324" customFormat="1" ht="18"/>
    <row r="115" s="324" customFormat="1" ht="18"/>
    <row r="116" s="324" customFormat="1" ht="18"/>
    <row r="117" s="324" customFormat="1" ht="18"/>
    <row r="118" s="324" customFormat="1" ht="18"/>
    <row r="119" s="324" customFormat="1" ht="18"/>
    <row r="120" s="324" customFormat="1" ht="18"/>
    <row r="121" s="324" customFormat="1" ht="18"/>
    <row r="122" s="324" customFormat="1" ht="18"/>
    <row r="123" s="324" customFormat="1" ht="18"/>
    <row r="124" s="324" customFormat="1" ht="18"/>
    <row r="125" s="324" customFormat="1" ht="18"/>
    <row r="126" s="324" customFormat="1" ht="18"/>
    <row r="127" s="324" customFormat="1" ht="18"/>
    <row r="128" s="324" customFormat="1" ht="18"/>
    <row r="129" s="324" customFormat="1" ht="18"/>
    <row r="130" s="324" customFormat="1" ht="18"/>
    <row r="131" s="324" customFormat="1" ht="18"/>
    <row r="132" s="324" customFormat="1" ht="18"/>
    <row r="133" s="324" customFormat="1" ht="18"/>
    <row r="134" s="324" customFormat="1" ht="18"/>
    <row r="135" s="324" customFormat="1" ht="18"/>
    <row r="136" s="324" customFormat="1" ht="18"/>
    <row r="137" s="324" customFormat="1" ht="18"/>
    <row r="138" s="324" customFormat="1" ht="18"/>
    <row r="139" s="324" customFormat="1" ht="18"/>
  </sheetData>
  <pageMargins left="0.5" right="0.5" top="0.5" bottom="0.5" header="0" footer="0.25"/>
  <pageSetup scale="56" firstPageNumber="42" orientation="landscape" useFirstPageNumber="1" r:id="rId1"/>
  <headerFooter scaleWithDoc="0" alignWithMargins="0">
    <oddFooter>&amp;C&amp;8&amp;P</oddFooter>
  </headerFooter>
  <customProperties>
    <customPr name="SheetOptions" r:id="rId2"/>
  </customPropertie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1">
    <pageSetUpPr fitToPage="1"/>
  </sheetPr>
  <dimension ref="A1:N54"/>
  <sheetViews>
    <sheetView showGridLines="0" zoomScale="90" workbookViewId="0"/>
  </sheetViews>
  <sheetFormatPr defaultColWidth="8.88671875" defaultRowHeight="12.75"/>
  <cols>
    <col min="1" max="1" width="53.5546875" style="1175" customWidth="1"/>
    <col min="2" max="2" width="1.88671875" style="1175" customWidth="1"/>
    <col min="3" max="3" width="2.88671875" style="1175" customWidth="1"/>
    <col min="4" max="4" width="20.109375" style="1175" customWidth="1"/>
    <col min="5" max="5" width="7.88671875" style="1175" customWidth="1"/>
    <col min="6" max="6" width="18.88671875" style="1175" customWidth="1"/>
    <col min="7" max="7" width="7.88671875" style="1175" customWidth="1"/>
    <col min="8" max="8" width="18.88671875" style="1175" customWidth="1"/>
    <col min="9" max="9" width="7.88671875" style="1175" customWidth="1"/>
    <col min="10" max="10" width="21.88671875" style="1175" customWidth="1"/>
    <col min="11" max="11" width="10.88671875" style="1175" customWidth="1"/>
    <col min="12" max="16384" width="8.88671875" style="1175"/>
  </cols>
  <sheetData>
    <row r="1" spans="1:10" ht="15">
      <c r="A1" s="468" t="s">
        <v>841</v>
      </c>
    </row>
    <row r="2" spans="1:10" ht="15">
      <c r="A2" s="861"/>
    </row>
    <row r="3" spans="1:10" ht="18">
      <c r="A3" s="1176" t="s">
        <v>0</v>
      </c>
      <c r="B3" s="1177"/>
      <c r="C3" s="1177"/>
      <c r="D3" s="1177"/>
      <c r="E3" s="1177"/>
      <c r="F3" s="1177"/>
      <c r="G3" s="1176"/>
      <c r="H3" s="1176"/>
      <c r="I3" s="1176"/>
      <c r="J3" s="1179" t="s">
        <v>378</v>
      </c>
    </row>
    <row r="4" spans="1:10" ht="18">
      <c r="A4" s="1176" t="s">
        <v>379</v>
      </c>
      <c r="B4" s="1177"/>
      <c r="C4" s="1176"/>
      <c r="D4" s="1177"/>
      <c r="E4" s="1177"/>
      <c r="F4" s="1177"/>
      <c r="G4" s="1176"/>
      <c r="H4" s="1176"/>
      <c r="I4" s="1176"/>
      <c r="J4" s="1176"/>
    </row>
    <row r="5" spans="1:10" ht="18">
      <c r="A5" s="1176" t="s">
        <v>380</v>
      </c>
      <c r="B5" s="1177"/>
      <c r="C5" s="1176"/>
      <c r="D5" s="1177"/>
      <c r="E5" s="1177"/>
      <c r="F5" s="1177"/>
      <c r="G5" s="1176"/>
      <c r="H5" s="1176"/>
      <c r="I5" s="1176"/>
      <c r="J5" s="1176"/>
    </row>
    <row r="6" spans="1:10" ht="18">
      <c r="A6" s="1176" t="str">
        <f>'Sch 3 '!A7</f>
        <v>FISCAL YEAR 2023-2024</v>
      </c>
      <c r="B6" s="1177"/>
      <c r="C6" s="1176"/>
      <c r="D6" s="1177"/>
      <c r="E6" s="1177"/>
      <c r="F6" s="1177"/>
      <c r="G6" s="1176"/>
      <c r="H6" s="1176"/>
      <c r="I6" s="1176"/>
      <c r="J6" s="1176"/>
    </row>
    <row r="7" spans="1:10" ht="18">
      <c r="A7" s="1178" t="str">
        <f>'Sch 3 '!A8</f>
        <v>FOR THE MONTH OF SEPTEMBER 2023</v>
      </c>
      <c r="B7" s="1177"/>
      <c r="C7" s="1176"/>
      <c r="D7" s="1177"/>
      <c r="E7" s="1177"/>
      <c r="F7" s="1177"/>
      <c r="G7" s="1176"/>
      <c r="H7" s="1176"/>
      <c r="I7" s="1176"/>
      <c r="J7" s="1176"/>
    </row>
    <row r="8" spans="1:10" ht="18">
      <c r="A8" s="1176" t="s">
        <v>1199</v>
      </c>
      <c r="B8" s="1177"/>
      <c r="C8" s="1176"/>
      <c r="D8" s="1177"/>
      <c r="E8" s="1177"/>
      <c r="F8" s="1177"/>
      <c r="G8" s="1176"/>
      <c r="H8" s="1176"/>
      <c r="I8" s="1176"/>
      <c r="J8" s="1176"/>
    </row>
    <row r="9" spans="1:10" ht="18">
      <c r="A9" s="1176"/>
      <c r="B9" s="1177"/>
      <c r="C9" s="1176"/>
      <c r="D9" s="1177"/>
      <c r="E9" s="1177"/>
      <c r="F9" s="1177"/>
      <c r="G9" s="1176"/>
      <c r="H9" s="1176"/>
      <c r="I9" s="1176"/>
      <c r="J9" s="1176"/>
    </row>
    <row r="10" spans="1:10" ht="18">
      <c r="A10" s="1176"/>
      <c r="B10" s="1176"/>
      <c r="C10" s="1176"/>
      <c r="D10" s="1176"/>
      <c r="E10" s="1176"/>
      <c r="F10" s="1176"/>
      <c r="G10" s="1176"/>
      <c r="H10" s="1176"/>
      <c r="I10" s="1176"/>
      <c r="J10" s="1176"/>
    </row>
    <row r="11" spans="1:10" ht="18">
      <c r="A11" s="1176"/>
      <c r="B11" s="1176"/>
      <c r="C11" s="1176"/>
      <c r="D11" s="1179"/>
      <c r="E11" s="1176"/>
      <c r="F11" s="1176"/>
      <c r="G11" s="1176"/>
      <c r="H11" s="1176"/>
      <c r="I11" s="1176"/>
      <c r="J11" s="1179"/>
    </row>
    <row r="12" spans="1:10" ht="18">
      <c r="A12" s="1176"/>
      <c r="B12" s="1176"/>
      <c r="C12" s="1176"/>
      <c r="D12" s="1179" t="s">
        <v>229</v>
      </c>
      <c r="E12" s="1176"/>
      <c r="F12" s="1176"/>
      <c r="G12" s="1176"/>
      <c r="H12" s="1176"/>
      <c r="I12" s="1176"/>
      <c r="J12" s="1179" t="s">
        <v>229</v>
      </c>
    </row>
    <row r="13" spans="1:10" ht="18">
      <c r="A13" s="1180" t="s">
        <v>350</v>
      </c>
      <c r="B13" s="1176"/>
      <c r="C13" s="1176"/>
      <c r="D13" s="1181" t="str">
        <f>'Sch 3 '!D12</f>
        <v>SEPTEMBER 1, 2023</v>
      </c>
      <c r="E13" s="1176"/>
      <c r="F13" s="1179" t="s">
        <v>231</v>
      </c>
      <c r="G13" s="1176"/>
      <c r="H13" s="1179" t="s">
        <v>232</v>
      </c>
      <c r="I13" s="1176"/>
      <c r="J13" s="1181" t="str">
        <f>'Sch 3 '!L12</f>
        <v>SEPTEMBER 30, 2023</v>
      </c>
    </row>
    <row r="14" spans="1:10" ht="18">
      <c r="A14" s="1180"/>
      <c r="B14" s="1176"/>
      <c r="C14" s="1176"/>
      <c r="D14" s="1182"/>
      <c r="E14" s="1176"/>
      <c r="F14" s="1182"/>
      <c r="G14" s="1176"/>
      <c r="H14" s="1183" t="s">
        <v>228</v>
      </c>
      <c r="I14" s="1176"/>
      <c r="J14" s="1182"/>
    </row>
    <row r="15" spans="1:10" ht="18">
      <c r="A15" s="1184" t="s">
        <v>381</v>
      </c>
      <c r="B15" s="1176"/>
      <c r="C15" s="1176"/>
      <c r="D15" s="1176"/>
      <c r="E15" s="1176"/>
      <c r="F15" s="1735"/>
      <c r="G15" s="1176"/>
      <c r="H15" s="1176"/>
      <c r="I15" s="1176"/>
      <c r="J15" s="1176"/>
    </row>
    <row r="16" spans="1:10" ht="25.35" customHeight="1">
      <c r="A16" s="1177" t="s">
        <v>382</v>
      </c>
      <c r="B16" s="1176"/>
      <c r="C16" s="1177"/>
      <c r="D16" s="1077">
        <v>3.0190000000000001</v>
      </c>
      <c r="E16" s="1185"/>
      <c r="F16" s="1077">
        <v>1.4E-2</v>
      </c>
      <c r="G16" s="1185"/>
      <c r="H16" s="1077">
        <v>0</v>
      </c>
      <c r="I16" s="1185"/>
      <c r="J16" s="1185">
        <f>ROUND(D16+F16-H16,3)</f>
        <v>3.0329999999999999</v>
      </c>
    </row>
    <row r="17" spans="1:14" ht="25.35" customHeight="1">
      <c r="A17" s="1177" t="s">
        <v>1284</v>
      </c>
      <c r="B17" s="1177"/>
      <c r="C17" s="1177"/>
      <c r="D17" s="1081">
        <v>302.03199999999998</v>
      </c>
      <c r="E17" s="1187"/>
      <c r="F17" s="1081">
        <v>256.85600000000005</v>
      </c>
      <c r="G17" s="1185"/>
      <c r="H17" s="1081">
        <v>317.99900000000002</v>
      </c>
      <c r="I17" s="1187"/>
      <c r="J17" s="1188">
        <f>ROUND(D17+F17-H17,3)</f>
        <v>240.88900000000001</v>
      </c>
    </row>
    <row r="18" spans="1:14" ht="25.35" customHeight="1">
      <c r="A18" s="1186" t="s">
        <v>1285</v>
      </c>
      <c r="B18" s="1177"/>
      <c r="C18" s="1177"/>
      <c r="D18" s="1081">
        <v>2920.0909999999999</v>
      </c>
      <c r="E18" s="1187"/>
      <c r="F18" s="1081">
        <v>3822.471</v>
      </c>
      <c r="G18" s="1185"/>
      <c r="H18" s="1081">
        <v>3263.3359999999998</v>
      </c>
      <c r="I18" s="1187"/>
      <c r="J18" s="1188">
        <f>ROUND(D18+F18-H18,3)</f>
        <v>3479.2260000000001</v>
      </c>
    </row>
    <row r="19" spans="1:14" ht="25.35" customHeight="1">
      <c r="A19" s="1177" t="s">
        <v>1147</v>
      </c>
      <c r="B19" s="1177"/>
      <c r="C19" s="1177"/>
      <c r="D19" s="1081">
        <v>0</v>
      </c>
      <c r="E19" s="1187"/>
      <c r="F19" s="1081">
        <v>383.21600000000001</v>
      </c>
      <c r="G19" s="1185"/>
      <c r="H19" s="1081">
        <v>383.21600000000001</v>
      </c>
      <c r="I19" s="1187"/>
      <c r="J19" s="1188">
        <f>ROUND(D19+F19-H19,3)</f>
        <v>0</v>
      </c>
    </row>
    <row r="20" spans="1:14" ht="25.35" customHeight="1" thickBot="1">
      <c r="A20" s="1189" t="s">
        <v>383</v>
      </c>
      <c r="B20" s="1177"/>
      <c r="C20" s="1177"/>
      <c r="D20" s="1190">
        <f>ROUND(SUM(D16:D19),3)</f>
        <v>3225.1419999999998</v>
      </c>
      <c r="E20" s="1736"/>
      <c r="F20" s="1190">
        <f>ROUND(SUM(F16:F19),3)</f>
        <v>4462.5569999999998</v>
      </c>
      <c r="G20" s="1736"/>
      <c r="H20" s="1190">
        <f>ROUND(SUM(H16:H19),3)</f>
        <v>3964.5509999999999</v>
      </c>
      <c r="I20" s="1736"/>
      <c r="J20" s="1190">
        <f>ROUND(SUM(J16:J19),3)</f>
        <v>3723.1480000000001</v>
      </c>
      <c r="K20" s="1191"/>
      <c r="L20" s="1191"/>
      <c r="M20" s="1191"/>
      <c r="N20" s="1191"/>
    </row>
    <row r="21" spans="1:14" ht="18.75" thickTop="1">
      <c r="A21" s="1177"/>
      <c r="B21" s="1177"/>
      <c r="C21" s="1177"/>
      <c r="D21" s="1177"/>
      <c r="E21" s="1177"/>
      <c r="F21" s="1177"/>
      <c r="G21" s="1177"/>
      <c r="H21" s="1177"/>
      <c r="I21" s="1177"/>
      <c r="J21" s="1177"/>
    </row>
    <row r="22" spans="1:14" ht="18">
      <c r="A22" s="1177"/>
      <c r="B22" s="1177"/>
      <c r="C22" s="1177"/>
      <c r="D22" s="1177"/>
      <c r="E22" s="1177"/>
      <c r="F22" s="1177"/>
      <c r="G22" s="1177"/>
      <c r="H22" s="1177"/>
      <c r="I22" s="1177"/>
      <c r="J22" s="1177"/>
    </row>
    <row r="23" spans="1:14" ht="6.75" customHeight="1">
      <c r="A23" s="1177"/>
      <c r="B23" s="1177"/>
      <c r="C23" s="1177"/>
      <c r="D23" s="1177"/>
      <c r="E23" s="1177"/>
      <c r="F23" s="1177"/>
      <c r="G23" s="1177"/>
      <c r="H23" s="1177"/>
      <c r="I23" s="1177"/>
      <c r="J23" s="1177"/>
    </row>
    <row r="24" spans="1:14" ht="18">
      <c r="A24" s="1317" t="s">
        <v>1286</v>
      </c>
      <c r="B24" s="1177"/>
      <c r="C24" s="1177"/>
      <c r="D24" s="1177"/>
      <c r="E24" s="1177"/>
      <c r="F24" s="1177" t="s">
        <v>14</v>
      </c>
      <c r="G24" s="1177"/>
      <c r="H24" s="1177"/>
      <c r="I24" s="1177"/>
      <c r="J24" s="1177"/>
    </row>
    <row r="25" spans="1:14" ht="6" customHeight="1"/>
    <row r="26" spans="1:14" ht="59.25" customHeight="1">
      <c r="A26" s="2348" t="s">
        <v>1134</v>
      </c>
      <c r="B26" s="2348"/>
      <c r="C26" s="2348"/>
      <c r="D26" s="2348"/>
      <c r="E26" s="2348"/>
      <c r="F26" s="2348"/>
      <c r="G26" s="2348"/>
      <c r="H26" s="2348"/>
      <c r="I26" s="2348"/>
      <c r="J26" s="2348"/>
    </row>
    <row r="27" spans="1:14" ht="43.35" customHeight="1">
      <c r="A27" s="2349" t="s">
        <v>1525</v>
      </c>
      <c r="B27" s="2349"/>
      <c r="C27" s="2349"/>
      <c r="D27" s="2349"/>
      <c r="E27" s="2349"/>
      <c r="F27" s="2349"/>
      <c r="G27" s="2349"/>
      <c r="H27" s="2349"/>
      <c r="I27" s="2349"/>
      <c r="J27" s="2349"/>
    </row>
    <row r="28" spans="1:14" ht="18.75" customHeight="1">
      <c r="A28" s="2350"/>
      <c r="B28" s="2350"/>
      <c r="C28" s="2350"/>
      <c r="D28" s="2350"/>
      <c r="E28" s="2350"/>
      <c r="F28" s="2350"/>
      <c r="G28" s="2350"/>
      <c r="H28" s="2350"/>
      <c r="I28" s="2350"/>
      <c r="J28" s="2350"/>
    </row>
    <row r="29" spans="1:14" ht="18" customHeight="1">
      <c r="A29" s="1192"/>
      <c r="B29" s="838"/>
      <c r="C29" s="838"/>
      <c r="D29" s="838"/>
      <c r="E29" s="838"/>
      <c r="F29" s="1081"/>
      <c r="G29" s="838"/>
      <c r="H29" s="838"/>
      <c r="I29" s="838"/>
      <c r="J29" s="838"/>
    </row>
    <row r="30" spans="1:14" ht="20.25" customHeight="1">
      <c r="A30" s="2351"/>
      <c r="B30" s="2351"/>
      <c r="C30" s="2351"/>
      <c r="D30" s="2351"/>
      <c r="E30" s="2351"/>
      <c r="F30" s="2351"/>
      <c r="G30" s="2351"/>
      <c r="H30" s="2351"/>
      <c r="I30" s="2351"/>
      <c r="J30" s="2351"/>
    </row>
    <row r="31" spans="1:14" ht="20.25" customHeight="1">
      <c r="A31" s="1192"/>
      <c r="B31" s="838"/>
      <c r="C31" s="838"/>
      <c r="D31" s="838"/>
      <c r="E31" s="838"/>
      <c r="F31" s="2019" t="s">
        <v>14</v>
      </c>
      <c r="G31" s="838"/>
      <c r="H31" s="838"/>
      <c r="I31" s="838"/>
      <c r="J31" s="838"/>
    </row>
    <row r="32" spans="1:14" ht="20.25" customHeight="1">
      <c r="A32" s="1192"/>
      <c r="B32" s="838"/>
      <c r="C32" s="838"/>
      <c r="D32" s="838"/>
      <c r="E32" s="838"/>
      <c r="F32" s="838"/>
      <c r="G32" s="838"/>
      <c r="H32" s="838"/>
      <c r="I32" s="838"/>
      <c r="J32" s="838"/>
    </row>
    <row r="33" spans="1:10" ht="20.25" customHeight="1">
      <c r="A33" s="1192"/>
      <c r="B33" s="838"/>
      <c r="C33" s="838"/>
      <c r="D33" s="838"/>
      <c r="E33" s="838"/>
      <c r="F33" s="838"/>
      <c r="G33" s="838"/>
      <c r="H33" s="838"/>
      <c r="I33" s="838"/>
      <c r="J33" s="838"/>
    </row>
    <row r="34" spans="1:10" ht="20.25" customHeight="1">
      <c r="A34" s="1192"/>
      <c r="B34" s="838"/>
      <c r="C34" s="838"/>
      <c r="D34" s="838"/>
      <c r="E34" s="838"/>
      <c r="F34" s="838"/>
      <c r="G34" s="838"/>
      <c r="H34" s="838"/>
      <c r="I34" s="838"/>
      <c r="J34" s="838"/>
    </row>
    <row r="35" spans="1:10" ht="20.25" customHeight="1">
      <c r="A35" s="1192"/>
      <c r="B35" s="838"/>
      <c r="C35" s="838"/>
      <c r="D35" s="838"/>
      <c r="E35" s="838"/>
      <c r="F35" s="838"/>
      <c r="G35" s="838"/>
      <c r="H35" s="838"/>
      <c r="I35" s="838"/>
      <c r="J35" s="838"/>
    </row>
    <row r="36" spans="1:10" ht="20.25" customHeight="1">
      <c r="A36" s="1192"/>
      <c r="B36" s="838"/>
      <c r="C36" s="838"/>
      <c r="D36" s="838"/>
      <c r="E36" s="838"/>
      <c r="F36" s="838"/>
      <c r="G36" s="838"/>
      <c r="H36" s="838"/>
      <c r="I36" s="838"/>
      <c r="J36" s="838"/>
    </row>
    <row r="37" spans="1:10" ht="20.25" customHeight="1">
      <c r="A37" s="1192"/>
      <c r="B37" s="838"/>
      <c r="C37" s="838"/>
      <c r="D37" s="838"/>
      <c r="E37" s="838"/>
      <c r="F37" s="838"/>
      <c r="G37" s="838"/>
      <c r="H37" s="838"/>
      <c r="I37" s="838"/>
      <c r="J37" s="838"/>
    </row>
    <row r="38" spans="1:10" ht="20.25" customHeight="1">
      <c r="A38" s="1192"/>
      <c r="B38" s="838"/>
      <c r="C38" s="838"/>
      <c r="D38" s="838"/>
      <c r="E38" s="838"/>
      <c r="F38" s="838"/>
      <c r="G38" s="838"/>
      <c r="H38" s="838"/>
      <c r="I38" s="838"/>
      <c r="J38" s="838"/>
    </row>
    <row r="39" spans="1:10" ht="20.25" customHeight="1">
      <c r="A39" s="1192"/>
      <c r="B39" s="838"/>
      <c r="C39" s="838"/>
      <c r="D39" s="838"/>
      <c r="E39" s="838"/>
      <c r="F39" s="838"/>
      <c r="G39" s="838"/>
      <c r="H39" s="838"/>
      <c r="I39" s="838"/>
      <c r="J39" s="838"/>
    </row>
    <row r="40" spans="1:10" ht="20.25" customHeight="1">
      <c r="A40" s="1192"/>
      <c r="B40" s="838"/>
      <c r="C40" s="838"/>
      <c r="D40" s="838"/>
      <c r="E40" s="838"/>
      <c r="F40" s="838"/>
      <c r="G40" s="838"/>
      <c r="H40" s="838"/>
      <c r="I40" s="838"/>
      <c r="J40" s="838"/>
    </row>
    <row r="41" spans="1:10" ht="20.25" customHeight="1">
      <c r="A41" s="1192"/>
      <c r="B41" s="838"/>
      <c r="C41" s="838"/>
      <c r="D41" s="838"/>
      <c r="E41" s="838"/>
      <c r="F41" s="838"/>
      <c r="G41" s="838"/>
      <c r="H41" s="838"/>
      <c r="I41" s="838"/>
      <c r="J41" s="838"/>
    </row>
    <row r="42" spans="1:10" ht="20.25" customHeight="1">
      <c r="A42" s="1192"/>
      <c r="B42" s="838"/>
      <c r="C42" s="838"/>
      <c r="D42" s="838"/>
      <c r="E42" s="838"/>
      <c r="F42" s="838"/>
      <c r="G42" s="838"/>
      <c r="H42" s="838"/>
      <c r="I42" s="838"/>
      <c r="J42" s="838"/>
    </row>
    <row r="43" spans="1:10" ht="21" customHeight="1"/>
    <row r="44" spans="1:10" ht="21" customHeight="1">
      <c r="A44" s="1192"/>
      <c r="B44" s="838"/>
      <c r="C44" s="838"/>
      <c r="D44" s="838"/>
      <c r="E44" s="838"/>
      <c r="F44" s="838"/>
      <c r="G44" s="838"/>
      <c r="H44" s="838"/>
      <c r="I44" s="838"/>
      <c r="J44" s="838"/>
    </row>
    <row r="45" spans="1:10" ht="18" customHeight="1">
      <c r="A45" s="1193"/>
      <c r="C45" s="1194"/>
      <c r="D45" s="1195"/>
      <c r="E45" s="1194"/>
      <c r="F45" s="1195"/>
      <c r="G45" s="1194"/>
      <c r="H45" s="1195"/>
      <c r="I45" s="1195"/>
    </row>
    <row r="46" spans="1:10" ht="18" customHeight="1">
      <c r="A46" s="1196"/>
      <c r="D46" s="1195"/>
      <c r="F46" s="1197"/>
      <c r="G46" s="1195"/>
      <c r="H46" s="1195"/>
      <c r="I46" s="1195"/>
    </row>
    <row r="47" spans="1:10" ht="18" customHeight="1">
      <c r="A47" s="1196"/>
      <c r="D47" s="1195"/>
      <c r="F47" s="1197"/>
      <c r="G47" s="1195"/>
      <c r="H47" s="1195"/>
      <c r="I47" s="1195"/>
    </row>
    <row r="48" spans="1:10" ht="18" customHeight="1">
      <c r="A48" s="1196"/>
      <c r="D48" s="1195"/>
      <c r="F48" s="1197"/>
      <c r="G48" s="1195"/>
      <c r="H48" s="1195"/>
      <c r="I48" s="1195"/>
    </row>
    <row r="49" spans="1:9" ht="18" customHeight="1">
      <c r="A49" s="1196"/>
      <c r="D49" s="1195"/>
      <c r="F49" s="1195"/>
      <c r="G49" s="1195"/>
      <c r="H49" s="1198"/>
      <c r="I49" s="1195"/>
    </row>
    <row r="50" spans="1:9" ht="18" customHeight="1">
      <c r="A50" s="1199"/>
      <c r="D50" s="1195"/>
      <c r="F50" s="1195"/>
      <c r="G50" s="1195"/>
      <c r="H50" s="1195"/>
      <c r="I50" s="1195"/>
    </row>
    <row r="51" spans="1:9" ht="18" customHeight="1">
      <c r="A51" s="1200"/>
      <c r="D51" s="1195"/>
      <c r="F51" s="1198"/>
      <c r="G51" s="1195"/>
      <c r="H51" s="1195"/>
      <c r="I51" s="1195"/>
    </row>
    <row r="52" spans="1:9" ht="18" customHeight="1">
      <c r="A52" s="1196"/>
      <c r="D52" s="1195"/>
      <c r="F52" s="1197"/>
      <c r="G52" s="1195"/>
      <c r="H52" s="1195"/>
      <c r="I52" s="1195"/>
    </row>
    <row r="53" spans="1:9" ht="18" customHeight="1">
      <c r="A53" s="1196"/>
      <c r="D53" s="1195"/>
      <c r="F53" s="1201"/>
      <c r="G53" s="1195"/>
      <c r="H53" s="1198"/>
      <c r="I53" s="1195"/>
    </row>
    <row r="54" spans="1:9" ht="18" customHeight="1">
      <c r="A54" s="1199"/>
      <c r="C54" s="1194"/>
      <c r="D54" s="1202"/>
      <c r="E54" s="1194"/>
      <c r="G54" s="1194"/>
      <c r="H54" s="1202"/>
      <c r="I54" s="1195"/>
    </row>
  </sheetData>
  <mergeCells count="4">
    <mergeCell ref="A26:J26"/>
    <mergeCell ref="A27:J27"/>
    <mergeCell ref="A28:J28"/>
    <mergeCell ref="A30:J30"/>
  </mergeCells>
  <pageMargins left="0.5" right="0.5" top="0.5" bottom="0.5" header="0" footer="0.25"/>
  <pageSetup scale="66" firstPageNumber="43" orientation="landscape" useFirstPageNumber="1" r:id="rId1"/>
  <headerFooter scaleWithDoc="0" alignWithMargins="0">
    <oddFooter>&amp;C&amp;8&amp;P</oddFooter>
  </headerFooter>
  <rowBreaks count="1" manualBreakCount="1">
    <brk id="72" max="16383" man="1"/>
  </rowBreaks>
  <customProperties>
    <customPr name="SheetOptions" r:id="rId2"/>
  </customProperties>
  <drawing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2">
    <pageSetUpPr fitToPage="1"/>
  </sheetPr>
  <dimension ref="A1:X92"/>
  <sheetViews>
    <sheetView showGridLines="0" zoomScale="90" workbookViewId="0"/>
  </sheetViews>
  <sheetFormatPr defaultColWidth="8.88671875" defaultRowHeight="12.75"/>
  <cols>
    <col min="1" max="1" width="42" style="457" customWidth="1"/>
    <col min="2" max="2" width="2.109375" style="457" customWidth="1"/>
    <col min="3" max="3" width="17.109375" style="584" customWidth="1"/>
    <col min="4" max="4" width="2.109375" style="457" customWidth="1"/>
    <col min="5" max="5" width="15.44140625" style="457" customWidth="1"/>
    <col min="6" max="6" width="2.109375" style="457" customWidth="1"/>
    <col min="7" max="7" width="16.109375" style="457" customWidth="1"/>
    <col min="8" max="8" width="2.109375" style="457" customWidth="1"/>
    <col min="9" max="9" width="15.5546875" style="458" customWidth="1"/>
    <col min="10" max="10" width="2.109375" style="457" customWidth="1"/>
    <col min="11" max="11" width="16.44140625" style="458" bestFit="1" customWidth="1"/>
    <col min="12" max="12" width="2.109375" style="457" customWidth="1"/>
    <col min="13" max="13" width="17.109375" style="584" customWidth="1"/>
    <col min="14" max="14" width="1.88671875" style="457" customWidth="1"/>
    <col min="15" max="15" width="1.109375" style="457" customWidth="1"/>
    <col min="16" max="16" width="2" style="457" customWidth="1"/>
    <col min="17" max="17" width="15.44140625" style="457" customWidth="1"/>
    <col min="18" max="18" width="2.109375" style="457" customWidth="1"/>
    <col min="19" max="19" width="16.44140625" style="457" bestFit="1" customWidth="1"/>
    <col min="20" max="20" width="11.88671875" style="457" customWidth="1"/>
    <col min="21" max="21" width="12.44140625" style="457" customWidth="1"/>
    <col min="22" max="22" width="9.88671875" style="457" bestFit="1" customWidth="1"/>
    <col min="23" max="16384" width="8.88671875" style="457"/>
  </cols>
  <sheetData>
    <row r="1" spans="1:23" ht="15">
      <c r="A1" s="675" t="s">
        <v>841</v>
      </c>
    </row>
    <row r="2" spans="1:23" ht="15">
      <c r="A2" s="468"/>
    </row>
    <row r="3" spans="1:23" ht="18">
      <c r="A3" s="456" t="s">
        <v>0</v>
      </c>
      <c r="S3" s="456" t="s">
        <v>384</v>
      </c>
    </row>
    <row r="4" spans="1:23" ht="18">
      <c r="A4" s="456" t="s">
        <v>181</v>
      </c>
      <c r="J4" s="457" t="s">
        <v>14</v>
      </c>
    </row>
    <row r="5" spans="1:23" ht="18">
      <c r="A5" s="456" t="s">
        <v>385</v>
      </c>
    </row>
    <row r="6" spans="1:23" ht="18">
      <c r="A6" s="1033" t="str">
        <f>'Cashflow Governmental'!A6</f>
        <v xml:space="preserve">FISCAL YEAR 2023-2024   </v>
      </c>
    </row>
    <row r="9" spans="1:23" ht="15.6" customHeight="1">
      <c r="C9" s="1886"/>
      <c r="D9" s="995"/>
      <c r="E9" s="2352" t="s">
        <v>1296</v>
      </c>
      <c r="F9" s="2352"/>
      <c r="G9" s="2352"/>
      <c r="H9" s="994"/>
      <c r="I9" s="1928" t="s">
        <v>1138</v>
      </c>
      <c r="J9" s="1928"/>
      <c r="K9" s="1928"/>
      <c r="L9" s="992"/>
      <c r="M9" s="992"/>
      <c r="N9" s="992"/>
      <c r="O9" s="996"/>
      <c r="P9" s="992"/>
      <c r="Q9" s="997" t="s">
        <v>806</v>
      </c>
      <c r="R9" s="997"/>
      <c r="S9" s="997"/>
    </row>
    <row r="10" spans="1:23">
      <c r="C10" s="999" t="s">
        <v>119</v>
      </c>
      <c r="D10" s="998"/>
      <c r="E10" s="1926"/>
      <c r="F10" s="998"/>
      <c r="G10" s="1927"/>
      <c r="H10" s="992"/>
      <c r="I10" s="1927"/>
      <c r="J10" s="1927"/>
      <c r="K10" s="1927"/>
      <c r="L10" s="992"/>
      <c r="M10" s="999" t="s">
        <v>119</v>
      </c>
      <c r="N10" s="992"/>
      <c r="O10" s="1000"/>
      <c r="P10" s="992"/>
    </row>
    <row r="11" spans="1:23">
      <c r="C11" s="999" t="s">
        <v>386</v>
      </c>
      <c r="D11" s="998"/>
      <c r="E11" s="1927" t="s">
        <v>6</v>
      </c>
      <c r="F11" s="998"/>
      <c r="G11" s="1001" t="s">
        <v>1519</v>
      </c>
      <c r="H11" s="992"/>
      <c r="I11" s="998" t="s">
        <v>387</v>
      </c>
      <c r="J11" s="993" t="s">
        <v>14</v>
      </c>
      <c r="K11" s="998" t="str">
        <f>G11</f>
        <v>6 MONTHS ENDED</v>
      </c>
      <c r="L11" s="992"/>
      <c r="M11" s="999" t="s">
        <v>386</v>
      </c>
      <c r="N11" s="992"/>
      <c r="O11" s="1000"/>
      <c r="P11" s="992"/>
      <c r="Q11" s="998" t="s">
        <v>387</v>
      </c>
      <c r="R11" s="993" t="s">
        <v>14</v>
      </c>
      <c r="S11" s="998" t="str">
        <f>K11</f>
        <v>6 MONTHS ENDED</v>
      </c>
    </row>
    <row r="12" spans="1:23">
      <c r="A12" s="1034" t="s">
        <v>388</v>
      </c>
      <c r="C12" s="1887" t="s">
        <v>1461</v>
      </c>
      <c r="D12" s="1001"/>
      <c r="E12" s="1931" t="s">
        <v>141</v>
      </c>
      <c r="F12" s="1001"/>
      <c r="G12" s="1035" t="s">
        <v>1518</v>
      </c>
      <c r="H12" s="992"/>
      <c r="I12" s="1035" t="s">
        <v>141</v>
      </c>
      <c r="J12" s="992"/>
      <c r="K12" s="2087" t="str">
        <f>G12</f>
        <v>SEPTEMBER 30, 2023</v>
      </c>
      <c r="L12" s="992"/>
      <c r="M12" s="2087" t="str">
        <f>K12</f>
        <v>SEPTEMBER 30, 2023</v>
      </c>
      <c r="N12" s="992"/>
      <c r="O12" s="1000"/>
      <c r="P12" s="992"/>
      <c r="Q12" s="995" t="s">
        <v>141</v>
      </c>
      <c r="R12" s="992"/>
      <c r="S12" s="2087" t="str">
        <f>M12</f>
        <v>SEPTEMBER 30, 2023</v>
      </c>
    </row>
    <row r="13" spans="1:23">
      <c r="K13" s="1012"/>
      <c r="O13" s="1036"/>
    </row>
    <row r="14" spans="1:23">
      <c r="A14" s="459" t="s">
        <v>389</v>
      </c>
      <c r="K14" s="1012"/>
      <c r="O14" s="1036"/>
      <c r="Q14" s="458"/>
    </row>
    <row r="15" spans="1:23" ht="12" customHeight="1">
      <c r="A15" s="459"/>
      <c r="K15" s="1012"/>
      <c r="M15" s="584" t="s">
        <v>14</v>
      </c>
      <c r="O15" s="1036"/>
      <c r="Q15" s="458"/>
    </row>
    <row r="16" spans="1:23">
      <c r="A16" s="457" t="s">
        <v>852</v>
      </c>
      <c r="B16" s="458"/>
      <c r="C16" s="1881">
        <v>6923692</v>
      </c>
      <c r="D16" s="1011"/>
      <c r="E16" s="1881">
        <v>0</v>
      </c>
      <c r="F16" s="1011"/>
      <c r="G16" s="1881">
        <f>E16</f>
        <v>0</v>
      </c>
      <c r="H16" s="1881"/>
      <c r="I16" s="1881">
        <v>0</v>
      </c>
      <c r="J16" s="1011"/>
      <c r="K16" s="1881">
        <v>799410</v>
      </c>
      <c r="L16" s="1011" t="s">
        <v>14</v>
      </c>
      <c r="M16" s="1881">
        <f>ROUND(SUM(C16)-SUM(K16)+SUM(G16),0)</f>
        <v>6124282</v>
      </c>
      <c r="O16" s="1036"/>
      <c r="P16" s="458"/>
      <c r="Q16" s="1881">
        <v>0</v>
      </c>
      <c r="R16" s="1881"/>
      <c r="S16" s="1881">
        <v>103045</v>
      </c>
      <c r="T16" s="460"/>
      <c r="U16" s="1011"/>
      <c r="V16" s="1308"/>
      <c r="W16" s="526"/>
    </row>
    <row r="17" spans="1:23">
      <c r="D17" s="460"/>
      <c r="E17" s="462"/>
      <c r="F17" s="460"/>
      <c r="G17" s="584"/>
      <c r="I17" s="462"/>
      <c r="K17" s="1012"/>
      <c r="O17" s="1036"/>
      <c r="Q17" s="462"/>
      <c r="S17" s="1012"/>
      <c r="U17" s="462"/>
      <c r="V17" s="525"/>
      <c r="W17" s="526"/>
    </row>
    <row r="18" spans="1:23">
      <c r="A18" s="457" t="s">
        <v>390</v>
      </c>
      <c r="D18" s="460"/>
      <c r="E18" s="458"/>
      <c r="F18" s="460"/>
      <c r="G18" s="584"/>
      <c r="J18" s="458"/>
      <c r="K18" s="1012"/>
      <c r="O18" s="1036"/>
      <c r="Q18" s="458"/>
      <c r="R18" s="458"/>
      <c r="S18" s="1012"/>
      <c r="U18" s="458"/>
      <c r="V18" s="525"/>
      <c r="W18" s="460"/>
    </row>
    <row r="19" spans="1:23" ht="12" customHeight="1">
      <c r="A19" s="457" t="s">
        <v>853</v>
      </c>
      <c r="C19" s="1882">
        <v>945768</v>
      </c>
      <c r="D19" s="1013"/>
      <c r="E19" s="1882">
        <v>0</v>
      </c>
      <c r="F19" s="1013"/>
      <c r="G19" s="1882">
        <f>E19</f>
        <v>0</v>
      </c>
      <c r="H19" s="1882"/>
      <c r="I19" s="1882">
        <v>0</v>
      </c>
      <c r="J19" s="1013"/>
      <c r="K19" s="1882">
        <v>0</v>
      </c>
      <c r="L19" s="1013" t="s">
        <v>14</v>
      </c>
      <c r="M19" s="1882">
        <f>ROUND(SUM(C19)-SUM(K19)+SUM(G19),0)</f>
        <v>945768</v>
      </c>
      <c r="O19" s="1036"/>
      <c r="P19" s="457" t="s">
        <v>14</v>
      </c>
      <c r="Q19" s="1882">
        <v>0</v>
      </c>
      <c r="R19" s="1882"/>
      <c r="S19" s="1882">
        <v>14875</v>
      </c>
      <c r="T19" s="460"/>
      <c r="U19" s="584"/>
      <c r="V19" s="525"/>
      <c r="W19" s="526"/>
    </row>
    <row r="20" spans="1:23">
      <c r="A20" s="457" t="s">
        <v>391</v>
      </c>
      <c r="C20" s="1882">
        <v>0</v>
      </c>
      <c r="D20" s="1013"/>
      <c r="E20" s="1882">
        <v>0</v>
      </c>
      <c r="F20" s="1013"/>
      <c r="G20" s="1882">
        <f t="shared" ref="G20:G70" si="0">E20</f>
        <v>0</v>
      </c>
      <c r="H20" s="1882"/>
      <c r="I20" s="1882">
        <v>0</v>
      </c>
      <c r="J20" s="1013"/>
      <c r="K20" s="1882">
        <v>0</v>
      </c>
      <c r="L20" s="1013"/>
      <c r="M20" s="1882">
        <f>ROUND(SUM(C20)-SUM(K20)+SUM(G20),0)</f>
        <v>0</v>
      </c>
      <c r="O20" s="1036"/>
      <c r="Q20" s="1882">
        <v>0</v>
      </c>
      <c r="R20" s="1882"/>
      <c r="S20" s="1882">
        <v>0</v>
      </c>
      <c r="T20" s="460"/>
      <c r="U20" s="584"/>
      <c r="V20" s="525"/>
      <c r="W20" s="526"/>
    </row>
    <row r="21" spans="1:23">
      <c r="A21" s="457" t="s">
        <v>1132</v>
      </c>
      <c r="C21" s="1882">
        <v>230202496</v>
      </c>
      <c r="D21" s="1013"/>
      <c r="E21" s="1882">
        <v>0</v>
      </c>
      <c r="F21" s="1013"/>
      <c r="G21" s="1882">
        <f t="shared" si="0"/>
        <v>0</v>
      </c>
      <c r="H21" s="1882"/>
      <c r="I21" s="1882">
        <v>0</v>
      </c>
      <c r="J21" s="1013"/>
      <c r="K21" s="1882">
        <v>5171308</v>
      </c>
      <c r="L21" s="1013" t="s">
        <v>14</v>
      </c>
      <c r="M21" s="1882">
        <f>ROUND(SUM(C21)-SUM(K21)+SUM(G21),0)</f>
        <v>225031188</v>
      </c>
      <c r="O21" s="1036"/>
      <c r="Q21" s="1882">
        <v>1133426</v>
      </c>
      <c r="R21" s="1882"/>
      <c r="S21" s="1882">
        <v>3181220</v>
      </c>
      <c r="T21" s="460"/>
      <c r="U21" s="584"/>
      <c r="V21" s="525"/>
      <c r="W21" s="526"/>
    </row>
    <row r="22" spans="1:23">
      <c r="A22" s="457" t="s">
        <v>392</v>
      </c>
      <c r="C22" s="1882">
        <v>6429422</v>
      </c>
      <c r="D22" s="1013"/>
      <c r="E22" s="1882">
        <v>0</v>
      </c>
      <c r="F22" s="1013"/>
      <c r="G22" s="1882">
        <f t="shared" si="0"/>
        <v>0</v>
      </c>
      <c r="H22" s="1882"/>
      <c r="I22" s="1882">
        <v>0</v>
      </c>
      <c r="J22" s="1013"/>
      <c r="K22" s="1882">
        <v>185825</v>
      </c>
      <c r="L22" s="1013" t="s">
        <v>14</v>
      </c>
      <c r="M22" s="1882">
        <f>ROUND(SUM(C22)-SUM(K22)+SUM(G22),0)</f>
        <v>6243597</v>
      </c>
      <c r="O22" s="1036"/>
      <c r="Q22" s="1882">
        <v>6370</v>
      </c>
      <c r="R22" s="1882"/>
      <c r="S22" s="1882">
        <v>93302</v>
      </c>
      <c r="T22" s="460"/>
      <c r="U22" s="584"/>
      <c r="V22" s="525"/>
      <c r="W22" s="526"/>
    </row>
    <row r="23" spans="1:23">
      <c r="A23" s="457" t="s">
        <v>854</v>
      </c>
      <c r="C23" s="1882">
        <v>30169419</v>
      </c>
      <c r="D23" s="1013"/>
      <c r="E23" s="1882">
        <v>0</v>
      </c>
      <c r="F23" s="1013"/>
      <c r="G23" s="1882">
        <f t="shared" si="0"/>
        <v>0</v>
      </c>
      <c r="H23" s="1882"/>
      <c r="I23" s="1882">
        <v>0</v>
      </c>
      <c r="J23" s="1013"/>
      <c r="K23" s="1882">
        <v>0</v>
      </c>
      <c r="L23" s="1013" t="s">
        <v>14</v>
      </c>
      <c r="M23" s="1882">
        <f>ROUND(SUM(C23)-SUM(K23)+SUM(G23),0)</f>
        <v>30169419</v>
      </c>
      <c r="O23" s="1036"/>
      <c r="Q23" s="1882">
        <v>363460</v>
      </c>
      <c r="R23" s="1882" t="s">
        <v>14</v>
      </c>
      <c r="S23" s="1882">
        <v>430819</v>
      </c>
      <c r="T23" s="460" t="s">
        <v>14</v>
      </c>
      <c r="U23" s="584"/>
      <c r="V23" s="525"/>
      <c r="W23" s="526"/>
    </row>
    <row r="24" spans="1:23">
      <c r="C24" s="1882"/>
      <c r="D24" s="1013"/>
      <c r="E24" s="1882"/>
      <c r="F24" s="1013"/>
      <c r="G24" s="1882"/>
      <c r="H24" s="1882"/>
      <c r="I24" s="1882"/>
      <c r="J24" s="1013"/>
      <c r="K24" s="1882"/>
      <c r="L24" s="1013"/>
      <c r="M24" s="1882"/>
      <c r="O24" s="1036"/>
      <c r="Q24" s="1882"/>
      <c r="R24" s="1882"/>
      <c r="S24" s="1882"/>
      <c r="T24" s="460"/>
      <c r="U24" s="584"/>
      <c r="V24" s="525"/>
      <c r="W24" s="526"/>
    </row>
    <row r="25" spans="1:23">
      <c r="A25" s="457" t="s">
        <v>1454</v>
      </c>
      <c r="C25" s="1882" t="s">
        <v>14</v>
      </c>
      <c r="D25" s="1882"/>
      <c r="E25" s="1882" t="s">
        <v>14</v>
      </c>
      <c r="F25" s="1882"/>
      <c r="G25" s="1882" t="s">
        <v>14</v>
      </c>
      <c r="H25" s="1882"/>
      <c r="I25" s="1882" t="s">
        <v>14</v>
      </c>
      <c r="J25" s="1882"/>
      <c r="K25" s="1882" t="s">
        <v>14</v>
      </c>
      <c r="L25" s="1882"/>
      <c r="M25" s="1882" t="s">
        <v>14</v>
      </c>
      <c r="N25" s="1061"/>
      <c r="O25" s="2189"/>
      <c r="P25" s="1061"/>
      <c r="Q25" s="1882" t="s">
        <v>14</v>
      </c>
      <c r="R25" s="1882"/>
      <c r="S25" s="1882" t="s">
        <v>14</v>
      </c>
      <c r="T25" s="460"/>
      <c r="U25" s="584"/>
      <c r="V25" s="525"/>
      <c r="W25" s="526"/>
    </row>
    <row r="26" spans="1:23">
      <c r="A26" s="457" t="s">
        <v>1453</v>
      </c>
      <c r="C26" s="1882">
        <v>0</v>
      </c>
      <c r="D26" s="1882"/>
      <c r="E26" s="1882">
        <v>0</v>
      </c>
      <c r="F26" s="1882"/>
      <c r="G26" s="1882">
        <v>0</v>
      </c>
      <c r="H26" s="1882"/>
      <c r="I26" s="1882">
        <v>0</v>
      </c>
      <c r="J26" s="1882"/>
      <c r="K26" s="1882">
        <v>0</v>
      </c>
      <c r="L26" s="1882"/>
      <c r="M26" s="1882">
        <v>0</v>
      </c>
      <c r="N26" s="1061"/>
      <c r="O26" s="2189"/>
      <c r="P26" s="1061"/>
      <c r="Q26" s="1882">
        <v>0</v>
      </c>
      <c r="R26" s="1882"/>
      <c r="S26" s="1882">
        <v>0</v>
      </c>
      <c r="T26" s="460"/>
      <c r="U26" s="584"/>
      <c r="V26" s="525"/>
      <c r="W26" s="526"/>
    </row>
    <row r="27" spans="1:23">
      <c r="A27" s="457" t="s">
        <v>1448</v>
      </c>
      <c r="C27" s="1882">
        <v>0</v>
      </c>
      <c r="D27" s="1882"/>
      <c r="E27" s="1882">
        <v>0</v>
      </c>
      <c r="F27" s="1882"/>
      <c r="G27" s="1882">
        <v>0</v>
      </c>
      <c r="H27" s="1882"/>
      <c r="I27" s="1882">
        <v>0</v>
      </c>
      <c r="J27" s="1882"/>
      <c r="K27" s="1882">
        <v>0</v>
      </c>
      <c r="L27" s="1882"/>
      <c r="M27" s="1882">
        <v>0</v>
      </c>
      <c r="N27" s="1061"/>
      <c r="O27" s="2189"/>
      <c r="P27" s="1061"/>
      <c r="Q27" s="1882">
        <v>0</v>
      </c>
      <c r="R27" s="1882"/>
      <c r="S27" s="1882">
        <v>0</v>
      </c>
      <c r="T27" s="460"/>
      <c r="U27" s="584"/>
      <c r="V27" s="525"/>
      <c r="W27" s="526"/>
    </row>
    <row r="28" spans="1:23">
      <c r="A28" s="457" t="s">
        <v>1449</v>
      </c>
      <c r="C28" s="1882">
        <v>0</v>
      </c>
      <c r="D28" s="1882"/>
      <c r="E28" s="1882">
        <v>0</v>
      </c>
      <c r="F28" s="1882"/>
      <c r="G28" s="1882">
        <v>0</v>
      </c>
      <c r="H28" s="1882"/>
      <c r="I28" s="1882">
        <v>0</v>
      </c>
      <c r="J28" s="1882"/>
      <c r="K28" s="1882">
        <v>0</v>
      </c>
      <c r="L28" s="1882"/>
      <c r="M28" s="1882">
        <v>0</v>
      </c>
      <c r="N28" s="1061"/>
      <c r="O28" s="2189"/>
      <c r="P28" s="1061"/>
      <c r="Q28" s="1882">
        <v>0</v>
      </c>
      <c r="R28" s="1882"/>
      <c r="S28" s="1882">
        <v>0</v>
      </c>
      <c r="T28" s="460"/>
      <c r="U28" s="584"/>
      <c r="V28" s="525"/>
      <c r="W28" s="526"/>
    </row>
    <row r="29" spans="1:23">
      <c r="A29" s="457" t="s">
        <v>1450</v>
      </c>
      <c r="C29" s="1882">
        <v>0</v>
      </c>
      <c r="D29" s="1882"/>
      <c r="E29" s="1882">
        <v>0</v>
      </c>
      <c r="F29" s="1882"/>
      <c r="G29" s="1882">
        <v>0</v>
      </c>
      <c r="H29" s="1882"/>
      <c r="I29" s="1882">
        <v>0</v>
      </c>
      <c r="J29" s="1882"/>
      <c r="K29" s="1882">
        <v>0</v>
      </c>
      <c r="L29" s="1882"/>
      <c r="M29" s="1882">
        <v>0</v>
      </c>
      <c r="N29" s="1061"/>
      <c r="O29" s="2189"/>
      <c r="P29" s="1061"/>
      <c r="Q29" s="1882">
        <v>0</v>
      </c>
      <c r="R29" s="1882"/>
      <c r="S29" s="1882">
        <v>0</v>
      </c>
      <c r="T29" s="460"/>
      <c r="U29" s="584"/>
      <c r="V29" s="525"/>
      <c r="W29" s="526"/>
    </row>
    <row r="30" spans="1:23">
      <c r="A30" s="457" t="s">
        <v>1451</v>
      </c>
      <c r="C30" s="1882">
        <v>0</v>
      </c>
      <c r="D30" s="1882"/>
      <c r="E30" s="1882">
        <v>0</v>
      </c>
      <c r="F30" s="1882"/>
      <c r="G30" s="1882">
        <v>0</v>
      </c>
      <c r="H30" s="1882"/>
      <c r="I30" s="1882">
        <v>0</v>
      </c>
      <c r="J30" s="1882"/>
      <c r="K30" s="1882">
        <v>0</v>
      </c>
      <c r="L30" s="1882"/>
      <c r="M30" s="1882">
        <v>0</v>
      </c>
      <c r="N30" s="1061"/>
      <c r="O30" s="2189"/>
      <c r="P30" s="1061"/>
      <c r="Q30" s="1882">
        <v>0</v>
      </c>
      <c r="R30" s="1882"/>
      <c r="S30" s="1882">
        <v>0</v>
      </c>
      <c r="T30" s="460"/>
      <c r="U30" s="584"/>
      <c r="V30" s="525"/>
      <c r="W30" s="526"/>
    </row>
    <row r="31" spans="1:23">
      <c r="C31" s="1882"/>
      <c r="D31" s="1013"/>
      <c r="E31" s="1882"/>
      <c r="F31" s="1013"/>
      <c r="G31" s="1882"/>
      <c r="H31" s="1882"/>
      <c r="I31" s="1882"/>
      <c r="J31" s="1013"/>
      <c r="K31" s="1882"/>
      <c r="L31" s="1013"/>
      <c r="M31" s="1882"/>
      <c r="O31" s="1036"/>
      <c r="Q31" s="1882"/>
      <c r="R31" s="1882"/>
      <c r="S31" s="1882"/>
      <c r="T31" s="460"/>
      <c r="U31" s="584"/>
      <c r="V31" s="525"/>
      <c r="W31" s="526"/>
    </row>
    <row r="32" spans="1:23">
      <c r="A32" s="457" t="s">
        <v>764</v>
      </c>
      <c r="C32" s="1882"/>
      <c r="D32" s="584"/>
      <c r="E32" s="1061"/>
      <c r="F32" s="584"/>
      <c r="G32" s="1882" t="s">
        <v>14</v>
      </c>
      <c r="H32" s="1061"/>
      <c r="I32" s="1061"/>
      <c r="J32" s="584"/>
      <c r="K32" s="1061"/>
      <c r="L32" s="584"/>
      <c r="M32" s="1882" t="s">
        <v>14</v>
      </c>
      <c r="O32" s="1036"/>
      <c r="Q32" s="1882"/>
      <c r="R32" s="1882"/>
      <c r="S32" s="1882"/>
      <c r="U32" s="462"/>
      <c r="V32" s="525"/>
      <c r="W32" s="460"/>
    </row>
    <row r="33" spans="1:24">
      <c r="A33" s="457" t="s">
        <v>869</v>
      </c>
      <c r="C33" s="1882">
        <v>587505</v>
      </c>
      <c r="D33" s="1013"/>
      <c r="E33" s="1882">
        <v>0</v>
      </c>
      <c r="F33" s="1013"/>
      <c r="G33" s="1882">
        <f t="shared" si="0"/>
        <v>0</v>
      </c>
      <c r="H33" s="1882"/>
      <c r="I33" s="1882">
        <v>0</v>
      </c>
      <c r="J33" s="1013"/>
      <c r="K33" s="1882">
        <v>155308</v>
      </c>
      <c r="L33" s="1013"/>
      <c r="M33" s="1882">
        <f>ROUND(SUM(C33)-SUM(K33)+SUM(G33),0)</f>
        <v>432197</v>
      </c>
      <c r="O33" s="1036"/>
      <c r="Q33" s="1882">
        <v>0</v>
      </c>
      <c r="R33" s="1882"/>
      <c r="S33" s="1882">
        <v>11676</v>
      </c>
      <c r="T33" s="460"/>
      <c r="U33" s="584"/>
      <c r="V33" s="525"/>
      <c r="W33" s="526"/>
    </row>
    <row r="34" spans="1:24">
      <c r="C34" s="1882"/>
      <c r="D34" s="584"/>
      <c r="E34" s="1061"/>
      <c r="F34" s="584"/>
      <c r="G34" s="1882" t="s">
        <v>14</v>
      </c>
      <c r="H34" s="1061"/>
      <c r="I34" s="1061"/>
      <c r="J34" s="584"/>
      <c r="K34" s="1061"/>
      <c r="L34" s="584"/>
      <c r="M34" s="1882" t="s">
        <v>14</v>
      </c>
      <c r="O34" s="1036"/>
      <c r="Q34" s="1882"/>
      <c r="R34" s="1882"/>
      <c r="S34" s="1882"/>
      <c r="U34" s="462"/>
      <c r="V34" s="525"/>
      <c r="W34" s="526"/>
    </row>
    <row r="35" spans="1:24">
      <c r="A35" s="457" t="s">
        <v>1093</v>
      </c>
      <c r="C35" s="1882"/>
      <c r="D35" s="584"/>
      <c r="E35" s="1061"/>
      <c r="F35" s="584"/>
      <c r="G35" s="1882" t="s">
        <v>14</v>
      </c>
      <c r="H35" s="1061"/>
      <c r="I35" s="1061"/>
      <c r="J35" s="584"/>
      <c r="K35" s="1061"/>
      <c r="L35" s="584"/>
      <c r="M35" s="1882" t="s">
        <v>14</v>
      </c>
      <c r="O35" s="1036"/>
      <c r="Q35" s="1882"/>
      <c r="R35" s="1882"/>
      <c r="S35" s="1882"/>
      <c r="U35" s="462"/>
      <c r="V35" s="525"/>
    </row>
    <row r="36" spans="1:24">
      <c r="A36" s="457" t="s">
        <v>393</v>
      </c>
      <c r="C36" s="1882">
        <v>0</v>
      </c>
      <c r="D36" s="1013"/>
      <c r="E36" s="1882">
        <v>0</v>
      </c>
      <c r="F36" s="1013"/>
      <c r="G36" s="1882">
        <f t="shared" si="0"/>
        <v>0</v>
      </c>
      <c r="H36" s="1882"/>
      <c r="I36" s="1882">
        <v>0</v>
      </c>
      <c r="J36" s="1013"/>
      <c r="K36" s="1882">
        <v>0</v>
      </c>
      <c r="L36" s="1013"/>
      <c r="M36" s="1882">
        <f>ROUND(SUM(C36)-SUM(K36)+SUM(G36),0)</f>
        <v>0</v>
      </c>
      <c r="O36" s="1036"/>
      <c r="Q36" s="1882">
        <v>0</v>
      </c>
      <c r="R36" s="1882"/>
      <c r="S36" s="1882">
        <v>0</v>
      </c>
      <c r="T36" s="460"/>
      <c r="U36" s="584"/>
      <c r="V36" s="525"/>
      <c r="W36" s="526"/>
    </row>
    <row r="37" spans="1:24">
      <c r="A37" s="457" t="s">
        <v>855</v>
      </c>
      <c r="C37" s="1882">
        <v>2866760</v>
      </c>
      <c r="D37" s="1013"/>
      <c r="E37" s="1882">
        <v>0</v>
      </c>
      <c r="F37" s="1013"/>
      <c r="G37" s="1882">
        <f t="shared" si="0"/>
        <v>0</v>
      </c>
      <c r="H37" s="1882"/>
      <c r="I37" s="1882">
        <v>0</v>
      </c>
      <c r="J37" s="1013" t="s">
        <v>14</v>
      </c>
      <c r="K37" s="1882">
        <v>0</v>
      </c>
      <c r="L37" s="1013"/>
      <c r="M37" s="1882">
        <f>ROUND(SUM(C37)-SUM(K37)+SUM(G37),0)</f>
        <v>2866760</v>
      </c>
      <c r="O37" s="1036"/>
      <c r="Q37" s="1882">
        <v>65831</v>
      </c>
      <c r="R37" s="1882"/>
      <c r="S37" s="1882">
        <v>69800</v>
      </c>
      <c r="T37" s="460" t="s">
        <v>14</v>
      </c>
      <c r="U37" s="584" t="s">
        <v>14</v>
      </c>
      <c r="V37" s="525"/>
      <c r="W37" s="526"/>
    </row>
    <row r="38" spans="1:24">
      <c r="A38" s="457" t="s">
        <v>394</v>
      </c>
      <c r="C38" s="1882">
        <v>2858290</v>
      </c>
      <c r="D38" s="1013"/>
      <c r="E38" s="1882">
        <v>0</v>
      </c>
      <c r="F38" s="1013"/>
      <c r="G38" s="1882">
        <f t="shared" si="0"/>
        <v>0</v>
      </c>
      <c r="H38" s="1882"/>
      <c r="I38" s="1882">
        <v>0</v>
      </c>
      <c r="J38" s="1013"/>
      <c r="K38" s="1882">
        <v>350000</v>
      </c>
      <c r="L38" s="1013"/>
      <c r="M38" s="1882">
        <f>ROUND(SUM(C38)-SUM(K38)+SUM(G38),0)</f>
        <v>2508290</v>
      </c>
      <c r="O38" s="1036"/>
      <c r="Q38" s="1882">
        <v>7332</v>
      </c>
      <c r="R38" s="1882"/>
      <c r="S38" s="1882">
        <v>42932</v>
      </c>
      <c r="T38" s="460" t="s">
        <v>14</v>
      </c>
      <c r="U38" s="584" t="s">
        <v>14</v>
      </c>
      <c r="V38" s="525"/>
      <c r="W38" s="526"/>
    </row>
    <row r="39" spans="1:24">
      <c r="C39" s="1882"/>
      <c r="D39" s="584"/>
      <c r="E39" s="1061"/>
      <c r="F39" s="584"/>
      <c r="G39" s="1882" t="s">
        <v>14</v>
      </c>
      <c r="H39" s="1061"/>
      <c r="I39" s="1061"/>
      <c r="J39" s="584"/>
      <c r="K39" s="1061"/>
      <c r="L39" s="584"/>
      <c r="M39" s="1882" t="s">
        <v>14</v>
      </c>
      <c r="O39" s="1036"/>
      <c r="Q39" s="1882"/>
      <c r="R39" s="1882"/>
      <c r="S39" s="1882"/>
      <c r="T39" s="460" t="s">
        <v>14</v>
      </c>
      <c r="U39" s="462"/>
      <c r="V39" s="525"/>
      <c r="W39" s="526"/>
    </row>
    <row r="40" spans="1:24">
      <c r="A40" s="457" t="s">
        <v>395</v>
      </c>
      <c r="C40" s="1882"/>
      <c r="D40" s="584"/>
      <c r="E40" s="1061"/>
      <c r="F40" s="584"/>
      <c r="G40" s="1882" t="s">
        <v>14</v>
      </c>
      <c r="H40" s="1061"/>
      <c r="I40" s="1061"/>
      <c r="J40" s="584"/>
      <c r="K40" s="1061"/>
      <c r="L40" s="584"/>
      <c r="M40" s="1882" t="s">
        <v>14</v>
      </c>
      <c r="O40" s="1036"/>
      <c r="Q40" s="1882"/>
      <c r="R40" s="1882"/>
      <c r="S40" s="1882"/>
      <c r="U40" s="462"/>
      <c r="V40" s="525"/>
      <c r="W40" s="460"/>
    </row>
    <row r="41" spans="1:24">
      <c r="A41" s="457" t="s">
        <v>1094</v>
      </c>
      <c r="C41" s="1882">
        <v>1743150</v>
      </c>
      <c r="D41" s="1013"/>
      <c r="E41" s="1882">
        <v>0</v>
      </c>
      <c r="F41" s="1013"/>
      <c r="G41" s="1882">
        <f t="shared" si="0"/>
        <v>0</v>
      </c>
      <c r="H41" s="1882"/>
      <c r="I41" s="1882">
        <v>0</v>
      </c>
      <c r="J41" s="1013"/>
      <c r="K41" s="1882">
        <v>63952</v>
      </c>
      <c r="L41" s="1013" t="s">
        <v>14</v>
      </c>
      <c r="M41" s="1882">
        <f>ROUND(SUM(C41)-SUM(K41)+SUM(G41),0)</f>
        <v>1679198</v>
      </c>
      <c r="O41" s="1036"/>
      <c r="Q41" s="1882">
        <v>16755</v>
      </c>
      <c r="R41" s="1882" t="s">
        <v>14</v>
      </c>
      <c r="S41" s="1882">
        <v>27136</v>
      </c>
      <c r="T41" s="460"/>
      <c r="U41" s="584"/>
      <c r="V41" s="525"/>
      <c r="W41" s="526"/>
    </row>
    <row r="42" spans="1:24">
      <c r="A42" s="457" t="s">
        <v>396</v>
      </c>
      <c r="C42" s="1882">
        <v>53717629</v>
      </c>
      <c r="D42" s="1013"/>
      <c r="E42" s="1882">
        <v>0</v>
      </c>
      <c r="F42" s="1013"/>
      <c r="G42" s="1882">
        <f t="shared" si="0"/>
        <v>0</v>
      </c>
      <c r="H42" s="1882"/>
      <c r="I42" s="1882">
        <v>0</v>
      </c>
      <c r="J42" s="1013"/>
      <c r="K42" s="1882">
        <v>6236458</v>
      </c>
      <c r="L42" s="1013"/>
      <c r="M42" s="1882">
        <f>ROUND(SUM(C42)-SUM(K42)+SUM(G42),0)</f>
        <v>47481171</v>
      </c>
      <c r="O42" s="1036"/>
      <c r="Q42" s="1882">
        <v>281428</v>
      </c>
      <c r="R42" s="1882"/>
      <c r="S42" s="1882">
        <v>820207</v>
      </c>
      <c r="T42" s="460"/>
      <c r="U42" s="584"/>
      <c r="V42" s="525"/>
      <c r="W42" s="526"/>
      <c r="X42" s="460"/>
    </row>
    <row r="43" spans="1:24">
      <c r="C43" s="1882"/>
      <c r="D43" s="584"/>
      <c r="E43" s="1061"/>
      <c r="F43" s="584"/>
      <c r="G43" s="1882" t="s">
        <v>14</v>
      </c>
      <c r="H43" s="1061"/>
      <c r="I43" s="1061"/>
      <c r="J43" s="584"/>
      <c r="K43" s="1061"/>
      <c r="L43" s="584"/>
      <c r="M43" s="1882" t="s">
        <v>14</v>
      </c>
      <c r="O43" s="1036"/>
      <c r="Q43" s="1882"/>
      <c r="R43" s="1882"/>
      <c r="S43" s="1882"/>
      <c r="U43" s="462"/>
      <c r="V43" s="525"/>
      <c r="W43" s="526"/>
    </row>
    <row r="44" spans="1:24">
      <c r="A44" s="457" t="s">
        <v>397</v>
      </c>
      <c r="C44" s="1882"/>
      <c r="D44" s="584"/>
      <c r="E44" s="1061"/>
      <c r="F44" s="584"/>
      <c r="G44" s="1882" t="s">
        <v>14</v>
      </c>
      <c r="H44" s="1061"/>
      <c r="I44" s="1061"/>
      <c r="J44" s="584"/>
      <c r="K44" s="1061"/>
      <c r="L44" s="584"/>
      <c r="M44" s="1882" t="s">
        <v>14</v>
      </c>
      <c r="O44" s="1036"/>
      <c r="Q44" s="1882"/>
      <c r="R44" s="1882"/>
      <c r="S44" s="1882"/>
      <c r="U44" s="2176"/>
      <c r="V44" s="525"/>
      <c r="W44" s="460"/>
    </row>
    <row r="45" spans="1:24">
      <c r="A45" s="457" t="s">
        <v>1133</v>
      </c>
      <c r="C45" s="1882">
        <v>0</v>
      </c>
      <c r="D45" s="1013"/>
      <c r="E45" s="1882">
        <v>0</v>
      </c>
      <c r="F45" s="1013"/>
      <c r="G45" s="1882">
        <f t="shared" si="0"/>
        <v>0</v>
      </c>
      <c r="H45" s="1882"/>
      <c r="I45" s="1882">
        <v>0</v>
      </c>
      <c r="J45" s="1013"/>
      <c r="K45" s="1882">
        <v>0</v>
      </c>
      <c r="L45" s="1013"/>
      <c r="M45" s="1882">
        <f>ROUND(SUM(C45)-SUM(K45)+SUM(G45),0)</f>
        <v>0</v>
      </c>
      <c r="O45" s="1036"/>
      <c r="Q45" s="1882">
        <v>0</v>
      </c>
      <c r="R45" s="1882"/>
      <c r="S45" s="1882">
        <v>0</v>
      </c>
      <c r="T45" s="460"/>
      <c r="U45" s="584"/>
      <c r="V45" s="525"/>
      <c r="W45" s="526"/>
    </row>
    <row r="46" spans="1:24">
      <c r="A46" s="457" t="s">
        <v>856</v>
      </c>
      <c r="C46" s="1882">
        <v>0</v>
      </c>
      <c r="D46" s="1013"/>
      <c r="E46" s="1882">
        <v>0</v>
      </c>
      <c r="F46" s="1013"/>
      <c r="G46" s="1882">
        <f t="shared" si="0"/>
        <v>0</v>
      </c>
      <c r="H46" s="1882"/>
      <c r="I46" s="1882">
        <v>0</v>
      </c>
      <c r="J46" s="1013"/>
      <c r="K46" s="1882">
        <v>0</v>
      </c>
      <c r="L46" s="1013"/>
      <c r="M46" s="1882">
        <f>ROUND(SUM(C46)-SUM(K46)+SUM(G46),0)</f>
        <v>0</v>
      </c>
      <c r="O46" s="1036"/>
      <c r="Q46" s="1882">
        <v>0</v>
      </c>
      <c r="R46" s="1882"/>
      <c r="S46" s="1882">
        <v>0</v>
      </c>
      <c r="T46" s="460"/>
      <c r="U46" s="584"/>
      <c r="V46" s="525"/>
      <c r="W46" s="526"/>
    </row>
    <row r="47" spans="1:24">
      <c r="C47" s="1882"/>
      <c r="D47" s="584"/>
      <c r="E47" s="1061"/>
      <c r="F47" s="584"/>
      <c r="G47" s="1882" t="s">
        <v>14</v>
      </c>
      <c r="H47" s="1061"/>
      <c r="I47" s="1061"/>
      <c r="J47" s="584"/>
      <c r="K47" s="1061"/>
      <c r="L47" s="584"/>
      <c r="M47" s="1882" t="s">
        <v>14</v>
      </c>
      <c r="O47" s="1036"/>
      <c r="Q47" s="1882"/>
      <c r="R47" s="1882"/>
      <c r="S47" s="1882"/>
      <c r="U47" s="2176"/>
      <c r="V47" s="525"/>
      <c r="W47" s="526"/>
    </row>
    <row r="48" spans="1:24">
      <c r="A48" s="457" t="s">
        <v>857</v>
      </c>
      <c r="C48" s="1882">
        <v>0</v>
      </c>
      <c r="D48" s="1013"/>
      <c r="E48" s="1882">
        <v>0</v>
      </c>
      <c r="F48" s="1013"/>
      <c r="G48" s="1882">
        <f t="shared" si="0"/>
        <v>0</v>
      </c>
      <c r="H48" s="1882"/>
      <c r="I48" s="1882">
        <v>0</v>
      </c>
      <c r="J48" s="1013"/>
      <c r="K48" s="1882">
        <v>0</v>
      </c>
      <c r="L48" s="1013"/>
      <c r="M48" s="1882">
        <f>ROUND(SUM(C48)-SUM(K48)+SUM(G48),0)</f>
        <v>0</v>
      </c>
      <c r="O48" s="1036"/>
      <c r="Q48" s="1882">
        <v>0</v>
      </c>
      <c r="R48" s="1882"/>
      <c r="S48" s="1882">
        <v>0</v>
      </c>
      <c r="T48" s="460"/>
      <c r="U48" s="584"/>
      <c r="V48" s="525"/>
      <c r="W48" s="526"/>
    </row>
    <row r="49" spans="1:23">
      <c r="C49" s="1882"/>
      <c r="D49" s="1013"/>
      <c r="E49" s="1882"/>
      <c r="F49" s="1013"/>
      <c r="G49" s="1882" t="s">
        <v>14</v>
      </c>
      <c r="H49" s="1882"/>
      <c r="I49" s="1882"/>
      <c r="J49" s="1013"/>
      <c r="K49" s="1882"/>
      <c r="L49" s="1013"/>
      <c r="M49" s="1882" t="s">
        <v>14</v>
      </c>
      <c r="O49" s="1036"/>
      <c r="Q49" s="1882"/>
      <c r="R49" s="1882"/>
      <c r="S49" s="1882"/>
      <c r="U49" s="2176"/>
      <c r="V49" s="525"/>
      <c r="W49" s="526"/>
    </row>
    <row r="50" spans="1:23">
      <c r="A50" s="457" t="s">
        <v>398</v>
      </c>
      <c r="C50" s="1882">
        <v>11235678</v>
      </c>
      <c r="D50" s="1013"/>
      <c r="E50" s="1882">
        <v>0</v>
      </c>
      <c r="F50" s="1013"/>
      <c r="G50" s="1882">
        <f t="shared" si="0"/>
        <v>0</v>
      </c>
      <c r="H50" s="1882"/>
      <c r="I50" s="1882">
        <v>0</v>
      </c>
      <c r="J50" s="1013"/>
      <c r="K50" s="1882">
        <v>463381</v>
      </c>
      <c r="L50" s="1013"/>
      <c r="M50" s="1882">
        <f>ROUND(SUM(C50)-SUM(K50)+SUM(G50),0)</f>
        <v>10772297</v>
      </c>
      <c r="O50" s="1036"/>
      <c r="Q50" s="1882">
        <v>25060</v>
      </c>
      <c r="R50" s="1882"/>
      <c r="S50" s="1882">
        <v>174684</v>
      </c>
      <c r="T50" s="460"/>
      <c r="U50" s="584"/>
      <c r="V50" s="525"/>
      <c r="W50" s="526"/>
    </row>
    <row r="51" spans="1:23">
      <c r="C51" s="1882"/>
      <c r="D51" s="1013"/>
      <c r="E51" s="1882"/>
      <c r="F51" s="1013"/>
      <c r="G51" s="1882" t="s">
        <v>14</v>
      </c>
      <c r="H51" s="1882"/>
      <c r="I51" s="1882"/>
      <c r="J51" s="1013"/>
      <c r="K51" s="1882"/>
      <c r="L51" s="1013"/>
      <c r="M51" s="1882" t="s">
        <v>14</v>
      </c>
      <c r="O51" s="1036"/>
      <c r="Q51" s="1882"/>
      <c r="R51" s="1882"/>
      <c r="S51" s="1882"/>
      <c r="U51" s="2177"/>
      <c r="V51" s="525"/>
      <c r="W51" s="526"/>
    </row>
    <row r="52" spans="1:23">
      <c r="A52" s="457" t="s">
        <v>399</v>
      </c>
      <c r="C52" s="1882">
        <v>0</v>
      </c>
      <c r="D52" s="1013"/>
      <c r="E52" s="1882">
        <v>0</v>
      </c>
      <c r="F52" s="1013"/>
      <c r="G52" s="1882">
        <f t="shared" si="0"/>
        <v>0</v>
      </c>
      <c r="H52" s="1882"/>
      <c r="I52" s="1882">
        <v>0</v>
      </c>
      <c r="J52" s="1013"/>
      <c r="K52" s="1882">
        <v>0</v>
      </c>
      <c r="L52" s="1013"/>
      <c r="M52" s="1882">
        <f>ROUND(SUM(C52)-SUM(K52)+SUM(G52),0)</f>
        <v>0</v>
      </c>
      <c r="O52" s="1036"/>
      <c r="Q52" s="1882">
        <v>0</v>
      </c>
      <c r="R52" s="1882"/>
      <c r="S52" s="1882">
        <v>0</v>
      </c>
      <c r="T52" s="460"/>
      <c r="U52" s="584"/>
      <c r="V52" s="525"/>
      <c r="W52" s="526"/>
    </row>
    <row r="53" spans="1:23">
      <c r="C53" s="1882"/>
      <c r="D53" s="1013"/>
      <c r="E53" s="1882"/>
      <c r="F53" s="1013"/>
      <c r="G53" s="1882" t="s">
        <v>14</v>
      </c>
      <c r="H53" s="1882"/>
      <c r="I53" s="1882"/>
      <c r="J53" s="1013"/>
      <c r="K53" s="1882"/>
      <c r="L53" s="1013"/>
      <c r="M53" s="1882" t="s">
        <v>14</v>
      </c>
      <c r="O53" s="1036"/>
      <c r="Q53" s="1882"/>
      <c r="R53" s="1882"/>
      <c r="S53" s="1882"/>
      <c r="U53" s="462"/>
      <c r="V53" s="525"/>
      <c r="W53" s="526"/>
    </row>
    <row r="54" spans="1:23">
      <c r="A54" s="457" t="s">
        <v>400</v>
      </c>
      <c r="C54" s="1882"/>
      <c r="D54" s="1014"/>
      <c r="E54" s="1883"/>
      <c r="F54" s="1014"/>
      <c r="G54" s="1882" t="s">
        <v>14</v>
      </c>
      <c r="H54" s="1883"/>
      <c r="I54" s="1883"/>
      <c r="J54" s="1014"/>
      <c r="K54" s="1883" t="s">
        <v>14</v>
      </c>
      <c r="L54" s="1014"/>
      <c r="M54" s="1882" t="s">
        <v>14</v>
      </c>
      <c r="O54" s="1036"/>
      <c r="Q54" s="1882"/>
      <c r="R54" s="1882"/>
      <c r="S54" s="1882"/>
      <c r="U54" s="2176"/>
      <c r="V54" s="525"/>
      <c r="W54" s="526"/>
    </row>
    <row r="55" spans="1:23">
      <c r="A55" s="457" t="s">
        <v>401</v>
      </c>
      <c r="C55" s="1882">
        <v>467792448</v>
      </c>
      <c r="D55" s="1014"/>
      <c r="E55" s="1883">
        <v>0</v>
      </c>
      <c r="F55" s="1014"/>
      <c r="G55" s="1882">
        <f t="shared" si="0"/>
        <v>0</v>
      </c>
      <c r="H55" s="1883"/>
      <c r="I55" s="1883">
        <v>0</v>
      </c>
      <c r="J55" s="1014"/>
      <c r="K55" s="1883">
        <v>0</v>
      </c>
      <c r="L55" s="1014" t="s">
        <v>14</v>
      </c>
      <c r="M55" s="1882">
        <f t="shared" ref="M55:M60" si="1">ROUND(SUM(C55)-SUM(K55)+SUM(G55),0)</f>
        <v>467792448</v>
      </c>
      <c r="O55" s="1036"/>
      <c r="Q55" s="1882">
        <v>3970983</v>
      </c>
      <c r="R55" s="1882"/>
      <c r="S55" s="1882">
        <v>6461145</v>
      </c>
      <c r="T55" s="2178"/>
      <c r="U55" s="584"/>
      <c r="V55" s="525"/>
      <c r="W55" s="526"/>
    </row>
    <row r="56" spans="1:23">
      <c r="A56" s="457" t="s">
        <v>402</v>
      </c>
      <c r="C56" s="1882">
        <v>4344370</v>
      </c>
      <c r="D56" s="1014"/>
      <c r="E56" s="1883">
        <v>0</v>
      </c>
      <c r="F56" s="1014"/>
      <c r="G56" s="1882">
        <f t="shared" si="0"/>
        <v>0</v>
      </c>
      <c r="H56" s="1883"/>
      <c r="I56" s="1883">
        <v>0</v>
      </c>
      <c r="J56" s="1014" t="s">
        <v>14</v>
      </c>
      <c r="K56" s="1883">
        <v>0</v>
      </c>
      <c r="L56" s="1014"/>
      <c r="M56" s="1882">
        <f t="shared" si="1"/>
        <v>4344370</v>
      </c>
      <c r="O56" s="1036"/>
      <c r="Q56" s="1882">
        <v>36008</v>
      </c>
      <c r="R56" s="1882" t="s">
        <v>14</v>
      </c>
      <c r="S56" s="1882">
        <v>81681</v>
      </c>
      <c r="T56" s="2178" t="s">
        <v>14</v>
      </c>
      <c r="U56" s="584"/>
      <c r="V56" s="525"/>
      <c r="W56" s="526"/>
    </row>
    <row r="57" spans="1:23">
      <c r="A57" s="457" t="s">
        <v>403</v>
      </c>
      <c r="C57" s="1882">
        <v>37453431</v>
      </c>
      <c r="D57" s="1014"/>
      <c r="E57" s="1883">
        <v>0</v>
      </c>
      <c r="F57" s="1014"/>
      <c r="G57" s="1882">
        <f t="shared" si="0"/>
        <v>0</v>
      </c>
      <c r="H57" s="1883"/>
      <c r="I57" s="1883">
        <v>0</v>
      </c>
      <c r="J57" s="1014"/>
      <c r="K57" s="1883">
        <v>0</v>
      </c>
      <c r="L57" s="1014"/>
      <c r="M57" s="1882">
        <f t="shared" si="1"/>
        <v>37453431</v>
      </c>
      <c r="O57" s="1036"/>
      <c r="Q57" s="1882">
        <v>141410</v>
      </c>
      <c r="R57" s="1882" t="s">
        <v>14</v>
      </c>
      <c r="S57" s="1882">
        <v>504739</v>
      </c>
      <c r="T57" s="2178" t="s">
        <v>14</v>
      </c>
      <c r="U57" s="584"/>
      <c r="V57" s="525"/>
      <c r="W57" s="526"/>
    </row>
    <row r="58" spans="1:23">
      <c r="A58" s="457" t="s">
        <v>404</v>
      </c>
      <c r="C58" s="1882">
        <v>79123739</v>
      </c>
      <c r="D58" s="1014"/>
      <c r="E58" s="1883">
        <v>0</v>
      </c>
      <c r="F58" s="1014"/>
      <c r="G58" s="1882">
        <f t="shared" si="0"/>
        <v>0</v>
      </c>
      <c r="H58" s="1883"/>
      <c r="I58" s="1883">
        <v>0</v>
      </c>
      <c r="J58" s="1014"/>
      <c r="K58" s="1883">
        <v>0</v>
      </c>
      <c r="L58" s="1014"/>
      <c r="M58" s="1882">
        <f t="shared" si="1"/>
        <v>79123739</v>
      </c>
      <c r="O58" s="1036"/>
      <c r="Q58" s="1882">
        <v>236681</v>
      </c>
      <c r="R58" s="1882"/>
      <c r="S58" s="1882">
        <v>1167726</v>
      </c>
      <c r="T58" s="2178" t="s">
        <v>14</v>
      </c>
      <c r="U58" s="584"/>
      <c r="V58" s="525"/>
      <c r="W58" s="526"/>
    </row>
    <row r="59" spans="1:23">
      <c r="A59" s="457" t="s">
        <v>405</v>
      </c>
      <c r="C59" s="1882">
        <v>10562486</v>
      </c>
      <c r="D59" s="1014"/>
      <c r="E59" s="1883">
        <v>0</v>
      </c>
      <c r="F59" s="1014"/>
      <c r="G59" s="1882">
        <f t="shared" si="0"/>
        <v>0</v>
      </c>
      <c r="H59" s="1883"/>
      <c r="I59" s="1883">
        <v>0</v>
      </c>
      <c r="J59" s="1014"/>
      <c r="K59" s="1883">
        <v>0</v>
      </c>
      <c r="L59" s="1014"/>
      <c r="M59" s="1882">
        <f t="shared" si="1"/>
        <v>10562486</v>
      </c>
      <c r="O59" s="1036"/>
      <c r="Q59" s="1882">
        <v>176082</v>
      </c>
      <c r="R59" s="1882" t="s">
        <v>14</v>
      </c>
      <c r="S59" s="1882">
        <v>207086</v>
      </c>
      <c r="T59" s="2178" t="s">
        <v>14</v>
      </c>
      <c r="U59" s="584"/>
      <c r="V59" s="525"/>
      <c r="W59" s="526"/>
    </row>
    <row r="60" spans="1:23">
      <c r="A60" s="457" t="s">
        <v>765</v>
      </c>
      <c r="C60" s="1882">
        <v>642588088</v>
      </c>
      <c r="D60" s="1013"/>
      <c r="E60" s="1882">
        <v>0</v>
      </c>
      <c r="F60" s="1013"/>
      <c r="G60" s="1882">
        <f t="shared" si="0"/>
        <v>0</v>
      </c>
      <c r="H60" s="1882"/>
      <c r="I60" s="1882">
        <v>0</v>
      </c>
      <c r="J60" s="1013" t="s">
        <v>14</v>
      </c>
      <c r="K60" s="1882">
        <v>0</v>
      </c>
      <c r="L60" s="1013"/>
      <c r="M60" s="1882">
        <f t="shared" si="1"/>
        <v>642588088</v>
      </c>
      <c r="O60" s="1036"/>
      <c r="Q60" s="1882">
        <v>4577423</v>
      </c>
      <c r="R60" s="1882"/>
      <c r="S60" s="1882">
        <v>9421664</v>
      </c>
      <c r="T60" s="2178"/>
      <c r="U60" s="584"/>
      <c r="V60" s="525"/>
      <c r="W60" s="526"/>
    </row>
    <row r="61" spans="1:23">
      <c r="C61" s="1882"/>
      <c r="D61" s="1013"/>
      <c r="E61" s="1882"/>
      <c r="F61" s="1013"/>
      <c r="G61" s="1882" t="s">
        <v>14</v>
      </c>
      <c r="H61" s="1882"/>
      <c r="I61" s="1882"/>
      <c r="J61" s="1013"/>
      <c r="K61" s="1882"/>
      <c r="L61" s="1013"/>
      <c r="M61" s="1882" t="s">
        <v>14</v>
      </c>
      <c r="O61" s="1036"/>
      <c r="Q61" s="1882"/>
      <c r="R61" s="1882"/>
      <c r="S61" s="1882"/>
      <c r="U61" s="462"/>
      <c r="V61" s="525"/>
      <c r="W61" s="526"/>
    </row>
    <row r="62" spans="1:23">
      <c r="A62" s="457" t="s">
        <v>766</v>
      </c>
      <c r="C62" s="1882"/>
      <c r="D62" s="1013"/>
      <c r="E62" s="1882"/>
      <c r="F62" s="1013"/>
      <c r="G62" s="1882" t="s">
        <v>14</v>
      </c>
      <c r="H62" s="1882"/>
      <c r="I62" s="1882"/>
      <c r="J62" s="1013"/>
      <c r="K62" s="1882"/>
      <c r="L62" s="1013"/>
      <c r="M62" s="1882" t="s">
        <v>14</v>
      </c>
      <c r="O62" s="1036"/>
      <c r="Q62" s="1882"/>
      <c r="R62" s="1882"/>
      <c r="S62" s="1882"/>
      <c r="U62" s="2176"/>
      <c r="V62" s="525"/>
      <c r="W62" s="460"/>
    </row>
    <row r="63" spans="1:23">
      <c r="A63" s="457" t="s">
        <v>858</v>
      </c>
      <c r="C63" s="1882">
        <v>6221</v>
      </c>
      <c r="D63" s="1013"/>
      <c r="E63" s="1882">
        <v>0</v>
      </c>
      <c r="F63" s="1013"/>
      <c r="G63" s="1882">
        <f t="shared" si="0"/>
        <v>0</v>
      </c>
      <c r="H63" s="1882"/>
      <c r="I63" s="1882">
        <v>0</v>
      </c>
      <c r="J63" s="1013"/>
      <c r="K63" s="1882">
        <v>0</v>
      </c>
      <c r="L63" s="1013"/>
      <c r="M63" s="1882">
        <f>ROUND(SUM(C63)-SUM(K63)+SUM(G63),0)</f>
        <v>6221</v>
      </c>
      <c r="O63" s="1036"/>
      <c r="Q63" s="1882">
        <v>156</v>
      </c>
      <c r="R63" s="1882"/>
      <c r="S63" s="1882">
        <v>156</v>
      </c>
      <c r="T63" s="460" t="s">
        <v>14</v>
      </c>
      <c r="U63" s="584"/>
      <c r="V63" s="525"/>
      <c r="W63" s="526"/>
    </row>
    <row r="64" spans="1:23">
      <c r="A64" s="662" t="s">
        <v>831</v>
      </c>
      <c r="C64" s="1882">
        <v>798264</v>
      </c>
      <c r="D64" s="1013"/>
      <c r="E64" s="1882">
        <v>0</v>
      </c>
      <c r="F64" s="1013"/>
      <c r="G64" s="1882">
        <f t="shared" si="0"/>
        <v>0</v>
      </c>
      <c r="H64" s="1882"/>
      <c r="I64" s="1882">
        <v>0</v>
      </c>
      <c r="J64" s="1013"/>
      <c r="K64" s="1882">
        <v>383447</v>
      </c>
      <c r="L64" s="1013"/>
      <c r="M64" s="1882">
        <f>ROUND(SUM(C64)-SUM(K64)+SUM(G64),0)</f>
        <v>414817</v>
      </c>
      <c r="O64" s="1036"/>
      <c r="Q64" s="2179">
        <v>0</v>
      </c>
      <c r="R64" s="2179"/>
      <c r="S64" s="2179">
        <v>18263</v>
      </c>
      <c r="T64" s="460" t="s">
        <v>14</v>
      </c>
      <c r="U64" s="584"/>
      <c r="V64" s="525"/>
      <c r="W64" s="526"/>
    </row>
    <row r="65" spans="1:23" ht="13.5" customHeight="1">
      <c r="C65" s="1882"/>
      <c r="D65" s="1013"/>
      <c r="E65" s="1882"/>
      <c r="F65" s="1013"/>
      <c r="G65" s="1882" t="s">
        <v>14</v>
      </c>
      <c r="H65" s="1882"/>
      <c r="I65" s="1882"/>
      <c r="J65" s="1013"/>
      <c r="K65" s="1882"/>
      <c r="L65" s="1013"/>
      <c r="M65" s="1882" t="s">
        <v>14</v>
      </c>
      <c r="O65" s="1036"/>
      <c r="Q65" s="1882"/>
      <c r="R65" s="1882"/>
      <c r="S65" s="1882"/>
      <c r="T65" s="457" t="s">
        <v>14</v>
      </c>
      <c r="U65" s="462"/>
      <c r="V65" s="525"/>
      <c r="W65" s="526"/>
    </row>
    <row r="66" spans="1:23">
      <c r="A66" s="457" t="s">
        <v>1122</v>
      </c>
      <c r="C66" s="1882">
        <v>244247633</v>
      </c>
      <c r="D66" s="1013"/>
      <c r="E66" s="1882">
        <v>0</v>
      </c>
      <c r="F66" s="1013"/>
      <c r="G66" s="1882">
        <f t="shared" si="0"/>
        <v>0</v>
      </c>
      <c r="H66" s="1882"/>
      <c r="I66" s="1882">
        <v>0</v>
      </c>
      <c r="J66" s="1013"/>
      <c r="K66" s="1882">
        <v>0</v>
      </c>
      <c r="L66" s="1013"/>
      <c r="M66" s="1882">
        <f>ROUND(SUM(C66)-SUM(K66)+SUM(G66),0)</f>
        <v>244247633</v>
      </c>
      <c r="O66" s="1036"/>
      <c r="Q66" s="1882">
        <v>3577463</v>
      </c>
      <c r="R66" s="1882"/>
      <c r="S66" s="1882">
        <v>4812959</v>
      </c>
      <c r="T66" s="460"/>
      <c r="U66" s="584"/>
      <c r="V66" s="525"/>
      <c r="W66" s="526"/>
    </row>
    <row r="67" spans="1:23" ht="13.5" customHeight="1">
      <c r="C67" s="1882"/>
      <c r="D67" s="1013"/>
      <c r="E67" s="1882"/>
      <c r="F67" s="1013"/>
      <c r="G67" s="1882" t="s">
        <v>14</v>
      </c>
      <c r="H67" s="1882"/>
      <c r="I67" s="1882"/>
      <c r="J67" s="1013"/>
      <c r="K67" s="1882"/>
      <c r="L67" s="1013"/>
      <c r="M67" s="1882" t="s">
        <v>14</v>
      </c>
      <c r="O67" s="1036"/>
      <c r="Q67" s="1882"/>
      <c r="R67" s="1882"/>
      <c r="S67" s="1882"/>
      <c r="U67" s="462"/>
      <c r="V67" s="525"/>
      <c r="W67" s="526"/>
    </row>
    <row r="68" spans="1:23">
      <c r="A68" s="457" t="s">
        <v>406</v>
      </c>
      <c r="C68" s="1882"/>
      <c r="D68" s="1013"/>
      <c r="E68" s="1882"/>
      <c r="F68" s="1013"/>
      <c r="G68" s="1882"/>
      <c r="H68" s="1882"/>
      <c r="I68" s="1882"/>
      <c r="J68" s="1013"/>
      <c r="K68" s="1882"/>
      <c r="L68" s="1013"/>
      <c r="M68" s="1882" t="s">
        <v>14</v>
      </c>
      <c r="O68" s="1036"/>
      <c r="Q68" s="1882"/>
      <c r="R68" s="1882"/>
      <c r="S68" s="1882"/>
      <c r="U68" s="2176"/>
      <c r="V68" s="525"/>
      <c r="W68" s="460"/>
    </row>
    <row r="69" spans="1:23">
      <c r="A69" s="457" t="s">
        <v>403</v>
      </c>
      <c r="C69" s="1882">
        <v>498510</v>
      </c>
      <c r="D69" s="1013"/>
      <c r="E69" s="1882">
        <v>0</v>
      </c>
      <c r="F69" s="1013"/>
      <c r="G69" s="1882">
        <f t="shared" si="0"/>
        <v>0</v>
      </c>
      <c r="H69" s="1882"/>
      <c r="I69" s="1882">
        <v>0</v>
      </c>
      <c r="J69" s="1013"/>
      <c r="K69" s="1882">
        <v>350911</v>
      </c>
      <c r="L69" s="1013"/>
      <c r="M69" s="1882">
        <f>ROUND(SUM(C69)-SUM(K69)+SUM(G69),0)</f>
        <v>147599</v>
      </c>
      <c r="O69" s="1036"/>
      <c r="Q69" s="1882">
        <v>0</v>
      </c>
      <c r="R69" s="1882"/>
      <c r="S69" s="1882">
        <v>11909</v>
      </c>
      <c r="T69" s="460" t="s">
        <v>14</v>
      </c>
      <c r="U69" s="584"/>
      <c r="V69" s="525"/>
      <c r="W69" s="526"/>
    </row>
    <row r="70" spans="1:23">
      <c r="A70" s="457" t="s">
        <v>407</v>
      </c>
      <c r="C70" s="1882">
        <v>0</v>
      </c>
      <c r="D70" s="1013"/>
      <c r="E70" s="1882">
        <v>0</v>
      </c>
      <c r="F70" s="1013"/>
      <c r="G70" s="1882">
        <f t="shared" si="0"/>
        <v>0</v>
      </c>
      <c r="H70" s="1882"/>
      <c r="I70" s="1882">
        <v>0</v>
      </c>
      <c r="J70" s="1013"/>
      <c r="K70" s="1013">
        <v>0</v>
      </c>
      <c r="L70" s="1013"/>
      <c r="M70" s="1882">
        <f>ROUND(SUM(C70)-SUM(K70)+SUM(G70),0)</f>
        <v>0</v>
      </c>
      <c r="O70" s="1036"/>
      <c r="Q70" s="1882">
        <v>0</v>
      </c>
      <c r="R70" s="1882"/>
      <c r="S70" s="1882">
        <v>0</v>
      </c>
      <c r="T70" s="460"/>
      <c r="U70" s="584"/>
      <c r="V70" s="525"/>
      <c r="W70" s="526"/>
    </row>
    <row r="71" spans="1:23">
      <c r="D71" s="460"/>
      <c r="E71" s="1884"/>
      <c r="F71" s="460"/>
      <c r="G71" s="1884"/>
      <c r="H71" s="1884"/>
      <c r="I71" s="1884"/>
      <c r="J71" s="1884"/>
      <c r="K71" s="1884"/>
      <c r="L71" s="1884"/>
      <c r="M71" s="1884"/>
      <c r="O71" s="1036"/>
      <c r="Q71" s="2176"/>
      <c r="S71" s="1012"/>
    </row>
    <row r="72" spans="1:23" ht="15" customHeight="1" thickBot="1">
      <c r="A72" s="459" t="s">
        <v>408</v>
      </c>
      <c r="B72" s="1037"/>
      <c r="C72" s="1885">
        <f>ROUND(SUM(C16:C70),2)</f>
        <v>1835094999</v>
      </c>
      <c r="D72" s="1309"/>
      <c r="E72" s="1885">
        <f>ROUND(SUM(E16:E71),2)</f>
        <v>0</v>
      </c>
      <c r="F72" s="1309"/>
      <c r="G72" s="1885">
        <f>ROUND(SUM(G16:G70),2)</f>
        <v>0</v>
      </c>
      <c r="H72" s="1037"/>
      <c r="I72" s="1885">
        <f>ROUND(SUM(I16:I70),2)</f>
        <v>0</v>
      </c>
      <c r="J72" s="1037"/>
      <c r="K72" s="1885">
        <f>ROUND(SUM(K16:K70),0)</f>
        <v>14160000</v>
      </c>
      <c r="L72" s="1037"/>
      <c r="M72" s="1885">
        <f>ROUND(SUM(M16:M70),2)</f>
        <v>1820934999</v>
      </c>
      <c r="N72" s="459"/>
      <c r="O72" s="2180"/>
      <c r="P72" s="1037"/>
      <c r="Q72" s="1885">
        <f>ROUND(SUM(Q16:Q70),2)</f>
        <v>14615868</v>
      </c>
      <c r="R72" s="1037"/>
      <c r="S72" s="1885">
        <f>ROUND(SUM(S16:S70),0)</f>
        <v>27657024</v>
      </c>
      <c r="T72" s="1038"/>
      <c r="U72" s="1309"/>
      <c r="V72" s="565"/>
      <c r="W72" s="565"/>
    </row>
    <row r="73" spans="1:23" ht="15" customHeight="1" thickTop="1">
      <c r="A73" s="1039"/>
      <c r="B73" s="1040"/>
      <c r="C73" s="637"/>
      <c r="D73" s="1038"/>
      <c r="E73" s="566"/>
      <c r="F73" s="1038"/>
      <c r="G73" s="566"/>
      <c r="H73" s="1040"/>
      <c r="I73" s="1038"/>
      <c r="J73" s="1040"/>
      <c r="K73" s="2181"/>
      <c r="L73" s="1040"/>
      <c r="M73" s="637"/>
      <c r="N73" s="459"/>
      <c r="O73" s="459"/>
      <c r="P73" s="1040"/>
      <c r="Q73" s="2181"/>
      <c r="R73" s="1040"/>
      <c r="S73" s="1038"/>
      <c r="U73" s="463"/>
      <c r="V73" s="463"/>
      <c r="W73" s="463"/>
    </row>
    <row r="74" spans="1:23">
      <c r="A74" s="2064"/>
      <c r="I74" s="457"/>
      <c r="K74" s="1881" t="s">
        <v>14</v>
      </c>
      <c r="P74" s="527"/>
    </row>
    <row r="75" spans="1:23">
      <c r="A75" s="527"/>
      <c r="C75" s="584" t="s">
        <v>14</v>
      </c>
      <c r="D75" s="457" t="s">
        <v>1109</v>
      </c>
      <c r="H75" s="525"/>
      <c r="I75" s="1881" t="s">
        <v>14</v>
      </c>
      <c r="J75" s="525"/>
      <c r="K75" s="1881" t="s">
        <v>14</v>
      </c>
      <c r="L75" s="526"/>
      <c r="M75" s="584" t="s">
        <v>14</v>
      </c>
      <c r="P75" s="526"/>
      <c r="Q75" s="1011"/>
      <c r="R75" s="460"/>
      <c r="S75" s="1011"/>
    </row>
    <row r="76" spans="1:23">
      <c r="A76" s="465"/>
      <c r="C76" s="584" t="s">
        <v>14</v>
      </c>
      <c r="E76" s="1041"/>
      <c r="G76" s="464"/>
      <c r="I76" s="462"/>
      <c r="K76" s="462" t="s">
        <v>14</v>
      </c>
      <c r="Q76" s="460"/>
      <c r="S76" s="460"/>
      <c r="T76" s="2182"/>
    </row>
    <row r="77" spans="1:23">
      <c r="C77" s="584" t="s">
        <v>14</v>
      </c>
      <c r="K77" s="2183"/>
      <c r="Q77" s="527"/>
    </row>
    <row r="78" spans="1:23">
      <c r="C78" s="584" t="s">
        <v>14</v>
      </c>
      <c r="D78" s="460"/>
      <c r="E78" s="461"/>
      <c r="F78" s="460"/>
      <c r="G78" s="461"/>
      <c r="I78" s="462"/>
      <c r="K78" s="462" t="s">
        <v>14</v>
      </c>
      <c r="M78" s="2184"/>
      <c r="Q78" s="2185"/>
      <c r="S78" s="460"/>
    </row>
    <row r="79" spans="1:23">
      <c r="C79" s="584" t="s">
        <v>14</v>
      </c>
      <c r="D79" s="460"/>
      <c r="E79" s="461"/>
      <c r="F79" s="460"/>
      <c r="G79" s="526"/>
      <c r="I79" s="462"/>
      <c r="K79" s="462"/>
      <c r="M79" s="2186"/>
      <c r="Q79" s="526"/>
      <c r="S79" s="460"/>
    </row>
    <row r="80" spans="1:23">
      <c r="D80" s="460"/>
      <c r="E80" s="461"/>
      <c r="F80" s="460"/>
      <c r="G80" s="460"/>
      <c r="I80" s="462"/>
      <c r="K80" s="462"/>
      <c r="Q80" s="2177"/>
      <c r="S80" s="460"/>
    </row>
    <row r="81" spans="1:20">
      <c r="D81" s="460"/>
      <c r="E81" s="461"/>
      <c r="F81" s="460"/>
      <c r="G81" s="461"/>
      <c r="I81" s="462"/>
      <c r="K81" s="462"/>
      <c r="M81" s="2184"/>
      <c r="Q81" s="2185"/>
      <c r="S81" s="460"/>
      <c r="T81" s="2182"/>
    </row>
    <row r="82" spans="1:20">
      <c r="D82" s="460"/>
      <c r="E82" s="461"/>
      <c r="F82" s="460"/>
      <c r="G82" s="461"/>
      <c r="I82" s="462"/>
      <c r="K82" s="462"/>
      <c r="M82" s="2184"/>
      <c r="Q82" s="2185"/>
      <c r="S82" s="460"/>
    </row>
    <row r="83" spans="1:20">
      <c r="D83" s="460"/>
      <c r="E83" s="461"/>
      <c r="F83" s="460"/>
      <c r="G83" s="526"/>
      <c r="I83" s="462"/>
      <c r="K83" s="462"/>
      <c r="M83" s="2186"/>
      <c r="Q83" s="526"/>
      <c r="S83" s="460"/>
    </row>
    <row r="84" spans="1:20">
      <c r="D84" s="460"/>
      <c r="E84" s="461"/>
      <c r="F84" s="460"/>
      <c r="G84" s="460"/>
      <c r="I84" s="462"/>
      <c r="K84" s="462"/>
      <c r="Q84" s="2177"/>
      <c r="S84" s="460"/>
    </row>
    <row r="85" spans="1:20">
      <c r="D85" s="460"/>
      <c r="E85" s="461"/>
      <c r="F85" s="460"/>
      <c r="G85" s="461"/>
      <c r="I85" s="462"/>
      <c r="K85" s="462"/>
      <c r="M85" s="2184"/>
      <c r="Q85" s="2185"/>
      <c r="S85" s="460"/>
    </row>
    <row r="86" spans="1:20">
      <c r="C86" s="637"/>
      <c r="D86" s="463"/>
      <c r="E86" s="566"/>
      <c r="F86" s="463"/>
      <c r="G86" s="566"/>
      <c r="H86" s="459"/>
      <c r="I86" s="2187"/>
      <c r="J86" s="459"/>
      <c r="K86" s="2187"/>
      <c r="L86" s="459"/>
      <c r="M86" s="2188"/>
      <c r="N86" s="459"/>
      <c r="O86" s="459"/>
      <c r="P86" s="459"/>
      <c r="Q86" s="566"/>
      <c r="R86" s="459"/>
      <c r="S86" s="463"/>
    </row>
    <row r="87" spans="1:20">
      <c r="A87" s="459"/>
      <c r="C87" s="637"/>
      <c r="D87" s="463"/>
      <c r="E87" s="463"/>
      <c r="F87" s="463"/>
      <c r="G87" s="463"/>
      <c r="H87" s="459"/>
      <c r="I87" s="2187"/>
      <c r="J87" s="459"/>
      <c r="K87" s="2187"/>
      <c r="L87" s="459"/>
      <c r="M87" s="637"/>
      <c r="N87" s="459"/>
      <c r="O87" s="459"/>
      <c r="P87" s="459"/>
      <c r="Q87" s="463"/>
      <c r="R87" s="459"/>
      <c r="S87" s="463"/>
    </row>
    <row r="88" spans="1:20">
      <c r="A88" s="459"/>
    </row>
    <row r="89" spans="1:20">
      <c r="C89" s="1888"/>
      <c r="D89" s="527"/>
      <c r="F89" s="527"/>
    </row>
    <row r="90" spans="1:20">
      <c r="C90" s="1889"/>
      <c r="D90" s="465"/>
      <c r="F90" s="465"/>
    </row>
    <row r="91" spans="1:20">
      <c r="E91" s="1015"/>
      <c r="G91" s="528"/>
    </row>
    <row r="92" spans="1:20">
      <c r="E92" s="1042"/>
      <c r="G92" s="464"/>
    </row>
  </sheetData>
  <mergeCells count="1">
    <mergeCell ref="E9:G9"/>
  </mergeCells>
  <pageMargins left="0.5" right="0.5" top="0.5" bottom="0.25" header="0.3" footer="0.3"/>
  <pageSetup scale="56" firstPageNumber="44" orientation="landscape" useFirstPageNumber="1" r:id="rId1"/>
  <headerFooter scaleWithDoc="0" alignWithMargins="0">
    <oddFooter>&amp;C&amp;8&amp;P</oddFooter>
  </headerFooter>
  <rowBreaks count="1" manualBreakCount="1">
    <brk id="2" max="21" man="1"/>
  </rowBreaks>
  <colBreaks count="1" manualBreakCount="1">
    <brk id="17" min="2" max="64" man="1"/>
  </colBreaks>
  <customProperties>
    <customPr name="SheetOptions" r:id="rId2"/>
  </customPropertie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U40"/>
  <sheetViews>
    <sheetView showGridLines="0" zoomScale="80" zoomScaleNormal="80" workbookViewId="0"/>
  </sheetViews>
  <sheetFormatPr defaultColWidth="8.88671875" defaultRowHeight="12.75"/>
  <cols>
    <col min="1" max="1" width="3.88671875" style="1043" customWidth="1"/>
    <col min="2" max="2" width="43.88671875" style="1043" customWidth="1"/>
    <col min="3" max="3" width="2.109375" style="1043" customWidth="1"/>
    <col min="4" max="4" width="13.88671875" style="1043" customWidth="1"/>
    <col min="5" max="5" width="2.109375" style="1043" customWidth="1"/>
    <col min="6" max="6" width="24" style="1043" bestFit="1" customWidth="1"/>
    <col min="7" max="7" width="2.109375" style="1043" customWidth="1"/>
    <col min="8" max="8" width="20.109375" style="1043" customWidth="1"/>
    <col min="9" max="9" width="2.109375" style="1043" customWidth="1"/>
    <col min="10" max="10" width="19.88671875" style="1043" bestFit="1" customWidth="1"/>
    <col min="11" max="11" width="2.109375" style="1043" customWidth="1"/>
    <col min="12" max="12" width="18.44140625" style="1043" bestFit="1" customWidth="1"/>
    <col min="13" max="13" width="2.109375" style="1043" customWidth="1"/>
    <col min="14" max="14" width="19.88671875" style="1043" customWidth="1"/>
    <col min="15" max="15" width="2.109375" style="1043" customWidth="1"/>
    <col min="16" max="16" width="19.88671875" style="1043" bestFit="1" customWidth="1"/>
    <col min="17" max="17" width="2.109375" style="1043" customWidth="1"/>
    <col min="18" max="18" width="20.88671875" style="1043" bestFit="1" customWidth="1"/>
    <col min="19" max="19" width="17.109375" style="1043" customWidth="1"/>
    <col min="20" max="20" width="18.5546875" style="1043" customWidth="1"/>
    <col min="21" max="21" width="35.109375" style="1043" bestFit="1" customWidth="1"/>
    <col min="22" max="16384" width="8.88671875" style="1043"/>
  </cols>
  <sheetData>
    <row r="1" spans="1:19" ht="15">
      <c r="B1" s="675" t="s">
        <v>841</v>
      </c>
    </row>
    <row r="2" spans="1:19" ht="16.5">
      <c r="B2" s="1246"/>
      <c r="C2" s="1246"/>
      <c r="D2" s="1246"/>
      <c r="E2" s="1246"/>
      <c r="F2" s="1246"/>
      <c r="G2" s="1246"/>
      <c r="H2" s="1246"/>
      <c r="I2" s="1246"/>
      <c r="J2" s="1246"/>
      <c r="K2" s="1246"/>
      <c r="L2" s="1246"/>
      <c r="M2" s="1246"/>
      <c r="N2" s="1246"/>
      <c r="O2" s="1246"/>
      <c r="P2" s="1246"/>
      <c r="Q2" s="1246"/>
      <c r="R2" s="1246"/>
      <c r="S2" s="1246"/>
    </row>
    <row r="3" spans="1:19" ht="18">
      <c r="A3" s="1044"/>
      <c r="B3" s="1247" t="s">
        <v>0</v>
      </c>
      <c r="C3" s="1248"/>
      <c r="D3" s="1248"/>
      <c r="E3" s="1248"/>
      <c r="F3" s="1246"/>
      <c r="G3" s="1246"/>
      <c r="H3" s="1246"/>
      <c r="I3" s="1246"/>
      <c r="J3" s="1246"/>
      <c r="K3" s="1246"/>
      <c r="L3" s="1246"/>
      <c r="M3" s="1246"/>
      <c r="N3" s="1246"/>
      <c r="O3" s="1246"/>
      <c r="P3" s="1246"/>
      <c r="Q3" s="1246"/>
      <c r="R3" s="1249" t="s">
        <v>409</v>
      </c>
      <c r="S3" s="1250"/>
    </row>
    <row r="4" spans="1:19" ht="18">
      <c r="A4" s="1044"/>
      <c r="B4" s="1247" t="s">
        <v>410</v>
      </c>
      <c r="C4" s="1248"/>
      <c r="D4" s="1248"/>
      <c r="E4" s="1248"/>
      <c r="F4" s="1246"/>
      <c r="G4" s="1246"/>
      <c r="H4" s="1246"/>
      <c r="I4" s="1246"/>
      <c r="J4" s="1246"/>
      <c r="K4" s="1246"/>
      <c r="L4" s="1246"/>
      <c r="M4" s="1246"/>
      <c r="N4" s="1246"/>
      <c r="O4" s="1246"/>
      <c r="P4" s="1246"/>
      <c r="Q4" s="1246"/>
      <c r="R4" s="1246"/>
      <c r="S4" s="1246"/>
    </row>
    <row r="5" spans="1:19" ht="18">
      <c r="A5" s="1044"/>
      <c r="B5" s="1247" t="s">
        <v>411</v>
      </c>
      <c r="C5" s="1248"/>
      <c r="D5" s="1248"/>
      <c r="E5" s="1248"/>
      <c r="F5" s="1246" t="s">
        <v>14</v>
      </c>
      <c r="G5" s="1246"/>
      <c r="H5" s="1246"/>
      <c r="I5" s="1246"/>
      <c r="J5" s="1246"/>
      <c r="K5" s="1246"/>
      <c r="L5" s="1246"/>
      <c r="M5" s="1246"/>
      <c r="N5" s="1246"/>
      <c r="O5" s="1246"/>
      <c r="P5" s="1246"/>
      <c r="Q5" s="1246"/>
      <c r="R5" s="1246"/>
      <c r="S5" s="1246"/>
    </row>
    <row r="6" spans="1:19" ht="18">
      <c r="A6" s="1044"/>
      <c r="B6" s="1251" t="s">
        <v>1521</v>
      </c>
      <c r="C6" s="1252"/>
      <c r="D6" s="1248"/>
      <c r="E6" s="1248"/>
      <c r="F6" s="1246"/>
      <c r="G6" s="1246"/>
      <c r="H6" s="1246"/>
      <c r="I6" s="1246"/>
      <c r="J6" s="1246"/>
      <c r="K6" s="1246"/>
      <c r="L6" s="1246"/>
      <c r="M6" s="1246"/>
      <c r="N6" s="1246"/>
      <c r="O6" s="1246"/>
      <c r="P6" s="1246"/>
      <c r="Q6" s="1246"/>
      <c r="R6" s="1246"/>
      <c r="S6" s="1246"/>
    </row>
    <row r="7" spans="1:19" ht="16.5">
      <c r="A7" s="1044"/>
      <c r="B7" s="1253"/>
      <c r="C7" s="1253"/>
      <c r="D7" s="1248"/>
      <c r="E7" s="1248"/>
      <c r="F7" s="1246"/>
      <c r="G7" s="1246"/>
      <c r="H7" s="1246"/>
      <c r="I7" s="1246"/>
      <c r="J7" s="1246"/>
      <c r="K7" s="1246"/>
      <c r="L7" s="1246"/>
      <c r="M7" s="1246"/>
      <c r="N7" s="1246"/>
      <c r="O7" s="1246"/>
      <c r="P7" s="1246"/>
      <c r="Q7" s="1246"/>
      <c r="R7" s="1246"/>
      <c r="S7" s="1246"/>
    </row>
    <row r="8" spans="1:19" ht="5.25" customHeight="1">
      <c r="B8" s="1254"/>
      <c r="C8" s="1254"/>
      <c r="D8" s="1246"/>
      <c r="E8" s="1246"/>
      <c r="F8" s="1246"/>
      <c r="G8" s="1246"/>
      <c r="H8" s="1246"/>
      <c r="I8" s="1246"/>
      <c r="J8" s="1246"/>
      <c r="K8" s="1246"/>
      <c r="L8" s="1246"/>
      <c r="M8" s="1246"/>
      <c r="N8" s="1246"/>
      <c r="O8" s="1246"/>
      <c r="P8" s="1246"/>
      <c r="Q8" s="1246"/>
      <c r="R8" s="1246"/>
      <c r="S8" s="1246"/>
    </row>
    <row r="9" spans="1:19" ht="16.5">
      <c r="B9" s="1246"/>
      <c r="C9" s="1246"/>
      <c r="E9" s="1255"/>
      <c r="F9" s="1255"/>
      <c r="G9" s="1255"/>
      <c r="H9" s="1255"/>
      <c r="I9" s="1255"/>
      <c r="J9" s="1255"/>
      <c r="K9" s="1255"/>
      <c r="L9" s="1255"/>
      <c r="M9" s="1255"/>
      <c r="N9" s="1246"/>
      <c r="O9" s="1246"/>
      <c r="P9" s="1246"/>
      <c r="Q9" s="1246"/>
      <c r="R9" s="1246"/>
      <c r="S9" s="1246"/>
    </row>
    <row r="10" spans="1:19" ht="16.5">
      <c r="B10" s="1246"/>
      <c r="C10" s="1246"/>
      <c r="D10" s="1255" t="s">
        <v>119</v>
      </c>
      <c r="E10" s="1256"/>
      <c r="F10" s="1256" t="s">
        <v>102</v>
      </c>
      <c r="G10" s="1256"/>
      <c r="H10" s="1256" t="s">
        <v>413</v>
      </c>
      <c r="I10" s="1256"/>
      <c r="J10" s="1256" t="s">
        <v>9</v>
      </c>
      <c r="K10" s="1256"/>
      <c r="L10" s="1256" t="s">
        <v>767</v>
      </c>
      <c r="M10" s="1256"/>
      <c r="N10" s="1246"/>
      <c r="O10" s="1246"/>
      <c r="P10" s="1246"/>
      <c r="Q10" s="1246"/>
      <c r="R10" s="1246"/>
      <c r="S10" s="1246"/>
    </row>
    <row r="11" spans="1:19" ht="16.5">
      <c r="B11" s="1246"/>
      <c r="C11" s="1246"/>
      <c r="D11" s="1256" t="s">
        <v>412</v>
      </c>
      <c r="E11" s="1256"/>
      <c r="F11" s="1256" t="s">
        <v>119</v>
      </c>
      <c r="G11" s="1256"/>
      <c r="H11" s="1256" t="s">
        <v>415</v>
      </c>
      <c r="I11" s="1256"/>
      <c r="J11" s="1257" t="s">
        <v>416</v>
      </c>
      <c r="K11" s="1256"/>
      <c r="L11" s="1256" t="s">
        <v>768</v>
      </c>
      <c r="M11" s="1256"/>
      <c r="N11" s="1259" t="s">
        <v>417</v>
      </c>
      <c r="O11" s="1259"/>
      <c r="P11" s="1259"/>
      <c r="Q11" s="1246"/>
      <c r="R11" s="1246"/>
      <c r="S11" s="1246"/>
    </row>
    <row r="12" spans="1:19" ht="16.5">
      <c r="B12" s="1246"/>
      <c r="C12" s="1246"/>
      <c r="D12" s="1256" t="s">
        <v>414</v>
      </c>
      <c r="E12" s="1256"/>
      <c r="F12" s="1256" t="s">
        <v>10</v>
      </c>
      <c r="G12" s="1256"/>
      <c r="H12" s="1256" t="s">
        <v>418</v>
      </c>
      <c r="I12" s="1256"/>
      <c r="J12" s="1257" t="s">
        <v>1424</v>
      </c>
      <c r="K12" s="1257"/>
      <c r="L12" s="1256" t="s">
        <v>419</v>
      </c>
      <c r="M12" s="1256"/>
      <c r="N12" s="1258" t="s">
        <v>1520</v>
      </c>
      <c r="O12" s="1258"/>
      <c r="P12" s="1258"/>
      <c r="Q12" s="1246"/>
      <c r="R12" s="1255" t="s">
        <v>769</v>
      </c>
      <c r="S12" s="1256"/>
    </row>
    <row r="13" spans="1:19" ht="16.5">
      <c r="A13" s="1045"/>
      <c r="B13" s="1260" t="s">
        <v>425</v>
      </c>
      <c r="C13" s="1248"/>
      <c r="D13" s="1261" t="s">
        <v>420</v>
      </c>
      <c r="E13" s="1256"/>
      <c r="F13" s="1261" t="s">
        <v>421</v>
      </c>
      <c r="G13" s="1256"/>
      <c r="H13" s="1262" t="s">
        <v>422</v>
      </c>
      <c r="I13" s="1256"/>
      <c r="J13" s="1263" t="s">
        <v>423</v>
      </c>
      <c r="K13" s="1256"/>
      <c r="L13" s="1263" t="s">
        <v>770</v>
      </c>
      <c r="M13" s="1256"/>
      <c r="N13" s="1264">
        <v>2023</v>
      </c>
      <c r="O13" s="1264"/>
      <c r="P13" s="1264">
        <v>2022</v>
      </c>
      <c r="Q13" s="1256"/>
      <c r="R13" s="1265" t="s">
        <v>424</v>
      </c>
      <c r="S13" s="1256"/>
    </row>
    <row r="14" spans="1:19" ht="16.5">
      <c r="B14" s="1248" t="s">
        <v>426</v>
      </c>
      <c r="C14" s="1248"/>
      <c r="D14" s="1266"/>
      <c r="E14" s="1266"/>
      <c r="F14" s="1267"/>
      <c r="G14" s="1267"/>
      <c r="H14" s="1268"/>
      <c r="I14" s="1268"/>
      <c r="J14" s="1266"/>
      <c r="K14" s="1266"/>
      <c r="L14" s="1266"/>
      <c r="M14" s="1266"/>
      <c r="N14" s="1268"/>
      <c r="O14" s="1268"/>
      <c r="P14" s="1269"/>
      <c r="Q14" s="1269"/>
      <c r="R14" s="1246"/>
      <c r="S14" s="1246"/>
    </row>
    <row r="15" spans="1:19" ht="16.5">
      <c r="A15" s="1046"/>
      <c r="B15" s="1254" t="s">
        <v>427</v>
      </c>
      <c r="C15" s="1254"/>
      <c r="D15" s="1270">
        <v>0</v>
      </c>
      <c r="E15" s="1270"/>
      <c r="F15" s="1270">
        <v>12559844</v>
      </c>
      <c r="G15" s="1270"/>
      <c r="H15" s="1270">
        <v>0</v>
      </c>
      <c r="I15" s="1270"/>
      <c r="J15" s="1270">
        <v>0</v>
      </c>
      <c r="K15" s="1270"/>
      <c r="L15" s="1270">
        <v>0</v>
      </c>
      <c r="M15" s="1270"/>
      <c r="N15" s="1270">
        <f>ROUND(SUM(D15:M15),0)</f>
        <v>12559844</v>
      </c>
      <c r="O15" s="1270"/>
      <c r="P15" s="1876">
        <v>9471406</v>
      </c>
      <c r="Q15" s="1270"/>
      <c r="R15" s="1271">
        <f>ROUND(N15-P15,0)</f>
        <v>3088438</v>
      </c>
      <c r="S15" s="1270"/>
    </row>
    <row r="16" spans="1:19" ht="16.5">
      <c r="A16" s="1046"/>
      <c r="B16" s="1246" t="s">
        <v>428</v>
      </c>
      <c r="C16" s="1246"/>
      <c r="D16" s="1272"/>
      <c r="E16" s="1272"/>
      <c r="F16" s="1272"/>
      <c r="G16" s="1272"/>
      <c r="H16" s="1272"/>
      <c r="I16" s="1272"/>
      <c r="J16" s="1272"/>
      <c r="K16" s="1273"/>
      <c r="L16" s="1272"/>
      <c r="M16" s="1273"/>
      <c r="N16" s="1273"/>
      <c r="O16" s="1273"/>
      <c r="P16" s="1877"/>
      <c r="Q16" s="1273"/>
      <c r="R16" s="1274"/>
      <c r="S16" s="1270"/>
    </row>
    <row r="17" spans="1:21" ht="16.5">
      <c r="A17" s="1046"/>
      <c r="B17" s="1246" t="s">
        <v>1089</v>
      </c>
      <c r="C17" s="1246"/>
      <c r="D17" s="1272">
        <v>0</v>
      </c>
      <c r="E17" s="1272">
        <v>0</v>
      </c>
      <c r="F17" s="1272">
        <v>0</v>
      </c>
      <c r="G17" s="1272">
        <v>0</v>
      </c>
      <c r="H17" s="1272">
        <v>0</v>
      </c>
      <c r="I17" s="1272">
        <v>0</v>
      </c>
      <c r="J17" s="1272">
        <v>0</v>
      </c>
      <c r="K17" s="1272">
        <v>0</v>
      </c>
      <c r="L17" s="1272">
        <v>0</v>
      </c>
      <c r="M17" s="1272">
        <v>0</v>
      </c>
      <c r="N17" s="1273">
        <f t="shared" ref="N17:N22" si="0">ROUND(SUM(D17:M17),0)</f>
        <v>0</v>
      </c>
      <c r="O17" s="1273"/>
      <c r="P17" s="1878">
        <v>0</v>
      </c>
      <c r="Q17" s="1275"/>
      <c r="R17" s="1275">
        <f t="shared" ref="R17:R22" si="1">SUM(N17-P17,0)</f>
        <v>0</v>
      </c>
      <c r="S17" s="1270"/>
    </row>
    <row r="18" spans="1:21" ht="16.5">
      <c r="A18" s="1046"/>
      <c r="B18" s="1246" t="s">
        <v>1090</v>
      </c>
      <c r="C18" s="1246"/>
      <c r="D18" s="1272">
        <v>0</v>
      </c>
      <c r="E18" s="1272">
        <v>0</v>
      </c>
      <c r="F18" s="1272">
        <v>0</v>
      </c>
      <c r="G18" s="1272">
        <v>0</v>
      </c>
      <c r="H18" s="1272">
        <v>0</v>
      </c>
      <c r="I18" s="1272">
        <v>0</v>
      </c>
      <c r="J18" s="1272">
        <v>201623871</v>
      </c>
      <c r="K18" s="1272"/>
      <c r="L18" s="1272">
        <v>55202656</v>
      </c>
      <c r="M18" s="1272">
        <v>0</v>
      </c>
      <c r="N18" s="1273">
        <f t="shared" si="0"/>
        <v>256826527</v>
      </c>
      <c r="O18" s="1273"/>
      <c r="P18" s="1272">
        <v>828586148</v>
      </c>
      <c r="Q18" s="1275"/>
      <c r="R18" s="1275">
        <f t="shared" si="1"/>
        <v>-571759621</v>
      </c>
      <c r="S18" s="1270"/>
    </row>
    <row r="19" spans="1:21" ht="16.5">
      <c r="A19" s="1046"/>
      <c r="B19" s="1246" t="s">
        <v>429</v>
      </c>
      <c r="C19" s="1246"/>
      <c r="D19" s="1272">
        <v>0</v>
      </c>
      <c r="E19" s="1272">
        <v>0</v>
      </c>
      <c r="F19" s="1272">
        <v>0</v>
      </c>
      <c r="G19" s="1272">
        <v>0</v>
      </c>
      <c r="H19" s="1272">
        <v>11392339</v>
      </c>
      <c r="I19" s="1272">
        <v>0</v>
      </c>
      <c r="J19" s="1272">
        <v>0</v>
      </c>
      <c r="K19" s="1272"/>
      <c r="L19" s="1272">
        <v>0</v>
      </c>
      <c r="M19" s="1272">
        <v>0</v>
      </c>
      <c r="N19" s="1273">
        <f t="shared" si="0"/>
        <v>11392339</v>
      </c>
      <c r="O19" s="1273"/>
      <c r="P19" s="1272">
        <v>12054964</v>
      </c>
      <c r="Q19" s="1275"/>
      <c r="R19" s="1275">
        <f t="shared" si="1"/>
        <v>-662625</v>
      </c>
      <c r="S19" s="1270"/>
    </row>
    <row r="20" spans="1:21" ht="16.5">
      <c r="A20" s="1046"/>
      <c r="B20" s="1246" t="s">
        <v>718</v>
      </c>
      <c r="C20" s="1246"/>
      <c r="D20" s="1272">
        <v>0</v>
      </c>
      <c r="E20" s="1272">
        <v>0</v>
      </c>
      <c r="F20" s="1272">
        <v>0</v>
      </c>
      <c r="G20" s="1272">
        <v>0</v>
      </c>
      <c r="H20" s="1272">
        <v>0</v>
      </c>
      <c r="I20" s="1272">
        <v>0</v>
      </c>
      <c r="J20" s="1272">
        <v>0</v>
      </c>
      <c r="K20" s="1272"/>
      <c r="L20" s="1272">
        <v>0</v>
      </c>
      <c r="M20" s="1272">
        <v>0</v>
      </c>
      <c r="N20" s="1273">
        <f t="shared" si="0"/>
        <v>0</v>
      </c>
      <c r="O20" s="1273"/>
      <c r="P20" s="1272">
        <v>0</v>
      </c>
      <c r="Q20" s="1275"/>
      <c r="R20" s="1275">
        <f t="shared" si="1"/>
        <v>0</v>
      </c>
      <c r="S20" s="1270"/>
    </row>
    <row r="21" spans="1:21" ht="16.5">
      <c r="A21" s="1046"/>
      <c r="B21" s="1246" t="s">
        <v>1091</v>
      </c>
      <c r="C21" s="1246"/>
      <c r="D21" s="1272">
        <v>0</v>
      </c>
      <c r="E21" s="1272">
        <v>0</v>
      </c>
      <c r="F21" s="1272">
        <v>0</v>
      </c>
      <c r="G21" s="1272">
        <v>0</v>
      </c>
      <c r="H21" s="1272">
        <v>0</v>
      </c>
      <c r="I21" s="1272">
        <v>0</v>
      </c>
      <c r="J21" s="1272">
        <v>0</v>
      </c>
      <c r="K21" s="1272"/>
      <c r="L21" s="1272">
        <v>0</v>
      </c>
      <c r="M21" s="1272">
        <v>0</v>
      </c>
      <c r="N21" s="1273">
        <f t="shared" si="0"/>
        <v>0</v>
      </c>
      <c r="O21" s="1273"/>
      <c r="P21" s="1272">
        <v>4489575</v>
      </c>
      <c r="Q21" s="1275"/>
      <c r="R21" s="1275">
        <f t="shared" si="1"/>
        <v>-4489575</v>
      </c>
      <c r="S21" s="1270"/>
    </row>
    <row r="22" spans="1:21" ht="16.5">
      <c r="A22" s="1046"/>
      <c r="B22" s="1246" t="s">
        <v>1092</v>
      </c>
      <c r="C22" s="1246"/>
      <c r="D22" s="1272">
        <v>0</v>
      </c>
      <c r="E22" s="1272">
        <v>0</v>
      </c>
      <c r="F22" s="1272">
        <v>15729435</v>
      </c>
      <c r="G22" s="1272">
        <v>0</v>
      </c>
      <c r="H22" s="1272">
        <v>0</v>
      </c>
      <c r="I22" s="1272">
        <v>0</v>
      </c>
      <c r="J22" s="1272">
        <v>0</v>
      </c>
      <c r="K22" s="1272"/>
      <c r="L22" s="1272">
        <v>0</v>
      </c>
      <c r="M22" s="1272">
        <v>0</v>
      </c>
      <c r="N22" s="1273">
        <f t="shared" si="0"/>
        <v>15729435</v>
      </c>
      <c r="O22" s="1273"/>
      <c r="P22" s="1272">
        <v>86906420</v>
      </c>
      <c r="Q22" s="1275"/>
      <c r="R22" s="1275">
        <f t="shared" si="1"/>
        <v>-71176985</v>
      </c>
      <c r="S22" s="1270"/>
    </row>
    <row r="23" spans="1:21" ht="16.5">
      <c r="A23" s="1046"/>
      <c r="B23" s="1246" t="s">
        <v>818</v>
      </c>
      <c r="C23" s="1246"/>
      <c r="D23" s="1272"/>
      <c r="E23" s="1272"/>
      <c r="F23" s="1272"/>
      <c r="G23" s="1273"/>
      <c r="H23" s="1272"/>
      <c r="I23" s="1272"/>
      <c r="J23" s="1272"/>
      <c r="K23" s="1273"/>
      <c r="L23" s="1272"/>
      <c r="M23" s="1273"/>
      <c r="N23" s="1273"/>
      <c r="O23" s="1273"/>
      <c r="P23" s="1878"/>
      <c r="Q23" s="1275"/>
      <c r="R23" s="1273"/>
      <c r="S23" s="1270"/>
    </row>
    <row r="24" spans="1:21" ht="17.100000000000001" customHeight="1">
      <c r="A24" s="1046"/>
      <c r="B24" s="1246" t="s">
        <v>817</v>
      </c>
      <c r="C24" s="1246"/>
      <c r="D24" s="1272">
        <v>0</v>
      </c>
      <c r="E24" s="1272"/>
      <c r="F24" s="1272">
        <v>26013871</v>
      </c>
      <c r="G24" s="1273"/>
      <c r="H24" s="1272">
        <v>0</v>
      </c>
      <c r="I24" s="1272"/>
      <c r="J24" s="1272">
        <v>0</v>
      </c>
      <c r="K24" s="1273"/>
      <c r="L24" s="1272">
        <v>0</v>
      </c>
      <c r="M24" s="1273"/>
      <c r="N24" s="1273">
        <f>ROUND(SUM(D24:M24),0)</f>
        <v>26013871</v>
      </c>
      <c r="O24" s="1273"/>
      <c r="P24" s="1900">
        <v>33153695</v>
      </c>
      <c r="Q24" s="1275"/>
      <c r="R24" s="1275">
        <f t="shared" ref="R24:R29" si="2">SUM(N24-P24,0)</f>
        <v>-7139824</v>
      </c>
      <c r="S24" s="1270"/>
    </row>
    <row r="25" spans="1:21" ht="16.5">
      <c r="A25" s="1046"/>
      <c r="B25" s="1246" t="s">
        <v>771</v>
      </c>
      <c r="C25" s="1246"/>
      <c r="D25" s="1272">
        <v>0</v>
      </c>
      <c r="E25" s="1272">
        <v>0</v>
      </c>
      <c r="F25" s="1272">
        <v>0</v>
      </c>
      <c r="G25" s="1272">
        <v>0</v>
      </c>
      <c r="H25" s="1272">
        <v>0</v>
      </c>
      <c r="I25" s="1272">
        <v>0</v>
      </c>
      <c r="J25" s="1272">
        <v>19791736</v>
      </c>
      <c r="K25" s="1272"/>
      <c r="L25" s="1272">
        <v>0</v>
      </c>
      <c r="M25" s="1272">
        <v>0</v>
      </c>
      <c r="N25" s="1273">
        <f>ROUND(SUM(D25:M25),0)</f>
        <v>19791736</v>
      </c>
      <c r="O25" s="1273"/>
      <c r="P25" s="1272">
        <v>61551337</v>
      </c>
      <c r="Q25" s="1275"/>
      <c r="R25" s="1275">
        <f t="shared" si="2"/>
        <v>-41759601</v>
      </c>
      <c r="S25" s="1270"/>
    </row>
    <row r="26" spans="1:21" ht="16.5">
      <c r="A26" s="1046"/>
      <c r="B26" s="1246" t="s">
        <v>430</v>
      </c>
      <c r="C26" s="1246"/>
      <c r="D26" s="1272"/>
      <c r="E26" s="1272"/>
      <c r="F26" s="1272"/>
      <c r="G26" s="1272"/>
      <c r="H26" s="1272"/>
      <c r="I26" s="1272"/>
      <c r="J26" s="1272"/>
      <c r="K26" s="1272"/>
      <c r="L26" s="1272"/>
      <c r="M26" s="1272"/>
      <c r="N26" s="1273"/>
      <c r="O26" s="1273"/>
      <c r="P26" s="1878"/>
      <c r="Q26" s="1275"/>
      <c r="R26" s="1273"/>
      <c r="S26" s="1270"/>
    </row>
    <row r="27" spans="1:21" ht="16.5">
      <c r="A27" s="1046"/>
      <c r="B27" s="1246" t="s">
        <v>1089</v>
      </c>
      <c r="C27" s="1246"/>
      <c r="D27" s="1272">
        <v>0</v>
      </c>
      <c r="E27" s="1272">
        <v>0</v>
      </c>
      <c r="F27" s="1272">
        <v>0</v>
      </c>
      <c r="G27" s="1272">
        <v>0</v>
      </c>
      <c r="H27" s="1272">
        <v>0</v>
      </c>
      <c r="I27" s="1272">
        <v>0</v>
      </c>
      <c r="J27" s="1272">
        <v>0</v>
      </c>
      <c r="K27" s="1272"/>
      <c r="L27" s="1272">
        <v>0</v>
      </c>
      <c r="M27" s="1272">
        <v>0</v>
      </c>
      <c r="N27" s="1273">
        <f t="shared" ref="N27:N28" si="3">ROUND(SUM(D27:M27),0)</f>
        <v>0</v>
      </c>
      <c r="O27" s="1273"/>
      <c r="P27" s="1272">
        <v>0</v>
      </c>
      <c r="Q27" s="1275"/>
      <c r="R27" s="1275">
        <f t="shared" si="2"/>
        <v>0</v>
      </c>
      <c r="S27" s="1270"/>
    </row>
    <row r="28" spans="1:21" ht="16.5">
      <c r="A28" s="1046"/>
      <c r="B28" s="1276" t="s">
        <v>1015</v>
      </c>
      <c r="C28" s="1277"/>
      <c r="D28" s="1272">
        <v>0</v>
      </c>
      <c r="E28" s="1272">
        <v>0</v>
      </c>
      <c r="F28" s="1272">
        <v>0</v>
      </c>
      <c r="G28" s="1272">
        <v>0</v>
      </c>
      <c r="H28" s="1272">
        <v>0</v>
      </c>
      <c r="I28" s="1272">
        <v>0</v>
      </c>
      <c r="J28" s="1272">
        <v>0</v>
      </c>
      <c r="K28" s="1272"/>
      <c r="L28" s="1272">
        <v>0</v>
      </c>
      <c r="M28" s="1272">
        <v>0</v>
      </c>
      <c r="N28" s="1273">
        <f t="shared" si="3"/>
        <v>0</v>
      </c>
      <c r="O28" s="1273"/>
      <c r="P28" s="1272">
        <v>0</v>
      </c>
      <c r="Q28" s="1275"/>
      <c r="R28" s="1275">
        <f>SUM(N28-P28,0)</f>
        <v>0</v>
      </c>
      <c r="S28" s="1270"/>
    </row>
    <row r="29" spans="1:21" ht="16.5">
      <c r="A29" s="1045"/>
      <c r="B29" s="1246" t="s">
        <v>870</v>
      </c>
      <c r="C29" s="1246"/>
      <c r="D29" s="1272">
        <v>0</v>
      </c>
      <c r="E29" s="1272">
        <v>0</v>
      </c>
      <c r="F29" s="1272">
        <v>0</v>
      </c>
      <c r="G29" s="1272">
        <v>0</v>
      </c>
      <c r="H29" s="1272">
        <v>0</v>
      </c>
      <c r="I29" s="1272">
        <v>0</v>
      </c>
      <c r="J29" s="1272">
        <v>113119529</v>
      </c>
      <c r="K29" s="1272"/>
      <c r="L29" s="1272">
        <v>64157458</v>
      </c>
      <c r="M29" s="1272">
        <v>0</v>
      </c>
      <c r="N29" s="1273">
        <f>ROUND(SUM(D29:M29),0)</f>
        <v>177276987</v>
      </c>
      <c r="O29" s="1273"/>
      <c r="P29" s="1272">
        <v>338267938</v>
      </c>
      <c r="Q29" s="1278"/>
      <c r="R29" s="1275">
        <f t="shared" si="2"/>
        <v>-160990951</v>
      </c>
      <c r="S29" s="1270"/>
      <c r="U29" s="1047"/>
    </row>
    <row r="30" spans="1:21" ht="16.5">
      <c r="A30" s="1048"/>
      <c r="B30" s="1248" t="s">
        <v>431</v>
      </c>
      <c r="C30" s="1248"/>
      <c r="D30" s="1246"/>
      <c r="E30" s="1246"/>
      <c r="F30" s="1246"/>
      <c r="G30" s="1246"/>
      <c r="H30" s="1269"/>
      <c r="I30" s="1269"/>
      <c r="J30" s="1269"/>
      <c r="K30" s="1269"/>
      <c r="L30" s="1269"/>
      <c r="M30" s="1269"/>
      <c r="N30" s="1269"/>
      <c r="O30" s="1269"/>
      <c r="P30" s="1269"/>
      <c r="Q30" s="1279"/>
      <c r="R30" s="1273"/>
      <c r="S30" s="1270"/>
    </row>
    <row r="31" spans="1:21" s="1044" customFormat="1" ht="17.25" thickBot="1">
      <c r="B31" s="1280" t="s">
        <v>432</v>
      </c>
      <c r="C31" s="1252"/>
      <c r="D31" s="1281">
        <f>ROUND(SUM(D15:D29),0)</f>
        <v>0</v>
      </c>
      <c r="E31" s="1282"/>
      <c r="F31" s="1281">
        <f>ROUND(SUM(F15:F29),0)</f>
        <v>54303150</v>
      </c>
      <c r="G31" s="1282"/>
      <c r="H31" s="1281">
        <f>ROUND(SUM(H15:H29),0)</f>
        <v>11392339</v>
      </c>
      <c r="I31" s="1282"/>
      <c r="J31" s="1281">
        <f>ROUND(SUM(J15:J29),0)</f>
        <v>334535136</v>
      </c>
      <c r="K31" s="1282"/>
      <c r="L31" s="1281">
        <f>ROUND(SUM(L15:L29),0)</f>
        <v>119360114</v>
      </c>
      <c r="M31" s="1282"/>
      <c r="N31" s="1281">
        <f>ROUND(SUM(N15:N29),0)</f>
        <v>519590739</v>
      </c>
      <c r="O31" s="1282"/>
      <c r="P31" s="1281">
        <f>ROUND(SUM(P15:P29),0)</f>
        <v>1374481483</v>
      </c>
      <c r="Q31" s="1282"/>
      <c r="R31" s="1281">
        <f>ROUND(SUM(R15:R29),0)</f>
        <v>-854890744</v>
      </c>
      <c r="S31" s="1270"/>
    </row>
    <row r="32" spans="1:21" ht="17.25" thickTop="1">
      <c r="C32" s="1254"/>
      <c r="D32" s="1246"/>
      <c r="E32" s="1246"/>
      <c r="F32" s="1246"/>
      <c r="G32" s="1246"/>
      <c r="H32" s="1246"/>
      <c r="I32" s="1246"/>
      <c r="J32" s="1246"/>
      <c r="K32" s="1246"/>
      <c r="L32" s="1246"/>
      <c r="M32" s="1246"/>
      <c r="N32" s="1246"/>
      <c r="O32" s="1246"/>
      <c r="P32" s="1246"/>
      <c r="Q32" s="1246"/>
      <c r="R32" s="1283"/>
      <c r="S32" s="1246"/>
    </row>
    <row r="33" spans="2:18" ht="16.5">
      <c r="B33" s="644"/>
      <c r="C33" s="1246"/>
      <c r="D33" s="1246"/>
      <c r="E33" s="1246"/>
      <c r="F33" s="1246"/>
      <c r="G33" s="1246"/>
      <c r="H33" s="1246"/>
      <c r="I33" s="1246"/>
      <c r="J33" s="1246"/>
      <c r="K33" s="1246"/>
      <c r="L33" s="2196"/>
      <c r="M33" s="1246"/>
      <c r="N33" s="1832" t="s">
        <v>14</v>
      </c>
      <c r="O33" s="1246"/>
      <c r="P33" s="1246"/>
      <c r="Q33" s="1246"/>
      <c r="R33" s="1246"/>
    </row>
    <row r="34" spans="2:18" ht="15">
      <c r="B34" s="1048"/>
      <c r="N34" s="1833" t="s">
        <v>14</v>
      </c>
    </row>
    <row r="35" spans="2:18" ht="15">
      <c r="B35" s="1048"/>
      <c r="N35" s="2025" t="s">
        <v>14</v>
      </c>
    </row>
    <row r="36" spans="2:18" ht="15">
      <c r="B36" s="1048"/>
      <c r="N36" s="1833" t="s">
        <v>14</v>
      </c>
    </row>
    <row r="40" spans="2:18">
      <c r="B40" s="1043" t="s">
        <v>14</v>
      </c>
    </row>
  </sheetData>
  <dataConsolidate/>
  <pageMargins left="0.25" right="0.25" top="0.5" bottom="0.25" header="0.5" footer="0.25"/>
  <pageSetup scale="50" firstPageNumber="45" orientation="landscape" useFirstPageNumber="1" r:id="rId1"/>
  <headerFooter scaleWithDoc="0" alignWithMargins="0">
    <oddFooter>&amp;C&amp;8&amp;P</oddFooter>
  </headerFooter>
  <customProperties>
    <customPr name="SheetOptions" r:id="rId2"/>
  </customProperties>
  <ignoredErrors>
    <ignoredError sqref="F13 J13:L13" numberStoredAsText="1"/>
  </ignoredError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4">
    <pageSetUpPr autoPageBreaks="0" fitToPage="1"/>
  </sheetPr>
  <dimension ref="B1:L40"/>
  <sheetViews>
    <sheetView showGridLines="0" workbookViewId="0"/>
  </sheetViews>
  <sheetFormatPr defaultColWidth="8.88671875" defaultRowHeight="15"/>
  <cols>
    <col min="1" max="1" width="2.109375" style="523" customWidth="1"/>
    <col min="2" max="4" width="9.88671875" style="523" customWidth="1"/>
    <col min="5" max="5" width="10.44140625" style="523" customWidth="1"/>
    <col min="6" max="6" width="14.88671875" style="523" customWidth="1"/>
    <col min="7" max="7" width="1.109375" style="523" customWidth="1"/>
    <col min="8" max="8" width="16.88671875" style="523" customWidth="1"/>
    <col min="9" max="9" width="1.109375" style="523" customWidth="1"/>
    <col min="10" max="10" width="16.88671875" style="523" bestFit="1" customWidth="1"/>
    <col min="11" max="11" width="9.88671875" style="523" customWidth="1"/>
    <col min="12" max="12" width="15.88671875" style="523" customWidth="1"/>
    <col min="13" max="16384" width="8.88671875" style="523"/>
  </cols>
  <sheetData>
    <row r="1" spans="2:12">
      <c r="B1" s="1907" t="s">
        <v>841</v>
      </c>
    </row>
    <row r="2" spans="2:12">
      <c r="B2" s="599"/>
    </row>
    <row r="3" spans="2:12" ht="15.75">
      <c r="B3" s="524" t="s">
        <v>0</v>
      </c>
      <c r="J3" s="816" t="s">
        <v>1014</v>
      </c>
    </row>
    <row r="4" spans="2:12" ht="15.75">
      <c r="B4" s="600" t="s">
        <v>1013</v>
      </c>
    </row>
    <row r="5" spans="2:12" ht="15.75">
      <c r="B5" s="1208" t="str">
        <f>'Sch 1 '!A8</f>
        <v>FOR THE MONTH OF SEPTEMBER 2023</v>
      </c>
      <c r="C5" s="1209"/>
      <c r="D5" s="1209"/>
      <c r="E5" s="1209"/>
      <c r="F5" s="1209"/>
      <c r="G5" s="1209"/>
      <c r="H5" s="1209"/>
      <c r="I5" s="1209"/>
      <c r="J5" s="1209"/>
      <c r="K5" s="1209"/>
      <c r="L5" s="1209"/>
    </row>
    <row r="6" spans="2:12" ht="15.75">
      <c r="B6" s="1208" t="s">
        <v>754</v>
      </c>
      <c r="C6" s="1209"/>
      <c r="D6" s="1209"/>
      <c r="E6" s="1209"/>
      <c r="F6" s="1209"/>
      <c r="G6" s="1209"/>
      <c r="H6" s="1209"/>
      <c r="I6" s="1209"/>
      <c r="J6" s="1209"/>
      <c r="K6" s="1209"/>
      <c r="L6" s="1209"/>
    </row>
    <row r="7" spans="2:12" ht="12.6" customHeight="1">
      <c r="B7" s="1208" t="s">
        <v>1199</v>
      </c>
      <c r="C7" s="1210"/>
      <c r="D7" s="1210"/>
      <c r="E7" s="1210"/>
      <c r="F7" s="1210"/>
      <c r="G7" s="1210"/>
      <c r="H7" s="1210"/>
      <c r="I7" s="1210"/>
      <c r="J7" s="1210"/>
      <c r="K7" s="1210"/>
      <c r="L7" s="1210"/>
    </row>
    <row r="8" spans="2:12">
      <c r="B8" s="281"/>
      <c r="G8" s="281"/>
      <c r="I8" s="281"/>
    </row>
    <row r="9" spans="2:12" ht="15.75">
      <c r="B9" s="281"/>
      <c r="F9" s="282" t="s">
        <v>6</v>
      </c>
      <c r="G9" s="281"/>
      <c r="H9" s="283" t="s">
        <v>434</v>
      </c>
      <c r="I9" s="281"/>
      <c r="J9" s="282" t="s">
        <v>433</v>
      </c>
    </row>
    <row r="10" spans="2:12" ht="15.75">
      <c r="B10" s="281"/>
      <c r="F10" s="284" t="s">
        <v>1512</v>
      </c>
      <c r="G10" s="281"/>
      <c r="H10" s="283" t="s">
        <v>436</v>
      </c>
      <c r="I10" s="281"/>
      <c r="J10" s="283" t="s">
        <v>435</v>
      </c>
    </row>
    <row r="11" spans="2:12" ht="15.75">
      <c r="B11" s="281"/>
      <c r="F11" s="1173"/>
      <c r="G11" s="281"/>
      <c r="H11" s="1173" t="s">
        <v>14</v>
      </c>
      <c r="I11" s="281"/>
      <c r="J11" s="1173"/>
    </row>
    <row r="12" spans="2:12" ht="15.75">
      <c r="B12" s="285" t="s">
        <v>834</v>
      </c>
      <c r="G12" s="281"/>
      <c r="H12" s="523" t="s">
        <v>14</v>
      </c>
      <c r="I12" s="281"/>
    </row>
    <row r="13" spans="2:12">
      <c r="B13" s="281"/>
      <c r="G13" s="281"/>
      <c r="I13" s="281"/>
    </row>
    <row r="14" spans="2:12">
      <c r="B14" s="484" t="s">
        <v>833</v>
      </c>
      <c r="F14" s="894">
        <v>82248.100000000006</v>
      </c>
      <c r="G14" s="894"/>
      <c r="H14" s="1835">
        <v>79311.100000000006</v>
      </c>
      <c r="I14" s="894"/>
      <c r="J14" s="894">
        <v>74315.3</v>
      </c>
    </row>
    <row r="15" spans="2:12">
      <c r="B15" s="484" t="s">
        <v>832</v>
      </c>
      <c r="F15" s="1733">
        <v>5.398E-2</v>
      </c>
      <c r="G15" s="521"/>
      <c r="H15" s="1836">
        <v>5.1459999999999999E-2</v>
      </c>
      <c r="I15" s="521"/>
      <c r="J15" s="1733">
        <v>1.325E-2</v>
      </c>
    </row>
    <row r="16" spans="2:12">
      <c r="B16" s="521" t="s">
        <v>437</v>
      </c>
      <c r="F16" s="1734">
        <v>363.67099999999999</v>
      </c>
      <c r="G16" s="1837"/>
      <c r="H16" s="1838">
        <v>2039.2560000000001</v>
      </c>
      <c r="I16" s="653"/>
      <c r="J16" s="1734">
        <v>426.04199999999997</v>
      </c>
    </row>
    <row r="17" spans="2:11">
      <c r="B17" s="281"/>
      <c r="K17" s="281"/>
    </row>
    <row r="18" spans="2:11">
      <c r="B18" s="281"/>
      <c r="K18" s="281"/>
    </row>
    <row r="19" spans="2:11" ht="15" customHeight="1">
      <c r="B19" s="281"/>
      <c r="K19" s="281"/>
    </row>
    <row r="20" spans="2:11" ht="18">
      <c r="B20" s="638" t="s">
        <v>438</v>
      </c>
      <c r="C20" s="639"/>
      <c r="D20" s="639"/>
      <c r="K20" s="281"/>
    </row>
    <row r="21" spans="2:11">
      <c r="B21" s="281"/>
      <c r="G21" s="455"/>
      <c r="H21" s="455" t="str">
        <f>F10</f>
        <v>SEPTEMBER 2023</v>
      </c>
      <c r="I21" s="1302"/>
      <c r="J21" s="455" t="s">
        <v>1526</v>
      </c>
      <c r="K21" s="281"/>
    </row>
    <row r="22" spans="2:11">
      <c r="B22" s="281"/>
      <c r="C22" s="640" t="s">
        <v>439</v>
      </c>
      <c r="E22" s="521" t="s">
        <v>14</v>
      </c>
      <c r="G22" s="641"/>
      <c r="H22" s="1213" t="s">
        <v>440</v>
      </c>
      <c r="I22" s="641"/>
      <c r="J22" s="1213" t="s">
        <v>440</v>
      </c>
      <c r="K22" s="281"/>
    </row>
    <row r="23" spans="2:11">
      <c r="B23" s="281"/>
      <c r="C23" s="521" t="s">
        <v>441</v>
      </c>
      <c r="G23" s="895"/>
      <c r="H23" s="896">
        <v>61217.3</v>
      </c>
      <c r="I23" s="895"/>
      <c r="J23" s="896">
        <v>58603.4</v>
      </c>
      <c r="K23" s="281"/>
    </row>
    <row r="24" spans="2:11">
      <c r="B24" s="281"/>
      <c r="C24" s="521" t="s">
        <v>442</v>
      </c>
      <c r="G24" s="895"/>
      <c r="H24" s="897">
        <v>272.5</v>
      </c>
      <c r="I24" s="895"/>
      <c r="J24" s="897">
        <v>365</v>
      </c>
      <c r="K24" s="281"/>
    </row>
    <row r="25" spans="2:11">
      <c r="B25" s="281"/>
      <c r="C25" s="521" t="s">
        <v>1300</v>
      </c>
      <c r="G25" s="895"/>
      <c r="H25" s="897">
        <v>400</v>
      </c>
      <c r="I25" s="895"/>
      <c r="J25" s="897">
        <v>1642</v>
      </c>
      <c r="K25" s="281"/>
    </row>
    <row r="26" spans="2:11">
      <c r="B26" s="281"/>
      <c r="C26" s="521" t="s">
        <v>443</v>
      </c>
      <c r="G26" s="898"/>
      <c r="H26" s="897">
        <v>18416</v>
      </c>
      <c r="I26" s="898"/>
      <c r="J26" s="897">
        <v>20168.599999999999</v>
      </c>
      <c r="K26" s="281" t="s">
        <v>14</v>
      </c>
    </row>
    <row r="27" spans="2:11">
      <c r="B27" s="281"/>
      <c r="C27" s="521" t="s">
        <v>444</v>
      </c>
      <c r="G27" s="898"/>
      <c r="H27" s="897">
        <v>3493.3</v>
      </c>
      <c r="I27" s="898"/>
      <c r="J27" s="897">
        <v>1828.2</v>
      </c>
      <c r="K27" s="281" t="s">
        <v>14</v>
      </c>
    </row>
    <row r="28" spans="2:11">
      <c r="B28" s="281"/>
      <c r="C28" s="521" t="s">
        <v>719</v>
      </c>
      <c r="G28" s="898"/>
      <c r="H28" s="897">
        <v>3</v>
      </c>
      <c r="I28" s="898"/>
      <c r="J28" s="897">
        <v>13</v>
      </c>
      <c r="K28" s="281"/>
    </row>
    <row r="29" spans="2:11" ht="16.5" thickBot="1">
      <c r="B29" s="281"/>
      <c r="G29" s="286"/>
      <c r="H29" s="1174">
        <f>ROUND(SUM(H23:H28),1)</f>
        <v>83802.100000000006</v>
      </c>
      <c r="I29" s="286"/>
      <c r="J29" s="1174">
        <f>ROUND(SUM(J23:J28),1)</f>
        <v>82620.2</v>
      </c>
      <c r="K29" s="281"/>
    </row>
    <row r="30" spans="2:11" ht="15.75" thickTop="1">
      <c r="B30" s="281"/>
      <c r="G30" s="899"/>
      <c r="H30" s="899"/>
      <c r="I30" s="899"/>
      <c r="K30" s="281"/>
    </row>
    <row r="31" spans="2:11">
      <c r="B31" s="281"/>
      <c r="K31" s="281"/>
    </row>
    <row r="32" spans="2:11" ht="15.75">
      <c r="B32" s="285"/>
      <c r="K32" s="281"/>
    </row>
    <row r="33" spans="2:12" ht="192.75" customHeight="1">
      <c r="B33" s="2353" t="s">
        <v>1289</v>
      </c>
      <c r="C33" s="2353"/>
      <c r="D33" s="2353"/>
      <c r="E33" s="2353"/>
      <c r="F33" s="2353"/>
      <c r="G33" s="2353"/>
      <c r="H33" s="2353"/>
      <c r="I33" s="2353"/>
      <c r="J33" s="2353"/>
      <c r="K33" s="281"/>
    </row>
    <row r="35" spans="2:12" ht="15" customHeight="1">
      <c r="B35" s="473" t="s">
        <v>835</v>
      </c>
      <c r="C35" s="522"/>
      <c r="D35" s="522"/>
      <c r="E35" s="522"/>
      <c r="F35" s="522"/>
      <c r="G35" s="522"/>
      <c r="H35" s="522"/>
      <c r="I35" s="522"/>
      <c r="J35" s="522"/>
      <c r="K35" s="522"/>
      <c r="L35" s="522"/>
    </row>
    <row r="36" spans="2:12" ht="17.25" customHeight="1">
      <c r="B36" s="520"/>
      <c r="L36" s="281"/>
    </row>
    <row r="37" spans="2:12">
      <c r="B37" s="521"/>
      <c r="C37" s="521"/>
      <c r="L37" s="281"/>
    </row>
    <row r="38" spans="2:12">
      <c r="B38" s="520"/>
      <c r="C38" s="521"/>
      <c r="L38" s="281"/>
    </row>
    <row r="39" spans="2:12">
      <c r="B39" s="281"/>
      <c r="C39" s="521" t="s">
        <v>14</v>
      </c>
      <c r="D39" s="281"/>
      <c r="E39" s="281"/>
      <c r="F39" s="281"/>
      <c r="G39" s="281"/>
      <c r="H39" s="281"/>
      <c r="I39" s="281"/>
      <c r="J39" s="281"/>
    </row>
    <row r="40" spans="2:12">
      <c r="C40" s="521" t="s">
        <v>14</v>
      </c>
    </row>
  </sheetData>
  <mergeCells count="1">
    <mergeCell ref="B33:J33"/>
  </mergeCells>
  <printOptions horizontalCentered="1"/>
  <pageMargins left="0.5" right="0.5" top="1" bottom="0.5" header="0.5" footer="0.25"/>
  <pageSetup scale="70" firstPageNumber="46" orientation="landscape" useFirstPageNumber="1" r:id="rId1"/>
  <headerFooter scaleWithDoc="0" alignWithMargins="0">
    <oddFooter>&amp;C&amp;8&amp;P</oddFooter>
  </headerFooter>
  <customProperties>
    <customPr name="SheetOptions" r:id="rId2"/>
  </customProperties>
  <drawing r:id="rId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5">
    <pageSetUpPr fitToPage="1"/>
  </sheetPr>
  <dimension ref="A1:AG95"/>
  <sheetViews>
    <sheetView showGridLines="0" zoomScale="80" zoomScaleNormal="80" workbookViewId="0"/>
  </sheetViews>
  <sheetFormatPr defaultColWidth="8.88671875" defaultRowHeight="15"/>
  <cols>
    <col min="1" max="1" width="45.44140625" style="349" customWidth="1"/>
    <col min="2" max="2" width="17" style="1020" customWidth="1"/>
    <col min="3" max="3" width="1.88671875" style="1020" customWidth="1"/>
    <col min="4" max="4" width="17" style="1020" customWidth="1"/>
    <col min="5" max="5" width="1.88671875" style="1019" customWidth="1"/>
    <col min="6" max="6" width="17" style="1020" customWidth="1"/>
    <col min="7" max="7" width="1.88671875" style="1019" customWidth="1"/>
    <col min="8" max="8" width="17" style="1020" customWidth="1"/>
    <col min="9" max="9" width="1.88671875" style="1116" customWidth="1"/>
    <col min="10" max="10" width="17" style="1100" customWidth="1"/>
    <col min="11" max="11" width="1.88671875" style="1100" customWidth="1"/>
    <col min="12" max="12" width="17" style="1100" customWidth="1"/>
    <col min="13" max="13" width="1.88671875" style="1116" customWidth="1"/>
    <col min="14" max="14" width="17" style="1100" customWidth="1"/>
    <col min="15" max="15" width="1.88671875" style="1116" customWidth="1"/>
    <col min="16" max="16" width="17" style="1100" customWidth="1"/>
    <col min="17" max="17" width="1.88671875" style="1116" customWidth="1"/>
    <col min="18" max="18" width="17" style="1100" customWidth="1"/>
    <col min="19" max="19" width="1.88671875" style="1116" customWidth="1"/>
    <col min="20" max="20" width="17" style="1100" customWidth="1"/>
    <col min="21" max="21" width="1.88671875" style="1116" customWidth="1"/>
    <col min="22" max="22" width="17" style="1100" customWidth="1"/>
    <col min="23" max="23" width="1.88671875" style="1116" customWidth="1"/>
    <col min="24" max="24" width="17" style="1100" customWidth="1"/>
    <col min="25" max="25" width="1.88671875" style="1116" customWidth="1"/>
    <col min="26" max="26" width="18.88671875" style="1117" customWidth="1"/>
    <col min="27" max="27" width="1.5546875" style="880" customWidth="1"/>
    <col min="28" max="28" width="18.88671875" style="349" bestFit="1" customWidth="1"/>
    <col min="29" max="29" width="12.88671875" style="349" bestFit="1" customWidth="1"/>
    <col min="30" max="16384" width="8.88671875" style="349"/>
  </cols>
  <sheetData>
    <row r="1" spans="1:33">
      <c r="A1" s="468" t="s">
        <v>841</v>
      </c>
      <c r="B1" s="876"/>
      <c r="C1" s="876"/>
      <c r="D1" s="876"/>
      <c r="E1" s="876"/>
      <c r="F1" s="876"/>
      <c r="G1" s="876"/>
      <c r="H1" s="876"/>
      <c r="I1" s="876"/>
      <c r="J1" s="876"/>
      <c r="K1" s="876"/>
      <c r="L1" s="876"/>
      <c r="M1" s="876"/>
      <c r="N1" s="876"/>
      <c r="O1" s="876"/>
      <c r="P1" s="876"/>
      <c r="Q1" s="876"/>
      <c r="R1" s="876"/>
      <c r="S1" s="876"/>
      <c r="T1" s="876"/>
      <c r="U1" s="876"/>
      <c r="V1" s="876"/>
      <c r="W1" s="876"/>
      <c r="X1" s="876"/>
      <c r="Y1" s="876"/>
      <c r="Z1" s="876"/>
      <c r="AA1" s="1853"/>
      <c r="AB1" s="876"/>
      <c r="AC1" s="876"/>
      <c r="AD1" s="876"/>
      <c r="AE1" s="876"/>
      <c r="AF1" s="876"/>
      <c r="AG1" s="876"/>
    </row>
    <row r="2" spans="1:33">
      <c r="A2" s="468"/>
      <c r="B2" s="876"/>
      <c r="C2" s="876"/>
      <c r="D2" s="876"/>
      <c r="E2" s="876"/>
      <c r="F2" s="876"/>
      <c r="G2" s="876"/>
      <c r="H2" s="876"/>
      <c r="I2" s="876"/>
      <c r="J2" s="876"/>
      <c r="K2" s="876"/>
      <c r="L2" s="876"/>
      <c r="M2" s="876"/>
      <c r="N2" s="876"/>
      <c r="O2" s="876"/>
      <c r="P2" s="876"/>
      <c r="Q2" s="876"/>
      <c r="R2" s="876"/>
      <c r="S2" s="876"/>
      <c r="T2" s="876"/>
      <c r="U2" s="876"/>
      <c r="V2" s="876"/>
      <c r="W2" s="876"/>
      <c r="X2" s="876"/>
      <c r="Y2" s="876"/>
      <c r="Z2" s="876"/>
      <c r="AA2" s="1853"/>
      <c r="AB2" s="876"/>
      <c r="AC2" s="876"/>
      <c r="AD2" s="876"/>
      <c r="AE2" s="876"/>
      <c r="AF2" s="876"/>
      <c r="AG2" s="876"/>
    </row>
    <row r="3" spans="1:33" ht="17.850000000000001" customHeight="1">
      <c r="A3" s="591" t="s">
        <v>0</v>
      </c>
      <c r="B3" s="346"/>
      <c r="C3" s="346"/>
      <c r="D3" s="347"/>
      <c r="E3" s="348"/>
      <c r="F3" s="347"/>
      <c r="G3" s="348"/>
      <c r="H3" s="347"/>
      <c r="I3" s="348"/>
      <c r="K3" s="346"/>
      <c r="L3" s="1101"/>
      <c r="M3" s="346"/>
      <c r="N3" s="347"/>
      <c r="O3" s="348"/>
      <c r="P3" s="347"/>
      <c r="Q3" s="348"/>
      <c r="R3" s="347"/>
      <c r="S3" s="348"/>
      <c r="T3" s="347"/>
      <c r="U3" s="348"/>
      <c r="V3" s="347"/>
      <c r="W3" s="348"/>
      <c r="X3" s="347"/>
      <c r="Y3" s="348"/>
      <c r="Z3" s="1102" t="s">
        <v>445</v>
      </c>
      <c r="AA3" s="1854"/>
      <c r="AC3" s="346"/>
      <c r="AE3" s="346"/>
    </row>
    <row r="4" spans="1:33" ht="17.850000000000001" customHeight="1">
      <c r="A4" s="591" t="s">
        <v>446</v>
      </c>
      <c r="B4" s="877"/>
      <c r="C4" s="877"/>
      <c r="D4" s="350"/>
      <c r="E4" s="348"/>
      <c r="F4" s="877"/>
      <c r="G4" s="348"/>
      <c r="H4" s="877"/>
      <c r="I4" s="348"/>
      <c r="J4" s="877"/>
      <c r="K4" s="877"/>
      <c r="L4" s="877"/>
      <c r="M4" s="351"/>
      <c r="N4" s="877"/>
      <c r="O4" s="348"/>
      <c r="P4" s="877"/>
      <c r="Q4" s="348"/>
      <c r="R4" s="877"/>
      <c r="S4" s="348"/>
      <c r="T4" s="877"/>
      <c r="U4" s="348"/>
      <c r="V4" s="877"/>
      <c r="W4" s="348"/>
      <c r="X4" s="877"/>
      <c r="Y4" s="348"/>
      <c r="Z4" s="1103"/>
      <c r="AA4" s="1854"/>
      <c r="AC4" s="346"/>
    </row>
    <row r="5" spans="1:33" ht="17.850000000000001" customHeight="1">
      <c r="A5" s="592" t="s">
        <v>1028</v>
      </c>
      <c r="B5" s="877"/>
      <c r="C5" s="877"/>
      <c r="D5" s="877"/>
      <c r="E5" s="348"/>
      <c r="F5" s="877"/>
      <c r="G5" s="348"/>
      <c r="H5" s="877"/>
      <c r="I5" s="348"/>
      <c r="J5" s="877"/>
      <c r="K5" s="877"/>
      <c r="L5" s="877"/>
      <c r="M5" s="351"/>
      <c r="N5" s="877"/>
      <c r="O5" s="348"/>
      <c r="P5" s="877"/>
      <c r="Q5" s="348"/>
      <c r="R5" s="877"/>
      <c r="S5" s="348"/>
      <c r="T5" s="877"/>
      <c r="U5" s="348"/>
      <c r="V5" s="877"/>
      <c r="W5" s="348"/>
      <c r="X5" s="877"/>
      <c r="Y5" s="348"/>
      <c r="Z5" s="1103"/>
    </row>
    <row r="6" spans="1:33" ht="17.850000000000001" customHeight="1">
      <c r="A6" s="353" t="str">
        <f>'Cashflow Governmental'!A6</f>
        <v xml:space="preserve">FISCAL YEAR 2023-2024   </v>
      </c>
      <c r="B6" s="877"/>
      <c r="C6" s="877"/>
      <c r="D6" s="355"/>
      <c r="E6" s="348"/>
      <c r="F6" s="877"/>
      <c r="G6" s="348"/>
      <c r="H6" s="877"/>
      <c r="I6" s="348"/>
      <c r="J6" s="877"/>
      <c r="K6" s="877"/>
      <c r="L6" s="877"/>
      <c r="M6" s="351"/>
      <c r="N6" s="877"/>
      <c r="O6" s="348"/>
      <c r="P6" s="877"/>
      <c r="Q6" s="348"/>
      <c r="R6" s="877"/>
      <c r="S6" s="348"/>
      <c r="T6" s="877"/>
      <c r="U6" s="348"/>
      <c r="V6" s="877"/>
      <c r="W6" s="348"/>
      <c r="X6" s="877"/>
      <c r="Y6" s="348"/>
      <c r="Z6" s="1103"/>
    </row>
    <row r="7" spans="1:33" ht="18">
      <c r="A7" s="354"/>
      <c r="B7" s="877"/>
      <c r="C7" s="877"/>
      <c r="D7" s="877"/>
      <c r="E7" s="348"/>
      <c r="F7" s="877"/>
      <c r="G7" s="348"/>
      <c r="H7" s="877"/>
      <c r="I7" s="348"/>
      <c r="J7" s="877"/>
      <c r="K7" s="877"/>
      <c r="L7" s="877"/>
      <c r="M7" s="351"/>
      <c r="N7" s="877"/>
      <c r="O7" s="348"/>
      <c r="P7" s="877"/>
      <c r="Q7" s="348"/>
      <c r="R7" s="879"/>
      <c r="S7" s="348"/>
      <c r="T7" s="879"/>
      <c r="U7" s="348"/>
      <c r="V7" s="879"/>
      <c r="W7" s="348"/>
      <c r="X7" s="879"/>
      <c r="Y7" s="348"/>
      <c r="Z7" s="1103"/>
    </row>
    <row r="8" spans="1:33" ht="15.75">
      <c r="A8" s="345"/>
      <c r="B8" s="877"/>
      <c r="C8" s="877"/>
      <c r="D8" s="877"/>
      <c r="E8" s="348"/>
      <c r="F8" s="877"/>
      <c r="G8" s="348"/>
      <c r="H8" s="877"/>
      <c r="I8" s="348"/>
      <c r="J8" s="877"/>
      <c r="K8" s="877"/>
      <c r="L8" s="877"/>
      <c r="M8" s="348"/>
      <c r="N8" s="877"/>
      <c r="O8" s="348"/>
      <c r="P8" s="877"/>
      <c r="Q8" s="348"/>
      <c r="R8" s="877"/>
      <c r="S8" s="348"/>
      <c r="T8" s="877"/>
      <c r="U8" s="348"/>
      <c r="V8" s="877"/>
      <c r="W8" s="348"/>
      <c r="X8" s="877"/>
      <c r="Y8" s="348"/>
      <c r="Z8" s="356"/>
      <c r="AA8" s="357"/>
    </row>
    <row r="9" spans="1:33" ht="15.75">
      <c r="A9" s="880"/>
      <c r="B9" s="660" t="str">
        <f>'Cashflow Governmental'!C13</f>
        <v>2023</v>
      </c>
      <c r="C9" s="358"/>
      <c r="D9" s="358"/>
      <c r="E9" s="351"/>
      <c r="F9" s="358"/>
      <c r="G9" s="351"/>
      <c r="H9" s="358"/>
      <c r="I9" s="351"/>
      <c r="J9" s="358"/>
      <c r="K9" s="358"/>
      <c r="L9" s="359"/>
      <c r="M9" s="351"/>
      <c r="N9" s="359"/>
      <c r="O9" s="351"/>
      <c r="P9" s="359"/>
      <c r="Q9" s="351"/>
      <c r="R9" s="359"/>
      <c r="S9" s="351"/>
      <c r="T9" s="660">
        <f>'Cashflow Governmental'!U13</f>
        <v>2024</v>
      </c>
      <c r="U9" s="351"/>
      <c r="V9" s="359"/>
      <c r="W9" s="351"/>
      <c r="X9" s="359"/>
      <c r="Y9" s="351"/>
      <c r="Z9" s="359" t="s">
        <v>1522</v>
      </c>
      <c r="AA9" s="359"/>
    </row>
    <row r="10" spans="1:33" ht="15.75">
      <c r="A10" s="880"/>
      <c r="B10" s="360" t="s">
        <v>122</v>
      </c>
      <c r="C10" s="360"/>
      <c r="D10" s="359" t="s">
        <v>123</v>
      </c>
      <c r="E10" s="351"/>
      <c r="F10" s="359" t="s">
        <v>124</v>
      </c>
      <c r="G10" s="351"/>
      <c r="H10" s="359" t="s">
        <v>125</v>
      </c>
      <c r="I10" s="351"/>
      <c r="J10" s="1207" t="s">
        <v>126</v>
      </c>
      <c r="K10" s="361"/>
      <c r="L10" s="359" t="s">
        <v>141</v>
      </c>
      <c r="M10" s="351"/>
      <c r="N10" s="359" t="s">
        <v>142</v>
      </c>
      <c r="O10" s="351"/>
      <c r="P10" s="359" t="s">
        <v>129</v>
      </c>
      <c r="Q10" s="351"/>
      <c r="R10" s="359" t="s">
        <v>130</v>
      </c>
      <c r="S10" s="351"/>
      <c r="T10" s="359" t="s">
        <v>131</v>
      </c>
      <c r="U10" s="351"/>
      <c r="V10" s="359" t="s">
        <v>132</v>
      </c>
      <c r="W10" s="351"/>
      <c r="X10" s="359" t="s">
        <v>182</v>
      </c>
      <c r="Y10" s="351"/>
      <c r="Z10" s="362">
        <v>45199</v>
      </c>
      <c r="AA10" s="362"/>
    </row>
    <row r="11" spans="1:33" ht="15.75">
      <c r="A11" s="880"/>
      <c r="B11" s="1154" t="s">
        <v>14</v>
      </c>
      <c r="C11" s="881"/>
      <c r="D11" s="1154"/>
      <c r="E11" s="882"/>
      <c r="F11" s="1154"/>
      <c r="G11" s="882"/>
      <c r="H11" s="1154"/>
      <c r="I11" s="882"/>
      <c r="J11" s="1104"/>
      <c r="K11" s="361"/>
      <c r="L11" s="1104"/>
      <c r="M11" s="882"/>
      <c r="N11" s="1104"/>
      <c r="O11" s="882"/>
      <c r="P11" s="1104"/>
      <c r="Q11" s="882"/>
      <c r="R11" s="1104"/>
      <c r="S11" s="882"/>
      <c r="T11" s="1104"/>
      <c r="U11" s="882"/>
      <c r="V11" s="1104"/>
      <c r="W11" s="882"/>
      <c r="X11" s="1104"/>
      <c r="Y11" s="882"/>
      <c r="Z11" s="1105" t="s">
        <v>14</v>
      </c>
    </row>
    <row r="12" spans="1:33" s="364" customFormat="1" ht="15.75">
      <c r="A12" s="368" t="s">
        <v>447</v>
      </c>
      <c r="B12" s="363">
        <v>90821267</v>
      </c>
      <c r="C12" s="363"/>
      <c r="D12" s="363">
        <f>B46</f>
        <v>294767158</v>
      </c>
      <c r="E12" s="883"/>
      <c r="F12" s="363">
        <f>D46</f>
        <v>436601115</v>
      </c>
      <c r="G12" s="883"/>
      <c r="H12" s="363">
        <f>F46</f>
        <v>417186846</v>
      </c>
      <c r="I12" s="883"/>
      <c r="J12" s="363">
        <f>H46</f>
        <v>570492526</v>
      </c>
      <c r="K12" s="363"/>
      <c r="L12" s="363">
        <f>J46</f>
        <v>693824034</v>
      </c>
      <c r="M12" s="361"/>
      <c r="N12" s="363"/>
      <c r="O12" s="363"/>
      <c r="P12" s="363"/>
      <c r="Q12" s="363"/>
      <c r="R12" s="363"/>
      <c r="S12" s="363"/>
      <c r="T12" s="363"/>
      <c r="U12" s="363"/>
      <c r="V12" s="363"/>
      <c r="W12" s="363"/>
      <c r="X12" s="363"/>
      <c r="Y12" s="363"/>
      <c r="Z12" s="363">
        <f>+B12</f>
        <v>90821267</v>
      </c>
      <c r="AA12" s="1855"/>
    </row>
    <row r="13" spans="1:33" ht="15.75">
      <c r="A13" s="884"/>
      <c r="B13" s="885"/>
      <c r="C13" s="885"/>
      <c r="D13" s="885"/>
      <c r="E13" s="885"/>
      <c r="F13" s="885"/>
      <c r="G13" s="885"/>
      <c r="H13" s="885"/>
      <c r="I13" s="885"/>
      <c r="J13" s="885"/>
      <c r="K13" s="361"/>
      <c r="L13" s="885"/>
      <c r="M13" s="885"/>
      <c r="N13" s="885"/>
      <c r="O13" s="885"/>
      <c r="P13" s="885"/>
      <c r="Q13" s="885"/>
      <c r="R13" s="885"/>
      <c r="S13" s="885"/>
      <c r="T13" s="885"/>
      <c r="U13" s="885"/>
      <c r="V13" s="885"/>
      <c r="W13" s="885"/>
      <c r="X13" s="885"/>
      <c r="Y13" s="885"/>
      <c r="Z13" s="1106"/>
    </row>
    <row r="14" spans="1:33" ht="15.75">
      <c r="A14" s="365" t="s">
        <v>13</v>
      </c>
      <c r="B14" s="885"/>
      <c r="C14" s="885"/>
      <c r="D14" s="885"/>
      <c r="E14" s="885"/>
      <c r="F14" s="885"/>
      <c r="G14" s="885"/>
      <c r="H14" s="885"/>
      <c r="I14" s="885"/>
      <c r="J14" s="885"/>
      <c r="K14" s="885"/>
      <c r="L14" s="885"/>
      <c r="M14" s="885"/>
      <c r="N14" s="885"/>
      <c r="O14" s="885"/>
      <c r="P14" s="885"/>
      <c r="Q14" s="885"/>
      <c r="R14" s="885"/>
      <c r="S14" s="885"/>
      <c r="T14" s="885"/>
      <c r="U14" s="885"/>
      <c r="V14" s="885"/>
      <c r="W14" s="885"/>
      <c r="X14" s="885"/>
      <c r="Y14" s="885"/>
      <c r="Z14" s="1106"/>
    </row>
    <row r="15" spans="1:33">
      <c r="A15" s="593" t="s">
        <v>448</v>
      </c>
      <c r="B15" s="887">
        <v>51854437</v>
      </c>
      <c r="C15" s="887"/>
      <c r="D15" s="887">
        <v>51673109</v>
      </c>
      <c r="E15" s="887"/>
      <c r="F15" s="887">
        <v>48732059</v>
      </c>
      <c r="G15" s="887"/>
      <c r="H15" s="887">
        <v>50556346</v>
      </c>
      <c r="I15" s="887"/>
      <c r="J15" s="887">
        <v>50810274</v>
      </c>
      <c r="K15" s="887"/>
      <c r="L15" s="887">
        <f>$Z15-$B15-$D15-$F15-$H15-$J15</f>
        <v>46896976</v>
      </c>
      <c r="M15" s="885"/>
      <c r="N15" s="887"/>
      <c r="O15" s="887"/>
      <c r="P15" s="887"/>
      <c r="Q15" s="887"/>
      <c r="R15" s="887"/>
      <c r="S15" s="887"/>
      <c r="T15" s="887"/>
      <c r="U15" s="887"/>
      <c r="V15" s="887"/>
      <c r="W15" s="887"/>
      <c r="X15" s="887"/>
      <c r="Y15" s="887"/>
      <c r="Z15" s="887">
        <v>300523201</v>
      </c>
    </row>
    <row r="16" spans="1:33">
      <c r="A16" s="593" t="s">
        <v>1279</v>
      </c>
      <c r="B16" s="887">
        <v>1080000</v>
      </c>
      <c r="C16" s="887"/>
      <c r="D16" s="887">
        <v>1056000</v>
      </c>
      <c r="E16" s="887"/>
      <c r="F16" s="887">
        <v>1156000</v>
      </c>
      <c r="G16" s="887"/>
      <c r="H16" s="887">
        <v>1119000</v>
      </c>
      <c r="I16" s="887"/>
      <c r="J16" s="887">
        <v>1210000</v>
      </c>
      <c r="K16" s="887"/>
      <c r="L16" s="887">
        <f t="shared" ref="L16:L24" si="0">$Z16-$B16-$D16-$F16-$H16-$J16</f>
        <v>1595000</v>
      </c>
      <c r="M16" s="885"/>
      <c r="N16" s="887"/>
      <c r="O16" s="887"/>
      <c r="P16" s="887"/>
      <c r="Q16" s="887"/>
      <c r="R16" s="887"/>
      <c r="S16" s="887"/>
      <c r="T16" s="887"/>
      <c r="U16" s="887"/>
      <c r="V16" s="887"/>
      <c r="W16" s="887"/>
      <c r="X16" s="887"/>
      <c r="Y16" s="887"/>
      <c r="Z16" s="887">
        <v>7216000</v>
      </c>
    </row>
    <row r="17" spans="1:28">
      <c r="A17" s="593" t="s">
        <v>1276</v>
      </c>
      <c r="B17" s="887">
        <v>151905</v>
      </c>
      <c r="C17" s="887"/>
      <c r="D17" s="887">
        <v>374539</v>
      </c>
      <c r="E17" s="887"/>
      <c r="F17" s="887">
        <v>6036495</v>
      </c>
      <c r="G17" s="887"/>
      <c r="H17" s="887">
        <v>101909</v>
      </c>
      <c r="I17" s="887"/>
      <c r="J17" s="887">
        <v>75766</v>
      </c>
      <c r="K17" s="887"/>
      <c r="L17" s="887">
        <f t="shared" si="0"/>
        <v>6383886</v>
      </c>
      <c r="M17" s="885"/>
      <c r="N17" s="887"/>
      <c r="O17" s="887"/>
      <c r="P17" s="887"/>
      <c r="Q17" s="887"/>
      <c r="R17" s="887"/>
      <c r="S17" s="887"/>
      <c r="T17" s="887"/>
      <c r="U17" s="887"/>
      <c r="V17" s="887"/>
      <c r="W17" s="887"/>
      <c r="X17" s="887"/>
      <c r="Y17" s="887"/>
      <c r="Z17" s="887">
        <v>13124500</v>
      </c>
    </row>
    <row r="18" spans="1:28">
      <c r="A18" s="593" t="s">
        <v>449</v>
      </c>
      <c r="B18" s="887">
        <v>1949756</v>
      </c>
      <c r="C18" s="887"/>
      <c r="D18" s="887">
        <v>1595643</v>
      </c>
      <c r="E18" s="887"/>
      <c r="F18" s="887">
        <v>2820578</v>
      </c>
      <c r="G18" s="887"/>
      <c r="H18" s="887">
        <v>3436525</v>
      </c>
      <c r="I18" s="887"/>
      <c r="J18" s="887">
        <v>2310438</v>
      </c>
      <c r="K18" s="887"/>
      <c r="L18" s="887">
        <f t="shared" si="0"/>
        <v>4558590</v>
      </c>
      <c r="M18" s="885"/>
      <c r="N18" s="887"/>
      <c r="O18" s="887"/>
      <c r="P18" s="887"/>
      <c r="Q18" s="887"/>
      <c r="R18" s="887"/>
      <c r="S18" s="887"/>
      <c r="T18" s="887"/>
      <c r="U18" s="887"/>
      <c r="V18" s="887"/>
      <c r="W18" s="887"/>
      <c r="X18" s="887"/>
      <c r="Y18" s="887"/>
      <c r="Z18" s="887">
        <v>16671530</v>
      </c>
    </row>
    <row r="19" spans="1:28">
      <c r="A19" s="593" t="s">
        <v>450</v>
      </c>
      <c r="B19" s="887">
        <v>546447217</v>
      </c>
      <c r="C19" s="887"/>
      <c r="D19" s="887">
        <v>546892522</v>
      </c>
      <c r="E19" s="887"/>
      <c r="F19" s="887">
        <v>514418106</v>
      </c>
      <c r="G19" s="887"/>
      <c r="H19" s="887">
        <v>560757792</v>
      </c>
      <c r="I19" s="887"/>
      <c r="J19" s="887">
        <v>575768723</v>
      </c>
      <c r="K19" s="887"/>
      <c r="L19" s="887">
        <f t="shared" si="0"/>
        <v>508079677</v>
      </c>
      <c r="M19" s="885"/>
      <c r="N19" s="887"/>
      <c r="O19" s="887"/>
      <c r="P19" s="887"/>
      <c r="Q19" s="887"/>
      <c r="R19" s="887"/>
      <c r="S19" s="887"/>
      <c r="T19" s="887"/>
      <c r="U19" s="887"/>
      <c r="V19" s="887"/>
      <c r="W19" s="887"/>
      <c r="X19" s="887"/>
      <c r="Y19" s="887"/>
      <c r="Z19" s="887">
        <v>3252364037</v>
      </c>
    </row>
    <row r="20" spans="1:28">
      <c r="A20" s="593" t="s">
        <v>451</v>
      </c>
      <c r="B20" s="887">
        <v>126000</v>
      </c>
      <c r="C20" s="889"/>
      <c r="D20" s="887">
        <v>260000</v>
      </c>
      <c r="E20" s="887"/>
      <c r="F20" s="887">
        <v>2398000</v>
      </c>
      <c r="G20" s="887"/>
      <c r="H20" s="887">
        <v>278000</v>
      </c>
      <c r="I20" s="887"/>
      <c r="J20" s="887">
        <v>97000</v>
      </c>
      <c r="K20" s="890"/>
      <c r="L20" s="887">
        <f t="shared" si="0"/>
        <v>292000</v>
      </c>
      <c r="M20" s="885"/>
      <c r="N20" s="887"/>
      <c r="O20" s="887"/>
      <c r="P20" s="887"/>
      <c r="Q20" s="887"/>
      <c r="R20" s="887"/>
      <c r="S20" s="887"/>
      <c r="T20" s="887"/>
      <c r="U20" s="887"/>
      <c r="V20" s="887"/>
      <c r="W20" s="889"/>
      <c r="X20" s="887"/>
      <c r="Y20" s="887"/>
      <c r="Z20" s="887">
        <v>3451000</v>
      </c>
    </row>
    <row r="21" spans="1:28">
      <c r="A21" s="593" t="s">
        <v>452</v>
      </c>
      <c r="B21" s="887">
        <v>3829132</v>
      </c>
      <c r="C21" s="889"/>
      <c r="D21" s="887">
        <v>478535</v>
      </c>
      <c r="E21" s="887"/>
      <c r="F21" s="887">
        <v>6906516</v>
      </c>
      <c r="G21" s="887"/>
      <c r="H21" s="887">
        <v>4925505</v>
      </c>
      <c r="I21" s="887"/>
      <c r="J21" s="887">
        <v>3412782</v>
      </c>
      <c r="K21" s="890"/>
      <c r="L21" s="887">
        <f t="shared" si="0"/>
        <v>5555104</v>
      </c>
      <c r="M21" s="885"/>
      <c r="N21" s="887"/>
      <c r="O21" s="887"/>
      <c r="P21" s="887"/>
      <c r="Q21" s="887"/>
      <c r="R21" s="887"/>
      <c r="S21" s="887"/>
      <c r="T21" s="887"/>
      <c r="U21" s="887"/>
      <c r="V21" s="887"/>
      <c r="W21" s="889"/>
      <c r="X21" s="887"/>
      <c r="Y21" s="887"/>
      <c r="Z21" s="887">
        <v>25107574</v>
      </c>
    </row>
    <row r="22" spans="1:28">
      <c r="A22" s="593" t="s">
        <v>453</v>
      </c>
      <c r="B22" s="887">
        <v>0</v>
      </c>
      <c r="C22" s="889"/>
      <c r="D22" s="887">
        <v>0</v>
      </c>
      <c r="E22" s="887"/>
      <c r="F22" s="887">
        <v>0</v>
      </c>
      <c r="G22" s="887"/>
      <c r="H22" s="887">
        <v>0</v>
      </c>
      <c r="I22" s="887"/>
      <c r="J22" s="887">
        <v>0</v>
      </c>
      <c r="K22" s="890"/>
      <c r="L22" s="887">
        <f t="shared" si="0"/>
        <v>0</v>
      </c>
      <c r="M22" s="885"/>
      <c r="N22" s="887"/>
      <c r="O22" s="887"/>
      <c r="P22" s="887"/>
      <c r="Q22" s="887"/>
      <c r="R22" s="887"/>
      <c r="S22" s="887"/>
      <c r="T22" s="887"/>
      <c r="U22" s="887"/>
      <c r="V22" s="887"/>
      <c r="W22" s="889"/>
      <c r="X22" s="887"/>
      <c r="Y22" s="887"/>
      <c r="Z22" s="887">
        <v>0</v>
      </c>
    </row>
    <row r="23" spans="1:28">
      <c r="A23" s="594" t="s">
        <v>1414</v>
      </c>
      <c r="B23" s="887">
        <v>0</v>
      </c>
      <c r="C23" s="889"/>
      <c r="D23" s="887">
        <v>0</v>
      </c>
      <c r="E23" s="887"/>
      <c r="F23" s="887">
        <v>0</v>
      </c>
      <c r="G23" s="887"/>
      <c r="H23" s="887">
        <v>0</v>
      </c>
      <c r="I23" s="887"/>
      <c r="J23" s="887">
        <v>0</v>
      </c>
      <c r="K23" s="890"/>
      <c r="L23" s="887">
        <f t="shared" si="0"/>
        <v>0</v>
      </c>
      <c r="M23" s="885"/>
      <c r="N23" s="887"/>
      <c r="O23" s="887"/>
      <c r="P23" s="887"/>
      <c r="Q23" s="887"/>
      <c r="R23" s="887"/>
      <c r="S23" s="887"/>
      <c r="T23" s="887"/>
      <c r="U23" s="887"/>
      <c r="V23" s="887"/>
      <c r="W23" s="889"/>
      <c r="X23" s="887"/>
      <c r="Y23" s="887"/>
      <c r="Z23" s="887">
        <v>0</v>
      </c>
    </row>
    <row r="24" spans="1:28">
      <c r="A24" s="593" t="s">
        <v>454</v>
      </c>
      <c r="B24" s="887">
        <v>0</v>
      </c>
      <c r="C24" s="890"/>
      <c r="D24" s="887">
        <v>0</v>
      </c>
      <c r="E24" s="887"/>
      <c r="F24" s="887">
        <v>0</v>
      </c>
      <c r="G24" s="887"/>
      <c r="H24" s="887">
        <v>0</v>
      </c>
      <c r="I24" s="887"/>
      <c r="J24" s="887">
        <v>137</v>
      </c>
      <c r="K24" s="887"/>
      <c r="L24" s="887">
        <f t="shared" si="0"/>
        <v>75000000</v>
      </c>
      <c r="M24" s="885"/>
      <c r="N24" s="887"/>
      <c r="O24" s="887"/>
      <c r="P24" s="887"/>
      <c r="Q24" s="887"/>
      <c r="R24" s="887"/>
      <c r="S24" s="887"/>
      <c r="T24" s="887"/>
      <c r="U24" s="887"/>
      <c r="V24" s="887"/>
      <c r="W24" s="887"/>
      <c r="X24" s="887"/>
      <c r="Y24" s="887"/>
      <c r="Z24" s="887">
        <v>75000137</v>
      </c>
    </row>
    <row r="25" spans="1:28" s="364" customFormat="1" ht="15.75">
      <c r="A25" s="365" t="s">
        <v>147</v>
      </c>
      <c r="B25" s="1099">
        <f>ROUND(SUM(B15:B24),0)</f>
        <v>605438447</v>
      </c>
      <c r="C25" s="366"/>
      <c r="D25" s="1099">
        <f>ROUND(SUM(D15:D24),0)</f>
        <v>602330348</v>
      </c>
      <c r="E25" s="366"/>
      <c r="F25" s="1099">
        <f>ROUND(SUM(F15:F24),0)</f>
        <v>582467754</v>
      </c>
      <c r="G25" s="366"/>
      <c r="H25" s="1099">
        <f>ROUND(SUM(H15:H24),0)</f>
        <v>621175077</v>
      </c>
      <c r="I25" s="366"/>
      <c r="J25" s="1099">
        <f>ROUND(SUM(J15:J24),0)</f>
        <v>633685120</v>
      </c>
      <c r="K25" s="366"/>
      <c r="L25" s="1099">
        <f>ROUND(SUM(L15:L24),0)</f>
        <v>648361233</v>
      </c>
      <c r="M25" s="361"/>
      <c r="N25" s="1099">
        <f>ROUND(SUM(N15:N24),0)</f>
        <v>0</v>
      </c>
      <c r="O25" s="366"/>
      <c r="P25" s="1099">
        <f>ROUND(SUM(P15:P24),0)</f>
        <v>0</v>
      </c>
      <c r="Q25" s="366"/>
      <c r="R25" s="1099">
        <f>ROUND(SUM(R15:R24),0)</f>
        <v>0</v>
      </c>
      <c r="S25" s="366"/>
      <c r="T25" s="1099">
        <f>ROUND(SUM(T15:T24),0)</f>
        <v>0</v>
      </c>
      <c r="U25" s="366"/>
      <c r="V25" s="1099">
        <f>ROUND(SUM(V15:V24),0)</f>
        <v>0</v>
      </c>
      <c r="W25" s="366"/>
      <c r="X25" s="1099">
        <f>ROUND(SUM(X15:X24),0)</f>
        <v>0</v>
      </c>
      <c r="Y25" s="366"/>
      <c r="Z25" s="367">
        <f>ROUND(SUM(Z15:Z24),0)</f>
        <v>3693457979</v>
      </c>
      <c r="AA25" s="1855"/>
      <c r="AB25" s="1107"/>
    </row>
    <row r="26" spans="1:28">
      <c r="A26" s="884"/>
      <c r="B26" s="887"/>
      <c r="C26" s="887"/>
      <c r="D26" s="887"/>
      <c r="E26" s="887"/>
      <c r="F26" s="887"/>
      <c r="G26" s="887"/>
      <c r="H26" s="887"/>
      <c r="I26" s="887"/>
      <c r="J26" s="887"/>
      <c r="K26" s="887"/>
      <c r="L26" s="887"/>
      <c r="M26" s="885"/>
      <c r="N26" s="887"/>
      <c r="O26" s="887"/>
      <c r="P26" s="887"/>
      <c r="Q26" s="887"/>
      <c r="R26" s="887"/>
      <c r="S26" s="887"/>
      <c r="T26" s="887"/>
      <c r="U26" s="887"/>
      <c r="V26" s="887"/>
      <c r="W26" s="887"/>
      <c r="X26" s="887"/>
      <c r="Y26" s="887"/>
      <c r="Z26" s="888"/>
    </row>
    <row r="27" spans="1:28" ht="15.75">
      <c r="A27" s="365" t="s">
        <v>22</v>
      </c>
      <c r="B27" s="887"/>
      <c r="C27" s="887"/>
      <c r="D27" s="887"/>
      <c r="E27" s="887"/>
      <c r="F27" s="887"/>
      <c r="G27" s="887"/>
      <c r="H27" s="887"/>
      <c r="I27" s="887"/>
      <c r="J27" s="887"/>
      <c r="K27" s="887"/>
      <c r="L27" s="887"/>
      <c r="M27" s="885"/>
      <c r="N27" s="887"/>
      <c r="O27" s="887"/>
      <c r="P27" s="887"/>
      <c r="Q27" s="887"/>
      <c r="R27" s="887"/>
      <c r="S27" s="887"/>
      <c r="T27" s="887"/>
      <c r="U27" s="887"/>
      <c r="V27" s="887"/>
      <c r="W27" s="887"/>
      <c r="X27" s="887"/>
      <c r="Y27" s="887"/>
      <c r="Z27" s="888"/>
    </row>
    <row r="28" spans="1:28">
      <c r="A28" s="593" t="s">
        <v>455</v>
      </c>
      <c r="B28" s="887">
        <v>399440913</v>
      </c>
      <c r="C28" s="887"/>
      <c r="D28" s="887">
        <v>455108005</v>
      </c>
      <c r="E28" s="887"/>
      <c r="F28" s="887">
        <v>593649284</v>
      </c>
      <c r="G28" s="887"/>
      <c r="H28" s="887">
        <v>464678359</v>
      </c>
      <c r="I28" s="887"/>
      <c r="J28" s="887">
        <v>502400352</v>
      </c>
      <c r="K28" s="887"/>
      <c r="L28" s="887">
        <f t="shared" ref="L28:L32" si="1">$Z28-$B28-$D28-$F28-$H28-$J28</f>
        <v>780627788</v>
      </c>
      <c r="M28" s="885"/>
      <c r="N28" s="887"/>
      <c r="O28" s="887"/>
      <c r="P28" s="887"/>
      <c r="Q28" s="887"/>
      <c r="R28" s="887"/>
      <c r="S28" s="887"/>
      <c r="T28" s="887"/>
      <c r="U28" s="887"/>
      <c r="V28" s="887"/>
      <c r="W28" s="887"/>
      <c r="X28" s="887"/>
      <c r="Y28" s="887"/>
      <c r="Z28" s="887">
        <v>3195904701</v>
      </c>
    </row>
    <row r="29" spans="1:28">
      <c r="A29" s="593" t="s">
        <v>456</v>
      </c>
      <c r="B29" s="887">
        <v>1783</v>
      </c>
      <c r="C29" s="887"/>
      <c r="D29" s="887">
        <v>-1129</v>
      </c>
      <c r="E29" s="887"/>
      <c r="F29" s="887">
        <v>1281</v>
      </c>
      <c r="G29" s="887"/>
      <c r="H29" s="887">
        <v>958</v>
      </c>
      <c r="I29" s="887"/>
      <c r="J29" s="887">
        <v>1982</v>
      </c>
      <c r="K29" s="887"/>
      <c r="L29" s="887">
        <f t="shared" si="1"/>
        <v>5907</v>
      </c>
      <c r="M29" s="885"/>
      <c r="N29" s="887"/>
      <c r="O29" s="887"/>
      <c r="P29" s="887"/>
      <c r="Q29" s="887"/>
      <c r="R29" s="887"/>
      <c r="S29" s="887"/>
      <c r="T29" s="887"/>
      <c r="U29" s="887"/>
      <c r="V29" s="887"/>
      <c r="W29" s="887"/>
      <c r="X29" s="887"/>
      <c r="Y29" s="887"/>
      <c r="Z29" s="887">
        <v>10782</v>
      </c>
      <c r="AB29" s="1108"/>
    </row>
    <row r="30" spans="1:28">
      <c r="A30" s="593" t="s">
        <v>457</v>
      </c>
      <c r="B30" s="887">
        <v>977392</v>
      </c>
      <c r="C30" s="887"/>
      <c r="D30" s="887">
        <v>471010</v>
      </c>
      <c r="E30" s="887"/>
      <c r="F30" s="887">
        <v>899517</v>
      </c>
      <c r="G30" s="887"/>
      <c r="H30" s="887">
        <v>415075</v>
      </c>
      <c r="I30" s="887"/>
      <c r="J30" s="887">
        <v>2065497</v>
      </c>
      <c r="K30" s="887"/>
      <c r="L30" s="887">
        <f t="shared" si="1"/>
        <v>905924</v>
      </c>
      <c r="M30" s="885"/>
      <c r="N30" s="887"/>
      <c r="O30" s="887"/>
      <c r="P30" s="887"/>
      <c r="Q30" s="887"/>
      <c r="R30" s="887"/>
      <c r="S30" s="887"/>
      <c r="T30" s="887"/>
      <c r="U30" s="887"/>
      <c r="V30" s="887"/>
      <c r="W30" s="887"/>
      <c r="X30" s="887"/>
      <c r="Y30" s="887"/>
      <c r="Z30" s="887">
        <v>5734415</v>
      </c>
    </row>
    <row r="31" spans="1:28">
      <c r="A31" s="593" t="s">
        <v>458</v>
      </c>
      <c r="B31" s="887">
        <v>809549</v>
      </c>
      <c r="C31" s="887"/>
      <c r="D31" s="887">
        <v>3794530</v>
      </c>
      <c r="E31" s="887"/>
      <c r="F31" s="887">
        <v>5179721</v>
      </c>
      <c r="G31" s="887"/>
      <c r="H31" s="887">
        <v>1713733</v>
      </c>
      <c r="I31" s="887"/>
      <c r="J31" s="887">
        <v>4916865</v>
      </c>
      <c r="K31" s="887"/>
      <c r="L31" s="887">
        <f t="shared" si="1"/>
        <v>5593430</v>
      </c>
      <c r="M31" s="885"/>
      <c r="N31" s="887"/>
      <c r="O31" s="887"/>
      <c r="P31" s="887"/>
      <c r="Q31" s="887"/>
      <c r="R31" s="887"/>
      <c r="S31" s="887"/>
      <c r="T31" s="887"/>
      <c r="U31" s="887"/>
      <c r="V31" s="887"/>
      <c r="W31" s="887"/>
      <c r="X31" s="887"/>
      <c r="Y31" s="887"/>
      <c r="Z31" s="887">
        <v>22007828</v>
      </c>
    </row>
    <row r="32" spans="1:28">
      <c r="A32" s="593" t="s">
        <v>459</v>
      </c>
      <c r="B32" s="887">
        <v>0</v>
      </c>
      <c r="C32" s="887"/>
      <c r="D32" s="887">
        <v>812618</v>
      </c>
      <c r="E32" s="887"/>
      <c r="F32" s="887">
        <v>761609</v>
      </c>
      <c r="G32" s="887"/>
      <c r="H32" s="887">
        <v>277444</v>
      </c>
      <c r="I32" s="887"/>
      <c r="J32" s="887">
        <v>614984</v>
      </c>
      <c r="K32" s="887"/>
      <c r="L32" s="887">
        <f t="shared" si="1"/>
        <v>1074358</v>
      </c>
      <c r="M32" s="885"/>
      <c r="N32" s="887"/>
      <c r="O32" s="887"/>
      <c r="P32" s="887"/>
      <c r="Q32" s="887"/>
      <c r="R32" s="887"/>
      <c r="S32" s="887"/>
      <c r="T32" s="887"/>
      <c r="U32" s="887"/>
      <c r="V32" s="887"/>
      <c r="W32" s="887"/>
      <c r="X32" s="887"/>
      <c r="Y32" s="887"/>
      <c r="Z32" s="887">
        <v>3541013</v>
      </c>
    </row>
    <row r="33" spans="1:28" ht="15.75">
      <c r="A33" s="365" t="s">
        <v>153</v>
      </c>
      <c r="B33" s="1099">
        <f>ROUND(SUM(B28:B32),0)</f>
        <v>401229637</v>
      </c>
      <c r="C33" s="887"/>
      <c r="D33" s="1099">
        <f>ROUND(SUM(D28:D32),0)</f>
        <v>460185034</v>
      </c>
      <c r="E33" s="887"/>
      <c r="F33" s="1099">
        <f>ROUND(SUM(F28:F32),0)</f>
        <v>600491412</v>
      </c>
      <c r="G33" s="887"/>
      <c r="H33" s="1099">
        <f>ROUND(SUM(H28:H32),0)</f>
        <v>467085569</v>
      </c>
      <c r="I33" s="887"/>
      <c r="J33" s="1099">
        <f>ROUND(SUM(J28:J32),0)</f>
        <v>509999680</v>
      </c>
      <c r="K33" s="887"/>
      <c r="L33" s="1099">
        <f>ROUND(SUM(L28:L32),0)</f>
        <v>788207407</v>
      </c>
      <c r="M33" s="885"/>
      <c r="N33" s="1099">
        <f>ROUND(SUM(N28:N32),0)</f>
        <v>0</v>
      </c>
      <c r="O33" s="887"/>
      <c r="P33" s="1099">
        <f>ROUND(SUM(P28:P32),0)</f>
        <v>0</v>
      </c>
      <c r="Q33" s="887"/>
      <c r="R33" s="1099">
        <f>ROUND(SUM(R28:R32),0)</f>
        <v>0</v>
      </c>
      <c r="S33" s="887"/>
      <c r="T33" s="1099">
        <f>ROUND(SUM(T28:T32),0)</f>
        <v>0</v>
      </c>
      <c r="U33" s="887"/>
      <c r="V33" s="1099">
        <f>ROUND(SUM(V28:V32),0)</f>
        <v>0</v>
      </c>
      <c r="W33" s="887"/>
      <c r="X33" s="1099">
        <f>ROUND(SUM(X28:X32),0)</f>
        <v>0</v>
      </c>
      <c r="Y33" s="887"/>
      <c r="Z33" s="367">
        <f>ROUND(SUM(Z28:Z32),0)</f>
        <v>3227198739</v>
      </c>
    </row>
    <row r="34" spans="1:28" ht="15.75">
      <c r="A34" s="365"/>
      <c r="B34" s="887"/>
      <c r="C34" s="887"/>
      <c r="D34" s="887"/>
      <c r="E34" s="887"/>
      <c r="F34" s="889"/>
      <c r="G34" s="887"/>
      <c r="H34" s="889"/>
      <c r="I34" s="887"/>
      <c r="J34" s="887"/>
      <c r="K34" s="887"/>
      <c r="L34" s="887"/>
      <c r="M34" s="885"/>
      <c r="N34" s="887"/>
      <c r="O34" s="887"/>
      <c r="P34" s="887"/>
      <c r="Q34" s="887"/>
      <c r="R34" s="887"/>
      <c r="S34" s="887"/>
      <c r="T34" s="887"/>
      <c r="U34" s="887"/>
      <c r="V34" s="887"/>
      <c r="W34" s="887"/>
      <c r="X34" s="887"/>
      <c r="Y34" s="887"/>
      <c r="Z34" s="888"/>
    </row>
    <row r="35" spans="1:28" ht="15.75">
      <c r="A35" s="368" t="s">
        <v>460</v>
      </c>
      <c r="B35" s="889"/>
      <c r="C35" s="889"/>
      <c r="D35" s="889"/>
      <c r="E35" s="887"/>
      <c r="F35" s="891"/>
      <c r="G35" s="887"/>
      <c r="H35" s="889"/>
      <c r="I35" s="887"/>
      <c r="J35" s="889"/>
      <c r="K35" s="887"/>
      <c r="L35" s="889"/>
      <c r="M35" s="885"/>
      <c r="N35" s="889"/>
      <c r="O35" s="887"/>
      <c r="P35" s="889"/>
      <c r="Q35" s="887"/>
      <c r="R35" s="889"/>
      <c r="S35" s="887"/>
      <c r="T35" s="889"/>
      <c r="U35" s="887"/>
      <c r="V35" s="889"/>
      <c r="W35" s="887"/>
      <c r="X35" s="889"/>
      <c r="Y35" s="887"/>
      <c r="Z35" s="888"/>
    </row>
    <row r="36" spans="1:28">
      <c r="A36" s="593" t="s">
        <v>461</v>
      </c>
      <c r="B36" s="887">
        <v>0</v>
      </c>
      <c r="C36" s="889"/>
      <c r="D36" s="887">
        <v>0</v>
      </c>
      <c r="E36" s="887"/>
      <c r="F36" s="887">
        <v>0</v>
      </c>
      <c r="G36" s="887"/>
      <c r="H36" s="887">
        <v>0</v>
      </c>
      <c r="I36" s="887"/>
      <c r="J36" s="887">
        <v>0</v>
      </c>
      <c r="K36" s="887"/>
      <c r="L36" s="887">
        <f t="shared" ref="L36:L41" si="2">$Z36-$B36-$D36-$F36-$H36-$J36</f>
        <v>0</v>
      </c>
      <c r="M36" s="885"/>
      <c r="N36" s="887"/>
      <c r="O36" s="887"/>
      <c r="P36" s="887"/>
      <c r="Q36" s="887"/>
      <c r="R36" s="887"/>
      <c r="S36" s="887"/>
      <c r="T36" s="887"/>
      <c r="U36" s="887"/>
      <c r="V36" s="887"/>
      <c r="W36" s="887"/>
      <c r="X36" s="887"/>
      <c r="Y36" s="887"/>
      <c r="Z36" s="887">
        <v>0</v>
      </c>
    </row>
    <row r="37" spans="1:28">
      <c r="A37" s="593" t="s">
        <v>462</v>
      </c>
      <c r="B37" s="887">
        <v>0</v>
      </c>
      <c r="C37" s="889"/>
      <c r="D37" s="887">
        <v>0</v>
      </c>
      <c r="E37" s="887"/>
      <c r="F37" s="887">
        <v>0</v>
      </c>
      <c r="G37" s="887"/>
      <c r="H37" s="887">
        <v>0</v>
      </c>
      <c r="I37" s="887"/>
      <c r="J37" s="887">
        <v>353932</v>
      </c>
      <c r="K37" s="887"/>
      <c r="L37" s="887">
        <f t="shared" si="2"/>
        <v>0</v>
      </c>
      <c r="M37" s="885"/>
      <c r="N37" s="887"/>
      <c r="O37" s="887"/>
      <c r="P37" s="887"/>
      <c r="Q37" s="887"/>
      <c r="R37" s="887"/>
      <c r="S37" s="887"/>
      <c r="T37" s="887"/>
      <c r="U37" s="887"/>
      <c r="V37" s="887"/>
      <c r="W37" s="887"/>
      <c r="X37" s="887"/>
      <c r="Y37" s="887"/>
      <c r="Z37" s="887">
        <v>353932</v>
      </c>
    </row>
    <row r="38" spans="1:28">
      <c r="A38" s="593" t="s">
        <v>1280</v>
      </c>
      <c r="B38" s="887" t="s">
        <v>14</v>
      </c>
      <c r="C38" s="1109"/>
      <c r="D38" s="887"/>
      <c r="E38" s="1109"/>
      <c r="F38" s="887" t="s">
        <v>14</v>
      </c>
      <c r="G38" s="1109"/>
      <c r="H38" s="887"/>
      <c r="I38" s="1109"/>
      <c r="J38" s="887"/>
      <c r="K38" s="1109"/>
      <c r="L38" s="887"/>
      <c r="M38" s="885"/>
      <c r="N38" s="887"/>
      <c r="O38" s="1109"/>
      <c r="P38" s="887"/>
      <c r="Q38" s="1109"/>
      <c r="R38" s="887"/>
      <c r="S38" s="1109"/>
      <c r="T38" s="887"/>
      <c r="U38" s="1109"/>
      <c r="V38" s="887"/>
      <c r="W38" s="1109"/>
      <c r="X38" s="887"/>
      <c r="Y38" s="1109"/>
      <c r="Z38" s="1109"/>
    </row>
    <row r="39" spans="1:28">
      <c r="A39" s="593" t="s">
        <v>463</v>
      </c>
      <c r="B39" s="887">
        <v>0</v>
      </c>
      <c r="C39" s="889"/>
      <c r="D39" s="887">
        <v>0</v>
      </c>
      <c r="E39" s="887"/>
      <c r="F39" s="887">
        <v>0</v>
      </c>
      <c r="G39" s="887"/>
      <c r="H39" s="887">
        <v>483754</v>
      </c>
      <c r="I39" s="887"/>
      <c r="J39" s="887">
        <v>0</v>
      </c>
      <c r="K39" s="887"/>
      <c r="L39" s="887">
        <f t="shared" si="2"/>
        <v>0</v>
      </c>
      <c r="M39" s="885"/>
      <c r="N39" s="887"/>
      <c r="O39" s="887"/>
      <c r="P39" s="887"/>
      <c r="Q39" s="887"/>
      <c r="R39" s="887"/>
      <c r="S39" s="887"/>
      <c r="T39" s="887"/>
      <c r="U39" s="887"/>
      <c r="V39" s="887"/>
      <c r="W39" s="887"/>
      <c r="X39" s="887"/>
      <c r="Y39" s="887"/>
      <c r="Z39" s="887">
        <v>483754</v>
      </c>
    </row>
    <row r="40" spans="1:28">
      <c r="A40" s="593" t="s">
        <v>464</v>
      </c>
      <c r="B40" s="887">
        <v>0</v>
      </c>
      <c r="C40" s="889"/>
      <c r="D40" s="887">
        <v>0</v>
      </c>
      <c r="E40" s="887"/>
      <c r="F40" s="887">
        <v>1040000</v>
      </c>
      <c r="G40" s="887"/>
      <c r="H40" s="887">
        <v>0</v>
      </c>
      <c r="I40" s="887"/>
      <c r="J40" s="887">
        <v>0</v>
      </c>
      <c r="K40" s="887"/>
      <c r="L40" s="887">
        <f t="shared" si="2"/>
        <v>0</v>
      </c>
      <c r="M40" s="885"/>
      <c r="N40" s="887"/>
      <c r="O40" s="887"/>
      <c r="P40" s="887"/>
      <c r="Q40" s="887"/>
      <c r="R40" s="887"/>
      <c r="S40" s="887"/>
      <c r="T40" s="887"/>
      <c r="U40" s="887"/>
      <c r="V40" s="887"/>
      <c r="W40" s="887"/>
      <c r="X40" s="887"/>
      <c r="Y40" s="887"/>
      <c r="Z40" s="887">
        <v>1040000</v>
      </c>
    </row>
    <row r="41" spans="1:28">
      <c r="A41" s="593" t="s">
        <v>465</v>
      </c>
      <c r="B41" s="887">
        <v>262919</v>
      </c>
      <c r="C41" s="889"/>
      <c r="D41" s="887">
        <v>311357</v>
      </c>
      <c r="E41" s="887"/>
      <c r="F41" s="887">
        <v>350611</v>
      </c>
      <c r="G41" s="887"/>
      <c r="H41" s="887">
        <v>300074</v>
      </c>
      <c r="I41" s="887"/>
      <c r="J41" s="887">
        <v>0</v>
      </c>
      <c r="K41" s="887"/>
      <c r="L41" s="887">
        <f t="shared" si="2"/>
        <v>0</v>
      </c>
      <c r="M41" s="885"/>
      <c r="N41" s="887"/>
      <c r="O41" s="887"/>
      <c r="P41" s="887"/>
      <c r="Q41" s="887"/>
      <c r="R41" s="887"/>
      <c r="S41" s="887"/>
      <c r="T41" s="887"/>
      <c r="U41" s="887"/>
      <c r="V41" s="887"/>
      <c r="W41" s="887"/>
      <c r="X41" s="887"/>
      <c r="Y41" s="887"/>
      <c r="Z41" s="887">
        <v>1224961</v>
      </c>
    </row>
    <row r="42" spans="1:28" ht="15.75">
      <c r="A42" s="365" t="s">
        <v>466</v>
      </c>
      <c r="B42" s="1110">
        <f>ROUND(SUM(B36:B41),0)</f>
        <v>262919</v>
      </c>
      <c r="C42" s="889"/>
      <c r="D42" s="1110">
        <f>ROUND(SUM(D36:D41),0)</f>
        <v>311357</v>
      </c>
      <c r="E42" s="887"/>
      <c r="F42" s="1110">
        <f>ROUND(SUM(F36:F41),0)</f>
        <v>1390611</v>
      </c>
      <c r="G42" s="887"/>
      <c r="H42" s="1110">
        <f>ROUND(SUM(H36:H41),0)</f>
        <v>783828</v>
      </c>
      <c r="I42" s="887"/>
      <c r="J42" s="1110">
        <f>ROUND(SUM(J36:J41),0)</f>
        <v>353932</v>
      </c>
      <c r="K42" s="887"/>
      <c r="L42" s="1110">
        <f>ROUND(SUM(L36:L41),0)</f>
        <v>0</v>
      </c>
      <c r="M42" s="885"/>
      <c r="N42" s="1110">
        <f>ROUND(SUM(N36:N41),0)</f>
        <v>0</v>
      </c>
      <c r="O42" s="887"/>
      <c r="P42" s="1110">
        <f>ROUND(SUM(P36:P41),0)</f>
        <v>0</v>
      </c>
      <c r="Q42" s="887"/>
      <c r="R42" s="1110">
        <f>ROUND(SUM(R36:R41),0)</f>
        <v>0</v>
      </c>
      <c r="S42" s="887"/>
      <c r="T42" s="1110">
        <f>ROUND(SUM(T36:T41),0)</f>
        <v>0</v>
      </c>
      <c r="U42" s="887"/>
      <c r="V42" s="1110">
        <f>ROUND(SUM(V36:V41),0)</f>
        <v>0</v>
      </c>
      <c r="W42" s="887"/>
      <c r="X42" s="1110">
        <f>ROUND(SUM(X36:X41),0)</f>
        <v>0</v>
      </c>
      <c r="Y42" s="887"/>
      <c r="Z42" s="1111">
        <f>ROUND(SUM(Z36:Z41),0)</f>
        <v>3102647</v>
      </c>
    </row>
    <row r="43" spans="1:28">
      <c r="B43" s="1156"/>
      <c r="C43" s="889"/>
      <c r="D43" s="1156"/>
      <c r="E43" s="887"/>
      <c r="F43" s="1157"/>
      <c r="G43" s="887"/>
      <c r="H43" s="1156"/>
      <c r="I43" s="887"/>
      <c r="J43" s="1024"/>
      <c r="K43" s="887"/>
      <c r="L43" s="1024"/>
      <c r="M43" s="885"/>
      <c r="N43" s="1024"/>
      <c r="O43" s="887"/>
      <c r="P43" s="1024"/>
      <c r="Q43" s="887"/>
      <c r="R43" s="1024"/>
      <c r="S43" s="887"/>
      <c r="T43" s="1024"/>
      <c r="U43" s="887"/>
      <c r="V43" s="1024"/>
      <c r="W43" s="887"/>
      <c r="X43" s="1024"/>
      <c r="Y43" s="887"/>
      <c r="Z43" s="1112"/>
    </row>
    <row r="44" spans="1:28" s="364" customFormat="1" ht="15.75">
      <c r="A44" s="365" t="s">
        <v>467</v>
      </c>
      <c r="B44" s="892">
        <f>ROUND(B33+B42,0)</f>
        <v>401492556</v>
      </c>
      <c r="C44" s="366"/>
      <c r="D44" s="892">
        <f>ROUND(D33+D42,0)</f>
        <v>460496391</v>
      </c>
      <c r="E44" s="366"/>
      <c r="F44" s="892">
        <f>ROUND(F33+F42,0)</f>
        <v>601882023</v>
      </c>
      <c r="G44" s="366"/>
      <c r="H44" s="892">
        <f>ROUND(H33+H42,0)</f>
        <v>467869397</v>
      </c>
      <c r="I44" s="366"/>
      <c r="J44" s="892">
        <f>ROUND(J33+J42,0)</f>
        <v>510353612</v>
      </c>
      <c r="K44" s="366"/>
      <c r="L44" s="892">
        <f>ROUND(L33+L42,0)</f>
        <v>788207407</v>
      </c>
      <c r="M44" s="361"/>
      <c r="N44" s="892">
        <f>ROUND(N33+N42,0)</f>
        <v>0</v>
      </c>
      <c r="O44" s="366"/>
      <c r="P44" s="892">
        <f>ROUND(P33+P42,0)</f>
        <v>0</v>
      </c>
      <c r="Q44" s="366"/>
      <c r="R44" s="892">
        <f>ROUND(R33+R42,0)</f>
        <v>0</v>
      </c>
      <c r="S44" s="366"/>
      <c r="T44" s="892">
        <f>ROUND(T33+T42,0)</f>
        <v>0</v>
      </c>
      <c r="U44" s="366"/>
      <c r="V44" s="892">
        <f>ROUND(V33+V42,0)</f>
        <v>0</v>
      </c>
      <c r="W44" s="366"/>
      <c r="X44" s="892">
        <f>ROUND(X33+X42,0)</f>
        <v>0</v>
      </c>
      <c r="Y44" s="366"/>
      <c r="Z44" s="892">
        <f>ROUND(Z33+Z42,0)</f>
        <v>3230301386</v>
      </c>
      <c r="AA44" s="1855"/>
      <c r="AB44" s="1107"/>
    </row>
    <row r="45" spans="1:28">
      <c r="A45" s="884"/>
      <c r="B45" s="885"/>
      <c r="C45" s="885"/>
      <c r="D45" s="885"/>
      <c r="E45" s="885"/>
      <c r="F45" s="885"/>
      <c r="G45" s="885"/>
      <c r="H45" s="885"/>
      <c r="I45" s="885"/>
      <c r="J45" s="885"/>
      <c r="K45" s="885"/>
      <c r="L45" s="885"/>
      <c r="M45" s="885"/>
      <c r="N45" s="885"/>
      <c r="O45" s="885"/>
      <c r="P45" s="885"/>
      <c r="Q45" s="885"/>
      <c r="R45" s="885"/>
      <c r="S45" s="885"/>
      <c r="T45" s="885"/>
      <c r="U45" s="885"/>
      <c r="V45" s="885"/>
      <c r="W45" s="885"/>
      <c r="X45" s="885"/>
      <c r="Y45" s="885"/>
      <c r="Z45" s="1113"/>
    </row>
    <row r="46" spans="1:28" s="364" customFormat="1" ht="16.5" thickBot="1">
      <c r="A46" s="368" t="s">
        <v>468</v>
      </c>
      <c r="B46" s="1023">
        <f>ROUND(B12+B25-B44,0)</f>
        <v>294767158</v>
      </c>
      <c r="C46" s="363"/>
      <c r="D46" s="1023">
        <f>ROUND(D12+D25-D44,0)</f>
        <v>436601115</v>
      </c>
      <c r="E46" s="883"/>
      <c r="F46" s="1023">
        <f>ROUND(F12+F25-F44,0)</f>
        <v>417186846</v>
      </c>
      <c r="G46" s="883"/>
      <c r="H46" s="1023">
        <f>ROUND(H12+H25-H44,0)</f>
        <v>570492526</v>
      </c>
      <c r="I46" s="883"/>
      <c r="J46" s="1023">
        <f>ROUND(J12+J25-J44,0)</f>
        <v>693824034</v>
      </c>
      <c r="K46" s="363"/>
      <c r="L46" s="1023">
        <f>ROUND(L12+L25-L44,0)</f>
        <v>553977860</v>
      </c>
      <c r="M46" s="361"/>
      <c r="N46" s="1023">
        <f>ROUND(N12+N25-N44,0)</f>
        <v>0</v>
      </c>
      <c r="O46" s="363"/>
      <c r="P46" s="1023">
        <f>ROUND(P12+P25-P44,0)</f>
        <v>0</v>
      </c>
      <c r="Q46" s="363"/>
      <c r="R46" s="1023">
        <f>ROUND(R12+R25-R44,0)</f>
        <v>0</v>
      </c>
      <c r="S46" s="363"/>
      <c r="T46" s="1023">
        <f>ROUND(T12+T25-T44,0)</f>
        <v>0</v>
      </c>
      <c r="U46" s="363"/>
      <c r="V46" s="1023">
        <f>ROUND(V12+V25-V44,0)</f>
        <v>0</v>
      </c>
      <c r="W46" s="363"/>
      <c r="X46" s="1023">
        <f>ROUND(X12+X25-X44,0)</f>
        <v>0</v>
      </c>
      <c r="Y46" s="363"/>
      <c r="Z46" s="1685">
        <f>ROUND(Z12+Z25-Z44,0)</f>
        <v>553977860</v>
      </c>
      <c r="AA46" s="1855"/>
    </row>
    <row r="47" spans="1:28" ht="15.75" thickTop="1">
      <c r="A47" s="884"/>
      <c r="B47" s="881"/>
      <c r="C47" s="881"/>
      <c r="D47" s="881"/>
      <c r="E47" s="882"/>
      <c r="G47" s="882"/>
      <c r="H47" s="881"/>
      <c r="I47" s="882"/>
      <c r="J47" s="881"/>
      <c r="K47" s="881"/>
      <c r="L47" s="881"/>
      <c r="M47" s="882"/>
      <c r="N47" s="881"/>
      <c r="O47" s="882"/>
      <c r="P47" s="881"/>
      <c r="Q47" s="882"/>
      <c r="R47" s="881"/>
      <c r="S47" s="882"/>
      <c r="T47" s="881"/>
      <c r="U47" s="882"/>
      <c r="V47" s="881"/>
      <c r="W47" s="882"/>
      <c r="X47" s="881"/>
      <c r="Y47" s="882"/>
      <c r="Z47" s="1113"/>
    </row>
    <row r="48" spans="1:28">
      <c r="A48" s="369"/>
      <c r="B48" s="881"/>
      <c r="C48" s="881"/>
      <c r="D48" s="881"/>
      <c r="E48" s="882"/>
      <c r="F48" s="881"/>
      <c r="G48" s="882"/>
      <c r="H48" s="881"/>
      <c r="I48" s="882"/>
      <c r="J48" s="881"/>
      <c r="K48" s="881"/>
      <c r="L48" s="881"/>
      <c r="M48" s="882"/>
      <c r="N48" s="881"/>
      <c r="O48" s="882"/>
      <c r="P48" s="881"/>
      <c r="Q48" s="882"/>
      <c r="R48" s="881"/>
      <c r="S48" s="882"/>
      <c r="T48" s="881"/>
      <c r="U48" s="882"/>
      <c r="V48" s="881"/>
      <c r="W48" s="882"/>
      <c r="X48" s="881"/>
      <c r="Y48" s="882"/>
      <c r="Z48" s="364"/>
    </row>
    <row r="50" spans="1:26" ht="18">
      <c r="A50" s="1114"/>
      <c r="B50" s="877"/>
      <c r="C50" s="877"/>
      <c r="D50" s="877"/>
      <c r="E50" s="348"/>
      <c r="F50" s="877"/>
      <c r="G50" s="348"/>
      <c r="H50" s="877"/>
      <c r="I50" s="348"/>
      <c r="J50" s="877"/>
      <c r="K50" s="877"/>
      <c r="L50" s="877"/>
      <c r="M50" s="882"/>
      <c r="N50" s="877"/>
      <c r="O50" s="348"/>
      <c r="P50" s="877"/>
      <c r="Q50" s="348"/>
      <c r="R50" s="877"/>
      <c r="S50" s="348"/>
      <c r="T50" s="877"/>
      <c r="U50" s="348"/>
      <c r="V50" s="877"/>
      <c r="W50" s="348"/>
      <c r="X50" s="877"/>
      <c r="Y50" s="348"/>
      <c r="Z50" s="1103"/>
    </row>
    <row r="51" spans="1:26">
      <c r="A51" s="880"/>
      <c r="B51" s="881"/>
      <c r="C51" s="881"/>
      <c r="D51" s="881"/>
      <c r="E51" s="882"/>
      <c r="F51" s="881"/>
      <c r="G51" s="882"/>
      <c r="H51" s="881"/>
      <c r="I51" s="882"/>
      <c r="J51" s="881"/>
      <c r="K51" s="881"/>
      <c r="L51" s="881"/>
      <c r="M51" s="882"/>
      <c r="N51" s="881"/>
      <c r="O51" s="882"/>
      <c r="P51" s="881"/>
      <c r="Q51" s="882"/>
      <c r="R51" s="881"/>
      <c r="S51" s="882"/>
      <c r="T51" s="881"/>
      <c r="U51" s="882"/>
      <c r="V51" s="881"/>
      <c r="W51" s="882"/>
      <c r="X51" s="881"/>
      <c r="Y51" s="882"/>
      <c r="Z51" s="1106"/>
    </row>
    <row r="52" spans="1:26">
      <c r="A52" s="880"/>
      <c r="B52" s="881"/>
      <c r="C52" s="881"/>
      <c r="D52" s="881"/>
      <c r="E52" s="882"/>
      <c r="F52" s="881"/>
      <c r="G52" s="882"/>
      <c r="H52" s="881"/>
      <c r="I52" s="882"/>
      <c r="J52" s="881"/>
      <c r="K52" s="881"/>
      <c r="L52" s="881"/>
      <c r="M52" s="882"/>
      <c r="N52" s="881"/>
      <c r="O52" s="882"/>
      <c r="P52" s="881"/>
      <c r="Q52" s="882"/>
      <c r="R52" s="881"/>
      <c r="S52" s="882"/>
      <c r="T52" s="881"/>
      <c r="U52" s="882"/>
      <c r="V52" s="881"/>
      <c r="W52" s="882"/>
      <c r="X52" s="881"/>
      <c r="Y52" s="882"/>
      <c r="Z52" s="1106"/>
    </row>
    <row r="53" spans="1:26">
      <c r="A53" s="345"/>
      <c r="B53" s="347"/>
      <c r="C53" s="347"/>
      <c r="D53" s="347"/>
      <c r="E53" s="348"/>
      <c r="F53" s="347"/>
      <c r="G53" s="348"/>
      <c r="H53" s="347"/>
      <c r="I53" s="348"/>
      <c r="J53" s="347"/>
      <c r="K53" s="347"/>
      <c r="L53" s="347"/>
      <c r="M53" s="348"/>
      <c r="N53" s="347"/>
      <c r="O53" s="348"/>
      <c r="P53" s="347"/>
      <c r="Q53" s="348"/>
      <c r="R53" s="347"/>
      <c r="S53" s="348"/>
      <c r="T53" s="347"/>
      <c r="U53" s="348"/>
      <c r="V53" s="347"/>
      <c r="W53" s="348"/>
      <c r="X53" s="347"/>
      <c r="Y53" s="348"/>
      <c r="Z53" s="1115"/>
    </row>
    <row r="54" spans="1:26">
      <c r="A54" s="345"/>
      <c r="B54" s="347"/>
      <c r="C54" s="347"/>
      <c r="D54" s="347"/>
      <c r="E54" s="348"/>
      <c r="F54" s="347"/>
      <c r="G54" s="348"/>
      <c r="H54" s="347"/>
      <c r="I54" s="348"/>
      <c r="J54" s="347"/>
      <c r="K54" s="347"/>
      <c r="L54" s="347"/>
      <c r="M54" s="348"/>
      <c r="N54" s="347"/>
      <c r="O54" s="348"/>
      <c r="P54" s="347"/>
      <c r="Q54" s="348"/>
      <c r="R54" s="347"/>
      <c r="S54" s="348"/>
      <c r="T54" s="347"/>
      <c r="U54" s="348"/>
      <c r="V54" s="347"/>
      <c r="W54" s="348"/>
      <c r="X54" s="347"/>
      <c r="Y54" s="348"/>
      <c r="Z54" s="1115"/>
    </row>
    <row r="55" spans="1:26">
      <c r="A55" s="345"/>
      <c r="B55" s="347"/>
      <c r="C55" s="347"/>
      <c r="D55" s="347"/>
      <c r="E55" s="348"/>
      <c r="F55" s="347"/>
      <c r="G55" s="348"/>
      <c r="H55" s="347"/>
      <c r="I55" s="348"/>
      <c r="J55" s="347"/>
      <c r="K55" s="347"/>
      <c r="L55" s="347"/>
      <c r="M55" s="348"/>
      <c r="N55" s="347"/>
      <c r="O55" s="348"/>
      <c r="P55" s="347"/>
      <c r="Q55" s="348"/>
      <c r="R55" s="347"/>
      <c r="S55" s="348"/>
      <c r="T55" s="347"/>
      <c r="U55" s="348"/>
      <c r="V55" s="347"/>
      <c r="W55" s="348"/>
      <c r="X55" s="347"/>
      <c r="Y55" s="348"/>
      <c r="Z55" s="1115"/>
    </row>
    <row r="56" spans="1:26">
      <c r="A56" s="345"/>
      <c r="B56" s="347"/>
      <c r="C56" s="347"/>
      <c r="D56" s="347"/>
      <c r="E56" s="348"/>
      <c r="F56" s="347"/>
      <c r="G56" s="348"/>
      <c r="H56" s="347"/>
      <c r="I56" s="348"/>
      <c r="J56" s="347"/>
      <c r="K56" s="347"/>
      <c r="L56" s="347"/>
      <c r="M56" s="348"/>
      <c r="N56" s="347"/>
      <c r="O56" s="348"/>
      <c r="P56" s="347"/>
      <c r="Q56" s="348"/>
      <c r="R56" s="347"/>
      <c r="S56" s="348"/>
      <c r="T56" s="347"/>
      <c r="U56" s="348"/>
      <c r="V56" s="347"/>
      <c r="W56" s="348"/>
      <c r="X56" s="347"/>
      <c r="Y56" s="348"/>
      <c r="Z56" s="1115"/>
    </row>
    <row r="57" spans="1:26">
      <c r="A57" s="345"/>
      <c r="B57" s="347"/>
      <c r="C57" s="347"/>
      <c r="D57" s="347"/>
      <c r="E57" s="348"/>
      <c r="F57" s="347"/>
      <c r="G57" s="348"/>
      <c r="H57" s="347"/>
      <c r="I57" s="348"/>
      <c r="J57" s="347"/>
      <c r="K57" s="347"/>
      <c r="L57" s="347"/>
      <c r="M57" s="348"/>
      <c r="N57" s="347"/>
      <c r="O57" s="348"/>
      <c r="P57" s="347"/>
      <c r="Q57" s="348"/>
      <c r="R57" s="347"/>
      <c r="S57" s="348"/>
      <c r="T57" s="347"/>
      <c r="U57" s="348"/>
      <c r="V57" s="347"/>
      <c r="W57" s="348"/>
      <c r="X57" s="347"/>
      <c r="Y57" s="348"/>
      <c r="Z57" s="1115"/>
    </row>
    <row r="58" spans="1:26">
      <c r="A58" s="345"/>
      <c r="B58" s="347"/>
      <c r="C58" s="347"/>
      <c r="D58" s="347"/>
      <c r="E58" s="348"/>
      <c r="F58" s="347"/>
      <c r="G58" s="348"/>
      <c r="H58" s="347"/>
      <c r="I58" s="348"/>
      <c r="J58" s="347"/>
      <c r="K58" s="347"/>
      <c r="L58" s="347"/>
      <c r="M58" s="348"/>
      <c r="N58" s="347"/>
      <c r="O58" s="348"/>
      <c r="P58" s="347"/>
      <c r="Q58" s="348"/>
      <c r="R58" s="347"/>
      <c r="S58" s="348"/>
      <c r="T58" s="347"/>
      <c r="U58" s="348"/>
      <c r="V58" s="347"/>
      <c r="W58" s="348"/>
      <c r="X58" s="347"/>
      <c r="Y58" s="348"/>
      <c r="Z58" s="1115"/>
    </row>
    <row r="59" spans="1:26">
      <c r="A59" s="345"/>
      <c r="B59" s="347"/>
      <c r="C59" s="347"/>
      <c r="D59" s="347"/>
      <c r="E59" s="348"/>
      <c r="F59" s="347"/>
      <c r="G59" s="348"/>
      <c r="H59" s="347"/>
      <c r="I59" s="348"/>
      <c r="J59" s="347"/>
      <c r="K59" s="347"/>
      <c r="L59" s="347"/>
      <c r="M59" s="348"/>
      <c r="N59" s="347"/>
      <c r="O59" s="348"/>
      <c r="P59" s="347"/>
      <c r="Q59" s="348"/>
      <c r="R59" s="347"/>
      <c r="S59" s="348"/>
      <c r="T59" s="347"/>
      <c r="U59" s="348"/>
      <c r="V59" s="347"/>
      <c r="W59" s="348"/>
      <c r="X59" s="347"/>
      <c r="Y59" s="348"/>
      <c r="Z59" s="1115"/>
    </row>
    <row r="60" spans="1:26">
      <c r="A60" s="345"/>
      <c r="B60" s="347"/>
      <c r="C60" s="347"/>
      <c r="D60" s="347"/>
      <c r="E60" s="348"/>
      <c r="F60" s="347"/>
      <c r="G60" s="348"/>
      <c r="H60" s="347"/>
      <c r="I60" s="348"/>
      <c r="J60" s="347"/>
      <c r="K60" s="347"/>
      <c r="L60" s="347"/>
      <c r="M60" s="348"/>
      <c r="N60" s="347"/>
      <c r="O60" s="348"/>
      <c r="P60" s="347"/>
      <c r="Q60" s="348"/>
      <c r="R60" s="347"/>
      <c r="S60" s="348"/>
      <c r="T60" s="347"/>
      <c r="U60" s="348"/>
      <c r="V60" s="347"/>
      <c r="W60" s="348"/>
      <c r="X60" s="347"/>
      <c r="Y60" s="348"/>
      <c r="Z60" s="1115"/>
    </row>
    <row r="61" spans="1:26">
      <c r="A61" s="345"/>
      <c r="B61" s="347"/>
      <c r="C61" s="347"/>
      <c r="D61" s="347"/>
      <c r="E61" s="348"/>
      <c r="F61" s="347"/>
      <c r="G61" s="348"/>
      <c r="H61" s="347"/>
      <c r="I61" s="348"/>
      <c r="J61" s="347"/>
      <c r="K61" s="347"/>
      <c r="L61" s="347"/>
      <c r="M61" s="348"/>
      <c r="N61" s="347"/>
      <c r="O61" s="348"/>
      <c r="P61" s="347"/>
      <c r="Q61" s="348"/>
      <c r="R61" s="347"/>
      <c r="S61" s="348"/>
      <c r="T61" s="347"/>
      <c r="U61" s="348"/>
      <c r="V61" s="347"/>
      <c r="W61" s="348"/>
      <c r="X61" s="347"/>
      <c r="Y61" s="348"/>
      <c r="Z61" s="1115"/>
    </row>
    <row r="62" spans="1:26">
      <c r="A62" s="345"/>
      <c r="B62" s="347"/>
      <c r="C62" s="347"/>
      <c r="D62" s="347"/>
      <c r="E62" s="348"/>
      <c r="F62" s="347"/>
      <c r="G62" s="348"/>
      <c r="H62" s="347"/>
      <c r="I62" s="348"/>
      <c r="J62" s="347"/>
      <c r="K62" s="347"/>
      <c r="L62" s="347"/>
      <c r="M62" s="348"/>
      <c r="N62" s="347"/>
      <c r="O62" s="348"/>
      <c r="P62" s="347"/>
      <c r="Q62" s="348"/>
      <c r="R62" s="347"/>
      <c r="S62" s="348"/>
      <c r="T62" s="347"/>
      <c r="U62" s="348"/>
      <c r="V62" s="347"/>
      <c r="W62" s="348"/>
      <c r="X62" s="347"/>
      <c r="Y62" s="348"/>
      <c r="Z62" s="1115"/>
    </row>
    <row r="63" spans="1:26">
      <c r="A63" s="345"/>
      <c r="B63" s="347"/>
      <c r="C63" s="347"/>
      <c r="D63" s="347"/>
      <c r="E63" s="348"/>
      <c r="F63" s="347"/>
      <c r="G63" s="348"/>
      <c r="H63" s="347"/>
      <c r="I63" s="348"/>
      <c r="J63" s="347"/>
      <c r="K63" s="347"/>
      <c r="L63" s="347"/>
      <c r="M63" s="348"/>
      <c r="N63" s="347"/>
      <c r="O63" s="348"/>
      <c r="P63" s="347"/>
      <c r="Q63" s="348"/>
      <c r="R63" s="347"/>
      <c r="S63" s="348"/>
      <c r="T63" s="347"/>
      <c r="U63" s="348"/>
      <c r="V63" s="347"/>
      <c r="W63" s="348"/>
      <c r="X63" s="347"/>
      <c r="Y63" s="348"/>
      <c r="Z63" s="1115"/>
    </row>
    <row r="64" spans="1:26">
      <c r="A64" s="345"/>
      <c r="B64" s="347"/>
      <c r="C64" s="347"/>
      <c r="D64" s="347"/>
      <c r="E64" s="348"/>
      <c r="F64" s="347"/>
      <c r="G64" s="348"/>
      <c r="H64" s="347"/>
      <c r="I64" s="348"/>
      <c r="J64" s="347"/>
      <c r="K64" s="347"/>
      <c r="L64" s="347"/>
      <c r="M64" s="348"/>
      <c r="N64" s="347"/>
      <c r="O64" s="348"/>
      <c r="P64" s="347"/>
      <c r="Q64" s="348"/>
      <c r="R64" s="347"/>
      <c r="S64" s="348"/>
      <c r="T64" s="347"/>
      <c r="U64" s="348"/>
      <c r="V64" s="347"/>
      <c r="W64" s="348"/>
      <c r="X64" s="347"/>
      <c r="Y64" s="348"/>
      <c r="Z64" s="1115"/>
    </row>
    <row r="65" spans="1:26">
      <c r="A65" s="345"/>
      <c r="B65" s="347"/>
      <c r="C65" s="347"/>
      <c r="D65" s="347"/>
      <c r="E65" s="348"/>
      <c r="F65" s="347"/>
      <c r="G65" s="348"/>
      <c r="H65" s="347"/>
      <c r="I65" s="348"/>
      <c r="J65" s="347"/>
      <c r="K65" s="347"/>
      <c r="L65" s="347"/>
      <c r="M65" s="348"/>
      <c r="N65" s="347"/>
      <c r="O65" s="348"/>
      <c r="P65" s="347"/>
      <c r="Q65" s="348"/>
      <c r="R65" s="347"/>
      <c r="S65" s="348"/>
      <c r="T65" s="347"/>
      <c r="U65" s="348"/>
      <c r="V65" s="347"/>
      <c r="W65" s="348"/>
      <c r="X65" s="347"/>
      <c r="Y65" s="348"/>
      <c r="Z65" s="1115"/>
    </row>
    <row r="66" spans="1:26">
      <c r="A66" s="345"/>
      <c r="B66" s="347"/>
      <c r="C66" s="347"/>
      <c r="D66" s="347"/>
      <c r="E66" s="348"/>
      <c r="F66" s="347"/>
      <c r="G66" s="348"/>
      <c r="H66" s="347"/>
      <c r="I66" s="348"/>
      <c r="J66" s="347"/>
      <c r="K66" s="347"/>
      <c r="L66" s="347"/>
      <c r="M66" s="348"/>
      <c r="N66" s="347"/>
      <c r="O66" s="348"/>
      <c r="P66" s="347"/>
      <c r="Q66" s="348"/>
      <c r="R66" s="347"/>
      <c r="S66" s="348"/>
      <c r="T66" s="347"/>
      <c r="U66" s="348"/>
      <c r="V66" s="347"/>
      <c r="W66" s="348"/>
      <c r="X66" s="347"/>
      <c r="Y66" s="348"/>
      <c r="Z66" s="1115"/>
    </row>
    <row r="67" spans="1:26">
      <c r="A67" s="345"/>
      <c r="B67" s="347"/>
      <c r="C67" s="347"/>
      <c r="D67" s="347"/>
      <c r="E67" s="348"/>
      <c r="F67" s="347"/>
      <c r="G67" s="348"/>
      <c r="H67" s="347"/>
      <c r="I67" s="348"/>
      <c r="J67" s="347"/>
      <c r="K67" s="347"/>
      <c r="L67" s="347"/>
      <c r="M67" s="348"/>
      <c r="N67" s="347"/>
      <c r="O67" s="348"/>
      <c r="P67" s="347"/>
      <c r="Q67" s="348"/>
      <c r="R67" s="347"/>
      <c r="S67" s="348"/>
      <c r="T67" s="347"/>
      <c r="U67" s="348"/>
      <c r="V67" s="347"/>
      <c r="W67" s="348"/>
      <c r="X67" s="347"/>
      <c r="Y67" s="348"/>
      <c r="Z67" s="1115"/>
    </row>
    <row r="68" spans="1:26">
      <c r="A68" s="345"/>
      <c r="B68" s="347"/>
      <c r="C68" s="347"/>
      <c r="D68" s="347"/>
      <c r="E68" s="348"/>
      <c r="F68" s="347"/>
      <c r="G68" s="348"/>
      <c r="H68" s="347"/>
      <c r="I68" s="348"/>
      <c r="J68" s="347"/>
      <c r="K68" s="347"/>
      <c r="L68" s="347"/>
      <c r="M68" s="348"/>
      <c r="N68" s="347"/>
      <c r="O68" s="348"/>
      <c r="P68" s="347"/>
      <c r="Q68" s="348"/>
      <c r="R68" s="347"/>
      <c r="S68" s="348"/>
      <c r="T68" s="347"/>
      <c r="U68" s="348"/>
      <c r="V68" s="347"/>
      <c r="W68" s="348"/>
      <c r="X68" s="347"/>
      <c r="Y68" s="348"/>
      <c r="Z68" s="1115"/>
    </row>
    <row r="69" spans="1:26">
      <c r="A69" s="345"/>
      <c r="B69" s="347"/>
      <c r="C69" s="347"/>
      <c r="D69" s="347"/>
      <c r="E69" s="348"/>
      <c r="F69" s="347"/>
      <c r="G69" s="348"/>
      <c r="H69" s="347"/>
      <c r="I69" s="348"/>
      <c r="J69" s="347"/>
      <c r="K69" s="347"/>
      <c r="L69" s="347"/>
      <c r="M69" s="348"/>
      <c r="N69" s="347"/>
      <c r="O69" s="348"/>
      <c r="P69" s="347"/>
      <c r="Q69" s="348"/>
      <c r="R69" s="347"/>
      <c r="S69" s="348"/>
      <c r="T69" s="347"/>
      <c r="U69" s="348"/>
      <c r="V69" s="347"/>
      <c r="W69" s="348"/>
      <c r="X69" s="347"/>
      <c r="Y69" s="348"/>
      <c r="Z69" s="1115"/>
    </row>
    <row r="70" spans="1:26">
      <c r="A70" s="345"/>
      <c r="B70" s="347"/>
      <c r="C70" s="347"/>
      <c r="D70" s="347"/>
      <c r="E70" s="348"/>
      <c r="F70" s="347"/>
      <c r="G70" s="348"/>
      <c r="H70" s="347"/>
      <c r="I70" s="348"/>
      <c r="J70" s="347"/>
      <c r="K70" s="347"/>
      <c r="L70" s="347"/>
      <c r="M70" s="348"/>
      <c r="N70" s="347"/>
      <c r="O70" s="348"/>
      <c r="P70" s="347"/>
      <c r="Q70" s="348"/>
      <c r="R70" s="347"/>
      <c r="S70" s="348"/>
      <c r="T70" s="347"/>
      <c r="U70" s="348"/>
      <c r="V70" s="347"/>
      <c r="W70" s="348"/>
      <c r="X70" s="347"/>
      <c r="Y70" s="348"/>
      <c r="Z70" s="1115"/>
    </row>
    <row r="71" spans="1:26">
      <c r="A71" s="345"/>
      <c r="B71" s="347"/>
      <c r="C71" s="347"/>
      <c r="D71" s="347"/>
      <c r="E71" s="348"/>
      <c r="F71" s="347"/>
      <c r="G71" s="348"/>
      <c r="H71" s="347"/>
      <c r="I71" s="348"/>
      <c r="J71" s="347"/>
      <c r="K71" s="347"/>
      <c r="L71" s="347"/>
      <c r="M71" s="348"/>
      <c r="N71" s="347"/>
      <c r="O71" s="348"/>
      <c r="P71" s="347"/>
      <c r="Q71" s="348"/>
      <c r="R71" s="347"/>
      <c r="S71" s="348"/>
      <c r="T71" s="347"/>
      <c r="U71" s="348"/>
      <c r="V71" s="347"/>
      <c r="W71" s="348"/>
      <c r="X71" s="347"/>
      <c r="Y71" s="348"/>
      <c r="Z71" s="1115"/>
    </row>
    <row r="72" spans="1:26">
      <c r="A72" s="345"/>
      <c r="B72" s="347"/>
      <c r="C72" s="347"/>
      <c r="D72" s="347"/>
      <c r="E72" s="348"/>
      <c r="F72" s="347"/>
      <c r="G72" s="348"/>
      <c r="H72" s="347"/>
      <c r="I72" s="348"/>
      <c r="J72" s="347"/>
      <c r="K72" s="347"/>
      <c r="L72" s="347"/>
      <c r="M72" s="348"/>
      <c r="N72" s="347"/>
      <c r="O72" s="348"/>
      <c r="P72" s="347"/>
      <c r="Q72" s="348"/>
      <c r="R72" s="347"/>
      <c r="S72" s="348"/>
      <c r="T72" s="347"/>
      <c r="U72" s="348"/>
      <c r="V72" s="347"/>
      <c r="W72" s="348"/>
      <c r="X72" s="347"/>
      <c r="Y72" s="348"/>
      <c r="Z72" s="1115"/>
    </row>
    <row r="73" spans="1:26">
      <c r="A73" s="345"/>
      <c r="B73" s="347"/>
      <c r="C73" s="347"/>
      <c r="D73" s="347"/>
      <c r="E73" s="348"/>
      <c r="F73" s="347"/>
      <c r="G73" s="348"/>
      <c r="H73" s="347"/>
      <c r="I73" s="348"/>
      <c r="J73" s="347"/>
      <c r="K73" s="347"/>
      <c r="L73" s="347"/>
      <c r="M73" s="348"/>
      <c r="N73" s="347"/>
      <c r="O73" s="348"/>
      <c r="P73" s="347"/>
      <c r="Q73" s="348"/>
      <c r="R73" s="347"/>
      <c r="S73" s="348"/>
      <c r="T73" s="347"/>
      <c r="U73" s="348"/>
      <c r="V73" s="347"/>
      <c r="W73" s="348"/>
      <c r="X73" s="347"/>
      <c r="Y73" s="348"/>
      <c r="Z73" s="1115"/>
    </row>
    <row r="74" spans="1:26">
      <c r="A74" s="345"/>
      <c r="B74" s="347"/>
      <c r="C74" s="347"/>
      <c r="D74" s="347"/>
      <c r="E74" s="348"/>
      <c r="F74" s="347"/>
      <c r="G74" s="348"/>
      <c r="H74" s="347"/>
      <c r="I74" s="348"/>
      <c r="J74" s="347"/>
      <c r="K74" s="347"/>
      <c r="L74" s="347"/>
      <c r="M74" s="348"/>
      <c r="N74" s="347"/>
      <c r="O74" s="348"/>
      <c r="P74" s="347"/>
      <c r="Q74" s="348"/>
      <c r="R74" s="347"/>
      <c r="S74" s="348"/>
      <c r="T74" s="347"/>
      <c r="U74" s="348"/>
      <c r="V74" s="347"/>
      <c r="W74" s="348"/>
      <c r="X74" s="347"/>
      <c r="Y74" s="348"/>
      <c r="Z74" s="1115"/>
    </row>
    <row r="75" spans="1:26">
      <c r="A75" s="345"/>
      <c r="B75" s="347"/>
      <c r="C75" s="347"/>
      <c r="D75" s="347"/>
      <c r="E75" s="348"/>
      <c r="F75" s="347"/>
      <c r="G75" s="348"/>
      <c r="H75" s="347"/>
      <c r="I75" s="348"/>
      <c r="J75" s="347"/>
      <c r="K75" s="347"/>
      <c r="L75" s="347"/>
      <c r="M75" s="348"/>
      <c r="N75" s="347"/>
      <c r="O75" s="348"/>
      <c r="P75" s="347"/>
      <c r="Q75" s="348"/>
      <c r="R75" s="347"/>
      <c r="S75" s="348"/>
      <c r="T75" s="347"/>
      <c r="U75" s="348"/>
      <c r="V75" s="347"/>
      <c r="W75" s="348"/>
      <c r="X75" s="347"/>
      <c r="Y75" s="348"/>
      <c r="Z75" s="1115"/>
    </row>
    <row r="76" spans="1:26">
      <c r="A76" s="345"/>
      <c r="B76" s="347"/>
      <c r="C76" s="347"/>
      <c r="D76" s="347"/>
      <c r="E76" s="348"/>
      <c r="F76" s="347"/>
      <c r="G76" s="348"/>
      <c r="H76" s="347"/>
      <c r="I76" s="348"/>
      <c r="J76" s="347"/>
      <c r="K76" s="347"/>
      <c r="L76" s="347"/>
      <c r="M76" s="348"/>
      <c r="N76" s="347"/>
      <c r="O76" s="348"/>
      <c r="P76" s="347"/>
      <c r="Q76" s="348"/>
      <c r="R76" s="347"/>
      <c r="S76" s="348"/>
      <c r="T76" s="347"/>
      <c r="U76" s="348"/>
      <c r="V76" s="347"/>
      <c r="W76" s="348"/>
      <c r="X76" s="347"/>
      <c r="Y76" s="348"/>
      <c r="Z76" s="1115"/>
    </row>
    <row r="77" spans="1:26">
      <c r="A77" s="345"/>
      <c r="B77" s="347"/>
      <c r="C77" s="347"/>
      <c r="D77" s="347"/>
      <c r="E77" s="348"/>
      <c r="F77" s="347"/>
      <c r="G77" s="348"/>
      <c r="H77" s="347"/>
      <c r="I77" s="348"/>
      <c r="J77" s="347"/>
      <c r="K77" s="347"/>
      <c r="L77" s="347"/>
      <c r="M77" s="348"/>
      <c r="N77" s="347"/>
      <c r="O77" s="348"/>
      <c r="P77" s="347"/>
      <c r="Q77" s="348"/>
      <c r="R77" s="347"/>
      <c r="S77" s="348"/>
      <c r="T77" s="347"/>
      <c r="U77" s="348"/>
      <c r="V77" s="347"/>
      <c r="W77" s="348"/>
      <c r="X77" s="347"/>
      <c r="Y77" s="348"/>
      <c r="Z77" s="1115"/>
    </row>
    <row r="78" spans="1:26">
      <c r="A78" s="345"/>
      <c r="B78" s="347"/>
      <c r="C78" s="347"/>
      <c r="D78" s="347"/>
      <c r="E78" s="348"/>
      <c r="F78" s="347"/>
      <c r="G78" s="348"/>
      <c r="H78" s="347"/>
      <c r="I78" s="348"/>
      <c r="J78" s="347"/>
      <c r="K78" s="347"/>
      <c r="L78" s="347"/>
      <c r="M78" s="348"/>
      <c r="N78" s="347"/>
      <c r="O78" s="348"/>
      <c r="P78" s="347"/>
      <c r="Q78" s="348"/>
      <c r="R78" s="347"/>
      <c r="S78" s="348"/>
      <c r="T78" s="347"/>
      <c r="U78" s="348"/>
      <c r="V78" s="347"/>
      <c r="W78" s="348"/>
      <c r="X78" s="347"/>
      <c r="Y78" s="348"/>
      <c r="Z78" s="1115"/>
    </row>
    <row r="79" spans="1:26">
      <c r="A79" s="345"/>
      <c r="B79" s="347"/>
      <c r="C79" s="347"/>
      <c r="D79" s="347"/>
      <c r="E79" s="348"/>
      <c r="F79" s="347"/>
      <c r="G79" s="348"/>
      <c r="H79" s="347"/>
      <c r="I79" s="348"/>
      <c r="J79" s="347"/>
      <c r="K79" s="347"/>
      <c r="L79" s="347"/>
      <c r="M79" s="348"/>
      <c r="N79" s="347"/>
      <c r="O79" s="348"/>
      <c r="P79" s="347"/>
      <c r="Q79" s="348"/>
      <c r="R79" s="347"/>
      <c r="S79" s="348"/>
      <c r="T79" s="347"/>
      <c r="U79" s="348"/>
      <c r="V79" s="347"/>
      <c r="W79" s="348"/>
      <c r="X79" s="347"/>
      <c r="Y79" s="348"/>
      <c r="Z79" s="1115"/>
    </row>
    <row r="80" spans="1:26">
      <c r="A80" s="345"/>
      <c r="B80" s="347"/>
      <c r="C80" s="347"/>
      <c r="D80" s="347"/>
      <c r="E80" s="348"/>
      <c r="F80" s="347"/>
      <c r="G80" s="348"/>
      <c r="H80" s="347"/>
      <c r="I80" s="348"/>
      <c r="J80" s="347"/>
      <c r="K80" s="347"/>
      <c r="L80" s="347"/>
      <c r="M80" s="348"/>
      <c r="N80" s="347"/>
      <c r="O80" s="348"/>
      <c r="P80" s="347"/>
      <c r="Q80" s="348"/>
      <c r="R80" s="347"/>
      <c r="S80" s="348"/>
      <c r="T80" s="347"/>
      <c r="U80" s="348"/>
      <c r="V80" s="347"/>
      <c r="W80" s="348"/>
      <c r="X80" s="347"/>
      <c r="Y80" s="348"/>
      <c r="Z80" s="1115"/>
    </row>
    <row r="81" spans="1:26">
      <c r="A81" s="345"/>
      <c r="B81" s="347"/>
      <c r="C81" s="347"/>
      <c r="D81" s="347"/>
      <c r="E81" s="348"/>
      <c r="F81" s="347"/>
      <c r="G81" s="348"/>
      <c r="H81" s="347"/>
      <c r="I81" s="348"/>
      <c r="J81" s="347"/>
      <c r="K81" s="347"/>
      <c r="L81" s="347"/>
      <c r="M81" s="348"/>
      <c r="N81" s="347"/>
      <c r="O81" s="348"/>
      <c r="P81" s="347"/>
      <c r="Q81" s="348"/>
      <c r="R81" s="347"/>
      <c r="S81" s="348"/>
      <c r="T81" s="347"/>
      <c r="U81" s="348"/>
      <c r="V81" s="347"/>
      <c r="W81" s="348"/>
      <c r="X81" s="347"/>
      <c r="Y81" s="348"/>
      <c r="Z81" s="1115"/>
    </row>
    <row r="82" spans="1:26">
      <c r="A82" s="345"/>
      <c r="B82" s="347"/>
      <c r="C82" s="347"/>
      <c r="D82" s="347"/>
      <c r="E82" s="348"/>
      <c r="F82" s="347"/>
      <c r="G82" s="348"/>
      <c r="H82" s="347"/>
      <c r="I82" s="348"/>
      <c r="J82" s="347"/>
      <c r="K82" s="347"/>
      <c r="L82" s="347"/>
      <c r="M82" s="348"/>
      <c r="N82" s="347"/>
      <c r="O82" s="348"/>
      <c r="P82" s="347"/>
      <c r="Q82" s="348"/>
      <c r="R82" s="347"/>
      <c r="S82" s="348"/>
      <c r="T82" s="347"/>
      <c r="U82" s="348"/>
      <c r="V82" s="347"/>
      <c r="W82" s="348"/>
      <c r="X82" s="347"/>
      <c r="Y82" s="348"/>
      <c r="Z82" s="1115"/>
    </row>
    <row r="83" spans="1:26">
      <c r="A83" s="345"/>
      <c r="B83" s="347"/>
      <c r="C83" s="347"/>
      <c r="D83" s="347"/>
      <c r="E83" s="348"/>
      <c r="F83" s="347"/>
      <c r="G83" s="348"/>
      <c r="H83" s="347"/>
      <c r="I83" s="348"/>
      <c r="J83" s="347"/>
      <c r="K83" s="347"/>
      <c r="L83" s="347"/>
      <c r="M83" s="348"/>
      <c r="N83" s="347"/>
      <c r="O83" s="348"/>
      <c r="P83" s="347"/>
      <c r="Q83" s="348"/>
      <c r="R83" s="347"/>
      <c r="S83" s="348"/>
      <c r="T83" s="347"/>
      <c r="U83" s="348"/>
      <c r="V83" s="347"/>
      <c r="W83" s="348"/>
      <c r="X83" s="347"/>
      <c r="Y83" s="348"/>
      <c r="Z83" s="1115"/>
    </row>
    <row r="84" spans="1:26">
      <c r="A84" s="345"/>
      <c r="B84" s="347"/>
      <c r="C84" s="347"/>
      <c r="D84" s="347"/>
      <c r="E84" s="348"/>
      <c r="F84" s="347"/>
      <c r="G84" s="348"/>
      <c r="H84" s="347"/>
      <c r="I84" s="348"/>
      <c r="J84" s="347"/>
      <c r="K84" s="347"/>
      <c r="L84" s="347"/>
      <c r="M84" s="348"/>
      <c r="N84" s="347"/>
      <c r="O84" s="348"/>
      <c r="P84" s="347"/>
      <c r="Q84" s="348"/>
      <c r="R84" s="347"/>
      <c r="S84" s="348"/>
      <c r="T84" s="347"/>
      <c r="U84" s="348"/>
      <c r="V84" s="347"/>
      <c r="W84" s="348"/>
      <c r="X84" s="347"/>
      <c r="Y84" s="348"/>
      <c r="Z84" s="1115"/>
    </row>
    <row r="85" spans="1:26">
      <c r="A85" s="345"/>
      <c r="B85" s="347"/>
      <c r="C85" s="347"/>
      <c r="D85" s="347"/>
      <c r="E85" s="348"/>
      <c r="F85" s="347"/>
      <c r="G85" s="348"/>
      <c r="H85" s="347"/>
      <c r="I85" s="348"/>
      <c r="J85" s="347"/>
      <c r="K85" s="347"/>
      <c r="L85" s="347"/>
      <c r="M85" s="348"/>
      <c r="N85" s="347"/>
      <c r="O85" s="348"/>
      <c r="P85" s="347"/>
      <c r="Q85" s="348"/>
      <c r="R85" s="347"/>
      <c r="S85" s="348"/>
      <c r="T85" s="347"/>
      <c r="U85" s="348"/>
      <c r="V85" s="347"/>
      <c r="W85" s="348"/>
      <c r="X85" s="347"/>
      <c r="Y85" s="348"/>
      <c r="Z85" s="1115"/>
    </row>
    <row r="86" spans="1:26">
      <c r="A86" s="345"/>
      <c r="B86" s="347"/>
      <c r="C86" s="347"/>
      <c r="D86" s="347"/>
      <c r="E86" s="348"/>
      <c r="F86" s="347"/>
      <c r="G86" s="348"/>
      <c r="H86" s="347"/>
      <c r="I86" s="348"/>
      <c r="J86" s="347"/>
      <c r="K86" s="347"/>
      <c r="L86" s="347"/>
      <c r="M86" s="348"/>
      <c r="N86" s="347"/>
      <c r="O86" s="348"/>
      <c r="P86" s="347"/>
      <c r="Q86" s="348"/>
      <c r="R86" s="347"/>
      <c r="S86" s="348"/>
      <c r="T86" s="347"/>
      <c r="U86" s="348"/>
      <c r="V86" s="347"/>
      <c r="W86" s="348"/>
      <c r="X86" s="347"/>
      <c r="Y86" s="348"/>
      <c r="Z86" s="1115"/>
    </row>
    <row r="87" spans="1:26">
      <c r="A87" s="345"/>
      <c r="B87" s="347"/>
      <c r="C87" s="347"/>
      <c r="D87" s="347"/>
      <c r="E87" s="348"/>
      <c r="F87" s="347"/>
      <c r="G87" s="348"/>
      <c r="H87" s="347"/>
      <c r="I87" s="348"/>
      <c r="J87" s="347"/>
      <c r="K87" s="347"/>
      <c r="L87" s="347"/>
      <c r="M87" s="348"/>
      <c r="N87" s="347"/>
      <c r="O87" s="348"/>
      <c r="P87" s="347"/>
      <c r="Q87" s="348"/>
      <c r="R87" s="347"/>
      <c r="S87" s="348"/>
      <c r="T87" s="347"/>
      <c r="U87" s="348"/>
      <c r="V87" s="347"/>
      <c r="W87" s="348"/>
      <c r="X87" s="347"/>
      <c r="Y87" s="348"/>
      <c r="Z87" s="1115"/>
    </row>
    <row r="88" spans="1:26">
      <c r="A88" s="345"/>
      <c r="B88" s="347"/>
      <c r="C88" s="347"/>
      <c r="D88" s="347"/>
      <c r="E88" s="348"/>
      <c r="F88" s="347"/>
      <c r="G88" s="348"/>
      <c r="H88" s="347"/>
      <c r="I88" s="348"/>
      <c r="J88" s="347"/>
      <c r="K88" s="347"/>
      <c r="L88" s="347"/>
      <c r="M88" s="348"/>
      <c r="N88" s="347"/>
      <c r="O88" s="348"/>
      <c r="P88" s="347"/>
      <c r="Q88" s="348"/>
      <c r="R88" s="347"/>
      <c r="S88" s="348"/>
      <c r="T88" s="347"/>
      <c r="U88" s="348"/>
      <c r="V88" s="347"/>
      <c r="W88" s="348"/>
      <c r="X88" s="347"/>
      <c r="Y88" s="348"/>
      <c r="Z88" s="1115"/>
    </row>
    <row r="89" spans="1:26">
      <c r="A89" s="345"/>
      <c r="B89" s="347"/>
      <c r="C89" s="347"/>
      <c r="D89" s="347"/>
      <c r="E89" s="348"/>
      <c r="F89" s="347"/>
      <c r="G89" s="348"/>
      <c r="H89" s="347"/>
      <c r="I89" s="348"/>
      <c r="J89" s="347"/>
      <c r="K89" s="347"/>
      <c r="L89" s="347"/>
      <c r="M89" s="348"/>
      <c r="N89" s="347"/>
      <c r="O89" s="348"/>
      <c r="P89" s="347"/>
      <c r="Q89" s="348"/>
      <c r="R89" s="347"/>
      <c r="S89" s="348"/>
      <c r="T89" s="347"/>
      <c r="U89" s="348"/>
      <c r="V89" s="347"/>
      <c r="W89" s="348"/>
      <c r="X89" s="347"/>
      <c r="Y89" s="348"/>
      <c r="Z89" s="1115"/>
    </row>
    <row r="90" spans="1:26">
      <c r="A90" s="345"/>
      <c r="B90" s="347"/>
      <c r="C90" s="347"/>
      <c r="D90" s="347"/>
      <c r="E90" s="348"/>
      <c r="F90" s="347"/>
      <c r="G90" s="348"/>
      <c r="H90" s="347"/>
      <c r="I90" s="348"/>
      <c r="J90" s="347"/>
      <c r="K90" s="347"/>
      <c r="L90" s="347"/>
      <c r="M90" s="348"/>
      <c r="N90" s="347"/>
      <c r="O90" s="348"/>
      <c r="P90" s="347"/>
      <c r="Q90" s="348"/>
      <c r="R90" s="347"/>
      <c r="S90" s="348"/>
      <c r="T90" s="347"/>
      <c r="U90" s="348"/>
      <c r="V90" s="347"/>
      <c r="W90" s="348"/>
      <c r="X90" s="347"/>
      <c r="Y90" s="348"/>
      <c r="Z90" s="1115"/>
    </row>
    <row r="91" spans="1:26">
      <c r="A91" s="345"/>
      <c r="B91" s="347"/>
      <c r="C91" s="347"/>
      <c r="D91" s="347"/>
      <c r="E91" s="348"/>
      <c r="F91" s="347"/>
      <c r="G91" s="348"/>
      <c r="H91" s="347"/>
      <c r="I91" s="348"/>
      <c r="J91" s="347"/>
      <c r="K91" s="347"/>
      <c r="L91" s="347"/>
      <c r="M91" s="348"/>
      <c r="N91" s="347"/>
      <c r="O91" s="348"/>
      <c r="P91" s="347"/>
      <c r="Q91" s="348"/>
      <c r="R91" s="347"/>
      <c r="S91" s="348"/>
      <c r="T91" s="347"/>
      <c r="U91" s="348"/>
      <c r="V91" s="347"/>
      <c r="W91" s="348"/>
      <c r="X91" s="347"/>
      <c r="Y91" s="348"/>
      <c r="Z91" s="1115"/>
    </row>
    <row r="92" spans="1:26">
      <c r="A92" s="345"/>
      <c r="B92" s="347"/>
      <c r="C92" s="347"/>
      <c r="D92" s="347"/>
      <c r="E92" s="348"/>
      <c r="F92" s="347"/>
      <c r="G92" s="348"/>
      <c r="H92" s="347"/>
      <c r="I92" s="348"/>
      <c r="J92" s="347"/>
      <c r="K92" s="347"/>
      <c r="L92" s="347"/>
      <c r="M92" s="348"/>
      <c r="N92" s="347"/>
      <c r="O92" s="348"/>
      <c r="P92" s="347"/>
      <c r="Q92" s="348"/>
      <c r="R92" s="347"/>
      <c r="S92" s="348"/>
      <c r="T92" s="347"/>
      <c r="U92" s="348"/>
      <c r="V92" s="347"/>
      <c r="W92" s="348"/>
      <c r="X92" s="347"/>
      <c r="Y92" s="348"/>
      <c r="Z92" s="1115"/>
    </row>
    <row r="93" spans="1:26">
      <c r="A93" s="345"/>
      <c r="B93" s="347"/>
      <c r="C93" s="347"/>
      <c r="D93" s="347"/>
      <c r="E93" s="348"/>
      <c r="F93" s="347"/>
      <c r="G93" s="348"/>
      <c r="H93" s="347"/>
      <c r="I93" s="348"/>
      <c r="J93" s="347"/>
      <c r="K93" s="347"/>
      <c r="L93" s="347"/>
      <c r="M93" s="348"/>
      <c r="N93" s="347"/>
      <c r="O93" s="348"/>
      <c r="P93" s="347"/>
      <c r="Q93" s="348"/>
      <c r="R93" s="347"/>
      <c r="S93" s="348"/>
      <c r="T93" s="347"/>
      <c r="U93" s="348"/>
      <c r="V93" s="347"/>
      <c r="W93" s="348"/>
      <c r="X93" s="347"/>
      <c r="Y93" s="348"/>
      <c r="Z93" s="1115"/>
    </row>
    <row r="94" spans="1:26">
      <c r="A94" s="345"/>
      <c r="B94" s="347"/>
      <c r="C94" s="347"/>
      <c r="D94" s="347"/>
      <c r="E94" s="348"/>
      <c r="F94" s="347"/>
      <c r="G94" s="348"/>
      <c r="H94" s="347"/>
      <c r="I94" s="348"/>
      <c r="J94" s="347"/>
      <c r="K94" s="347"/>
      <c r="L94" s="347"/>
      <c r="M94" s="348"/>
      <c r="N94" s="347"/>
      <c r="O94" s="348"/>
      <c r="P94" s="347"/>
      <c r="Q94" s="348"/>
      <c r="R94" s="347"/>
      <c r="S94" s="348"/>
      <c r="T94" s="347"/>
      <c r="U94" s="348"/>
      <c r="V94" s="347"/>
      <c r="W94" s="348"/>
      <c r="X94" s="347"/>
      <c r="Y94" s="348"/>
      <c r="Z94" s="1115"/>
    </row>
    <row r="95" spans="1:26">
      <c r="A95" s="345"/>
      <c r="B95" s="347"/>
      <c r="C95" s="347"/>
      <c r="D95" s="347"/>
      <c r="E95" s="348"/>
      <c r="F95" s="347"/>
      <c r="G95" s="348"/>
      <c r="H95" s="347"/>
      <c r="I95" s="348"/>
      <c r="J95" s="347"/>
      <c r="K95" s="347"/>
      <c r="L95" s="347"/>
      <c r="M95" s="348"/>
      <c r="N95" s="347"/>
      <c r="O95" s="348"/>
      <c r="P95" s="347"/>
      <c r="Q95" s="348"/>
      <c r="R95" s="347"/>
      <c r="S95" s="348"/>
      <c r="T95" s="347"/>
      <c r="U95" s="348"/>
      <c r="V95" s="347"/>
      <c r="W95" s="348"/>
      <c r="X95" s="347"/>
      <c r="Y95" s="348"/>
      <c r="Z95" s="1115"/>
    </row>
  </sheetData>
  <pageMargins left="0.25" right="0.25" top="0.5" bottom="0.25" header="0" footer="0.25"/>
  <pageSetup scale="38" firstPageNumber="47" orientation="landscape" useFirstPageNumber="1" r:id="rId1"/>
  <headerFooter scaleWithDoc="0" alignWithMargins="0">
    <oddHeader xml:space="preserve">&amp;L&amp;14 </oddHeader>
    <oddFooter>&amp;C&amp;8&amp;P</oddFooter>
  </headerFooter>
  <colBreaks count="1" manualBreakCount="1">
    <brk id="30" max="54" man="1"/>
  </colBreaks>
  <customProperties>
    <customPr name="SheetOptions" r:id="rId2"/>
  </customPropertie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6">
    <pageSetUpPr autoPageBreaks="0"/>
  </sheetPr>
  <dimension ref="A1:F78"/>
  <sheetViews>
    <sheetView showGridLines="0" workbookViewId="0"/>
  </sheetViews>
  <sheetFormatPr defaultColWidth="8.88671875" defaultRowHeight="12.75"/>
  <cols>
    <col min="1" max="1" width="54.88671875" style="662" customWidth="1"/>
    <col min="2" max="2" width="22.109375" style="662" customWidth="1"/>
    <col min="3" max="3" width="24.88671875" style="662" customWidth="1"/>
    <col min="4" max="4" width="30.88671875" style="662" customWidth="1"/>
    <col min="5" max="5" width="2" style="662" customWidth="1"/>
    <col min="6" max="6" width="13" style="1211" bestFit="1" customWidth="1"/>
    <col min="7" max="16384" width="8.88671875" style="662"/>
  </cols>
  <sheetData>
    <row r="1" spans="1:6">
      <c r="A1" s="1723" t="s">
        <v>841</v>
      </c>
      <c r="B1" s="1028"/>
      <c r="C1" s="1028"/>
      <c r="D1" s="1028"/>
      <c r="E1" s="663"/>
    </row>
    <row r="2" spans="1:6">
      <c r="A2" s="1724"/>
      <c r="B2" s="1028"/>
      <c r="C2" s="1028"/>
      <c r="D2" s="978"/>
      <c r="E2" s="663"/>
    </row>
    <row r="3" spans="1:6" s="457" customFormat="1" ht="15">
      <c r="A3" s="459" t="s">
        <v>469</v>
      </c>
      <c r="B3" s="1028"/>
      <c r="C3" s="1028"/>
      <c r="D3" s="1834" t="s">
        <v>470</v>
      </c>
      <c r="E3" s="1701"/>
      <c r="F3" s="1212"/>
    </row>
    <row r="4" spans="1:6" s="457" customFormat="1" ht="15">
      <c r="A4" s="459" t="s">
        <v>471</v>
      </c>
      <c r="B4" s="1028"/>
      <c r="C4" s="1028"/>
      <c r="D4" s="1028"/>
      <c r="E4" s="1701"/>
      <c r="F4" s="1212"/>
    </row>
    <row r="5" spans="1:6" s="457" customFormat="1" ht="15">
      <c r="A5" s="459" t="s">
        <v>472</v>
      </c>
      <c r="B5" s="1028"/>
      <c r="C5" s="1028"/>
      <c r="D5" s="1028"/>
      <c r="E5" s="1701"/>
      <c r="F5" s="1212"/>
    </row>
    <row r="6" spans="1:6" s="457" customFormat="1" ht="15">
      <c r="A6" s="1009" t="str">
        <f>'HCRA '!A6</f>
        <v xml:space="preserve">FISCAL YEAR 2023-2024   </v>
      </c>
      <c r="B6" s="1028"/>
      <c r="C6" s="1028"/>
      <c r="D6" s="1028"/>
      <c r="E6" s="1701"/>
      <c r="F6" s="1212"/>
    </row>
    <row r="7" spans="1:6">
      <c r="A7" s="1009"/>
      <c r="B7" s="1028"/>
      <c r="C7" s="1028"/>
      <c r="D7" s="1028"/>
      <c r="E7" s="663"/>
    </row>
    <row r="8" spans="1:6" ht="27" customHeight="1">
      <c r="A8" s="1917" t="s">
        <v>473</v>
      </c>
      <c r="B8" s="1917" t="s">
        <v>1151</v>
      </c>
      <c r="C8" s="1917" t="s">
        <v>1523</v>
      </c>
      <c r="D8" s="1918" t="s">
        <v>1524</v>
      </c>
      <c r="E8" s="1702"/>
    </row>
    <row r="9" spans="1:6" s="457" customFormat="1">
      <c r="A9" s="1940" t="s">
        <v>474</v>
      </c>
      <c r="B9" s="1964">
        <v>7609000</v>
      </c>
      <c r="C9" s="1964">
        <v>260147.65000000002</v>
      </c>
      <c r="D9" s="1964">
        <v>1622958.67</v>
      </c>
      <c r="E9" s="1061"/>
      <c r="F9" s="1212"/>
    </row>
    <row r="10" spans="1:6" s="457" customFormat="1" ht="15">
      <c r="A10" s="1925" t="s">
        <v>1152</v>
      </c>
      <c r="B10" s="584">
        <v>7609000</v>
      </c>
      <c r="C10" s="584">
        <v>260147.65000000002</v>
      </c>
      <c r="D10" s="584">
        <v>1622958.67</v>
      </c>
      <c r="E10" s="1703"/>
      <c r="F10" s="1212"/>
    </row>
    <row r="11" spans="1:6" s="457" customFormat="1">
      <c r="A11" s="1940" t="s">
        <v>475</v>
      </c>
      <c r="B11" s="1941">
        <v>3183266000</v>
      </c>
      <c r="C11" s="1941">
        <v>113732090.06</v>
      </c>
      <c r="D11" s="1941">
        <v>416243206.89999998</v>
      </c>
      <c r="E11" s="1061"/>
      <c r="F11" s="1212"/>
    </row>
    <row r="12" spans="1:6" s="457" customFormat="1">
      <c r="A12" s="1925" t="s">
        <v>1153</v>
      </c>
      <c r="B12" s="584">
        <v>3183266000</v>
      </c>
      <c r="C12" s="584">
        <v>113732090.05999999</v>
      </c>
      <c r="D12" s="584">
        <v>416243206.89999998</v>
      </c>
      <c r="E12" s="1061"/>
      <c r="F12" s="1212"/>
    </row>
    <row r="13" spans="1:6" s="457" customFormat="1">
      <c r="A13" s="1940" t="s">
        <v>1065</v>
      </c>
      <c r="B13" s="1941">
        <v>316351000</v>
      </c>
      <c r="C13" s="1941">
        <v>10076002.289999999</v>
      </c>
      <c r="D13" s="1941">
        <v>43365233.649999999</v>
      </c>
      <c r="E13" s="1061"/>
      <c r="F13" s="1212"/>
    </row>
    <row r="14" spans="1:6" s="457" customFormat="1">
      <c r="A14" s="1925" t="s">
        <v>1154</v>
      </c>
      <c r="B14" s="584">
        <v>316351000</v>
      </c>
      <c r="C14" s="584">
        <v>10076002.289999999</v>
      </c>
      <c r="D14" s="584">
        <v>43365233.649999999</v>
      </c>
      <c r="E14" s="1061"/>
      <c r="F14" s="1212"/>
    </row>
    <row r="15" spans="1:6" s="457" customFormat="1">
      <c r="A15" s="1940" t="s">
        <v>476</v>
      </c>
      <c r="B15" s="1941">
        <v>1793711459.03</v>
      </c>
      <c r="C15" s="1941">
        <v>82097519.909999996</v>
      </c>
      <c r="D15" s="1941">
        <v>121239096.81999999</v>
      </c>
      <c r="E15" s="1061"/>
      <c r="F15" s="1212"/>
    </row>
    <row r="16" spans="1:6" s="457" customFormat="1">
      <c r="A16" s="1925" t="s">
        <v>1155</v>
      </c>
      <c r="B16" s="584">
        <v>132750000</v>
      </c>
      <c r="C16" s="584">
        <v>0</v>
      </c>
      <c r="D16" s="584">
        <v>5000000</v>
      </c>
      <c r="E16" s="1061"/>
      <c r="F16" s="1212"/>
    </row>
    <row r="17" spans="1:6" s="457" customFormat="1">
      <c r="A17" s="1940" t="s">
        <v>1156</v>
      </c>
      <c r="B17" s="1941">
        <v>3537000</v>
      </c>
      <c r="C17" s="1941">
        <v>0</v>
      </c>
      <c r="D17" s="1941">
        <v>0</v>
      </c>
      <c r="E17" s="1061"/>
      <c r="F17" s="1212"/>
    </row>
    <row r="18" spans="1:6" s="457" customFormat="1">
      <c r="A18" s="1925" t="s">
        <v>1157</v>
      </c>
      <c r="B18" s="584">
        <v>6562000</v>
      </c>
      <c r="C18" s="584">
        <v>857003.19</v>
      </c>
      <c r="D18" s="584">
        <v>857003.19</v>
      </c>
      <c r="E18" s="1061"/>
      <c r="F18" s="1212"/>
    </row>
    <row r="19" spans="1:6" s="457" customFormat="1">
      <c r="A19" s="1925" t="s">
        <v>1158</v>
      </c>
      <c r="B19" s="584">
        <v>38800000</v>
      </c>
      <c r="C19" s="584">
        <v>0</v>
      </c>
      <c r="D19" s="584">
        <v>0</v>
      </c>
      <c r="E19" s="1061"/>
      <c r="F19" s="1212"/>
    </row>
    <row r="20" spans="1:6" s="457" customFormat="1">
      <c r="A20" s="1925" t="s">
        <v>1159</v>
      </c>
      <c r="B20" s="584">
        <v>108800000</v>
      </c>
      <c r="C20" s="584">
        <v>0</v>
      </c>
      <c r="D20" s="584">
        <v>0</v>
      </c>
      <c r="E20" s="1061"/>
      <c r="F20" s="1212"/>
    </row>
    <row r="21" spans="1:6" s="457" customFormat="1">
      <c r="A21" s="1925" t="s">
        <v>1160</v>
      </c>
      <c r="B21" s="584">
        <v>5315000</v>
      </c>
      <c r="C21" s="584">
        <v>0</v>
      </c>
      <c r="D21" s="584">
        <v>581369.18999999994</v>
      </c>
      <c r="E21" s="1061"/>
      <c r="F21" s="1212"/>
    </row>
    <row r="22" spans="1:6" s="457" customFormat="1">
      <c r="A22" s="1925" t="s">
        <v>1161</v>
      </c>
      <c r="B22" s="584">
        <v>6890000</v>
      </c>
      <c r="C22" s="584">
        <v>0</v>
      </c>
      <c r="D22" s="584">
        <v>0</v>
      </c>
      <c r="E22" s="1061"/>
      <c r="F22" s="1212"/>
    </row>
    <row r="23" spans="1:6" s="457" customFormat="1">
      <c r="A23" s="1925" t="s">
        <v>1162</v>
      </c>
      <c r="B23" s="584">
        <v>18967000</v>
      </c>
      <c r="C23" s="584">
        <v>34097.75</v>
      </c>
      <c r="D23" s="584">
        <v>170517.16</v>
      </c>
      <c r="E23" s="1061"/>
      <c r="F23" s="1212"/>
    </row>
    <row r="24" spans="1:6" s="457" customFormat="1">
      <c r="A24" s="1925" t="s">
        <v>1163</v>
      </c>
      <c r="B24" s="584">
        <v>39200000</v>
      </c>
      <c r="C24" s="584">
        <v>0</v>
      </c>
      <c r="D24" s="584">
        <v>0</v>
      </c>
      <c r="E24" s="1061"/>
      <c r="F24" s="1212"/>
    </row>
    <row r="25" spans="1:6" s="457" customFormat="1">
      <c r="A25" s="1925" t="s">
        <v>1164</v>
      </c>
      <c r="B25" s="584">
        <v>18320000</v>
      </c>
      <c r="C25" s="584">
        <v>0</v>
      </c>
      <c r="D25" s="584">
        <v>0</v>
      </c>
      <c r="E25" s="1061"/>
      <c r="F25" s="1212"/>
    </row>
    <row r="26" spans="1:6" s="457" customFormat="1">
      <c r="A26" s="1925" t="s">
        <v>1165</v>
      </c>
      <c r="B26" s="584">
        <v>5733000</v>
      </c>
      <c r="C26" s="584">
        <v>28227.279999999999</v>
      </c>
      <c r="D26" s="584">
        <v>56847.53</v>
      </c>
      <c r="E26" s="1061"/>
      <c r="F26" s="1212"/>
    </row>
    <row r="27" spans="1:6" s="457" customFormat="1">
      <c r="A27" s="1925" t="s">
        <v>1166</v>
      </c>
      <c r="B27" s="584">
        <v>208000000</v>
      </c>
      <c r="C27" s="584">
        <v>0</v>
      </c>
      <c r="D27" s="584">
        <v>0</v>
      </c>
      <c r="E27" s="663"/>
      <c r="F27" s="1212"/>
    </row>
    <row r="28" spans="1:6" s="457" customFormat="1">
      <c r="A28" s="1925" t="s">
        <v>1417</v>
      </c>
      <c r="B28" s="584">
        <v>5500000</v>
      </c>
      <c r="C28" s="584">
        <v>0</v>
      </c>
      <c r="D28" s="584">
        <v>0</v>
      </c>
      <c r="E28" s="663"/>
      <c r="F28" s="1212"/>
    </row>
    <row r="29" spans="1:6">
      <c r="A29" s="1925" t="s">
        <v>1418</v>
      </c>
      <c r="B29" s="584">
        <v>40087000</v>
      </c>
      <c r="C29" s="584">
        <v>14215.75</v>
      </c>
      <c r="D29" s="584">
        <v>19195.759999999998</v>
      </c>
      <c r="E29" s="663"/>
    </row>
    <row r="30" spans="1:6">
      <c r="A30" s="1925" t="s">
        <v>1167</v>
      </c>
      <c r="B30" s="584">
        <v>4400000</v>
      </c>
      <c r="C30" s="584">
        <v>0</v>
      </c>
      <c r="D30" s="584">
        <v>36338</v>
      </c>
      <c r="E30" s="663"/>
    </row>
    <row r="31" spans="1:6">
      <c r="A31" s="1925" t="s">
        <v>1168</v>
      </c>
      <c r="B31" s="584">
        <v>387800000</v>
      </c>
      <c r="C31" s="584">
        <v>79400000</v>
      </c>
      <c r="D31" s="584">
        <v>79400000</v>
      </c>
      <c r="E31" s="663"/>
    </row>
    <row r="32" spans="1:6">
      <c r="A32" s="1925" t="s">
        <v>1169</v>
      </c>
      <c r="B32" s="584">
        <v>67987000</v>
      </c>
      <c r="C32" s="584">
        <v>745092.42999999993</v>
      </c>
      <c r="D32" s="584">
        <v>3140948.0999999996</v>
      </c>
      <c r="E32" s="663"/>
    </row>
    <row r="33" spans="1:5">
      <c r="A33" s="1925" t="s">
        <v>1170</v>
      </c>
      <c r="B33" s="584">
        <v>974000</v>
      </c>
      <c r="C33" s="584">
        <v>93930</v>
      </c>
      <c r="D33" s="584">
        <v>221860</v>
      </c>
      <c r="E33" s="1704"/>
    </row>
    <row r="34" spans="1:5">
      <c r="A34" s="1925" t="s">
        <v>1171</v>
      </c>
      <c r="B34" s="584">
        <v>11120000</v>
      </c>
      <c r="C34" s="584">
        <v>0</v>
      </c>
      <c r="D34" s="584">
        <v>0</v>
      </c>
      <c r="E34" s="663"/>
    </row>
    <row r="35" spans="1:5">
      <c r="A35" s="1925" t="s">
        <v>1172</v>
      </c>
      <c r="B35" s="584">
        <v>10687000</v>
      </c>
      <c r="C35" s="584">
        <v>502713.06</v>
      </c>
      <c r="D35" s="584">
        <v>1417614.42</v>
      </c>
      <c r="E35" s="663"/>
    </row>
    <row r="36" spans="1:5">
      <c r="A36" s="1925" t="s">
        <v>1173</v>
      </c>
      <c r="B36" s="584">
        <v>110926000</v>
      </c>
      <c r="C36" s="584">
        <v>0</v>
      </c>
      <c r="D36" s="584">
        <v>27731500</v>
      </c>
      <c r="E36" s="663"/>
    </row>
    <row r="37" spans="1:5">
      <c r="A37" s="1925" t="s">
        <v>1211</v>
      </c>
      <c r="B37" s="584">
        <v>50000</v>
      </c>
      <c r="C37" s="584">
        <v>0</v>
      </c>
      <c r="D37" s="584">
        <v>0</v>
      </c>
      <c r="E37" s="663"/>
    </row>
    <row r="38" spans="1:5">
      <c r="A38" s="1925" t="s">
        <v>1174</v>
      </c>
      <c r="B38" s="584">
        <v>15950000</v>
      </c>
      <c r="C38" s="584">
        <v>0</v>
      </c>
      <c r="D38" s="584">
        <v>0</v>
      </c>
      <c r="E38" s="663"/>
    </row>
    <row r="39" spans="1:5">
      <c r="A39" s="1925" t="s">
        <v>1283</v>
      </c>
      <c r="B39" s="584">
        <v>28230000</v>
      </c>
      <c r="C39" s="584">
        <v>422240.45</v>
      </c>
      <c r="D39" s="584">
        <v>2605903.4700000002</v>
      </c>
      <c r="E39" s="663"/>
    </row>
    <row r="40" spans="1:5">
      <c r="A40" s="1925" t="s">
        <v>1291</v>
      </c>
      <c r="B40" s="584">
        <v>3300400</v>
      </c>
      <c r="C40" s="584">
        <v>0</v>
      </c>
      <c r="D40" s="584">
        <v>0</v>
      </c>
      <c r="E40" s="663"/>
    </row>
    <row r="41" spans="1:5">
      <c r="A41" s="1925" t="s">
        <v>1175</v>
      </c>
      <c r="B41" s="584">
        <v>11610000</v>
      </c>
      <c r="C41" s="584">
        <v>0</v>
      </c>
      <c r="D41" s="584">
        <v>0</v>
      </c>
      <c r="E41" s="663"/>
    </row>
    <row r="42" spans="1:5">
      <c r="A42" s="1925" t="s">
        <v>1176</v>
      </c>
      <c r="B42" s="584">
        <v>4230000</v>
      </c>
      <c r="C42" s="584">
        <v>0</v>
      </c>
      <c r="D42" s="584">
        <v>0</v>
      </c>
      <c r="E42" s="663"/>
    </row>
    <row r="43" spans="1:5">
      <c r="A43" s="1925" t="s">
        <v>1177</v>
      </c>
      <c r="B43" s="584">
        <v>8460000</v>
      </c>
      <c r="C43" s="584">
        <v>0</v>
      </c>
      <c r="D43" s="584">
        <v>0</v>
      </c>
      <c r="E43" s="663"/>
    </row>
    <row r="44" spans="1:5">
      <c r="A44" s="1925" t="s">
        <v>1178</v>
      </c>
      <c r="B44" s="584">
        <v>489526059.02999997</v>
      </c>
      <c r="C44" s="584">
        <v>0</v>
      </c>
      <c r="D44" s="584">
        <v>0</v>
      </c>
      <c r="E44" s="663"/>
    </row>
    <row r="45" spans="1:5">
      <c r="A45" s="1940" t="s">
        <v>477</v>
      </c>
      <c r="B45" s="1941">
        <v>29648633000</v>
      </c>
      <c r="C45" s="1941">
        <v>578327521.71000004</v>
      </c>
      <c r="D45" s="1941">
        <v>2624815999.1500001</v>
      </c>
      <c r="E45" s="663"/>
    </row>
    <row r="46" spans="1:5">
      <c r="A46" s="1925" t="s">
        <v>1179</v>
      </c>
      <c r="B46" s="584">
        <v>300000000</v>
      </c>
      <c r="C46" s="584">
        <v>0</v>
      </c>
      <c r="D46" s="584">
        <v>0</v>
      </c>
      <c r="E46" s="663"/>
    </row>
    <row r="47" spans="1:5">
      <c r="A47" s="1925" t="s">
        <v>1180</v>
      </c>
      <c r="B47" s="584">
        <v>3866600000</v>
      </c>
      <c r="C47" s="584">
        <v>178327521.71000001</v>
      </c>
      <c r="D47" s="584">
        <v>274815999.14999998</v>
      </c>
      <c r="E47" s="663"/>
    </row>
    <row r="48" spans="1:5">
      <c r="A48" s="1925" t="s">
        <v>1181</v>
      </c>
      <c r="B48" s="584">
        <v>24598833000</v>
      </c>
      <c r="C48" s="584">
        <v>400000000</v>
      </c>
      <c r="D48" s="584">
        <v>2350000000</v>
      </c>
      <c r="E48" s="663"/>
    </row>
    <row r="49" spans="1:6">
      <c r="A49" s="1925" t="s">
        <v>1182</v>
      </c>
      <c r="B49" s="584">
        <v>816000000</v>
      </c>
      <c r="C49" s="584">
        <v>0</v>
      </c>
      <c r="D49" s="584">
        <v>0</v>
      </c>
      <c r="E49" s="663"/>
    </row>
    <row r="50" spans="1:6">
      <c r="A50" s="1925" t="s">
        <v>1183</v>
      </c>
      <c r="B50" s="584">
        <v>67200000</v>
      </c>
      <c r="C50" s="584">
        <v>0</v>
      </c>
      <c r="D50" s="584">
        <v>0</v>
      </c>
      <c r="E50" s="663"/>
    </row>
    <row r="51" spans="1:6">
      <c r="A51" s="1940" t="s">
        <v>1197</v>
      </c>
      <c r="B51" s="1941">
        <v>88185000</v>
      </c>
      <c r="C51" s="1941">
        <v>2378372.75</v>
      </c>
      <c r="D51" s="1941">
        <v>13642498.35</v>
      </c>
      <c r="E51" s="663"/>
    </row>
    <row r="52" spans="1:6">
      <c r="A52" s="1925" t="s">
        <v>1198</v>
      </c>
      <c r="B52" s="584">
        <v>88185000</v>
      </c>
      <c r="C52" s="584">
        <v>2378372.75</v>
      </c>
      <c r="D52" s="584">
        <v>13642498.35</v>
      </c>
      <c r="E52" s="663"/>
    </row>
    <row r="53" spans="1:6">
      <c r="A53" s="1940" t="s">
        <v>478</v>
      </c>
      <c r="B53" s="1941">
        <v>1834000</v>
      </c>
      <c r="C53" s="1941">
        <v>0</v>
      </c>
      <c r="D53" s="1941">
        <v>0</v>
      </c>
      <c r="E53" s="663"/>
    </row>
    <row r="54" spans="1:6">
      <c r="A54" s="1925" t="s">
        <v>1184</v>
      </c>
      <c r="B54" s="584">
        <v>1834000</v>
      </c>
      <c r="C54" s="584">
        <v>0</v>
      </c>
      <c r="D54" s="584">
        <v>0</v>
      </c>
      <c r="E54" s="663"/>
    </row>
    <row r="55" spans="1:6">
      <c r="A55" s="1940" t="s">
        <v>479</v>
      </c>
      <c r="B55" s="1941">
        <v>64258200</v>
      </c>
      <c r="C55" s="1941">
        <v>914728.32</v>
      </c>
      <c r="D55" s="1941">
        <v>6025869.3599999994</v>
      </c>
      <c r="E55" s="663"/>
    </row>
    <row r="56" spans="1:6">
      <c r="A56" s="1925" t="s">
        <v>1185</v>
      </c>
      <c r="B56" s="584">
        <v>64258200</v>
      </c>
      <c r="C56" s="584">
        <v>914728.32</v>
      </c>
      <c r="D56" s="584">
        <v>6025869.3599999994</v>
      </c>
      <c r="E56" s="663"/>
    </row>
    <row r="57" spans="1:6">
      <c r="A57" s="1940" t="s">
        <v>1101</v>
      </c>
      <c r="B57" s="1941">
        <v>8190000</v>
      </c>
      <c r="C57" s="1941">
        <v>421994.56</v>
      </c>
      <c r="D57" s="1941">
        <v>1465792.9500000002</v>
      </c>
      <c r="E57" s="663"/>
    </row>
    <row r="58" spans="1:6">
      <c r="A58" s="1925" t="s">
        <v>1101</v>
      </c>
      <c r="B58" s="584">
        <v>8190000</v>
      </c>
      <c r="C58" s="584">
        <v>421994.56</v>
      </c>
      <c r="D58" s="584">
        <v>1465792.9500000002</v>
      </c>
      <c r="E58" s="663"/>
    </row>
    <row r="59" spans="1:6">
      <c r="A59" s="2020" t="s">
        <v>519</v>
      </c>
      <c r="B59" s="2022">
        <v>35112037659.029999</v>
      </c>
      <c r="C59" s="2022">
        <v>788208377.24999988</v>
      </c>
      <c r="D59" s="2022">
        <v>3228420655.8499994</v>
      </c>
      <c r="E59" s="663"/>
    </row>
    <row r="60" spans="1:6" ht="15" customHeight="1">
      <c r="A60" s="1929" t="s">
        <v>480</v>
      </c>
      <c r="B60" s="2021"/>
      <c r="C60" s="1919">
        <v>0</v>
      </c>
      <c r="D60" s="1919">
        <v>-1224961.23</v>
      </c>
      <c r="E60" s="663"/>
      <c r="F60" s="1211" t="s">
        <v>14</v>
      </c>
    </row>
    <row r="61" spans="1:6" ht="15.6" customHeight="1">
      <c r="A61" s="1929" t="s">
        <v>1139</v>
      </c>
      <c r="B61" s="2021"/>
      <c r="C61" s="1919">
        <v>0</v>
      </c>
      <c r="D61" s="1919">
        <v>0</v>
      </c>
      <c r="E61" s="663"/>
    </row>
    <row r="62" spans="1:6" ht="12.75" customHeight="1">
      <c r="A62" s="1929" t="s">
        <v>1140</v>
      </c>
      <c r="B62" s="1919"/>
      <c r="C62" s="1919">
        <v>0</v>
      </c>
      <c r="D62" s="1919">
        <v>0</v>
      </c>
      <c r="E62" s="1705"/>
    </row>
    <row r="63" spans="1:6">
      <c r="A63" s="1929" t="s">
        <v>481</v>
      </c>
      <c r="B63" s="1919"/>
      <c r="C63" s="1919">
        <v>-970.01</v>
      </c>
      <c r="D63" s="1919">
        <v>3044.48</v>
      </c>
      <c r="E63" s="663"/>
    </row>
    <row r="64" spans="1:6" ht="13.5" thickBot="1">
      <c r="A64" s="1920" t="s">
        <v>1186</v>
      </c>
      <c r="B64" s="1936">
        <v>35112037659.029999</v>
      </c>
      <c r="C64" s="1936">
        <v>788207407.23999989</v>
      </c>
      <c r="D64" s="1936">
        <v>3227198739.0999994</v>
      </c>
      <c r="E64" s="663"/>
    </row>
    <row r="65" spans="1:5" ht="13.5" thickTop="1">
      <c r="A65" s="1028"/>
      <c r="B65" s="1919"/>
      <c r="C65" s="1919"/>
      <c r="D65" s="1919"/>
      <c r="E65" s="663"/>
    </row>
    <row r="66" spans="1:5">
      <c r="A66" s="1921" t="s">
        <v>1456</v>
      </c>
      <c r="B66" s="1028"/>
      <c r="C66" s="1028"/>
      <c r="D66" s="1028"/>
      <c r="E66" s="663"/>
    </row>
    <row r="67" spans="1:5">
      <c r="A67" s="1921" t="s">
        <v>840</v>
      </c>
      <c r="B67" s="1028"/>
      <c r="C67" s="1028"/>
      <c r="D67" s="1028"/>
      <c r="E67" s="663"/>
    </row>
    <row r="68" spans="1:5" ht="13.35" customHeight="1">
      <c r="A68" s="1922" t="s">
        <v>813</v>
      </c>
      <c r="B68" s="1028"/>
      <c r="C68" s="1028"/>
      <c r="D68" s="1028"/>
    </row>
    <row r="69" spans="1:5" ht="12.75" customHeight="1">
      <c r="A69" s="1923" t="s">
        <v>814</v>
      </c>
      <c r="B69" s="1028"/>
      <c r="C69" s="1028"/>
      <c r="D69" s="1924"/>
    </row>
    <row r="70" spans="1:5">
      <c r="A70" s="1923" t="s">
        <v>815</v>
      </c>
      <c r="B70" s="1028"/>
      <c r="C70" s="1028"/>
      <c r="D70" s="1919"/>
    </row>
    <row r="71" spans="1:5">
      <c r="B71" s="664"/>
      <c r="C71" s="664"/>
    </row>
    <row r="72" spans="1:5">
      <c r="C72" s="1919"/>
      <c r="D72" s="1919"/>
    </row>
    <row r="73" spans="1:5">
      <c r="C73" s="1919"/>
      <c r="D73" s="1919"/>
    </row>
    <row r="74" spans="1:5">
      <c r="C74" s="1919"/>
      <c r="D74" s="1919"/>
    </row>
    <row r="75" spans="1:5">
      <c r="C75" s="2063"/>
      <c r="D75" s="2063"/>
    </row>
    <row r="76" spans="1:5" ht="12.75" customHeight="1">
      <c r="C76" s="1919"/>
      <c r="D76" s="1919"/>
    </row>
    <row r="77" spans="1:5" ht="12.75" customHeight="1">
      <c r="C77" s="1919" t="s">
        <v>14</v>
      </c>
    </row>
    <row r="78" spans="1:5" ht="12.75" customHeight="1"/>
  </sheetData>
  <printOptions horizontalCentered="1"/>
  <pageMargins left="0.5" right="0.25" top="0.5" bottom="0.25" header="0.5" footer="0.25"/>
  <pageSetup scale="55" firstPageNumber="48" fitToHeight="2" orientation="landscape" useFirstPageNumber="1" r:id="rId1"/>
  <headerFooter scaleWithDoc="0" alignWithMargins="0">
    <oddFooter>&amp;C&amp;8&amp;P</oddFooter>
  </headerFooter>
  <customProperties>
    <customPr name="SheetOptions" r:id="rId2"/>
  </customPropertie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8">
    <pageSetUpPr fitToPage="1"/>
  </sheetPr>
  <dimension ref="A1:O53"/>
  <sheetViews>
    <sheetView showGridLines="0" zoomScale="90" workbookViewId="0"/>
  </sheetViews>
  <sheetFormatPr defaultColWidth="8.88671875" defaultRowHeight="15" customHeight="1"/>
  <cols>
    <col min="1" max="1" width="55.109375" style="838" customWidth="1"/>
    <col min="2" max="2" width="4.88671875" style="838" customWidth="1"/>
    <col min="3" max="3" width="1.88671875" style="839" customWidth="1"/>
    <col min="4" max="4" width="20.88671875" style="839" customWidth="1"/>
    <col min="5" max="5" width="1.88671875" style="839" customWidth="1"/>
    <col min="6" max="6" width="20.88671875" style="839" customWidth="1"/>
    <col min="7" max="7" width="1.88671875" style="839" customWidth="1"/>
    <col min="8" max="8" width="20.88671875" style="839" customWidth="1"/>
    <col min="9" max="9" width="1.88671875" style="839" customWidth="1"/>
    <col min="10" max="10" width="20.88671875" style="839" customWidth="1"/>
    <col min="11" max="12" width="1.88671875" style="839" customWidth="1"/>
    <col min="13" max="13" width="20.88671875" style="839" customWidth="1"/>
    <col min="14" max="14" width="8.88671875" style="839"/>
    <col min="15" max="15" width="20.88671875" style="838" customWidth="1"/>
    <col min="16" max="16384" width="8.88671875" style="838"/>
  </cols>
  <sheetData>
    <row r="1" spans="1:15" ht="15" customHeight="1">
      <c r="A1" s="468" t="s">
        <v>841</v>
      </c>
    </row>
    <row r="2" spans="1:15" ht="15" customHeight="1">
      <c r="A2" s="861"/>
    </row>
    <row r="3" spans="1:15" ht="15" customHeight="1">
      <c r="M3" s="903" t="s">
        <v>482</v>
      </c>
    </row>
    <row r="4" spans="1:15" ht="19.5" customHeight="1">
      <c r="A4" s="904" t="s">
        <v>469</v>
      </c>
      <c r="B4" s="853"/>
      <c r="C4" s="853"/>
      <c r="D4" s="853"/>
      <c r="E4" s="853"/>
      <c r="F4" s="853"/>
      <c r="G4" s="853"/>
      <c r="H4" s="853"/>
      <c r="I4" s="853"/>
      <c r="J4" s="853"/>
      <c r="K4" s="853"/>
      <c r="L4" s="905"/>
      <c r="M4" s="905"/>
    </row>
    <row r="5" spans="1:15" ht="19.5" customHeight="1">
      <c r="A5" s="904" t="s">
        <v>760</v>
      </c>
      <c r="B5" s="904"/>
      <c r="C5" s="904"/>
      <c r="D5" s="904"/>
      <c r="E5" s="904"/>
      <c r="F5" s="904"/>
      <c r="G5" s="904"/>
      <c r="H5" s="904"/>
      <c r="I5" s="904"/>
      <c r="J5" s="904"/>
      <c r="K5" s="904"/>
      <c r="L5" s="904"/>
      <c r="M5" s="904"/>
    </row>
    <row r="6" spans="1:15" ht="19.5" customHeight="1">
      <c r="A6" s="904" t="str">
        <f>'HCRA PROG DISB'!A6</f>
        <v xml:space="preserve">FISCAL YEAR 2023-2024   </v>
      </c>
      <c r="B6" s="1215"/>
      <c r="C6" s="1215"/>
      <c r="D6" s="1215"/>
      <c r="E6" s="1215"/>
      <c r="F6" s="1215"/>
      <c r="G6" s="1215"/>
      <c r="H6" s="1215"/>
      <c r="I6" s="1215"/>
      <c r="J6" s="1215"/>
      <c r="K6" s="1215"/>
      <c r="L6" s="904"/>
      <c r="M6" s="904"/>
    </row>
    <row r="7" spans="1:15" ht="15" customHeight="1">
      <c r="A7" s="1216"/>
      <c r="B7" s="1216"/>
      <c r="C7" s="1216"/>
      <c r="D7" s="1216"/>
      <c r="E7" s="1216"/>
      <c r="F7" s="1216"/>
      <c r="G7" s="1216"/>
      <c r="H7" s="1216"/>
      <c r="I7" s="1216"/>
      <c r="J7" s="1216"/>
      <c r="K7" s="1216"/>
      <c r="L7" s="906"/>
      <c r="M7" s="906"/>
    </row>
    <row r="8" spans="1:15" ht="15" customHeight="1">
      <c r="A8" s="862"/>
      <c r="B8" s="863"/>
      <c r="C8" s="864"/>
      <c r="D8" s="844"/>
      <c r="E8" s="864"/>
      <c r="F8" s="844"/>
      <c r="G8" s="864"/>
      <c r="H8" s="844"/>
      <c r="I8" s="864"/>
      <c r="J8" s="844"/>
      <c r="K8" s="864"/>
      <c r="L8" s="907"/>
      <c r="M8" s="848"/>
    </row>
    <row r="9" spans="1:15" s="847" customFormat="1" ht="15" customHeight="1">
      <c r="A9" s="845"/>
      <c r="B9" s="845"/>
      <c r="C9" s="1058"/>
      <c r="D9" s="1058" t="s">
        <v>1489</v>
      </c>
      <c r="E9" s="1058"/>
      <c r="F9" s="1058">
        <v>2023</v>
      </c>
      <c r="G9" s="1058"/>
      <c r="H9" s="1058">
        <v>2023</v>
      </c>
      <c r="I9" s="1058"/>
      <c r="J9" s="1058">
        <v>2023</v>
      </c>
      <c r="K9" s="1058"/>
      <c r="L9" s="846"/>
      <c r="M9" s="846"/>
      <c r="N9" s="846"/>
    </row>
    <row r="10" spans="1:15" ht="15" customHeight="1">
      <c r="C10" s="848"/>
      <c r="D10" s="1221" t="s">
        <v>1490</v>
      </c>
      <c r="E10" s="848"/>
      <c r="F10" s="1221" t="s">
        <v>125</v>
      </c>
      <c r="G10" s="848"/>
      <c r="H10" s="1221" t="s">
        <v>126</v>
      </c>
      <c r="I10" s="848"/>
      <c r="J10" s="1221" t="s">
        <v>141</v>
      </c>
      <c r="K10" s="848"/>
      <c r="M10" s="848" t="s">
        <v>1439</v>
      </c>
    </row>
    <row r="11" spans="1:15" ht="15" customHeight="1">
      <c r="M11" s="1167"/>
    </row>
    <row r="12" spans="1:15" s="847" customFormat="1" ht="15" customHeight="1">
      <c r="A12" s="847" t="s">
        <v>447</v>
      </c>
      <c r="C12" s="849"/>
      <c r="D12" s="849">
        <v>492069346.5</v>
      </c>
      <c r="E12" s="849"/>
      <c r="F12" s="849">
        <f>D50</f>
        <v>499063749.54000002</v>
      </c>
      <c r="G12" s="849"/>
      <c r="H12" s="849">
        <f>F50</f>
        <v>447623901.00999999</v>
      </c>
      <c r="I12" s="849"/>
      <c r="J12" s="849">
        <f>H50</f>
        <v>452549104.87</v>
      </c>
      <c r="K12" s="849"/>
      <c r="L12" s="865"/>
      <c r="M12" s="849">
        <f>D12</f>
        <v>492069346.5</v>
      </c>
      <c r="N12" s="846"/>
    </row>
    <row r="13" spans="1:15" ht="15" customHeight="1">
      <c r="A13" s="847"/>
      <c r="L13" s="866"/>
      <c r="M13" s="852"/>
    </row>
    <row r="14" spans="1:15" ht="15" customHeight="1">
      <c r="A14" s="847" t="s">
        <v>13</v>
      </c>
      <c r="C14" s="852"/>
      <c r="D14" s="852"/>
      <c r="E14" s="852"/>
      <c r="F14" s="852"/>
      <c r="G14" s="852"/>
      <c r="H14" s="852"/>
      <c r="I14" s="852"/>
      <c r="J14" s="852"/>
      <c r="K14" s="852"/>
      <c r="L14" s="867"/>
      <c r="M14" s="852"/>
    </row>
    <row r="15" spans="1:15" ht="15" customHeight="1">
      <c r="A15" s="838" t="s">
        <v>484</v>
      </c>
      <c r="C15" s="852"/>
      <c r="D15" s="852">
        <v>1157843597.99</v>
      </c>
      <c r="E15" s="852"/>
      <c r="F15" s="852">
        <v>357693974</v>
      </c>
      <c r="G15" s="852"/>
      <c r="H15" s="852">
        <v>419017262.69</v>
      </c>
      <c r="I15" s="852"/>
      <c r="J15" s="852">
        <v>286962596.45999998</v>
      </c>
      <c r="K15" s="852"/>
      <c r="L15" s="867"/>
      <c r="M15" s="852">
        <f>SUM(C15:L15)</f>
        <v>2221517431.1399999</v>
      </c>
      <c r="O15" s="852"/>
    </row>
    <row r="16" spans="1:15" ht="15" customHeight="1">
      <c r="A16" s="838" t="s">
        <v>485</v>
      </c>
      <c r="C16" s="852"/>
      <c r="D16" s="852">
        <v>291263293.25999999</v>
      </c>
      <c r="E16" s="852"/>
      <c r="F16" s="852">
        <v>91212674.689999998</v>
      </c>
      <c r="G16" s="852"/>
      <c r="H16" s="852">
        <v>101219738.45</v>
      </c>
      <c r="I16" s="852"/>
      <c r="J16" s="852">
        <v>60024607.140000001</v>
      </c>
      <c r="K16" s="852"/>
      <c r="L16" s="867"/>
      <c r="M16" s="852">
        <f t="shared" ref="M16:M21" si="0">SUM(C16:L16)</f>
        <v>543720313.53999996</v>
      </c>
      <c r="O16" s="852"/>
    </row>
    <row r="17" spans="1:15" ht="15" customHeight="1">
      <c r="A17" s="838" t="s">
        <v>486</v>
      </c>
      <c r="C17" s="852"/>
      <c r="D17" s="852">
        <v>27975016.539999999</v>
      </c>
      <c r="E17" s="852"/>
      <c r="F17" s="852">
        <v>9931442.7200000007</v>
      </c>
      <c r="G17" s="852"/>
      <c r="H17" s="852">
        <v>9934694.1199999992</v>
      </c>
      <c r="I17" s="852"/>
      <c r="J17" s="852">
        <v>7300755.5700000003</v>
      </c>
      <c r="K17" s="852"/>
      <c r="L17" s="867"/>
      <c r="M17" s="852">
        <f t="shared" si="0"/>
        <v>55141908.949999996</v>
      </c>
      <c r="O17" s="852"/>
    </row>
    <row r="18" spans="1:15" ht="15" customHeight="1">
      <c r="A18" s="838" t="s">
        <v>487</v>
      </c>
      <c r="C18" s="852"/>
      <c r="D18" s="852">
        <v>122117738</v>
      </c>
      <c r="E18" s="852"/>
      <c r="F18" s="852">
        <v>43830903</v>
      </c>
      <c r="G18" s="852"/>
      <c r="H18" s="852">
        <v>41678857</v>
      </c>
      <c r="I18" s="852"/>
      <c r="J18" s="852">
        <v>39852381</v>
      </c>
      <c r="K18" s="852"/>
      <c r="L18" s="867"/>
      <c r="M18" s="852">
        <f t="shared" si="0"/>
        <v>247479879</v>
      </c>
      <c r="O18" s="852"/>
    </row>
    <row r="19" spans="1:15">
      <c r="A19" s="838" t="s">
        <v>488</v>
      </c>
      <c r="C19" s="573"/>
      <c r="D19" s="573">
        <v>0</v>
      </c>
      <c r="E19" s="573"/>
      <c r="F19" s="573">
        <v>0</v>
      </c>
      <c r="G19" s="573"/>
      <c r="H19" s="573">
        <v>0</v>
      </c>
      <c r="I19" s="573"/>
      <c r="J19" s="573">
        <v>0</v>
      </c>
      <c r="K19" s="573"/>
      <c r="L19" s="867"/>
      <c r="M19" s="852">
        <f t="shared" si="0"/>
        <v>0</v>
      </c>
      <c r="O19" s="852"/>
    </row>
    <row r="20" spans="1:15" ht="15" customHeight="1">
      <c r="A20" s="838" t="s">
        <v>489</v>
      </c>
      <c r="C20" s="852"/>
      <c r="D20" s="852">
        <v>1117499.97</v>
      </c>
      <c r="E20" s="852"/>
      <c r="F20" s="852">
        <v>458033.72</v>
      </c>
      <c r="G20" s="852"/>
      <c r="H20" s="852">
        <v>388045.67</v>
      </c>
      <c r="I20" s="852"/>
      <c r="J20" s="852">
        <v>428310.93</v>
      </c>
      <c r="K20" s="852"/>
      <c r="L20" s="867"/>
      <c r="M20" s="852">
        <f t="shared" si="0"/>
        <v>2391890.29</v>
      </c>
      <c r="O20" s="852"/>
    </row>
    <row r="21" spans="1:15" ht="15" customHeight="1">
      <c r="A21" s="838" t="s">
        <v>490</v>
      </c>
      <c r="C21" s="856"/>
      <c r="D21" s="1218">
        <v>-1222552.2700000009</v>
      </c>
      <c r="E21" s="856"/>
      <c r="F21" s="1218">
        <v>-191754.64</v>
      </c>
      <c r="G21" s="856"/>
      <c r="H21" s="1218">
        <v>3451906.67</v>
      </c>
      <c r="I21" s="856"/>
      <c r="J21" s="1218">
        <v>-3355749.16</v>
      </c>
      <c r="K21" s="856"/>
      <c r="L21" s="868"/>
      <c r="M21" s="852">
        <f t="shared" si="0"/>
        <v>-1318149.4000000013</v>
      </c>
      <c r="O21" s="852"/>
    </row>
    <row r="22" spans="1:15" s="847" customFormat="1" ht="15.75">
      <c r="A22" s="847" t="s">
        <v>147</v>
      </c>
      <c r="C22" s="870"/>
      <c r="D22" s="1219">
        <f>ROUND(SUM(D15:D21),2)</f>
        <v>1599094593.49</v>
      </c>
      <c r="E22" s="870"/>
      <c r="F22" s="1219">
        <f>ROUND(SUM(F15:F21),2)</f>
        <v>502935273.49000001</v>
      </c>
      <c r="G22" s="870"/>
      <c r="H22" s="1219">
        <f>ROUND(SUM(H15:H21),2)</f>
        <v>575690504.60000002</v>
      </c>
      <c r="I22" s="870"/>
      <c r="J22" s="1219">
        <f>ROUND(SUM(J15:J21),2)</f>
        <v>391212901.94</v>
      </c>
      <c r="K22" s="870"/>
      <c r="L22" s="869"/>
      <c r="M22" s="1171">
        <f>ROUND(SUM(M15:M21),2)</f>
        <v>3068933273.52</v>
      </c>
      <c r="N22" s="839"/>
      <c r="O22" s="852"/>
    </row>
    <row r="23" spans="1:15" ht="15" customHeight="1">
      <c r="C23" s="852"/>
      <c r="D23" s="852"/>
      <c r="E23" s="852"/>
      <c r="F23" s="852"/>
      <c r="G23" s="852"/>
      <c r="H23" s="852"/>
      <c r="I23" s="852"/>
      <c r="J23" s="852"/>
      <c r="K23" s="852"/>
      <c r="L23" s="867"/>
      <c r="M23" s="852"/>
      <c r="O23" s="852"/>
    </row>
    <row r="24" spans="1:15" ht="15" customHeight="1">
      <c r="A24" s="847" t="s">
        <v>809</v>
      </c>
      <c r="C24" s="871"/>
      <c r="D24" s="871"/>
      <c r="E24" s="871"/>
      <c r="F24" s="871"/>
      <c r="G24" s="871"/>
      <c r="H24" s="871"/>
      <c r="I24" s="871"/>
      <c r="J24" s="871"/>
      <c r="K24" s="871"/>
      <c r="L24" s="867"/>
      <c r="M24" s="852"/>
      <c r="O24" s="852"/>
    </row>
    <row r="25" spans="1:15" ht="15" customHeight="1">
      <c r="A25" s="843" t="s">
        <v>491</v>
      </c>
      <c r="C25" s="852"/>
      <c r="D25" s="852">
        <v>0</v>
      </c>
      <c r="E25" s="852"/>
      <c r="F25" s="852">
        <v>0</v>
      </c>
      <c r="G25" s="852"/>
      <c r="H25" s="852">
        <v>0</v>
      </c>
      <c r="I25" s="852"/>
      <c r="J25" s="852">
        <v>0</v>
      </c>
      <c r="K25" s="852"/>
      <c r="L25" s="867"/>
      <c r="M25" s="852">
        <f>SUM(C25:L25)</f>
        <v>0</v>
      </c>
      <c r="O25" s="852"/>
    </row>
    <row r="26" spans="1:15" ht="15" customHeight="1">
      <c r="A26" s="843" t="s">
        <v>492</v>
      </c>
      <c r="C26" s="852"/>
      <c r="D26" s="852">
        <v>0</v>
      </c>
      <c r="E26" s="852"/>
      <c r="F26" s="852">
        <v>0</v>
      </c>
      <c r="G26" s="852"/>
      <c r="H26" s="852">
        <v>0</v>
      </c>
      <c r="I26" s="852"/>
      <c r="J26" s="852">
        <v>0</v>
      </c>
      <c r="K26" s="852"/>
      <c r="L26" s="867"/>
      <c r="M26" s="852">
        <f>SUM(C26:L26)</f>
        <v>0</v>
      </c>
      <c r="O26" s="852"/>
    </row>
    <row r="27" spans="1:15" ht="15" customHeight="1">
      <c r="A27" s="843" t="s">
        <v>493</v>
      </c>
      <c r="C27" s="852"/>
      <c r="D27" s="852">
        <v>0</v>
      </c>
      <c r="E27" s="852"/>
      <c r="F27" s="852">
        <v>0</v>
      </c>
      <c r="G27" s="852"/>
      <c r="H27" s="852">
        <v>0</v>
      </c>
      <c r="I27" s="852"/>
      <c r="J27" s="852">
        <v>0</v>
      </c>
      <c r="K27" s="852"/>
      <c r="L27" s="868"/>
      <c r="M27" s="852">
        <f>SUM(C27:L27)</f>
        <v>0</v>
      </c>
      <c r="O27" s="852"/>
    </row>
    <row r="28" spans="1:15" ht="15.75">
      <c r="A28" s="853" t="s">
        <v>846</v>
      </c>
      <c r="B28" s="847"/>
      <c r="C28" s="870"/>
      <c r="D28" s="1171">
        <f>ROUND(SUM(D25:D27),2)</f>
        <v>0</v>
      </c>
      <c r="E28" s="870"/>
      <c r="F28" s="1171">
        <f>ROUND(SUM(F25:F27),2)</f>
        <v>0</v>
      </c>
      <c r="G28" s="870"/>
      <c r="H28" s="2275">
        <f>ROUND(SUM(H25:H27),2)</f>
        <v>0</v>
      </c>
      <c r="I28" s="870"/>
      <c r="J28" s="2275">
        <f>ROUND(SUM(J25:J27),2)</f>
        <v>0</v>
      </c>
      <c r="K28" s="870"/>
      <c r="L28" s="869"/>
      <c r="M28" s="1171">
        <f>ROUND(SUM(M25:M27),2)</f>
        <v>0</v>
      </c>
      <c r="O28" s="852"/>
    </row>
    <row r="29" spans="1:15" ht="15" customHeight="1">
      <c r="C29" s="852"/>
      <c r="D29" s="852"/>
      <c r="E29" s="852"/>
      <c r="F29" s="852"/>
      <c r="G29" s="852"/>
      <c r="H29" s="852"/>
      <c r="I29" s="852"/>
      <c r="J29" s="852"/>
      <c r="K29" s="852"/>
      <c r="L29" s="867"/>
      <c r="M29" s="852"/>
      <c r="O29" s="852"/>
    </row>
    <row r="30" spans="1:15" ht="15" customHeight="1">
      <c r="A30" s="847" t="s">
        <v>494</v>
      </c>
      <c r="B30" s="847"/>
      <c r="C30" s="870"/>
      <c r="D30" s="1344">
        <f>ROUND(+D22+D28,2)</f>
        <v>1599094593.49</v>
      </c>
      <c r="E30" s="870"/>
      <c r="F30" s="1344">
        <f>ROUND(+F22+F28,2)</f>
        <v>502935273.49000001</v>
      </c>
      <c r="G30" s="870"/>
      <c r="H30" s="1219">
        <f>ROUND(+H22+H28,2)</f>
        <v>575690504.60000002</v>
      </c>
      <c r="I30" s="870"/>
      <c r="J30" s="1219">
        <f>ROUND(+J22+J28,2)</f>
        <v>391212901.94</v>
      </c>
      <c r="K30" s="870"/>
      <c r="L30" s="872"/>
      <c r="M30" s="870">
        <f>ROUND(+M22+M28,2)</f>
        <v>3068933273.52</v>
      </c>
      <c r="O30" s="852"/>
    </row>
    <row r="31" spans="1:15" ht="15" customHeight="1">
      <c r="C31" s="852"/>
      <c r="D31" s="852"/>
      <c r="E31" s="852"/>
      <c r="F31" s="852"/>
      <c r="G31" s="852"/>
      <c r="H31" s="852"/>
      <c r="I31" s="852"/>
      <c r="J31" s="852"/>
      <c r="K31" s="852"/>
      <c r="L31" s="867"/>
      <c r="M31" s="1169"/>
      <c r="O31" s="852"/>
    </row>
    <row r="32" spans="1:15" ht="15" customHeight="1">
      <c r="A32" s="847" t="s">
        <v>45</v>
      </c>
      <c r="C32" s="852"/>
      <c r="D32" s="852"/>
      <c r="E32" s="852"/>
      <c r="F32" s="852"/>
      <c r="G32" s="852"/>
      <c r="H32" s="852"/>
      <c r="I32" s="852"/>
      <c r="J32" s="852"/>
      <c r="K32" s="852"/>
      <c r="L32" s="867"/>
      <c r="M32" s="852"/>
      <c r="O32" s="852"/>
    </row>
    <row r="33" spans="1:15" ht="15" customHeight="1">
      <c r="A33" s="847" t="s">
        <v>761</v>
      </c>
      <c r="C33" s="852"/>
      <c r="D33" s="852"/>
      <c r="E33" s="852"/>
      <c r="F33" s="852"/>
      <c r="G33" s="852"/>
      <c r="H33" s="852"/>
      <c r="I33" s="852"/>
      <c r="J33" s="852"/>
      <c r="K33" s="852"/>
      <c r="L33" s="867"/>
      <c r="M33" s="852"/>
      <c r="O33" s="852"/>
    </row>
    <row r="34" spans="1:15" ht="15" customHeight="1">
      <c r="A34" s="838" t="s">
        <v>495</v>
      </c>
      <c r="C34" s="852"/>
      <c r="D34" s="852">
        <v>0</v>
      </c>
      <c r="E34" s="852"/>
      <c r="F34" s="852">
        <v>0</v>
      </c>
      <c r="G34" s="852"/>
      <c r="H34" s="852">
        <v>0</v>
      </c>
      <c r="I34" s="852"/>
      <c r="J34" s="852">
        <v>0</v>
      </c>
      <c r="K34" s="852"/>
      <c r="L34" s="867"/>
      <c r="M34" s="852">
        <f>SUM(C34:L34)</f>
        <v>0</v>
      </c>
      <c r="O34" s="852"/>
    </row>
    <row r="35" spans="1:15" ht="15" customHeight="1">
      <c r="A35" s="843" t="s">
        <v>496</v>
      </c>
      <c r="C35" s="852"/>
      <c r="D35" s="852">
        <v>15628766</v>
      </c>
      <c r="E35" s="852"/>
      <c r="F35" s="852">
        <v>6382670</v>
      </c>
      <c r="G35" s="852"/>
      <c r="H35" s="852">
        <v>5003422</v>
      </c>
      <c r="I35" s="852"/>
      <c r="J35" s="852">
        <v>6405173</v>
      </c>
      <c r="K35" s="852"/>
      <c r="L35" s="867"/>
      <c r="M35" s="852">
        <f>SUM(C35:L35)</f>
        <v>33420031</v>
      </c>
      <c r="O35" s="852"/>
    </row>
    <row r="36" spans="1:15" ht="15" customHeight="1">
      <c r="A36" s="847" t="s">
        <v>497</v>
      </c>
      <c r="C36" s="852"/>
      <c r="D36" s="852"/>
      <c r="E36" s="852"/>
      <c r="F36" s="852"/>
      <c r="G36" s="852"/>
      <c r="H36" s="852"/>
      <c r="I36" s="852"/>
      <c r="J36" s="852"/>
      <c r="K36" s="852"/>
      <c r="L36" s="867"/>
      <c r="M36" s="852"/>
      <c r="O36" s="852"/>
    </row>
    <row r="37" spans="1:15" ht="15" customHeight="1">
      <c r="A37" s="843" t="s">
        <v>498</v>
      </c>
      <c r="C37" s="852"/>
      <c r="D37" s="852">
        <v>0</v>
      </c>
      <c r="E37" s="852"/>
      <c r="F37" s="852">
        <v>0</v>
      </c>
      <c r="G37" s="852"/>
      <c r="H37" s="852">
        <v>0</v>
      </c>
      <c r="I37" s="852"/>
      <c r="J37" s="852">
        <v>0</v>
      </c>
      <c r="K37" s="852"/>
      <c r="L37" s="867"/>
      <c r="M37" s="852">
        <f>SUM(C37:L37)</f>
        <v>0</v>
      </c>
      <c r="O37" s="852"/>
    </row>
    <row r="38" spans="1:15" s="847" customFormat="1" ht="15.75">
      <c r="A38" s="847" t="s">
        <v>499</v>
      </c>
      <c r="C38" s="870"/>
      <c r="D38" s="1171">
        <f>ROUND(SUM(D34:D37),2)</f>
        <v>15628766</v>
      </c>
      <c r="E38" s="870"/>
      <c r="F38" s="1171">
        <f>ROUND(SUM(F34:F37),2)</f>
        <v>6382670</v>
      </c>
      <c r="G38" s="870"/>
      <c r="H38" s="2275">
        <f>ROUND(SUM(H34:H37),2)</f>
        <v>5003422</v>
      </c>
      <c r="I38" s="870"/>
      <c r="J38" s="2275">
        <f>ROUND(SUM(J34:J37),2)</f>
        <v>6405173</v>
      </c>
      <c r="K38" s="870"/>
      <c r="L38" s="869"/>
      <c r="M38" s="1171">
        <f>ROUND(SUM(M34:M37),2)</f>
        <v>33420031</v>
      </c>
      <c r="N38" s="846"/>
      <c r="O38" s="852"/>
    </row>
    <row r="39" spans="1:15" ht="15" customHeight="1">
      <c r="C39" s="852"/>
      <c r="D39" s="852"/>
      <c r="E39" s="852"/>
      <c r="F39" s="852"/>
      <c r="G39" s="852"/>
      <c r="H39" s="852"/>
      <c r="I39" s="852"/>
      <c r="J39" s="852"/>
      <c r="K39" s="852"/>
      <c r="L39" s="867"/>
      <c r="M39" s="852"/>
      <c r="O39" s="852"/>
    </row>
    <row r="40" spans="1:15" ht="15" customHeight="1">
      <c r="A40" s="847" t="s">
        <v>810</v>
      </c>
      <c r="C40" s="852"/>
      <c r="D40" s="852"/>
      <c r="E40" s="852"/>
      <c r="F40" s="852"/>
      <c r="G40" s="852"/>
      <c r="H40" s="852"/>
      <c r="I40" s="852"/>
      <c r="J40" s="852"/>
      <c r="K40" s="852"/>
      <c r="L40" s="867"/>
      <c r="M40" s="852"/>
      <c r="O40" s="852"/>
    </row>
    <row r="41" spans="1:15" ht="15" customHeight="1">
      <c r="A41" s="838" t="s">
        <v>495</v>
      </c>
      <c r="C41" s="852"/>
      <c r="D41" s="852">
        <v>0</v>
      </c>
      <c r="E41" s="852"/>
      <c r="F41" s="852">
        <v>0</v>
      </c>
      <c r="G41" s="852"/>
      <c r="H41" s="852">
        <v>0</v>
      </c>
      <c r="I41" s="852"/>
      <c r="J41" s="852">
        <v>0</v>
      </c>
      <c r="K41" s="852"/>
      <c r="L41" s="867"/>
      <c r="M41" s="852">
        <f>SUM(C41:L41)</f>
        <v>0</v>
      </c>
      <c r="O41" s="852"/>
    </row>
    <row r="42" spans="1:15" ht="15" customHeight="1">
      <c r="A42" s="838" t="s">
        <v>500</v>
      </c>
      <c r="C42" s="852"/>
      <c r="D42" s="852">
        <v>0</v>
      </c>
      <c r="E42" s="852"/>
      <c r="F42" s="852">
        <v>0</v>
      </c>
      <c r="G42" s="852"/>
      <c r="H42" s="852">
        <v>0</v>
      </c>
      <c r="I42" s="852"/>
      <c r="J42" s="852">
        <v>0</v>
      </c>
      <c r="K42" s="852"/>
      <c r="L42" s="867"/>
      <c r="M42" s="852">
        <f>SUM(C42:L42)</f>
        <v>0</v>
      </c>
      <c r="O42" s="852"/>
    </row>
    <row r="43" spans="1:15" ht="15" customHeight="1">
      <c r="A43" s="847" t="s">
        <v>811</v>
      </c>
      <c r="C43" s="852"/>
      <c r="D43" s="852"/>
      <c r="E43" s="852"/>
      <c r="F43" s="852"/>
      <c r="G43" s="852"/>
      <c r="H43" s="852"/>
      <c r="I43" s="852"/>
      <c r="J43" s="852"/>
      <c r="K43" s="852"/>
      <c r="L43" s="867"/>
      <c r="M43" s="852"/>
      <c r="O43" s="852"/>
    </row>
    <row r="44" spans="1:15" ht="15" customHeight="1">
      <c r="A44" s="843" t="s">
        <v>498</v>
      </c>
      <c r="C44" s="852"/>
      <c r="D44" s="852">
        <v>-1607728956.45</v>
      </c>
      <c r="E44" s="852"/>
      <c r="F44" s="852">
        <v>-560757792.01999998</v>
      </c>
      <c r="G44" s="852"/>
      <c r="H44" s="852">
        <v>-575768722.74000001</v>
      </c>
      <c r="I44" s="852"/>
      <c r="J44" s="852">
        <v>-508079677.14999998</v>
      </c>
      <c r="K44" s="852"/>
      <c r="L44" s="867"/>
      <c r="M44" s="852">
        <f>SUM(C44:L44)</f>
        <v>-3252335148.3600001</v>
      </c>
      <c r="O44" s="852"/>
    </row>
    <row r="45" spans="1:15" ht="15.75">
      <c r="A45" s="847" t="s">
        <v>501</v>
      </c>
      <c r="B45" s="847"/>
      <c r="C45" s="870"/>
      <c r="D45" s="1171">
        <f>ROUND(SUM(D41:D44),2)</f>
        <v>-1607728956.45</v>
      </c>
      <c r="E45" s="870"/>
      <c r="F45" s="1171">
        <f>ROUND(SUM(F41:F44),2)</f>
        <v>-560757792.01999998</v>
      </c>
      <c r="G45" s="870"/>
      <c r="H45" s="2275">
        <f>ROUND(SUM(H41:H44),2)</f>
        <v>-575768722.74000001</v>
      </c>
      <c r="I45" s="870"/>
      <c r="J45" s="2275">
        <f>ROUND(SUM(J41:J44),2)</f>
        <v>-508079677.14999998</v>
      </c>
      <c r="K45" s="870"/>
      <c r="L45" s="869"/>
      <c r="M45" s="1171">
        <f>ROUND(SUM(M41:M44),2)</f>
        <v>-3252335148.3600001</v>
      </c>
      <c r="O45" s="852"/>
    </row>
    <row r="46" spans="1:15" ht="15" customHeight="1">
      <c r="C46" s="852"/>
      <c r="D46" s="852"/>
      <c r="E46" s="852"/>
      <c r="F46" s="852"/>
      <c r="G46" s="852"/>
      <c r="H46" s="852"/>
      <c r="I46" s="852"/>
      <c r="J46" s="852"/>
      <c r="K46" s="852"/>
      <c r="L46" s="867"/>
      <c r="M46" s="852"/>
      <c r="O46" s="852"/>
    </row>
    <row r="47" spans="1:15" ht="15" customHeight="1">
      <c r="A47" s="847" t="s">
        <v>502</v>
      </c>
      <c r="C47" s="852"/>
      <c r="D47" s="852"/>
      <c r="E47" s="852"/>
      <c r="F47" s="852"/>
      <c r="G47" s="852"/>
      <c r="H47" s="852"/>
      <c r="I47" s="852"/>
      <c r="J47" s="852"/>
      <c r="K47" s="852"/>
      <c r="L47" s="867"/>
      <c r="M47" s="852"/>
      <c r="O47" s="852"/>
    </row>
    <row r="48" spans="1:15" ht="15" customHeight="1">
      <c r="A48" s="847" t="s">
        <v>503</v>
      </c>
      <c r="C48" s="870"/>
      <c r="D48" s="1219">
        <f>ROUND(+D30+D38+D45,2)</f>
        <v>6994403.04</v>
      </c>
      <c r="E48" s="870"/>
      <c r="F48" s="1219">
        <f>ROUND(+F30+F38+F45,2)</f>
        <v>-51439848.530000001</v>
      </c>
      <c r="G48" s="870"/>
      <c r="H48" s="1219">
        <f>ROUND(+H30+H38+H45,2)</f>
        <v>4925203.8600000003</v>
      </c>
      <c r="I48" s="870"/>
      <c r="J48" s="1219">
        <f>ROUND(+J30+J38+J45,2)</f>
        <v>-110461602.20999999</v>
      </c>
      <c r="K48" s="870"/>
      <c r="L48" s="872"/>
      <c r="M48" s="1219">
        <f>ROUND(+M30+M38+M45,2)</f>
        <v>-149981843.84</v>
      </c>
      <c r="O48" s="852"/>
    </row>
    <row r="49" spans="1:15" ht="15" customHeight="1">
      <c r="L49" s="873"/>
      <c r="M49" s="852"/>
      <c r="O49" s="852"/>
    </row>
    <row r="50" spans="1:15" s="847" customFormat="1" ht="21" customHeight="1" thickBot="1">
      <c r="A50" s="847" t="s">
        <v>504</v>
      </c>
      <c r="C50" s="849"/>
      <c r="D50" s="1343">
        <f>ROUND(D12+D48,2)</f>
        <v>499063749.54000002</v>
      </c>
      <c r="E50" s="849"/>
      <c r="F50" s="1343">
        <f>ROUND(F12+F48,2)</f>
        <v>447623901.00999999</v>
      </c>
      <c r="G50" s="849"/>
      <c r="H50" s="1343">
        <f>ROUND(H12+H48,2)</f>
        <v>452549104.87</v>
      </c>
      <c r="I50" s="849"/>
      <c r="J50" s="1343">
        <f>ROUND(J12+J48,2)</f>
        <v>342087502.66000003</v>
      </c>
      <c r="K50" s="849"/>
      <c r="L50" s="874"/>
      <c r="M50" s="849">
        <f>ROUND(M12+M48,2)</f>
        <v>342087502.66000003</v>
      </c>
      <c r="N50" s="846"/>
      <c r="O50" s="852"/>
    </row>
    <row r="51" spans="1:15" ht="15" customHeight="1" thickTop="1">
      <c r="A51" s="838" t="s">
        <v>14</v>
      </c>
      <c r="M51" s="875"/>
      <c r="O51" s="852"/>
    </row>
    <row r="52" spans="1:15" ht="15" customHeight="1">
      <c r="A52" s="843" t="s">
        <v>505</v>
      </c>
      <c r="O52" s="852"/>
    </row>
    <row r="53" spans="1:15" ht="15" customHeight="1">
      <c r="A53" s="854"/>
      <c r="O53" s="852"/>
    </row>
  </sheetData>
  <printOptions horizontalCentered="1"/>
  <pageMargins left="0.24" right="0.24" top="0.5" bottom="0.5" header="0.18" footer="0.25"/>
  <pageSetup scale="62" firstPageNumber="49" orientation="landscape" useFirstPageNumber="1" r:id="rId1"/>
  <headerFooter scaleWithDoc="0" alignWithMargins="0">
    <oddFooter>&amp;C&amp;8&amp;P</oddFooter>
  </headerFooter>
  <customProperties>
    <customPr name="SheetOptions" r:id="rId2"/>
  </customPropertie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9">
    <pageSetUpPr fitToPage="1"/>
  </sheetPr>
  <dimension ref="A1:AT61"/>
  <sheetViews>
    <sheetView showGridLines="0" zoomScale="90" workbookViewId="0"/>
  </sheetViews>
  <sheetFormatPr defaultColWidth="8.88671875" defaultRowHeight="15"/>
  <cols>
    <col min="1" max="1" width="1.88671875" style="838" customWidth="1"/>
    <col min="2" max="2" width="48" style="838" customWidth="1"/>
    <col min="3" max="3" width="4.5546875" style="839" customWidth="1"/>
    <col min="4" max="4" width="19" style="839" customWidth="1"/>
    <col min="5" max="5" width="1.88671875" style="839" customWidth="1"/>
    <col min="6" max="6" width="19" style="839" customWidth="1"/>
    <col min="7" max="7" width="1.88671875" style="839" customWidth="1"/>
    <col min="8" max="8" width="19" style="839" customWidth="1"/>
    <col min="9" max="9" width="1.88671875" style="839" customWidth="1"/>
    <col min="10" max="10" width="19" style="839" customWidth="1"/>
    <col min="11" max="12" width="1.88671875" style="839" customWidth="1"/>
    <col min="13" max="13" width="19" style="839" customWidth="1"/>
    <col min="14" max="14" width="8.88671875" style="839"/>
    <col min="15" max="15" width="10.109375" style="839" customWidth="1"/>
    <col min="16" max="16" width="1.88671875" style="839" customWidth="1"/>
    <col min="17" max="16384" width="8.88671875" style="838"/>
  </cols>
  <sheetData>
    <row r="1" spans="1:41">
      <c r="B1" s="468" t="s">
        <v>841</v>
      </c>
    </row>
    <row r="3" spans="1:41" ht="18">
      <c r="M3" s="903" t="s">
        <v>483</v>
      </c>
    </row>
    <row r="4" spans="1:41" s="842" customFormat="1" ht="18.75" customHeight="1">
      <c r="A4" s="840"/>
      <c r="B4" s="904" t="s">
        <v>469</v>
      </c>
      <c r="C4" s="908"/>
      <c r="D4" s="908"/>
      <c r="E4" s="853"/>
      <c r="F4" s="908"/>
      <c r="G4" s="904"/>
      <c r="H4" s="908"/>
      <c r="I4" s="904"/>
      <c r="J4" s="908"/>
      <c r="K4" s="853"/>
      <c r="L4" s="905"/>
      <c r="M4" s="908"/>
      <c r="N4" s="841"/>
      <c r="O4" s="841"/>
      <c r="P4" s="841"/>
    </row>
    <row r="5" spans="1:41" s="842" customFormat="1" ht="18.75" customHeight="1">
      <c r="A5" s="840"/>
      <c r="B5" s="904" t="s">
        <v>859</v>
      </c>
      <c r="C5" s="843"/>
      <c r="D5" s="843"/>
      <c r="E5" s="904"/>
      <c r="F5" s="843"/>
      <c r="G5" s="904"/>
      <c r="H5" s="843"/>
      <c r="I5" s="904"/>
      <c r="J5" s="843"/>
      <c r="K5" s="904"/>
      <c r="L5" s="904"/>
      <c r="M5" s="843"/>
      <c r="N5" s="841"/>
      <c r="O5" s="841"/>
      <c r="P5" s="841"/>
    </row>
    <row r="6" spans="1:41" s="842" customFormat="1" ht="18.75" customHeight="1">
      <c r="A6" s="840"/>
      <c r="B6" s="904" t="str">
        <f>'Public Goods '!A6</f>
        <v xml:space="preserve">FISCAL YEAR 2023-2024   </v>
      </c>
      <c r="C6" s="908"/>
      <c r="D6" s="908"/>
      <c r="E6" s="1215"/>
      <c r="F6" s="908"/>
      <c r="G6" s="904"/>
      <c r="H6" s="908"/>
      <c r="I6" s="904"/>
      <c r="J6" s="908"/>
      <c r="K6" s="1215"/>
      <c r="L6" s="904"/>
      <c r="M6" s="908"/>
      <c r="N6" s="841"/>
      <c r="O6" s="841"/>
      <c r="P6" s="841"/>
    </row>
    <row r="7" spans="1:41" s="842" customFormat="1" ht="18" customHeight="1">
      <c r="A7" s="840"/>
      <c r="B7" s="1217"/>
      <c r="C7" s="909"/>
      <c r="D7" s="909"/>
      <c r="E7" s="1216"/>
      <c r="F7" s="909"/>
      <c r="G7" s="906"/>
      <c r="H7" s="909"/>
      <c r="I7" s="906"/>
      <c r="J7" s="909"/>
      <c r="K7" s="1216"/>
      <c r="L7" s="906"/>
      <c r="M7" s="909"/>
      <c r="N7" s="841"/>
      <c r="O7" s="841"/>
      <c r="P7" s="841"/>
    </row>
    <row r="8" spans="1:41" s="842" customFormat="1" ht="18" customHeight="1">
      <c r="A8" s="840"/>
      <c r="B8" s="1217"/>
      <c r="C8" s="844"/>
      <c r="D8" s="844"/>
      <c r="E8" s="864"/>
      <c r="F8" s="844"/>
      <c r="G8" s="864"/>
      <c r="H8" s="844"/>
      <c r="I8" s="864"/>
      <c r="J8" s="844"/>
      <c r="K8" s="864"/>
      <c r="L8" s="907"/>
      <c r="M8" s="844"/>
      <c r="N8" s="841"/>
      <c r="O8" s="841"/>
      <c r="P8" s="841"/>
    </row>
    <row r="9" spans="1:41" s="847" customFormat="1" ht="15.75">
      <c r="A9" s="845"/>
      <c r="B9" s="845"/>
      <c r="C9" s="846"/>
      <c r="D9" s="1058" t="s">
        <v>1489</v>
      </c>
      <c r="E9" s="1058"/>
      <c r="F9" s="1058">
        <v>2023</v>
      </c>
      <c r="G9" s="1058"/>
      <c r="H9" s="1058">
        <v>2023</v>
      </c>
      <c r="I9" s="1058"/>
      <c r="J9" s="1058">
        <v>2023</v>
      </c>
      <c r="K9" s="1058"/>
      <c r="L9" s="846"/>
      <c r="M9" s="846"/>
      <c r="N9" s="846"/>
      <c r="O9" s="846"/>
      <c r="P9" s="846"/>
    </row>
    <row r="10" spans="1:41" ht="15.75">
      <c r="D10" s="1221" t="s">
        <v>1490</v>
      </c>
      <c r="E10" s="848"/>
      <c r="F10" s="1221" t="s">
        <v>125</v>
      </c>
      <c r="G10" s="848"/>
      <c r="H10" s="1221" t="s">
        <v>126</v>
      </c>
      <c r="I10" s="848"/>
      <c r="J10" s="1221" t="s">
        <v>141</v>
      </c>
      <c r="K10" s="848"/>
      <c r="M10" s="848" t="str">
        <f>'Public Goods '!M10</f>
        <v>2023-2024</v>
      </c>
    </row>
    <row r="11" spans="1:41">
      <c r="M11" s="1167"/>
    </row>
    <row r="12" spans="1:41" s="847" customFormat="1" ht="15.75">
      <c r="B12" s="847" t="s">
        <v>447</v>
      </c>
      <c r="C12" s="846"/>
      <c r="D12" s="849">
        <v>65850.210000000006</v>
      </c>
      <c r="E12" s="849"/>
      <c r="F12" s="849">
        <f>D48</f>
        <v>0</v>
      </c>
      <c r="G12" s="849"/>
      <c r="H12" s="849">
        <f>F48</f>
        <v>0</v>
      </c>
      <c r="I12" s="849"/>
      <c r="J12" s="849">
        <f>H48</f>
        <v>0</v>
      </c>
      <c r="K12" s="849"/>
      <c r="L12" s="865"/>
      <c r="M12" s="849">
        <f>D12</f>
        <v>65850.210000000006</v>
      </c>
      <c r="N12" s="846"/>
      <c r="O12" s="846"/>
      <c r="P12" s="846"/>
      <c r="Q12" s="850"/>
      <c r="R12" s="850"/>
      <c r="S12" s="850"/>
      <c r="T12" s="850"/>
      <c r="U12" s="850"/>
      <c r="V12" s="850"/>
      <c r="W12" s="850"/>
      <c r="X12" s="850"/>
      <c r="Y12" s="850"/>
      <c r="Z12" s="850"/>
      <c r="AA12" s="850"/>
      <c r="AB12" s="851"/>
      <c r="AC12" s="851"/>
      <c r="AD12" s="851"/>
      <c r="AE12" s="851"/>
      <c r="AF12" s="851"/>
      <c r="AG12" s="851"/>
      <c r="AH12" s="851"/>
      <c r="AI12" s="851"/>
      <c r="AJ12" s="851"/>
      <c r="AK12" s="851"/>
      <c r="AL12" s="851"/>
      <c r="AM12" s="851"/>
      <c r="AN12" s="851"/>
      <c r="AO12" s="851"/>
    </row>
    <row r="13" spans="1:41" s="847" customFormat="1" ht="15.75">
      <c r="C13" s="846"/>
      <c r="D13" s="849"/>
      <c r="E13" s="839"/>
      <c r="F13" s="849"/>
      <c r="G13" s="839"/>
      <c r="H13" s="849"/>
      <c r="I13" s="839"/>
      <c r="J13" s="849"/>
      <c r="K13" s="839"/>
      <c r="L13" s="866"/>
      <c r="M13" s="849"/>
      <c r="N13" s="846"/>
      <c r="O13" s="846"/>
      <c r="P13" s="846"/>
      <c r="Q13" s="850"/>
      <c r="R13" s="850"/>
      <c r="S13" s="850"/>
      <c r="T13" s="850"/>
      <c r="U13" s="850"/>
      <c r="V13" s="850"/>
      <c r="W13" s="850"/>
      <c r="X13" s="850"/>
      <c r="Y13" s="850"/>
      <c r="Z13" s="850"/>
      <c r="AA13" s="850"/>
      <c r="AB13" s="851"/>
      <c r="AC13" s="851"/>
      <c r="AD13" s="851"/>
      <c r="AE13" s="851"/>
      <c r="AF13" s="851"/>
      <c r="AG13" s="851"/>
      <c r="AH13" s="851"/>
      <c r="AI13" s="851"/>
      <c r="AJ13" s="851"/>
      <c r="AK13" s="851"/>
      <c r="AL13" s="851"/>
      <c r="AM13" s="851"/>
      <c r="AN13" s="851"/>
      <c r="AO13" s="851"/>
    </row>
    <row r="14" spans="1:41" ht="15.75">
      <c r="B14" s="847" t="s">
        <v>13</v>
      </c>
      <c r="E14" s="852"/>
      <c r="G14" s="852"/>
      <c r="I14" s="852"/>
      <c r="K14" s="852"/>
      <c r="L14" s="867"/>
    </row>
    <row r="15" spans="1:41">
      <c r="B15" s="843" t="s">
        <v>489</v>
      </c>
      <c r="D15" s="852">
        <v>13382.51</v>
      </c>
      <c r="E15" s="852"/>
      <c r="F15" s="852">
        <v>0</v>
      </c>
      <c r="G15" s="852"/>
      <c r="H15" s="852">
        <v>0</v>
      </c>
      <c r="I15" s="852"/>
      <c r="J15" s="852">
        <v>0</v>
      </c>
      <c r="K15" s="852"/>
      <c r="L15" s="867"/>
      <c r="M15" s="852">
        <f>ROUND(SUM(D15:K15),2)</f>
        <v>13382.51</v>
      </c>
    </row>
    <row r="16" spans="1:41" s="847" customFormat="1" ht="15.75">
      <c r="B16" s="847" t="s">
        <v>147</v>
      </c>
      <c r="C16" s="846"/>
      <c r="D16" s="1168">
        <f>ROUND(SUM(D15:D15),2)</f>
        <v>13382.51</v>
      </c>
      <c r="E16" s="852"/>
      <c r="F16" s="1168">
        <f>ROUND(SUM(F15:F15),2)</f>
        <v>0</v>
      </c>
      <c r="G16" s="852"/>
      <c r="H16" s="1168">
        <f>ROUND(SUM(H15:H15),2)</f>
        <v>0</v>
      </c>
      <c r="I16" s="852"/>
      <c r="J16" s="1168">
        <f>ROUND(SUM(J15:J15),2)</f>
        <v>0</v>
      </c>
      <c r="K16" s="852"/>
      <c r="L16" s="867"/>
      <c r="M16" s="1168">
        <f>ROUND(SUM(M15:M15),2)</f>
        <v>13382.51</v>
      </c>
      <c r="N16" s="846"/>
      <c r="O16" s="839"/>
      <c r="P16" s="846"/>
    </row>
    <row r="17" spans="2:16">
      <c r="D17" s="852"/>
      <c r="E17" s="852"/>
      <c r="F17" s="852"/>
      <c r="G17" s="852"/>
      <c r="H17" s="852"/>
      <c r="I17" s="852"/>
      <c r="J17" s="852"/>
      <c r="K17" s="852"/>
      <c r="L17" s="867"/>
      <c r="M17" s="1169"/>
    </row>
    <row r="18" spans="2:16" ht="15.75">
      <c r="B18" s="847" t="s">
        <v>812</v>
      </c>
      <c r="D18" s="852"/>
      <c r="E18" s="852"/>
      <c r="F18" s="852"/>
      <c r="G18" s="852"/>
      <c r="H18" s="852"/>
      <c r="I18" s="852"/>
      <c r="J18" s="852"/>
      <c r="K18" s="852"/>
      <c r="L18" s="867"/>
      <c r="M18" s="852"/>
    </row>
    <row r="19" spans="2:16">
      <c r="B19" s="843" t="s">
        <v>507</v>
      </c>
      <c r="D19" s="852">
        <v>-108273974.16</v>
      </c>
      <c r="E19" s="573"/>
      <c r="F19" s="852">
        <v>0</v>
      </c>
      <c r="G19"/>
      <c r="H19" s="852">
        <v>0</v>
      </c>
      <c r="I19" s="573"/>
      <c r="J19" s="852">
        <v>0</v>
      </c>
      <c r="K19" s="573"/>
      <c r="L19" s="867"/>
      <c r="M19" s="852">
        <f>ROUND(SUM(D19:K19),2)</f>
        <v>-108273974.16</v>
      </c>
    </row>
    <row r="20" spans="2:16">
      <c r="B20" s="843" t="s">
        <v>508</v>
      </c>
      <c r="D20" s="852">
        <v>0</v>
      </c>
      <c r="E20" s="852"/>
      <c r="F20" s="852">
        <v>0</v>
      </c>
      <c r="G20" s="852"/>
      <c r="H20" s="852">
        <v>0</v>
      </c>
      <c r="I20" s="852"/>
      <c r="J20" s="852">
        <v>0</v>
      </c>
      <c r="K20" s="852"/>
      <c r="L20" s="867"/>
      <c r="M20" s="852">
        <f>ROUND(SUM(D20:K20),2)</f>
        <v>0</v>
      </c>
    </row>
    <row r="21" spans="2:16">
      <c r="B21" s="843" t="s">
        <v>509</v>
      </c>
      <c r="D21" s="852">
        <v>2184466.58</v>
      </c>
      <c r="E21" s="856"/>
      <c r="F21" s="852">
        <v>0</v>
      </c>
      <c r="G21" s="2276"/>
      <c r="H21" s="852">
        <v>0</v>
      </c>
      <c r="I21" s="2276"/>
      <c r="J21" s="852">
        <v>0</v>
      </c>
      <c r="K21" s="856"/>
      <c r="L21" s="868"/>
      <c r="M21" s="852">
        <f>ROUND(SUM(D21:K21),2)</f>
        <v>2184466.58</v>
      </c>
    </row>
    <row r="22" spans="2:16" s="847" customFormat="1" ht="15.75">
      <c r="B22" s="853" t="s">
        <v>828</v>
      </c>
      <c r="C22" s="846"/>
      <c r="D22" s="1170">
        <f>ROUND(SUM(D18:D21),2)</f>
        <v>-106089507.58</v>
      </c>
      <c r="E22" s="870"/>
      <c r="F22" s="1170">
        <f>ROUND(SUM(F18:F21),2)</f>
        <v>0</v>
      </c>
      <c r="G22" s="870"/>
      <c r="H22" s="1170">
        <f>ROUND(SUM(H18:H21),2)</f>
        <v>0</v>
      </c>
      <c r="I22" s="870"/>
      <c r="J22" s="1170">
        <f>ROUND(SUM(J18:J21),2)</f>
        <v>0</v>
      </c>
      <c r="K22" s="870"/>
      <c r="L22" s="869"/>
      <c r="M22" s="1170">
        <f>ROUND(SUM(M18:M21),2)</f>
        <v>-106089507.58</v>
      </c>
      <c r="N22" s="846"/>
      <c r="O22" s="839"/>
      <c r="P22" s="846"/>
    </row>
    <row r="23" spans="2:16">
      <c r="B23" s="854"/>
      <c r="D23" s="1169"/>
      <c r="E23" s="852"/>
      <c r="F23" s="1169"/>
      <c r="G23" s="852"/>
      <c r="H23" s="1169"/>
      <c r="I23" s="852"/>
      <c r="J23" s="1169"/>
      <c r="K23" s="852"/>
      <c r="L23" s="867"/>
      <c r="M23" s="1169"/>
    </row>
    <row r="24" spans="2:16" s="847" customFormat="1" ht="15.75">
      <c r="B24" s="847" t="s">
        <v>1061</v>
      </c>
      <c r="C24" s="846"/>
      <c r="D24" s="855">
        <f>ROUND(+D16+D22,2)</f>
        <v>-106076125.06999999</v>
      </c>
      <c r="E24" s="871"/>
      <c r="F24" s="855">
        <f>ROUND(+F16+F22,2)</f>
        <v>0</v>
      </c>
      <c r="G24" s="871"/>
      <c r="H24" s="855">
        <f>ROUND(+H16+H22,2)</f>
        <v>0</v>
      </c>
      <c r="I24" s="871"/>
      <c r="J24" s="855">
        <f>ROUND(+J16+J22,2)</f>
        <v>0</v>
      </c>
      <c r="K24" s="871"/>
      <c r="L24" s="867"/>
      <c r="M24" s="855">
        <f>ROUND(+M16+M22,2)</f>
        <v>-106076125.06999999</v>
      </c>
      <c r="N24" s="846"/>
      <c r="O24" s="839"/>
      <c r="P24" s="846"/>
    </row>
    <row r="25" spans="2:16">
      <c r="D25" s="1169"/>
      <c r="E25" s="852"/>
      <c r="F25" s="1169"/>
      <c r="G25" s="852"/>
      <c r="H25" s="1169"/>
      <c r="I25" s="852"/>
      <c r="J25" s="1169"/>
      <c r="K25" s="852"/>
      <c r="L25" s="867"/>
      <c r="M25" s="1169"/>
    </row>
    <row r="26" spans="2:16" ht="15.75">
      <c r="B26" s="847" t="s">
        <v>45</v>
      </c>
      <c r="D26" s="852"/>
      <c r="E26" s="852"/>
      <c r="F26" s="852"/>
      <c r="G26" s="852"/>
      <c r="H26" s="852"/>
      <c r="I26" s="852"/>
      <c r="J26" s="852"/>
      <c r="K26" s="852"/>
      <c r="L26" s="867"/>
      <c r="M26" s="852"/>
    </row>
    <row r="27" spans="2:16" ht="15.75">
      <c r="B27" s="847" t="s">
        <v>761</v>
      </c>
      <c r="D27" s="852"/>
      <c r="E27" s="852"/>
      <c r="F27" s="852"/>
      <c r="G27" s="852"/>
      <c r="H27" s="852"/>
      <c r="I27" s="852"/>
      <c r="J27" s="852"/>
      <c r="K27" s="852"/>
      <c r="L27" s="868"/>
      <c r="M27" s="852"/>
    </row>
    <row r="28" spans="2:16" ht="15.75">
      <c r="B28" s="843" t="s">
        <v>510</v>
      </c>
      <c r="D28" s="852">
        <v>0</v>
      </c>
      <c r="E28" s="870"/>
      <c r="F28" s="852">
        <v>0</v>
      </c>
      <c r="G28" s="870"/>
      <c r="H28" s="852">
        <v>0</v>
      </c>
      <c r="I28" s="870"/>
      <c r="J28" s="852">
        <v>0</v>
      </c>
      <c r="K28" s="870"/>
      <c r="L28" s="869"/>
      <c r="M28" s="852">
        <f>ROUND(SUM(D28:K28),2)</f>
        <v>0</v>
      </c>
    </row>
    <row r="29" spans="2:16">
      <c r="B29" s="843" t="s">
        <v>500</v>
      </c>
      <c r="D29" s="852">
        <v>0</v>
      </c>
      <c r="E29" s="852"/>
      <c r="F29" s="852">
        <v>0</v>
      </c>
      <c r="G29" s="852"/>
      <c r="H29" s="852">
        <v>0</v>
      </c>
      <c r="I29" s="852"/>
      <c r="J29" s="852">
        <v>0</v>
      </c>
      <c r="K29" s="852"/>
      <c r="L29" s="867"/>
      <c r="M29" s="852">
        <f>ROUND(SUM(D29:K29),2)</f>
        <v>0</v>
      </c>
    </row>
    <row r="30" spans="2:16" ht="15.75">
      <c r="B30" s="847" t="s">
        <v>497</v>
      </c>
      <c r="D30" s="852"/>
      <c r="E30" s="870"/>
      <c r="F30" s="852"/>
      <c r="G30" s="870"/>
      <c r="H30" s="852"/>
      <c r="I30" s="870"/>
      <c r="J30" s="852"/>
      <c r="K30" s="870"/>
      <c r="L30" s="872"/>
      <c r="M30" s="852"/>
    </row>
    <row r="31" spans="2:16">
      <c r="B31" s="843" t="s">
        <v>511</v>
      </c>
      <c r="D31" s="852">
        <v>48723288.380000003</v>
      </c>
      <c r="E31" s="852"/>
      <c r="F31" s="852">
        <v>0</v>
      </c>
      <c r="G31" s="852"/>
      <c r="H31" s="852">
        <v>0</v>
      </c>
      <c r="I31" s="852"/>
      <c r="J31" s="852">
        <v>0</v>
      </c>
      <c r="K31" s="852"/>
      <c r="L31" s="867"/>
      <c r="M31" s="852">
        <f>ROUND(SUM(D31:K31),2)</f>
        <v>48723288.380000003</v>
      </c>
    </row>
    <row r="32" spans="2:16">
      <c r="B32" s="843" t="s">
        <v>512</v>
      </c>
      <c r="D32" s="852">
        <v>-2234810.94</v>
      </c>
      <c r="E32" s="852"/>
      <c r="F32" s="852">
        <v>0</v>
      </c>
      <c r="G32" s="852"/>
      <c r="H32" s="852">
        <v>0</v>
      </c>
      <c r="I32" s="852"/>
      <c r="J32" s="852">
        <v>0</v>
      </c>
      <c r="K32" s="852"/>
      <c r="L32" s="867"/>
      <c r="M32" s="852">
        <f>ROUND(SUM(D32:K32),2)</f>
        <v>-2234810.94</v>
      </c>
    </row>
    <row r="33" spans="2:46">
      <c r="B33" s="843" t="s">
        <v>513</v>
      </c>
      <c r="D33" s="852">
        <v>59550685.780000001</v>
      </c>
      <c r="E33" s="852"/>
      <c r="F33" s="852">
        <v>0</v>
      </c>
      <c r="G33" s="852"/>
      <c r="H33" s="852">
        <v>0</v>
      </c>
      <c r="I33" s="852"/>
      <c r="J33" s="852">
        <v>0</v>
      </c>
      <c r="K33" s="852"/>
      <c r="L33" s="867"/>
      <c r="M33" s="852">
        <f>ROUND(SUM(D33:K33),2)</f>
        <v>59550685.780000001</v>
      </c>
    </row>
    <row r="34" spans="2:46">
      <c r="B34" s="843" t="s">
        <v>509</v>
      </c>
      <c r="D34" s="1220">
        <v>0</v>
      </c>
      <c r="E34" s="852"/>
      <c r="F34" s="1220">
        <v>0</v>
      </c>
      <c r="G34" s="852"/>
      <c r="H34" s="1220">
        <v>0</v>
      </c>
      <c r="I34" s="852"/>
      <c r="J34" s="1220">
        <v>0</v>
      </c>
      <c r="K34" s="852"/>
      <c r="L34" s="867"/>
      <c r="M34" s="852">
        <f>ROUND(SUM(D34:K34),2)</f>
        <v>0</v>
      </c>
    </row>
    <row r="35" spans="2:46" s="847" customFormat="1" ht="15.75">
      <c r="B35" s="847" t="s">
        <v>499</v>
      </c>
      <c r="C35" s="846"/>
      <c r="D35" s="1171">
        <f>ROUND(SUM(D28:D34),2)</f>
        <v>106039163.22</v>
      </c>
      <c r="E35" s="852"/>
      <c r="F35" s="1171">
        <f>ROUND(SUM(F28:F34),2)</f>
        <v>0</v>
      </c>
      <c r="G35" s="852"/>
      <c r="H35" s="1171">
        <f>ROUND(SUM(H28:H34),2)</f>
        <v>0</v>
      </c>
      <c r="I35" s="852"/>
      <c r="J35" s="1171">
        <f>ROUND(SUM(J28:J34),2)</f>
        <v>0</v>
      </c>
      <c r="K35" s="852"/>
      <c r="L35" s="867"/>
      <c r="M35" s="1171">
        <f>ROUND(SUM(M28:M34),2)</f>
        <v>106039163.22</v>
      </c>
      <c r="N35" s="846"/>
      <c r="O35" s="839"/>
      <c r="P35" s="846"/>
    </row>
    <row r="36" spans="2:46">
      <c r="D36" s="852"/>
      <c r="E36" s="852"/>
      <c r="F36" s="852"/>
      <c r="G36" s="852"/>
      <c r="H36" s="852"/>
      <c r="I36" s="852"/>
      <c r="J36" s="852"/>
      <c r="K36" s="852"/>
      <c r="L36" s="867"/>
      <c r="M36" s="852"/>
    </row>
    <row r="37" spans="2:46" ht="15.75">
      <c r="B37" s="847" t="s">
        <v>810</v>
      </c>
      <c r="D37" s="852"/>
      <c r="E37" s="852"/>
      <c r="F37" s="852"/>
      <c r="G37" s="852"/>
      <c r="H37" s="852"/>
      <c r="I37" s="852"/>
      <c r="J37" s="852"/>
      <c r="K37" s="852"/>
      <c r="L37" s="867"/>
      <c r="M37" s="852"/>
    </row>
    <row r="38" spans="2:46" ht="15.75">
      <c r="B38" s="838" t="s">
        <v>510</v>
      </c>
      <c r="D38" s="856">
        <v>0</v>
      </c>
      <c r="E38" s="870"/>
      <c r="F38" s="856">
        <v>0</v>
      </c>
      <c r="G38" s="870"/>
      <c r="H38" s="856">
        <v>0</v>
      </c>
      <c r="I38" s="870"/>
      <c r="J38" s="856">
        <v>0</v>
      </c>
      <c r="K38" s="870"/>
      <c r="L38" s="869"/>
      <c r="M38" s="852">
        <f>ROUND(SUM(D38:K38),2)</f>
        <v>0</v>
      </c>
    </row>
    <row r="39" spans="2:46">
      <c r="B39" s="838" t="s">
        <v>500</v>
      </c>
      <c r="D39" s="852">
        <v>0</v>
      </c>
      <c r="E39" s="852"/>
      <c r="F39" s="852">
        <v>0</v>
      </c>
      <c r="G39" s="852"/>
      <c r="H39" s="852">
        <v>0</v>
      </c>
      <c r="I39" s="852"/>
      <c r="J39" s="852">
        <v>0</v>
      </c>
      <c r="K39" s="852"/>
      <c r="L39" s="867"/>
      <c r="M39" s="852">
        <f>ROUND(SUM(D39:K39),2)</f>
        <v>0</v>
      </c>
    </row>
    <row r="40" spans="2:46" ht="15.75">
      <c r="B40" s="847" t="s">
        <v>811</v>
      </c>
      <c r="D40" s="852"/>
      <c r="E40" s="852"/>
      <c r="F40" s="852"/>
      <c r="G40" s="852"/>
      <c r="H40" s="852"/>
      <c r="I40" s="852"/>
      <c r="J40" s="852"/>
      <c r="K40" s="852"/>
      <c r="L40" s="867"/>
      <c r="M40" s="852"/>
    </row>
    <row r="41" spans="2:46">
      <c r="B41" s="843" t="s">
        <v>514</v>
      </c>
      <c r="D41" s="852">
        <v>-28888.36</v>
      </c>
      <c r="E41" s="852"/>
      <c r="F41" s="852">
        <v>0</v>
      </c>
      <c r="G41" s="852"/>
      <c r="H41" s="852">
        <v>0</v>
      </c>
      <c r="I41" s="852"/>
      <c r="J41" s="852">
        <v>0</v>
      </c>
      <c r="K41" s="852"/>
      <c r="L41" s="867"/>
      <c r="M41" s="852">
        <f>ROUND(SUM(D41:K41),2)</f>
        <v>-28888.36</v>
      </c>
    </row>
    <row r="42" spans="2:46">
      <c r="B42" s="2058" t="s">
        <v>1301</v>
      </c>
      <c r="D42" s="1220">
        <v>0</v>
      </c>
      <c r="E42" s="852"/>
      <c r="F42" s="1220">
        <v>0</v>
      </c>
      <c r="G42" s="852"/>
      <c r="H42" s="1220">
        <v>0</v>
      </c>
      <c r="I42" s="852"/>
      <c r="J42" s="1220">
        <v>0</v>
      </c>
      <c r="K42" s="852"/>
      <c r="L42" s="867"/>
      <c r="M42" s="852">
        <f>ROUND(SUM(D42:K42),2)</f>
        <v>0</v>
      </c>
    </row>
    <row r="43" spans="2:46" s="847" customFormat="1" ht="15.75">
      <c r="B43" s="847" t="s">
        <v>501</v>
      </c>
      <c r="C43" s="846"/>
      <c r="D43" s="1171">
        <f>SUM(D38:D42)</f>
        <v>-28888.36</v>
      </c>
      <c r="E43" s="852"/>
      <c r="F43" s="1171">
        <f>SUM(F38:F42)</f>
        <v>0</v>
      </c>
      <c r="G43" s="852"/>
      <c r="H43" s="1171">
        <f>SUM(H38:H42)</f>
        <v>0</v>
      </c>
      <c r="I43" s="852"/>
      <c r="J43" s="1171">
        <f>SUM(J38:J42)</f>
        <v>0</v>
      </c>
      <c r="K43" s="852"/>
      <c r="L43" s="867"/>
      <c r="M43" s="1171">
        <f>SUM(M38:M42)</f>
        <v>-28888.36</v>
      </c>
      <c r="N43" s="846"/>
      <c r="O43" s="839"/>
      <c r="P43" s="846"/>
    </row>
    <row r="44" spans="2:46">
      <c r="D44" s="852"/>
      <c r="E44" s="852"/>
      <c r="F44" s="852"/>
      <c r="G44" s="852"/>
      <c r="H44" s="852"/>
      <c r="I44" s="852"/>
      <c r="J44" s="852"/>
      <c r="K44" s="852"/>
      <c r="L44" s="867"/>
      <c r="M44" s="852"/>
    </row>
    <row r="45" spans="2:46" ht="15.75">
      <c r="B45" s="847" t="s">
        <v>515</v>
      </c>
      <c r="D45" s="852"/>
      <c r="E45" s="852"/>
      <c r="F45" s="852"/>
      <c r="G45" s="852"/>
      <c r="H45" s="852"/>
      <c r="I45" s="852"/>
      <c r="J45" s="852"/>
      <c r="K45" s="852"/>
      <c r="L45" s="867"/>
      <c r="M45" s="852"/>
    </row>
    <row r="46" spans="2:46" ht="15.75">
      <c r="B46" s="847" t="s">
        <v>516</v>
      </c>
      <c r="D46" s="1222">
        <f>ROUND(+D24+D35+D43,2)</f>
        <v>-65850.210000000006</v>
      </c>
      <c r="E46" s="852"/>
      <c r="F46" s="1222">
        <f>ROUND(+F24+F35+F43,2)</f>
        <v>0</v>
      </c>
      <c r="G46" s="852"/>
      <c r="H46" s="1222">
        <f>ROUND(+H24+H35+H43,2)</f>
        <v>0</v>
      </c>
      <c r="I46" s="852"/>
      <c r="J46" s="1222">
        <f>ROUND(+J24+J35+J43,2)</f>
        <v>0</v>
      </c>
      <c r="K46" s="852"/>
      <c r="L46" s="867"/>
      <c r="M46" s="1222">
        <f>ROUND(+M24+M35+M43,2)</f>
        <v>-65850.210000000006</v>
      </c>
    </row>
    <row r="47" spans="2:46" ht="15.75">
      <c r="E47" s="870"/>
      <c r="G47" s="870"/>
      <c r="I47" s="870"/>
      <c r="K47" s="870"/>
      <c r="L47" s="869"/>
      <c r="M47" s="857"/>
    </row>
    <row r="48" spans="2:46" s="847" customFormat="1" ht="16.5" thickBot="1">
      <c r="B48" s="847" t="s">
        <v>504</v>
      </c>
      <c r="C48" s="858"/>
      <c r="D48" s="1172">
        <f>ROUND(D12+D46,2)</f>
        <v>0</v>
      </c>
      <c r="E48" s="852"/>
      <c r="F48" s="1172">
        <f>ROUND(F12+F46,2)</f>
        <v>0</v>
      </c>
      <c r="G48" s="852"/>
      <c r="H48" s="1172">
        <f>ROUND(H12+H46,2)</f>
        <v>0</v>
      </c>
      <c r="I48" s="852"/>
      <c r="J48" s="1172">
        <f>ROUND(J12+J46,2)</f>
        <v>0</v>
      </c>
      <c r="K48" s="852"/>
      <c r="L48" s="867"/>
      <c r="M48" s="1172">
        <f>ROUND(M12+M46,2)</f>
        <v>0</v>
      </c>
      <c r="N48" s="846"/>
      <c r="O48" s="839"/>
      <c r="P48" s="846"/>
      <c r="Q48" s="859"/>
      <c r="R48" s="859"/>
      <c r="S48" s="859"/>
      <c r="T48" s="859"/>
      <c r="U48" s="859"/>
      <c r="V48" s="859"/>
      <c r="W48" s="859"/>
      <c r="X48" s="859"/>
      <c r="Y48" s="859"/>
      <c r="Z48" s="859"/>
      <c r="AA48" s="859"/>
      <c r="AB48" s="859"/>
      <c r="AC48" s="859"/>
      <c r="AD48" s="859"/>
      <c r="AE48" s="859"/>
      <c r="AF48" s="859"/>
      <c r="AG48" s="859"/>
      <c r="AH48" s="859"/>
      <c r="AI48" s="859"/>
      <c r="AJ48" s="859"/>
      <c r="AK48" s="859"/>
      <c r="AL48" s="859"/>
      <c r="AM48" s="859"/>
      <c r="AN48" s="859"/>
      <c r="AO48" s="859"/>
      <c r="AP48" s="859"/>
      <c r="AQ48" s="859"/>
      <c r="AR48" s="859"/>
      <c r="AS48" s="859"/>
      <c r="AT48" s="859"/>
    </row>
    <row r="49" spans="2:12" ht="15.75" thickTop="1">
      <c r="B49" s="838" t="s">
        <v>14</v>
      </c>
      <c r="E49" s="852"/>
      <c r="G49" s="852"/>
      <c r="I49" s="852"/>
      <c r="K49" s="852"/>
      <c r="L49" s="852"/>
    </row>
    <row r="50" spans="2:12" ht="15.75">
      <c r="B50" s="843" t="s">
        <v>505</v>
      </c>
      <c r="E50" s="870"/>
      <c r="G50" s="870"/>
      <c r="I50" s="870"/>
      <c r="K50" s="870"/>
      <c r="L50" s="870"/>
    </row>
    <row r="51" spans="2:12">
      <c r="B51" s="854"/>
    </row>
    <row r="52" spans="2:12" ht="15.75">
      <c r="E52" s="849"/>
      <c r="G52" s="849"/>
      <c r="I52" s="849"/>
      <c r="K52" s="849"/>
      <c r="L52" s="849"/>
    </row>
    <row r="59" spans="2:12" ht="15.75">
      <c r="B59" s="860"/>
      <c r="C59" s="846"/>
      <c r="D59" s="846"/>
      <c r="F59" s="846"/>
      <c r="H59" s="846"/>
      <c r="J59" s="846"/>
    </row>
    <row r="61" spans="2:12" ht="15.75">
      <c r="C61" s="846"/>
    </row>
  </sheetData>
  <printOptions horizontalCentered="1"/>
  <pageMargins left="0.24" right="0.24" top="0.5" bottom="0.5" header="0.18" footer="0.25"/>
  <pageSetup scale="68" firstPageNumber="50" orientation="landscape" useFirstPageNumber="1" r:id="rId1"/>
  <headerFooter scaleWithDoc="0" alignWithMargins="0">
    <oddFooter>&amp;C&amp;8&amp;P</oddFooter>
  </headerFooter>
  <customProperties>
    <customPr name="SheetOptions" r:id="rId2"/>
  </customPropertie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0">
    <pageSetUpPr fitToPage="1"/>
  </sheetPr>
  <dimension ref="A1:AC35"/>
  <sheetViews>
    <sheetView showGridLines="0" zoomScale="80" workbookViewId="0"/>
  </sheetViews>
  <sheetFormatPr defaultColWidth="8.88671875" defaultRowHeight="12.75"/>
  <cols>
    <col min="1" max="1" width="54.88671875" style="294" customWidth="1"/>
    <col min="2" max="2" width="1.88671875" style="294" customWidth="1"/>
    <col min="3" max="3" width="10.88671875" style="294" customWidth="1"/>
    <col min="4" max="4" width="1.88671875" style="294" customWidth="1"/>
    <col min="5" max="5" width="10.88671875" style="294" customWidth="1"/>
    <col min="6" max="6" width="1.88671875" style="294" customWidth="1"/>
    <col min="7" max="7" width="10.88671875" style="294" customWidth="1"/>
    <col min="8" max="8" width="1.88671875" style="294" customWidth="1"/>
    <col min="9" max="9" width="10.88671875" style="294" customWidth="1"/>
    <col min="10" max="10" width="1.88671875" style="294" customWidth="1"/>
    <col min="11" max="11" width="10.88671875" style="294" customWidth="1"/>
    <col min="12" max="12" width="1.88671875" style="294" customWidth="1"/>
    <col min="13" max="13" width="14.88671875" style="294" bestFit="1" customWidth="1"/>
    <col min="14" max="14" width="1.88671875" style="294" customWidth="1"/>
    <col min="15" max="15" width="10.88671875" style="294" customWidth="1"/>
    <col min="16" max="16" width="1.88671875" style="294" customWidth="1"/>
    <col min="17" max="17" width="13.5546875" style="294" bestFit="1" customWidth="1"/>
    <col min="18" max="18" width="1.88671875" style="294" customWidth="1"/>
    <col min="19" max="19" width="13.5546875" style="294" bestFit="1" customWidth="1"/>
    <col min="20" max="20" width="1.88671875" style="294" customWidth="1"/>
    <col min="21" max="21" width="11" style="294" customWidth="1"/>
    <col min="22" max="22" width="1.88671875" style="294" customWidth="1"/>
    <col min="23" max="23" width="10.88671875" style="294" customWidth="1"/>
    <col min="24" max="24" width="1.88671875" style="294" customWidth="1"/>
    <col min="25" max="25" width="10.88671875" style="294" customWidth="1"/>
    <col min="26" max="26" width="1.88671875" style="294" customWidth="1"/>
    <col min="27" max="27" width="14.109375" style="295" customWidth="1"/>
    <col min="28" max="28" width="3.88671875" style="294" customWidth="1"/>
    <col min="29" max="29" width="5.88671875" style="294" customWidth="1"/>
    <col min="30" max="30" width="10.109375" style="294" customWidth="1"/>
    <col min="31" max="31" width="2.88671875" style="294" customWidth="1"/>
    <col min="32" max="16384" width="8.88671875" style="294"/>
  </cols>
  <sheetData>
    <row r="1" spans="1:29" ht="15">
      <c r="A1" s="468" t="s">
        <v>841</v>
      </c>
    </row>
    <row r="2" spans="1:29" ht="20.25">
      <c r="A2" s="291"/>
      <c r="B2" s="832"/>
      <c r="C2" s="832"/>
      <c r="D2" s="832"/>
      <c r="E2" s="832"/>
      <c r="F2" s="832"/>
      <c r="G2" s="832"/>
      <c r="H2" s="832"/>
      <c r="I2" s="832"/>
      <c r="J2" s="832"/>
      <c r="K2" s="832"/>
      <c r="L2" s="292"/>
      <c r="M2" s="292"/>
      <c r="N2" s="832"/>
      <c r="O2" s="832"/>
      <c r="P2" s="832"/>
      <c r="Q2" s="832"/>
      <c r="R2" s="832"/>
      <c r="S2" s="832"/>
      <c r="T2" s="832"/>
      <c r="U2" s="832"/>
      <c r="V2" s="832"/>
      <c r="W2" s="832"/>
      <c r="X2" s="832"/>
      <c r="Y2" s="832"/>
      <c r="Z2" s="832"/>
      <c r="AA2" s="833"/>
      <c r="AB2" s="832"/>
      <c r="AC2" s="293"/>
    </row>
    <row r="3" spans="1:29" ht="15">
      <c r="A3"/>
      <c r="B3" s="469"/>
      <c r="C3" s="469"/>
      <c r="D3" s="469"/>
      <c r="E3" s="469"/>
      <c r="F3" s="469"/>
      <c r="G3" s="469"/>
      <c r="H3" s="469"/>
      <c r="I3" s="469"/>
      <c r="J3" s="469"/>
      <c r="K3" s="469"/>
      <c r="L3"/>
      <c r="M3" s="469"/>
      <c r="N3" s="469"/>
      <c r="O3" s="469"/>
      <c r="P3" s="469"/>
      <c r="Q3" s="469"/>
      <c r="R3" s="469"/>
      <c r="S3" s="469"/>
      <c r="T3" s="469"/>
      <c r="U3" s="469"/>
      <c r="V3" s="469"/>
      <c r="W3" s="469"/>
      <c r="X3" s="469"/>
      <c r="Y3" s="469"/>
      <c r="Z3" s="469"/>
      <c r="AA3" s="294"/>
      <c r="AB3" s="832"/>
      <c r="AC3" s="293"/>
    </row>
    <row r="4" spans="1:29" ht="20.25">
      <c r="A4" s="474" t="s">
        <v>0</v>
      </c>
      <c r="B4" s="469"/>
      <c r="C4" s="469"/>
      <c r="D4" s="469"/>
      <c r="E4" s="469"/>
      <c r="F4" s="469"/>
      <c r="G4" s="469"/>
      <c r="H4" s="469"/>
      <c r="I4" s="469"/>
      <c r="J4" s="469"/>
      <c r="K4" s="469"/>
      <c r="L4"/>
      <c r="M4" s="469"/>
      <c r="N4" s="469"/>
      <c r="O4" s="469"/>
      <c r="P4" s="469"/>
      <c r="Q4" s="469"/>
      <c r="R4" s="469"/>
      <c r="S4" s="469"/>
      <c r="T4" s="469"/>
      <c r="U4" s="469"/>
      <c r="V4" s="469"/>
      <c r="W4" s="469"/>
      <c r="X4" s="469"/>
      <c r="Y4" s="469"/>
      <c r="Z4" s="469"/>
      <c r="AA4" s="834" t="s">
        <v>506</v>
      </c>
      <c r="AB4" s="832"/>
      <c r="AC4" s="293"/>
    </row>
    <row r="5" spans="1:29" s="293" customFormat="1" ht="18">
      <c r="A5" s="474" t="s">
        <v>518</v>
      </c>
      <c r="B5" s="469"/>
      <c r="C5" s="469"/>
      <c r="D5" s="469"/>
      <c r="E5" s="469"/>
      <c r="F5" s="469"/>
      <c r="G5" s="469"/>
      <c r="H5" s="469"/>
      <c r="I5" s="469"/>
      <c r="J5" s="469"/>
      <c r="K5" s="469"/>
      <c r="L5" s="469"/>
      <c r="M5" s="469"/>
      <c r="N5" s="469"/>
      <c r="O5" s="469"/>
      <c r="P5" s="469"/>
      <c r="Q5" s="469"/>
      <c r="R5" s="469"/>
      <c r="S5" s="469"/>
      <c r="T5" s="469"/>
      <c r="U5" s="469"/>
      <c r="V5" s="469"/>
      <c r="W5" s="469"/>
      <c r="X5" s="469"/>
      <c r="Y5" s="469"/>
      <c r="Z5" s="469"/>
      <c r="AA5" s="469"/>
      <c r="AB5" s="832"/>
    </row>
    <row r="6" spans="1:29" s="293" customFormat="1" ht="18">
      <c r="A6" s="154" t="str">
        <f>'Exh D-Governmental  '!A5:E5</f>
        <v>FISCAL YEAR 2023-2024</v>
      </c>
      <c r="B6" s="469"/>
      <c r="C6" s="469"/>
      <c r="D6" s="469"/>
      <c r="E6" s="469"/>
      <c r="F6" s="469"/>
      <c r="G6" s="469"/>
      <c r="H6" s="469"/>
      <c r="I6" s="469"/>
      <c r="J6" s="469"/>
      <c r="K6" s="469"/>
      <c r="L6" s="469"/>
      <c r="M6" s="469"/>
      <c r="N6" s="469"/>
      <c r="O6" s="469"/>
      <c r="P6" s="469"/>
      <c r="Q6" s="469"/>
      <c r="R6" s="469"/>
      <c r="S6" s="469"/>
      <c r="T6" s="469"/>
      <c r="U6" s="469"/>
      <c r="V6" s="469"/>
      <c r="W6" s="469"/>
      <c r="X6" s="469"/>
      <c r="Y6" s="469"/>
      <c r="Z6" s="469"/>
      <c r="AA6" s="469"/>
      <c r="AB6" s="832"/>
    </row>
    <row r="7" spans="1:29" s="293" customFormat="1" ht="18">
      <c r="A7" s="474" t="s">
        <v>1204</v>
      </c>
      <c r="B7" s="470"/>
      <c r="C7" s="470"/>
      <c r="D7" s="470"/>
      <c r="E7" s="470"/>
      <c r="F7" s="470"/>
      <c r="G7" s="470"/>
      <c r="H7" s="470"/>
      <c r="I7" s="470"/>
      <c r="J7"/>
      <c r="K7"/>
      <c r="L7"/>
      <c r="M7"/>
      <c r="N7"/>
      <c r="O7"/>
      <c r="P7"/>
      <c r="Q7"/>
      <c r="R7" s="469"/>
      <c r="S7" s="469"/>
      <c r="T7" s="469"/>
      <c r="U7" s="469"/>
      <c r="V7" s="469"/>
      <c r="W7" s="469"/>
      <c r="X7" s="469"/>
      <c r="Y7" s="469"/>
      <c r="Z7" s="469"/>
      <c r="AA7"/>
      <c r="AB7" s="832"/>
    </row>
    <row r="8" spans="1:29" s="293" customFormat="1" ht="15.75">
      <c r="A8" s="471"/>
      <c r="B8" s="470"/>
      <c r="C8" s="558"/>
      <c r="D8" s="558"/>
      <c r="E8" s="558"/>
      <c r="F8" s="558"/>
      <c r="G8" s="558"/>
      <c r="H8" s="558"/>
      <c r="I8" s="558"/>
      <c r="J8" s="486"/>
      <c r="K8" s="486"/>
      <c r="L8" s="486"/>
      <c r="M8" s="486"/>
      <c r="N8" s="486"/>
      <c r="O8" s="486"/>
      <c r="P8" s="486"/>
      <c r="Q8" s="486"/>
      <c r="R8" s="486"/>
      <c r="S8" s="486"/>
      <c r="T8" s="486"/>
      <c r="U8" s="486"/>
      <c r="V8" s="486"/>
      <c r="W8" s="486"/>
      <c r="X8" s="486"/>
      <c r="Y8" s="486"/>
      <c r="Z8" s="486"/>
      <c r="AA8" s="486"/>
      <c r="AB8" s="832"/>
    </row>
    <row r="9" spans="1:29" s="293" customFormat="1" ht="15.75">
      <c r="A9" s="469"/>
      <c r="B9" s="469"/>
      <c r="C9" s="486"/>
      <c r="D9" s="486"/>
      <c r="E9" s="486"/>
      <c r="F9" s="486"/>
      <c r="G9" s="486"/>
      <c r="H9" s="486"/>
      <c r="I9" s="486"/>
      <c r="J9" s="486"/>
      <c r="K9" s="486"/>
      <c r="L9" s="486"/>
      <c r="M9" s="486"/>
      <c r="N9" s="486"/>
      <c r="O9" s="486"/>
      <c r="P9" s="486"/>
      <c r="Q9" s="486"/>
      <c r="R9" s="486"/>
      <c r="S9" s="486"/>
      <c r="T9" s="486"/>
      <c r="U9" s="486"/>
      <c r="V9" s="486"/>
      <c r="W9" s="486"/>
      <c r="X9" s="486"/>
      <c r="Y9" s="486"/>
      <c r="Z9" s="486"/>
      <c r="AA9" s="486"/>
      <c r="AB9" s="832"/>
    </row>
    <row r="10" spans="1:29" s="293" customFormat="1" ht="18">
      <c r="A10" s="469"/>
      <c r="B10" s="485"/>
      <c r="C10" s="559">
        <v>2023</v>
      </c>
      <c r="D10" s="559" t="s">
        <v>14</v>
      </c>
      <c r="E10" s="559">
        <f>C10</f>
        <v>2023</v>
      </c>
      <c r="F10" s="559" t="s">
        <v>14</v>
      </c>
      <c r="G10" s="559">
        <f>C10</f>
        <v>2023</v>
      </c>
      <c r="H10" s="559" t="s">
        <v>14</v>
      </c>
      <c r="I10" s="559">
        <f>C10</f>
        <v>2023</v>
      </c>
      <c r="J10" s="559" t="s">
        <v>14</v>
      </c>
      <c r="K10" s="559">
        <f>E10</f>
        <v>2023</v>
      </c>
      <c r="L10" s="559" t="s">
        <v>14</v>
      </c>
      <c r="M10" s="559">
        <f>G10</f>
        <v>2023</v>
      </c>
      <c r="N10" s="559" t="s">
        <v>14</v>
      </c>
      <c r="O10" s="559">
        <f>I10</f>
        <v>2023</v>
      </c>
      <c r="P10" s="559" t="s">
        <v>14</v>
      </c>
      <c r="Q10" s="559">
        <f>K10</f>
        <v>2023</v>
      </c>
      <c r="R10" s="559" t="s">
        <v>14</v>
      </c>
      <c r="S10" s="559">
        <f>M10</f>
        <v>2023</v>
      </c>
      <c r="T10" s="559"/>
      <c r="U10" s="559">
        <v>2024</v>
      </c>
      <c r="V10" s="559"/>
      <c r="W10" s="559">
        <f>U10</f>
        <v>2024</v>
      </c>
      <c r="X10" s="559"/>
      <c r="Y10" s="559">
        <f>W10</f>
        <v>2024</v>
      </c>
      <c r="Z10" s="474"/>
      <c r="AA10" s="560" t="str">
        <f>'Medicaid Disp Share'!M10</f>
        <v>2023-2024</v>
      </c>
      <c r="AB10" s="835"/>
    </row>
    <row r="11" spans="1:29" s="293" customFormat="1" ht="18">
      <c r="A11" s="469"/>
      <c r="B11" s="485"/>
      <c r="C11" s="1310" t="s">
        <v>122</v>
      </c>
      <c r="D11" s="560"/>
      <c r="E11" s="1310" t="s">
        <v>123</v>
      </c>
      <c r="F11" s="560"/>
      <c r="G11" s="1310" t="s">
        <v>124</v>
      </c>
      <c r="H11" s="560"/>
      <c r="I11" s="1310" t="s">
        <v>125</v>
      </c>
      <c r="J11" s="560"/>
      <c r="K11" s="1310" t="s">
        <v>126</v>
      </c>
      <c r="L11" s="560"/>
      <c r="M11" s="1310" t="s">
        <v>141</v>
      </c>
      <c r="N11" s="560"/>
      <c r="O11" s="1310" t="s">
        <v>142</v>
      </c>
      <c r="P11" s="560"/>
      <c r="Q11" s="1310" t="s">
        <v>129</v>
      </c>
      <c r="R11" s="560"/>
      <c r="S11" s="1310" t="s">
        <v>130</v>
      </c>
      <c r="T11" s="560"/>
      <c r="U11" s="1310" t="s">
        <v>131</v>
      </c>
      <c r="V11" s="560"/>
      <c r="W11" s="1310" t="s">
        <v>132</v>
      </c>
      <c r="X11" s="560"/>
      <c r="Y11" s="1310" t="s">
        <v>182</v>
      </c>
      <c r="Z11" s="474"/>
      <c r="AA11" s="1310" t="s">
        <v>519</v>
      </c>
      <c r="AB11" s="832"/>
    </row>
    <row r="12" spans="1:29" s="293" customFormat="1" ht="18">
      <c r="A12"/>
      <c r="B12" s="485"/>
      <c r="C12" s="485"/>
      <c r="D12" s="485"/>
      <c r="E12" s="485"/>
      <c r="F12" s="485"/>
      <c r="G12" s="485"/>
      <c r="H12" s="485"/>
      <c r="I12" s="485"/>
      <c r="J12" s="485"/>
      <c r="K12" s="485"/>
      <c r="L12" s="485"/>
      <c r="M12" s="485"/>
      <c r="N12" s="485"/>
      <c r="O12" s="485"/>
      <c r="P12" s="485"/>
      <c r="Q12" s="485"/>
      <c r="R12" s="485"/>
      <c r="S12" s="485"/>
      <c r="T12" s="485"/>
      <c r="U12" s="485"/>
      <c r="V12" s="485"/>
      <c r="W12" s="485"/>
      <c r="X12" s="485"/>
      <c r="Y12" s="485"/>
      <c r="Z12" s="485"/>
      <c r="AA12" s="485"/>
      <c r="AB12" s="1163"/>
      <c r="AC12" s="1164"/>
    </row>
    <row r="13" spans="1:29" s="293" customFormat="1" ht="18">
      <c r="A13" s="486" t="s">
        <v>520</v>
      </c>
      <c r="B13" s="485"/>
      <c r="C13" s="485"/>
      <c r="D13" s="485"/>
      <c r="E13" s="485"/>
      <c r="F13" s="485"/>
      <c r="G13" s="485"/>
      <c r="H13" s="485"/>
      <c r="I13" s="485"/>
      <c r="J13" s="485"/>
      <c r="K13" s="485"/>
      <c r="L13" s="485"/>
      <c r="M13" s="485"/>
      <c r="N13" s="485"/>
      <c r="O13" s="485"/>
      <c r="P13" s="485"/>
      <c r="Q13" s="485"/>
      <c r="R13" s="485"/>
      <c r="S13" s="485"/>
      <c r="T13" s="485"/>
      <c r="U13" s="485"/>
      <c r="V13" s="485"/>
      <c r="W13" s="485"/>
      <c r="X13" s="485"/>
      <c r="Y13" s="485"/>
      <c r="Z13" s="485"/>
      <c r="AA13" s="485"/>
      <c r="AB13" s="1163"/>
      <c r="AC13" s="1165"/>
    </row>
    <row r="14" spans="1:29" s="293" customFormat="1" ht="18">
      <c r="A14" s="469" t="s">
        <v>521</v>
      </c>
      <c r="B14" s="485"/>
      <c r="C14" s="574">
        <v>0</v>
      </c>
      <c r="D14" s="574"/>
      <c r="E14" s="574">
        <v>0</v>
      </c>
      <c r="F14" s="574"/>
      <c r="G14" s="1318">
        <v>0</v>
      </c>
      <c r="H14" s="574"/>
      <c r="I14" s="1318">
        <v>0</v>
      </c>
      <c r="J14" s="575"/>
      <c r="K14" s="1318">
        <v>0</v>
      </c>
      <c r="L14" s="574"/>
      <c r="M14" s="1318">
        <v>0</v>
      </c>
      <c r="N14" s="575"/>
      <c r="O14" s="1318"/>
      <c r="P14" s="575"/>
      <c r="Q14" s="1318"/>
      <c r="R14" s="575"/>
      <c r="S14" s="1318"/>
      <c r="T14" s="575"/>
      <c r="U14" s="1318"/>
      <c r="V14" s="575"/>
      <c r="W14" s="1318"/>
      <c r="X14" s="575"/>
      <c r="Y14" s="1318"/>
      <c r="Z14" s="485"/>
      <c r="AA14" s="1684">
        <f>ROUND(SUM(C14:Z14),0)</f>
        <v>0</v>
      </c>
      <c r="AB14" s="1163"/>
      <c r="AC14" s="1165"/>
    </row>
    <row r="15" spans="1:29" s="293" customFormat="1" ht="18">
      <c r="A15" s="469" t="s">
        <v>522</v>
      </c>
      <c r="B15" s="485"/>
      <c r="C15" s="576">
        <v>0</v>
      </c>
      <c r="D15" s="577"/>
      <c r="E15" s="577">
        <v>0</v>
      </c>
      <c r="F15" s="577"/>
      <c r="G15" s="580">
        <v>0</v>
      </c>
      <c r="H15" s="577"/>
      <c r="I15" s="580">
        <v>0</v>
      </c>
      <c r="J15" s="578"/>
      <c r="K15" s="580">
        <v>0</v>
      </c>
      <c r="L15" s="577"/>
      <c r="M15" s="580">
        <v>0</v>
      </c>
      <c r="N15" s="578"/>
      <c r="O15" s="580"/>
      <c r="P15" s="578"/>
      <c r="Q15" s="580"/>
      <c r="R15" s="578"/>
      <c r="S15" s="580"/>
      <c r="T15" s="578"/>
      <c r="U15" s="580"/>
      <c r="V15" s="578"/>
      <c r="W15" s="580"/>
      <c r="X15" s="578"/>
      <c r="Y15" s="580"/>
      <c r="Z15" s="485"/>
      <c r="AA15" s="968">
        <f t="shared" ref="AA15:AA19" si="0">ROUND(SUM(C15:Z15),0)</f>
        <v>0</v>
      </c>
      <c r="AB15" s="1163"/>
      <c r="AC15" s="1165"/>
    </row>
    <row r="16" spans="1:29" s="293" customFormat="1" ht="18">
      <c r="A16" s="469" t="s">
        <v>523</v>
      </c>
      <c r="B16" s="485"/>
      <c r="C16" s="576">
        <v>0</v>
      </c>
      <c r="D16" s="577"/>
      <c r="E16" s="577">
        <v>0</v>
      </c>
      <c r="F16" s="577"/>
      <c r="G16" s="580">
        <v>0</v>
      </c>
      <c r="H16" s="577"/>
      <c r="I16" s="580">
        <v>0</v>
      </c>
      <c r="J16" s="578"/>
      <c r="K16" s="580">
        <v>1</v>
      </c>
      <c r="L16" s="577"/>
      <c r="M16" s="580">
        <v>2</v>
      </c>
      <c r="N16" s="578"/>
      <c r="O16" s="580"/>
      <c r="P16" s="578"/>
      <c r="Q16" s="580"/>
      <c r="R16" s="578"/>
      <c r="S16" s="580"/>
      <c r="T16" s="578"/>
      <c r="U16" s="580"/>
      <c r="V16" s="578"/>
      <c r="W16" s="580"/>
      <c r="X16" s="578"/>
      <c r="Y16" s="580"/>
      <c r="Z16" s="485"/>
      <c r="AA16" s="968">
        <f t="shared" si="0"/>
        <v>3</v>
      </c>
      <c r="AB16" s="836"/>
      <c r="AC16" s="1165"/>
    </row>
    <row r="17" spans="1:29" s="293" customFormat="1" ht="18">
      <c r="A17" s="469" t="s">
        <v>864</v>
      </c>
      <c r="B17" s="485"/>
      <c r="C17" s="580">
        <v>0</v>
      </c>
      <c r="D17" s="577"/>
      <c r="E17" s="579">
        <v>0</v>
      </c>
      <c r="F17" s="577"/>
      <c r="G17" s="579">
        <v>0</v>
      </c>
      <c r="H17" s="577"/>
      <c r="I17" s="579">
        <v>0</v>
      </c>
      <c r="J17" s="578"/>
      <c r="K17" s="579">
        <v>0</v>
      </c>
      <c r="L17" s="577"/>
      <c r="M17" s="579">
        <v>0</v>
      </c>
      <c r="N17" s="578"/>
      <c r="O17" s="579"/>
      <c r="P17" s="578"/>
      <c r="Q17" s="579"/>
      <c r="R17" s="578"/>
      <c r="S17" s="579"/>
      <c r="T17" s="578"/>
      <c r="U17" s="579"/>
      <c r="V17" s="578"/>
      <c r="W17" s="579"/>
      <c r="X17" s="578"/>
      <c r="Y17" s="579"/>
      <c r="Z17" s="485"/>
      <c r="AA17" s="968">
        <f t="shared" si="0"/>
        <v>0</v>
      </c>
      <c r="AB17" s="836"/>
      <c r="AC17" s="1165"/>
    </row>
    <row r="18" spans="1:29" s="293" customFormat="1" ht="18">
      <c r="A18" s="469" t="s">
        <v>1452</v>
      </c>
      <c r="B18" s="485"/>
      <c r="C18" s="576">
        <v>0</v>
      </c>
      <c r="D18" s="577"/>
      <c r="E18" s="577">
        <v>0</v>
      </c>
      <c r="F18" s="577"/>
      <c r="G18" s="580">
        <v>0</v>
      </c>
      <c r="H18" s="577"/>
      <c r="I18" s="580">
        <v>0</v>
      </c>
      <c r="J18" s="578"/>
      <c r="K18" s="580">
        <v>0</v>
      </c>
      <c r="L18" s="577"/>
      <c r="M18" s="580">
        <v>0</v>
      </c>
      <c r="N18" s="578"/>
      <c r="O18" s="580"/>
      <c r="P18" s="578"/>
      <c r="Q18" s="580"/>
      <c r="R18" s="578"/>
      <c r="S18" s="580"/>
      <c r="T18" s="578"/>
      <c r="U18" s="580"/>
      <c r="V18" s="578"/>
      <c r="W18" s="580"/>
      <c r="X18" s="578"/>
      <c r="Y18" s="580"/>
      <c r="Z18" s="485"/>
      <c r="AA18" s="968">
        <f t="shared" si="0"/>
        <v>0</v>
      </c>
      <c r="AB18" s="836"/>
      <c r="AC18" s="1165"/>
    </row>
    <row r="19" spans="1:29" s="293" customFormat="1" ht="18">
      <c r="A19" s="469" t="s">
        <v>524</v>
      </c>
      <c r="B19" s="485"/>
      <c r="C19" s="577">
        <v>0</v>
      </c>
      <c r="D19" s="577"/>
      <c r="E19" s="577">
        <v>0</v>
      </c>
      <c r="F19" s="577"/>
      <c r="G19" s="576">
        <v>0</v>
      </c>
      <c r="H19" s="577"/>
      <c r="I19" s="580">
        <v>0</v>
      </c>
      <c r="J19" s="578"/>
      <c r="K19" s="580">
        <v>0</v>
      </c>
      <c r="L19" s="577"/>
      <c r="M19" s="580">
        <v>0</v>
      </c>
      <c r="N19" s="578"/>
      <c r="O19" s="580"/>
      <c r="P19" s="578"/>
      <c r="Q19" s="580"/>
      <c r="R19" s="578"/>
      <c r="S19" s="580"/>
      <c r="T19" s="578"/>
      <c r="U19" s="580"/>
      <c r="V19" s="578"/>
      <c r="W19" s="580"/>
      <c r="X19" s="578"/>
      <c r="Y19" s="580"/>
      <c r="Z19" s="485"/>
      <c r="AA19" s="968">
        <f t="shared" si="0"/>
        <v>0</v>
      </c>
      <c r="AB19" s="836"/>
      <c r="AC19" s="1165"/>
    </row>
    <row r="20" spans="1:29" s="293" customFormat="1" ht="18">
      <c r="A20" s="486" t="s">
        <v>763</v>
      </c>
      <c r="B20" s="485"/>
      <c r="C20" s="1311">
        <f>ROUND(SUM(C14:C19),0)</f>
        <v>0</v>
      </c>
      <c r="D20" s="469"/>
      <c r="E20" s="1311">
        <f>ROUND(SUM(E14:E19),0)</f>
        <v>0</v>
      </c>
      <c r="F20" s="469"/>
      <c r="G20" s="1311">
        <f>ROUND(SUM(G14:G19),0)</f>
        <v>0</v>
      </c>
      <c r="H20" s="469"/>
      <c r="I20" s="1311">
        <f>ROUND(SUM(I14:I19),0)</f>
        <v>0</v>
      </c>
      <c r="J20" s="469"/>
      <c r="K20" s="1311">
        <f>ROUND(SUM(K14:K19),0)</f>
        <v>1</v>
      </c>
      <c r="L20" s="469"/>
      <c r="M20" s="1311">
        <f>ROUND(SUM(M14:M19),0)</f>
        <v>2</v>
      </c>
      <c r="N20" s="469"/>
      <c r="O20" s="1311">
        <f>ROUND(SUM(O14:O19),0)</f>
        <v>0</v>
      </c>
      <c r="P20" s="469"/>
      <c r="Q20" s="1311">
        <f>ROUND(SUM(Q14:Q19),0)</f>
        <v>0</v>
      </c>
      <c r="R20" s="469"/>
      <c r="S20" s="1311">
        <f>ROUND(SUM(S14:S19),0)</f>
        <v>0</v>
      </c>
      <c r="T20" s="469"/>
      <c r="U20" s="1311">
        <f>ROUND(SUM(U14:U19),0)</f>
        <v>0</v>
      </c>
      <c r="V20" s="469"/>
      <c r="W20" s="1311">
        <f>ROUND(SUM(W14:W19),0)</f>
        <v>0</v>
      </c>
      <c r="X20" s="469"/>
      <c r="Y20" s="1311">
        <f>ROUND(SUM(Y14:Y19),0)</f>
        <v>0</v>
      </c>
      <c r="Z20" s="469"/>
      <c r="AA20" s="1311">
        <f>ROUND(SUM(AA14:AA19),0)</f>
        <v>3</v>
      </c>
      <c r="AB20" s="836"/>
      <c r="AC20" s="1165"/>
    </row>
    <row r="21" spans="1:29" s="293" customFormat="1" ht="18">
      <c r="A21"/>
      <c r="B21" s="485"/>
      <c r="C21" s="485"/>
      <c r="D21" s="485"/>
      <c r="E21" s="485"/>
      <c r="F21" s="485"/>
      <c r="G21" s="485"/>
      <c r="H21" s="485"/>
      <c r="I21" s="485"/>
      <c r="J21" s="485"/>
      <c r="K21" s="485"/>
      <c r="L21" s="485"/>
      <c r="M21" s="485"/>
      <c r="N21" s="485"/>
      <c r="O21" s="485"/>
      <c r="P21" s="485"/>
      <c r="Q21" s="485"/>
      <c r="R21" s="485"/>
      <c r="S21" s="485"/>
      <c r="T21" s="485"/>
      <c r="U21" s="485"/>
      <c r="V21" s="485"/>
      <c r="W21" s="485"/>
      <c r="X21" s="485"/>
      <c r="Y21" s="485"/>
      <c r="Z21" s="485"/>
      <c r="AA21" s="469"/>
      <c r="AB21" s="836"/>
      <c r="AC21" s="1165"/>
    </row>
    <row r="22" spans="1:29" s="293" customFormat="1" ht="18">
      <c r="A22" s="469"/>
      <c r="B22" s="485"/>
      <c r="C22" s="485"/>
      <c r="D22" s="485"/>
      <c r="E22" s="485"/>
      <c r="F22" s="485"/>
      <c r="G22" s="485"/>
      <c r="H22" s="485"/>
      <c r="I22" s="485"/>
      <c r="J22" s="485"/>
      <c r="K22" s="485"/>
      <c r="L22" s="485"/>
      <c r="M22" s="485"/>
      <c r="N22" s="485"/>
      <c r="O22" s="485"/>
      <c r="P22" s="485"/>
      <c r="Q22" s="485"/>
      <c r="R22" s="485"/>
      <c r="S22" s="485"/>
      <c r="T22" s="485"/>
      <c r="U22" s="485"/>
      <c r="V22" s="485"/>
      <c r="W22" s="485"/>
      <c r="X22" s="485"/>
      <c r="Y22" s="485"/>
      <c r="Z22" s="485"/>
      <c r="AA22" s="469"/>
      <c r="AB22" s="836"/>
      <c r="AC22" s="1165"/>
    </row>
    <row r="23" spans="1:29" ht="18">
      <c r="A23" s="469"/>
      <c r="B23" s="485"/>
      <c r="C23" s="485"/>
      <c r="D23" s="485"/>
      <c r="E23" s="485"/>
      <c r="F23" s="485"/>
      <c r="G23" s="485"/>
      <c r="H23" s="485"/>
      <c r="I23" s="485"/>
      <c r="J23" s="485"/>
      <c r="K23" s="485"/>
      <c r="L23" s="485"/>
      <c r="M23" s="485"/>
      <c r="N23" s="485"/>
      <c r="O23" s="485"/>
      <c r="P23" s="485"/>
      <c r="Q23" s="485"/>
      <c r="R23" s="485"/>
      <c r="S23" s="1319"/>
      <c r="T23" s="485"/>
      <c r="U23" s="485"/>
      <c r="V23" s="485"/>
      <c r="W23" s="485"/>
      <c r="X23" s="485"/>
      <c r="Y23" s="485"/>
      <c r="Z23" s="485"/>
      <c r="AA23" s="469"/>
    </row>
    <row r="24" spans="1:29" s="296" customFormat="1" ht="18.75" thickBot="1">
      <c r="A24" s="486" t="s">
        <v>762</v>
      </c>
      <c r="B24" s="485"/>
      <c r="C24" s="1166">
        <f>ROUND(C20,0)</f>
        <v>0</v>
      </c>
      <c r="D24" s="469"/>
      <c r="E24" s="1166">
        <f>ROUND(E20,0)</f>
        <v>0</v>
      </c>
      <c r="F24" s="469"/>
      <c r="G24" s="1166">
        <f>ROUND(G20,0)</f>
        <v>0</v>
      </c>
      <c r="H24" s="469"/>
      <c r="I24" s="1166">
        <f>ROUND(I20,0)</f>
        <v>0</v>
      </c>
      <c r="J24" s="469"/>
      <c r="K24" s="1166">
        <f>ROUND(K20,0)</f>
        <v>1</v>
      </c>
      <c r="L24" s="469"/>
      <c r="M24" s="1166">
        <f>ROUND(M20,0)</f>
        <v>2</v>
      </c>
      <c r="N24" s="469"/>
      <c r="O24" s="1166">
        <f>ROUND(O20,0)</f>
        <v>0</v>
      </c>
      <c r="P24" s="469"/>
      <c r="Q24" s="1166">
        <f>ROUND(Q20,0)</f>
        <v>0</v>
      </c>
      <c r="R24" s="469"/>
      <c r="S24" s="1166">
        <f>ROUND(S20,0)</f>
        <v>0</v>
      </c>
      <c r="T24" s="469"/>
      <c r="U24" s="1166">
        <f>ROUND(U20,0)</f>
        <v>0</v>
      </c>
      <c r="V24" s="469"/>
      <c r="W24" s="1166">
        <f>ROUND(W20,0)</f>
        <v>0</v>
      </c>
      <c r="X24" s="469"/>
      <c r="Y24" s="1166">
        <f>ROUND(Y20,0)</f>
        <v>0</v>
      </c>
      <c r="Z24" s="469"/>
      <c r="AA24" s="1166">
        <f>ROUND(AA20,0)</f>
        <v>3</v>
      </c>
    </row>
    <row r="25" spans="1:29" ht="15.75" thickTop="1">
      <c r="A25" s="837"/>
      <c r="C25" s="295"/>
      <c r="D25" s="295"/>
      <c r="E25" s="295"/>
      <c r="F25" s="295"/>
      <c r="G25" s="295"/>
      <c r="H25" s="295"/>
      <c r="I25" s="295"/>
      <c r="J25" s="295"/>
      <c r="K25" s="295"/>
      <c r="L25" s="295"/>
      <c r="M25" s="295"/>
      <c r="N25" s="295"/>
      <c r="O25" s="295"/>
      <c r="P25" s="295"/>
      <c r="Q25" s="295"/>
      <c r="R25" s="295"/>
      <c r="S25" s="295"/>
      <c r="T25" s="295"/>
      <c r="U25" s="295"/>
      <c r="V25" s="295"/>
      <c r="W25" s="295"/>
      <c r="X25" s="295"/>
      <c r="Y25" s="297"/>
    </row>
    <row r="26" spans="1:29" ht="13.5" thickBot="1"/>
    <row r="27" spans="1:29" ht="20.100000000000001" customHeight="1">
      <c r="A27" s="2354" t="s">
        <v>525</v>
      </c>
      <c r="B27" s="2355"/>
      <c r="C27" s="2355"/>
      <c r="D27" s="2355"/>
      <c r="E27" s="2355"/>
      <c r="F27" s="2355"/>
      <c r="G27" s="2355"/>
      <c r="H27" s="2355"/>
      <c r="I27" s="2355"/>
      <c r="J27" s="2355"/>
      <c r="K27" s="2355"/>
      <c r="L27" s="2355"/>
      <c r="M27" s="2355"/>
      <c r="N27" s="2355"/>
      <c r="O27" s="2355"/>
      <c r="P27" s="2355"/>
      <c r="Q27" s="2355"/>
      <c r="R27" s="2355"/>
      <c r="S27" s="2355"/>
      <c r="T27" s="2355"/>
      <c r="U27" s="2355"/>
      <c r="V27" s="2355"/>
      <c r="W27" s="2355"/>
      <c r="X27" s="2355"/>
      <c r="Y27" s="2355"/>
      <c r="Z27" s="2355"/>
      <c r="AA27" s="2356"/>
    </row>
    <row r="28" spans="1:29" ht="20.100000000000001" customHeight="1">
      <c r="A28" s="2357"/>
      <c r="B28" s="2358"/>
      <c r="C28" s="2358"/>
      <c r="D28" s="2358"/>
      <c r="E28" s="2358"/>
      <c r="F28" s="2358"/>
      <c r="G28" s="2358"/>
      <c r="H28" s="2358"/>
      <c r="I28" s="2358"/>
      <c r="J28" s="2358"/>
      <c r="K28" s="2358"/>
      <c r="L28" s="2358"/>
      <c r="M28" s="2358"/>
      <c r="N28" s="2358"/>
      <c r="O28" s="2358"/>
      <c r="P28" s="2358"/>
      <c r="Q28" s="2358"/>
      <c r="R28" s="2358"/>
      <c r="S28" s="2358"/>
      <c r="T28" s="2358"/>
      <c r="U28" s="2358"/>
      <c r="V28" s="2358"/>
      <c r="W28" s="2358"/>
      <c r="X28" s="2358"/>
      <c r="Y28" s="2358"/>
      <c r="Z28" s="2358"/>
      <c r="AA28" s="2359"/>
    </row>
    <row r="29" spans="1:29" ht="20.100000000000001" customHeight="1">
      <c r="A29" s="2357"/>
      <c r="B29" s="2358"/>
      <c r="C29" s="2358"/>
      <c r="D29" s="2358"/>
      <c r="E29" s="2358"/>
      <c r="F29" s="2358"/>
      <c r="G29" s="2358"/>
      <c r="H29" s="2358"/>
      <c r="I29" s="2358"/>
      <c r="J29" s="2358"/>
      <c r="K29" s="2358"/>
      <c r="L29" s="2358"/>
      <c r="M29" s="2358"/>
      <c r="N29" s="2358"/>
      <c r="O29" s="2358"/>
      <c r="P29" s="2358"/>
      <c r="Q29" s="2358"/>
      <c r="R29" s="2358"/>
      <c r="S29" s="2358"/>
      <c r="T29" s="2358"/>
      <c r="U29" s="2358"/>
      <c r="V29" s="2358"/>
      <c r="W29" s="2358"/>
      <c r="X29" s="2358"/>
      <c r="Y29" s="2358"/>
      <c r="Z29" s="2358"/>
      <c r="AA29" s="2359"/>
    </row>
    <row r="30" spans="1:29" ht="22.5" customHeight="1" thickBot="1">
      <c r="A30" s="2360"/>
      <c r="B30" s="2361"/>
      <c r="C30" s="2361"/>
      <c r="D30" s="2361"/>
      <c r="E30" s="2361"/>
      <c r="F30" s="2361"/>
      <c r="G30" s="2361"/>
      <c r="H30" s="2361"/>
      <c r="I30" s="2361"/>
      <c r="J30" s="2361"/>
      <c r="K30" s="2361"/>
      <c r="L30" s="2361"/>
      <c r="M30" s="2361"/>
      <c r="N30" s="2361"/>
      <c r="O30" s="2361"/>
      <c r="P30" s="2361"/>
      <c r="Q30" s="2361"/>
      <c r="R30" s="2361"/>
      <c r="S30" s="2361"/>
      <c r="T30" s="2361"/>
      <c r="U30" s="2361"/>
      <c r="V30" s="2361"/>
      <c r="W30" s="2361"/>
      <c r="X30" s="2361"/>
      <c r="Y30" s="2361"/>
      <c r="Z30" s="2361"/>
      <c r="AA30" s="2362"/>
    </row>
    <row r="32" spans="1:29" ht="14.85" customHeight="1"/>
    <row r="35" ht="14.1" customHeight="1"/>
  </sheetData>
  <mergeCells count="1">
    <mergeCell ref="A27:AA30"/>
  </mergeCells>
  <pageMargins left="0.25" right="0.25" top="0.5" bottom="0.25" header="0" footer="0.25"/>
  <pageSetup scale="47" firstPageNumber="51" orientation="landscape" useFirstPageNumber="1" r:id="rId1"/>
  <headerFooter scaleWithDoc="0" alignWithMargins="0">
    <oddFooter>&amp;C&amp;8&amp;P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1">
    <pageSetUpPr fitToPage="1"/>
  </sheetPr>
  <dimension ref="B1:Q295"/>
  <sheetViews>
    <sheetView showGridLines="0" zoomScale="80" workbookViewId="0"/>
  </sheetViews>
  <sheetFormatPr defaultRowHeight="15"/>
  <cols>
    <col min="1" max="1" width="2.109375" style="1606" customWidth="1"/>
    <col min="2" max="2" width="10.109375" style="1606" customWidth="1"/>
    <col min="3" max="3" width="2.109375" style="1606" customWidth="1"/>
    <col min="4" max="4" width="51.88671875" style="1606" customWidth="1"/>
    <col min="5" max="5" width="4.109375" style="1606" customWidth="1"/>
    <col min="6" max="6" width="2.109375" style="1681" customWidth="1"/>
    <col min="7" max="7" width="21.88671875" style="1682" bestFit="1" customWidth="1"/>
    <col min="8" max="8" width="2.109375" style="1606" customWidth="1"/>
    <col min="9" max="9" width="21.5546875" style="1606" bestFit="1" customWidth="1"/>
    <col min="10" max="10" width="2.109375" style="1606" customWidth="1"/>
    <col min="11" max="11" width="21.88671875" style="1606" bestFit="1" customWidth="1"/>
    <col min="12" max="12" width="2.109375" style="1606" customWidth="1"/>
    <col min="13" max="13" width="20.88671875" style="1606" customWidth="1"/>
    <col min="14" max="14" width="2.109375" style="1606" customWidth="1"/>
    <col min="15" max="15" width="22.109375" style="1606" bestFit="1" customWidth="1"/>
    <col min="16" max="16" width="6.109375" style="1606" bestFit="1" customWidth="1"/>
    <col min="17" max="17" width="13.109375" style="1606" bestFit="1" customWidth="1"/>
    <col min="18" max="255" width="8.88671875" style="1606"/>
    <col min="256" max="257" width="8.88671875" style="1606" customWidth="1"/>
    <col min="258" max="258" width="10.109375" style="1606" customWidth="1"/>
    <col min="259" max="259" width="2.109375" style="1606" customWidth="1"/>
    <col min="260" max="260" width="50.44140625" style="1606" customWidth="1"/>
    <col min="261" max="261" width="8.88671875" style="1606"/>
    <col min="262" max="262" width="2.109375" style="1606" customWidth="1"/>
    <col min="263" max="263" width="23.88671875" style="1606" customWidth="1"/>
    <col min="264" max="264" width="2.109375" style="1606" customWidth="1"/>
    <col min="265" max="265" width="23.88671875" style="1606" customWidth="1"/>
    <col min="266" max="266" width="2.109375" style="1606" customWidth="1"/>
    <col min="267" max="267" width="23.88671875" style="1606" customWidth="1"/>
    <col min="268" max="268" width="2.109375" style="1606" customWidth="1"/>
    <col min="269" max="269" width="23.88671875" style="1606" customWidth="1"/>
    <col min="270" max="270" width="2.109375" style="1606" customWidth="1"/>
    <col min="271" max="271" width="23.88671875" style="1606" customWidth="1"/>
    <col min="272" max="272" width="2.88671875" style="1606" bestFit="1" customWidth="1"/>
    <col min="273" max="511" width="8.88671875" style="1606"/>
    <col min="512" max="513" width="8.88671875" style="1606" customWidth="1"/>
    <col min="514" max="514" width="10.109375" style="1606" customWidth="1"/>
    <col min="515" max="515" width="2.109375" style="1606" customWidth="1"/>
    <col min="516" max="516" width="50.44140625" style="1606" customWidth="1"/>
    <col min="517" max="517" width="8.88671875" style="1606"/>
    <col min="518" max="518" width="2.109375" style="1606" customWidth="1"/>
    <col min="519" max="519" width="23.88671875" style="1606" customWidth="1"/>
    <col min="520" max="520" width="2.109375" style="1606" customWidth="1"/>
    <col min="521" max="521" width="23.88671875" style="1606" customWidth="1"/>
    <col min="522" max="522" width="2.109375" style="1606" customWidth="1"/>
    <col min="523" max="523" width="23.88671875" style="1606" customWidth="1"/>
    <col min="524" max="524" width="2.109375" style="1606" customWidth="1"/>
    <col min="525" max="525" width="23.88671875" style="1606" customWidth="1"/>
    <col min="526" max="526" width="2.109375" style="1606" customWidth="1"/>
    <col min="527" max="527" width="23.88671875" style="1606" customWidth="1"/>
    <col min="528" max="528" width="2.88671875" style="1606" bestFit="1" customWidth="1"/>
    <col min="529" max="767" width="8.88671875" style="1606"/>
    <col min="768" max="769" width="8.88671875" style="1606" customWidth="1"/>
    <col min="770" max="770" width="10.109375" style="1606" customWidth="1"/>
    <col min="771" max="771" width="2.109375" style="1606" customWidth="1"/>
    <col min="772" max="772" width="50.44140625" style="1606" customWidth="1"/>
    <col min="773" max="773" width="8.88671875" style="1606"/>
    <col min="774" max="774" width="2.109375" style="1606" customWidth="1"/>
    <col min="775" max="775" width="23.88671875" style="1606" customWidth="1"/>
    <col min="776" max="776" width="2.109375" style="1606" customWidth="1"/>
    <col min="777" max="777" width="23.88671875" style="1606" customWidth="1"/>
    <col min="778" max="778" width="2.109375" style="1606" customWidth="1"/>
    <col min="779" max="779" width="23.88671875" style="1606" customWidth="1"/>
    <col min="780" max="780" width="2.109375" style="1606" customWidth="1"/>
    <col min="781" max="781" width="23.88671875" style="1606" customWidth="1"/>
    <col min="782" max="782" width="2.109375" style="1606" customWidth="1"/>
    <col min="783" max="783" width="23.88671875" style="1606" customWidth="1"/>
    <col min="784" max="784" width="2.88671875" style="1606" bestFit="1" customWidth="1"/>
    <col min="785" max="1023" width="8.88671875" style="1606"/>
    <col min="1024" max="1025" width="8.88671875" style="1606" customWidth="1"/>
    <col min="1026" max="1026" width="10.109375" style="1606" customWidth="1"/>
    <col min="1027" max="1027" width="2.109375" style="1606" customWidth="1"/>
    <col min="1028" max="1028" width="50.44140625" style="1606" customWidth="1"/>
    <col min="1029" max="1029" width="8.88671875" style="1606"/>
    <col min="1030" max="1030" width="2.109375" style="1606" customWidth="1"/>
    <col min="1031" max="1031" width="23.88671875" style="1606" customWidth="1"/>
    <col min="1032" max="1032" width="2.109375" style="1606" customWidth="1"/>
    <col min="1033" max="1033" width="23.88671875" style="1606" customWidth="1"/>
    <col min="1034" max="1034" width="2.109375" style="1606" customWidth="1"/>
    <col min="1035" max="1035" width="23.88671875" style="1606" customWidth="1"/>
    <col min="1036" max="1036" width="2.109375" style="1606" customWidth="1"/>
    <col min="1037" max="1037" width="23.88671875" style="1606" customWidth="1"/>
    <col min="1038" max="1038" width="2.109375" style="1606" customWidth="1"/>
    <col min="1039" max="1039" width="23.88671875" style="1606" customWidth="1"/>
    <col min="1040" max="1040" width="2.88671875" style="1606" bestFit="1" customWidth="1"/>
    <col min="1041" max="1279" width="8.88671875" style="1606"/>
    <col min="1280" max="1281" width="8.88671875" style="1606" customWidth="1"/>
    <col min="1282" max="1282" width="10.109375" style="1606" customWidth="1"/>
    <col min="1283" max="1283" width="2.109375" style="1606" customWidth="1"/>
    <col min="1284" max="1284" width="50.44140625" style="1606" customWidth="1"/>
    <col min="1285" max="1285" width="8.88671875" style="1606"/>
    <col min="1286" max="1286" width="2.109375" style="1606" customWidth="1"/>
    <col min="1287" max="1287" width="23.88671875" style="1606" customWidth="1"/>
    <col min="1288" max="1288" width="2.109375" style="1606" customWidth="1"/>
    <col min="1289" max="1289" width="23.88671875" style="1606" customWidth="1"/>
    <col min="1290" max="1290" width="2.109375" style="1606" customWidth="1"/>
    <col min="1291" max="1291" width="23.88671875" style="1606" customWidth="1"/>
    <col min="1292" max="1292" width="2.109375" style="1606" customWidth="1"/>
    <col min="1293" max="1293" width="23.88671875" style="1606" customWidth="1"/>
    <col min="1294" max="1294" width="2.109375" style="1606" customWidth="1"/>
    <col min="1295" max="1295" width="23.88671875" style="1606" customWidth="1"/>
    <col min="1296" max="1296" width="2.88671875" style="1606" bestFit="1" customWidth="1"/>
    <col min="1297" max="1535" width="8.88671875" style="1606"/>
    <col min="1536" max="1537" width="8.88671875" style="1606" customWidth="1"/>
    <col min="1538" max="1538" width="10.109375" style="1606" customWidth="1"/>
    <col min="1539" max="1539" width="2.109375" style="1606" customWidth="1"/>
    <col min="1540" max="1540" width="50.44140625" style="1606" customWidth="1"/>
    <col min="1541" max="1541" width="8.88671875" style="1606"/>
    <col min="1542" max="1542" width="2.109375" style="1606" customWidth="1"/>
    <col min="1543" max="1543" width="23.88671875" style="1606" customWidth="1"/>
    <col min="1544" max="1544" width="2.109375" style="1606" customWidth="1"/>
    <col min="1545" max="1545" width="23.88671875" style="1606" customWidth="1"/>
    <col min="1546" max="1546" width="2.109375" style="1606" customWidth="1"/>
    <col min="1547" max="1547" width="23.88671875" style="1606" customWidth="1"/>
    <col min="1548" max="1548" width="2.109375" style="1606" customWidth="1"/>
    <col min="1549" max="1549" width="23.88671875" style="1606" customWidth="1"/>
    <col min="1550" max="1550" width="2.109375" style="1606" customWidth="1"/>
    <col min="1551" max="1551" width="23.88671875" style="1606" customWidth="1"/>
    <col min="1552" max="1552" width="2.88671875" style="1606" bestFit="1" customWidth="1"/>
    <col min="1553" max="1791" width="8.88671875" style="1606"/>
    <col min="1792" max="1793" width="8.88671875" style="1606" customWidth="1"/>
    <col min="1794" max="1794" width="10.109375" style="1606" customWidth="1"/>
    <col min="1795" max="1795" width="2.109375" style="1606" customWidth="1"/>
    <col min="1796" max="1796" width="50.44140625" style="1606" customWidth="1"/>
    <col min="1797" max="1797" width="8.88671875" style="1606"/>
    <col min="1798" max="1798" width="2.109375" style="1606" customWidth="1"/>
    <col min="1799" max="1799" width="23.88671875" style="1606" customWidth="1"/>
    <col min="1800" max="1800" width="2.109375" style="1606" customWidth="1"/>
    <col min="1801" max="1801" width="23.88671875" style="1606" customWidth="1"/>
    <col min="1802" max="1802" width="2.109375" style="1606" customWidth="1"/>
    <col min="1803" max="1803" width="23.88671875" style="1606" customWidth="1"/>
    <col min="1804" max="1804" width="2.109375" style="1606" customWidth="1"/>
    <col min="1805" max="1805" width="23.88671875" style="1606" customWidth="1"/>
    <col min="1806" max="1806" width="2.109375" style="1606" customWidth="1"/>
    <col min="1807" max="1807" width="23.88671875" style="1606" customWidth="1"/>
    <col min="1808" max="1808" width="2.88671875" style="1606" bestFit="1" customWidth="1"/>
    <col min="1809" max="2047" width="8.88671875" style="1606"/>
    <col min="2048" max="2049" width="8.88671875" style="1606" customWidth="1"/>
    <col min="2050" max="2050" width="10.109375" style="1606" customWidth="1"/>
    <col min="2051" max="2051" width="2.109375" style="1606" customWidth="1"/>
    <col min="2052" max="2052" width="50.44140625" style="1606" customWidth="1"/>
    <col min="2053" max="2053" width="8.88671875" style="1606"/>
    <col min="2054" max="2054" width="2.109375" style="1606" customWidth="1"/>
    <col min="2055" max="2055" width="23.88671875" style="1606" customWidth="1"/>
    <col min="2056" max="2056" width="2.109375" style="1606" customWidth="1"/>
    <col min="2057" max="2057" width="23.88671875" style="1606" customWidth="1"/>
    <col min="2058" max="2058" width="2.109375" style="1606" customWidth="1"/>
    <col min="2059" max="2059" width="23.88671875" style="1606" customWidth="1"/>
    <col min="2060" max="2060" width="2.109375" style="1606" customWidth="1"/>
    <col min="2061" max="2061" width="23.88671875" style="1606" customWidth="1"/>
    <col min="2062" max="2062" width="2.109375" style="1606" customWidth="1"/>
    <col min="2063" max="2063" width="23.88671875" style="1606" customWidth="1"/>
    <col min="2064" max="2064" width="2.88671875" style="1606" bestFit="1" customWidth="1"/>
    <col min="2065" max="2303" width="8.88671875" style="1606"/>
    <col min="2304" max="2305" width="8.88671875" style="1606" customWidth="1"/>
    <col min="2306" max="2306" width="10.109375" style="1606" customWidth="1"/>
    <col min="2307" max="2307" width="2.109375" style="1606" customWidth="1"/>
    <col min="2308" max="2308" width="50.44140625" style="1606" customWidth="1"/>
    <col min="2309" max="2309" width="8.88671875" style="1606"/>
    <col min="2310" max="2310" width="2.109375" style="1606" customWidth="1"/>
    <col min="2311" max="2311" width="23.88671875" style="1606" customWidth="1"/>
    <col min="2312" max="2312" width="2.109375" style="1606" customWidth="1"/>
    <col min="2313" max="2313" width="23.88671875" style="1606" customWidth="1"/>
    <col min="2314" max="2314" width="2.109375" style="1606" customWidth="1"/>
    <col min="2315" max="2315" width="23.88671875" style="1606" customWidth="1"/>
    <col min="2316" max="2316" width="2.109375" style="1606" customWidth="1"/>
    <col min="2317" max="2317" width="23.88671875" style="1606" customWidth="1"/>
    <col min="2318" max="2318" width="2.109375" style="1606" customWidth="1"/>
    <col min="2319" max="2319" width="23.88671875" style="1606" customWidth="1"/>
    <col min="2320" max="2320" width="2.88671875" style="1606" bestFit="1" customWidth="1"/>
    <col min="2321" max="2559" width="8.88671875" style="1606"/>
    <col min="2560" max="2561" width="8.88671875" style="1606" customWidth="1"/>
    <col min="2562" max="2562" width="10.109375" style="1606" customWidth="1"/>
    <col min="2563" max="2563" width="2.109375" style="1606" customWidth="1"/>
    <col min="2564" max="2564" width="50.44140625" style="1606" customWidth="1"/>
    <col min="2565" max="2565" width="8.88671875" style="1606"/>
    <col min="2566" max="2566" width="2.109375" style="1606" customWidth="1"/>
    <col min="2567" max="2567" width="23.88671875" style="1606" customWidth="1"/>
    <col min="2568" max="2568" width="2.109375" style="1606" customWidth="1"/>
    <col min="2569" max="2569" width="23.88671875" style="1606" customWidth="1"/>
    <col min="2570" max="2570" width="2.109375" style="1606" customWidth="1"/>
    <col min="2571" max="2571" width="23.88671875" style="1606" customWidth="1"/>
    <col min="2572" max="2572" width="2.109375" style="1606" customWidth="1"/>
    <col min="2573" max="2573" width="23.88671875" style="1606" customWidth="1"/>
    <col min="2574" max="2574" width="2.109375" style="1606" customWidth="1"/>
    <col min="2575" max="2575" width="23.88671875" style="1606" customWidth="1"/>
    <col min="2576" max="2576" width="2.88671875" style="1606" bestFit="1" customWidth="1"/>
    <col min="2577" max="2815" width="8.88671875" style="1606"/>
    <col min="2816" max="2817" width="8.88671875" style="1606" customWidth="1"/>
    <col min="2818" max="2818" width="10.109375" style="1606" customWidth="1"/>
    <col min="2819" max="2819" width="2.109375" style="1606" customWidth="1"/>
    <col min="2820" max="2820" width="50.44140625" style="1606" customWidth="1"/>
    <col min="2821" max="2821" width="8.88671875" style="1606"/>
    <col min="2822" max="2822" width="2.109375" style="1606" customWidth="1"/>
    <col min="2823" max="2823" width="23.88671875" style="1606" customWidth="1"/>
    <col min="2824" max="2824" width="2.109375" style="1606" customWidth="1"/>
    <col min="2825" max="2825" width="23.88671875" style="1606" customWidth="1"/>
    <col min="2826" max="2826" width="2.109375" style="1606" customWidth="1"/>
    <col min="2827" max="2827" width="23.88671875" style="1606" customWidth="1"/>
    <col min="2828" max="2828" width="2.109375" style="1606" customWidth="1"/>
    <col min="2829" max="2829" width="23.88671875" style="1606" customWidth="1"/>
    <col min="2830" max="2830" width="2.109375" style="1606" customWidth="1"/>
    <col min="2831" max="2831" width="23.88671875" style="1606" customWidth="1"/>
    <col min="2832" max="2832" width="2.88671875" style="1606" bestFit="1" customWidth="1"/>
    <col min="2833" max="3071" width="8.88671875" style="1606"/>
    <col min="3072" max="3073" width="8.88671875" style="1606" customWidth="1"/>
    <col min="3074" max="3074" width="10.109375" style="1606" customWidth="1"/>
    <col min="3075" max="3075" width="2.109375" style="1606" customWidth="1"/>
    <col min="3076" max="3076" width="50.44140625" style="1606" customWidth="1"/>
    <col min="3077" max="3077" width="8.88671875" style="1606"/>
    <col min="3078" max="3078" width="2.109375" style="1606" customWidth="1"/>
    <col min="3079" max="3079" width="23.88671875" style="1606" customWidth="1"/>
    <col min="3080" max="3080" width="2.109375" style="1606" customWidth="1"/>
    <col min="3081" max="3081" width="23.88671875" style="1606" customWidth="1"/>
    <col min="3082" max="3082" width="2.109375" style="1606" customWidth="1"/>
    <col min="3083" max="3083" width="23.88671875" style="1606" customWidth="1"/>
    <col min="3084" max="3084" width="2.109375" style="1606" customWidth="1"/>
    <col min="3085" max="3085" width="23.88671875" style="1606" customWidth="1"/>
    <col min="3086" max="3086" width="2.109375" style="1606" customWidth="1"/>
    <col min="3087" max="3087" width="23.88671875" style="1606" customWidth="1"/>
    <col min="3088" max="3088" width="2.88671875" style="1606" bestFit="1" customWidth="1"/>
    <col min="3089" max="3327" width="8.88671875" style="1606"/>
    <col min="3328" max="3329" width="8.88671875" style="1606" customWidth="1"/>
    <col min="3330" max="3330" width="10.109375" style="1606" customWidth="1"/>
    <col min="3331" max="3331" width="2.109375" style="1606" customWidth="1"/>
    <col min="3332" max="3332" width="50.44140625" style="1606" customWidth="1"/>
    <col min="3333" max="3333" width="8.88671875" style="1606"/>
    <col min="3334" max="3334" width="2.109375" style="1606" customWidth="1"/>
    <col min="3335" max="3335" width="23.88671875" style="1606" customWidth="1"/>
    <col min="3336" max="3336" width="2.109375" style="1606" customWidth="1"/>
    <col min="3337" max="3337" width="23.88671875" style="1606" customWidth="1"/>
    <col min="3338" max="3338" width="2.109375" style="1606" customWidth="1"/>
    <col min="3339" max="3339" width="23.88671875" style="1606" customWidth="1"/>
    <col min="3340" max="3340" width="2.109375" style="1606" customWidth="1"/>
    <col min="3341" max="3341" width="23.88671875" style="1606" customWidth="1"/>
    <col min="3342" max="3342" width="2.109375" style="1606" customWidth="1"/>
    <col min="3343" max="3343" width="23.88671875" style="1606" customWidth="1"/>
    <col min="3344" max="3344" width="2.88671875" style="1606" bestFit="1" customWidth="1"/>
    <col min="3345" max="3583" width="8.88671875" style="1606"/>
    <col min="3584" max="3585" width="8.88671875" style="1606" customWidth="1"/>
    <col min="3586" max="3586" width="10.109375" style="1606" customWidth="1"/>
    <col min="3587" max="3587" width="2.109375" style="1606" customWidth="1"/>
    <col min="3588" max="3588" width="50.44140625" style="1606" customWidth="1"/>
    <col min="3589" max="3589" width="8.88671875" style="1606"/>
    <col min="3590" max="3590" width="2.109375" style="1606" customWidth="1"/>
    <col min="3591" max="3591" width="23.88671875" style="1606" customWidth="1"/>
    <col min="3592" max="3592" width="2.109375" style="1606" customWidth="1"/>
    <col min="3593" max="3593" width="23.88671875" style="1606" customWidth="1"/>
    <col min="3594" max="3594" width="2.109375" style="1606" customWidth="1"/>
    <col min="3595" max="3595" width="23.88671875" style="1606" customWidth="1"/>
    <col min="3596" max="3596" width="2.109375" style="1606" customWidth="1"/>
    <col min="3597" max="3597" width="23.88671875" style="1606" customWidth="1"/>
    <col min="3598" max="3598" width="2.109375" style="1606" customWidth="1"/>
    <col min="3599" max="3599" width="23.88671875" style="1606" customWidth="1"/>
    <col min="3600" max="3600" width="2.88671875" style="1606" bestFit="1" customWidth="1"/>
    <col min="3601" max="3839" width="8.88671875" style="1606"/>
    <col min="3840" max="3841" width="8.88671875" style="1606" customWidth="1"/>
    <col min="3842" max="3842" width="10.109375" style="1606" customWidth="1"/>
    <col min="3843" max="3843" width="2.109375" style="1606" customWidth="1"/>
    <col min="3844" max="3844" width="50.44140625" style="1606" customWidth="1"/>
    <col min="3845" max="3845" width="8.88671875" style="1606"/>
    <col min="3846" max="3846" width="2.109375" style="1606" customWidth="1"/>
    <col min="3847" max="3847" width="23.88671875" style="1606" customWidth="1"/>
    <col min="3848" max="3848" width="2.109375" style="1606" customWidth="1"/>
    <col min="3849" max="3849" width="23.88671875" style="1606" customWidth="1"/>
    <col min="3850" max="3850" width="2.109375" style="1606" customWidth="1"/>
    <col min="3851" max="3851" width="23.88671875" style="1606" customWidth="1"/>
    <col min="3852" max="3852" width="2.109375" style="1606" customWidth="1"/>
    <col min="3853" max="3853" width="23.88671875" style="1606" customWidth="1"/>
    <col min="3854" max="3854" width="2.109375" style="1606" customWidth="1"/>
    <col min="3855" max="3855" width="23.88671875" style="1606" customWidth="1"/>
    <col min="3856" max="3856" width="2.88671875" style="1606" bestFit="1" customWidth="1"/>
    <col min="3857" max="4095" width="8.88671875" style="1606"/>
    <col min="4096" max="4097" width="8.88671875" style="1606" customWidth="1"/>
    <col min="4098" max="4098" width="10.109375" style="1606" customWidth="1"/>
    <col min="4099" max="4099" width="2.109375" style="1606" customWidth="1"/>
    <col min="4100" max="4100" width="50.44140625" style="1606" customWidth="1"/>
    <col min="4101" max="4101" width="8.88671875" style="1606"/>
    <col min="4102" max="4102" width="2.109375" style="1606" customWidth="1"/>
    <col min="4103" max="4103" width="23.88671875" style="1606" customWidth="1"/>
    <col min="4104" max="4104" width="2.109375" style="1606" customWidth="1"/>
    <col min="4105" max="4105" width="23.88671875" style="1606" customWidth="1"/>
    <col min="4106" max="4106" width="2.109375" style="1606" customWidth="1"/>
    <col min="4107" max="4107" width="23.88671875" style="1606" customWidth="1"/>
    <col min="4108" max="4108" width="2.109375" style="1606" customWidth="1"/>
    <col min="4109" max="4109" width="23.88671875" style="1606" customWidth="1"/>
    <col min="4110" max="4110" width="2.109375" style="1606" customWidth="1"/>
    <col min="4111" max="4111" width="23.88671875" style="1606" customWidth="1"/>
    <col min="4112" max="4112" width="2.88671875" style="1606" bestFit="1" customWidth="1"/>
    <col min="4113" max="4351" width="8.88671875" style="1606"/>
    <col min="4352" max="4353" width="8.88671875" style="1606" customWidth="1"/>
    <col min="4354" max="4354" width="10.109375" style="1606" customWidth="1"/>
    <col min="4355" max="4355" width="2.109375" style="1606" customWidth="1"/>
    <col min="4356" max="4356" width="50.44140625" style="1606" customWidth="1"/>
    <col min="4357" max="4357" width="8.88671875" style="1606"/>
    <col min="4358" max="4358" width="2.109375" style="1606" customWidth="1"/>
    <col min="4359" max="4359" width="23.88671875" style="1606" customWidth="1"/>
    <col min="4360" max="4360" width="2.109375" style="1606" customWidth="1"/>
    <col min="4361" max="4361" width="23.88671875" style="1606" customWidth="1"/>
    <col min="4362" max="4362" width="2.109375" style="1606" customWidth="1"/>
    <col min="4363" max="4363" width="23.88671875" style="1606" customWidth="1"/>
    <col min="4364" max="4364" width="2.109375" style="1606" customWidth="1"/>
    <col min="4365" max="4365" width="23.88671875" style="1606" customWidth="1"/>
    <col min="4366" max="4366" width="2.109375" style="1606" customWidth="1"/>
    <col min="4367" max="4367" width="23.88671875" style="1606" customWidth="1"/>
    <col min="4368" max="4368" width="2.88671875" style="1606" bestFit="1" customWidth="1"/>
    <col min="4369" max="4607" width="8.88671875" style="1606"/>
    <col min="4608" max="4609" width="8.88671875" style="1606" customWidth="1"/>
    <col min="4610" max="4610" width="10.109375" style="1606" customWidth="1"/>
    <col min="4611" max="4611" width="2.109375" style="1606" customWidth="1"/>
    <col min="4612" max="4612" width="50.44140625" style="1606" customWidth="1"/>
    <col min="4613" max="4613" width="8.88671875" style="1606"/>
    <col min="4614" max="4614" width="2.109375" style="1606" customWidth="1"/>
    <col min="4615" max="4615" width="23.88671875" style="1606" customWidth="1"/>
    <col min="4616" max="4616" width="2.109375" style="1606" customWidth="1"/>
    <col min="4617" max="4617" width="23.88671875" style="1606" customWidth="1"/>
    <col min="4618" max="4618" width="2.109375" style="1606" customWidth="1"/>
    <col min="4619" max="4619" width="23.88671875" style="1606" customWidth="1"/>
    <col min="4620" max="4620" width="2.109375" style="1606" customWidth="1"/>
    <col min="4621" max="4621" width="23.88671875" style="1606" customWidth="1"/>
    <col min="4622" max="4622" width="2.109375" style="1606" customWidth="1"/>
    <col min="4623" max="4623" width="23.88671875" style="1606" customWidth="1"/>
    <col min="4624" max="4624" width="2.88671875" style="1606" bestFit="1" customWidth="1"/>
    <col min="4625" max="4863" width="8.88671875" style="1606"/>
    <col min="4864" max="4865" width="8.88671875" style="1606" customWidth="1"/>
    <col min="4866" max="4866" width="10.109375" style="1606" customWidth="1"/>
    <col min="4867" max="4867" width="2.109375" style="1606" customWidth="1"/>
    <col min="4868" max="4868" width="50.44140625" style="1606" customWidth="1"/>
    <col min="4869" max="4869" width="8.88671875" style="1606"/>
    <col min="4870" max="4870" width="2.109375" style="1606" customWidth="1"/>
    <col min="4871" max="4871" width="23.88671875" style="1606" customWidth="1"/>
    <col min="4872" max="4872" width="2.109375" style="1606" customWidth="1"/>
    <col min="4873" max="4873" width="23.88671875" style="1606" customWidth="1"/>
    <col min="4874" max="4874" width="2.109375" style="1606" customWidth="1"/>
    <col min="4875" max="4875" width="23.88671875" style="1606" customWidth="1"/>
    <col min="4876" max="4876" width="2.109375" style="1606" customWidth="1"/>
    <col min="4877" max="4877" width="23.88671875" style="1606" customWidth="1"/>
    <col min="4878" max="4878" width="2.109375" style="1606" customWidth="1"/>
    <col min="4879" max="4879" width="23.88671875" style="1606" customWidth="1"/>
    <col min="4880" max="4880" width="2.88671875" style="1606" bestFit="1" customWidth="1"/>
    <col min="4881" max="5119" width="8.88671875" style="1606"/>
    <col min="5120" max="5121" width="8.88671875" style="1606" customWidth="1"/>
    <col min="5122" max="5122" width="10.109375" style="1606" customWidth="1"/>
    <col min="5123" max="5123" width="2.109375" style="1606" customWidth="1"/>
    <col min="5124" max="5124" width="50.44140625" style="1606" customWidth="1"/>
    <col min="5125" max="5125" width="8.88671875" style="1606"/>
    <col min="5126" max="5126" width="2.109375" style="1606" customWidth="1"/>
    <col min="5127" max="5127" width="23.88671875" style="1606" customWidth="1"/>
    <col min="5128" max="5128" width="2.109375" style="1606" customWidth="1"/>
    <col min="5129" max="5129" width="23.88671875" style="1606" customWidth="1"/>
    <col min="5130" max="5130" width="2.109375" style="1606" customWidth="1"/>
    <col min="5131" max="5131" width="23.88671875" style="1606" customWidth="1"/>
    <col min="5132" max="5132" width="2.109375" style="1606" customWidth="1"/>
    <col min="5133" max="5133" width="23.88671875" style="1606" customWidth="1"/>
    <col min="5134" max="5134" width="2.109375" style="1606" customWidth="1"/>
    <col min="5135" max="5135" width="23.88671875" style="1606" customWidth="1"/>
    <col min="5136" max="5136" width="2.88671875" style="1606" bestFit="1" customWidth="1"/>
    <col min="5137" max="5375" width="8.88671875" style="1606"/>
    <col min="5376" max="5377" width="8.88671875" style="1606" customWidth="1"/>
    <col min="5378" max="5378" width="10.109375" style="1606" customWidth="1"/>
    <col min="5379" max="5379" width="2.109375" style="1606" customWidth="1"/>
    <col min="5380" max="5380" width="50.44140625" style="1606" customWidth="1"/>
    <col min="5381" max="5381" width="8.88671875" style="1606"/>
    <col min="5382" max="5382" width="2.109375" style="1606" customWidth="1"/>
    <col min="5383" max="5383" width="23.88671875" style="1606" customWidth="1"/>
    <col min="5384" max="5384" width="2.109375" style="1606" customWidth="1"/>
    <col min="5385" max="5385" width="23.88671875" style="1606" customWidth="1"/>
    <col min="5386" max="5386" width="2.109375" style="1606" customWidth="1"/>
    <col min="5387" max="5387" width="23.88671875" style="1606" customWidth="1"/>
    <col min="5388" max="5388" width="2.109375" style="1606" customWidth="1"/>
    <col min="5389" max="5389" width="23.88671875" style="1606" customWidth="1"/>
    <col min="5390" max="5390" width="2.109375" style="1606" customWidth="1"/>
    <col min="5391" max="5391" width="23.88671875" style="1606" customWidth="1"/>
    <col min="5392" max="5392" width="2.88671875" style="1606" bestFit="1" customWidth="1"/>
    <col min="5393" max="5631" width="8.88671875" style="1606"/>
    <col min="5632" max="5633" width="8.88671875" style="1606" customWidth="1"/>
    <col min="5634" max="5634" width="10.109375" style="1606" customWidth="1"/>
    <col min="5635" max="5635" width="2.109375" style="1606" customWidth="1"/>
    <col min="5636" max="5636" width="50.44140625" style="1606" customWidth="1"/>
    <col min="5637" max="5637" width="8.88671875" style="1606"/>
    <col min="5638" max="5638" width="2.109375" style="1606" customWidth="1"/>
    <col min="5639" max="5639" width="23.88671875" style="1606" customWidth="1"/>
    <col min="5640" max="5640" width="2.109375" style="1606" customWidth="1"/>
    <col min="5641" max="5641" width="23.88671875" style="1606" customWidth="1"/>
    <col min="5642" max="5642" width="2.109375" style="1606" customWidth="1"/>
    <col min="5643" max="5643" width="23.88671875" style="1606" customWidth="1"/>
    <col min="5644" max="5644" width="2.109375" style="1606" customWidth="1"/>
    <col min="5645" max="5645" width="23.88671875" style="1606" customWidth="1"/>
    <col min="5646" max="5646" width="2.109375" style="1606" customWidth="1"/>
    <col min="5647" max="5647" width="23.88671875" style="1606" customWidth="1"/>
    <col min="5648" max="5648" width="2.88671875" style="1606" bestFit="1" customWidth="1"/>
    <col min="5649" max="5887" width="8.88671875" style="1606"/>
    <col min="5888" max="5889" width="8.88671875" style="1606" customWidth="1"/>
    <col min="5890" max="5890" width="10.109375" style="1606" customWidth="1"/>
    <col min="5891" max="5891" width="2.109375" style="1606" customWidth="1"/>
    <col min="5892" max="5892" width="50.44140625" style="1606" customWidth="1"/>
    <col min="5893" max="5893" width="8.88671875" style="1606"/>
    <col min="5894" max="5894" width="2.109375" style="1606" customWidth="1"/>
    <col min="5895" max="5895" width="23.88671875" style="1606" customWidth="1"/>
    <col min="5896" max="5896" width="2.109375" style="1606" customWidth="1"/>
    <col min="5897" max="5897" width="23.88671875" style="1606" customWidth="1"/>
    <col min="5898" max="5898" width="2.109375" style="1606" customWidth="1"/>
    <col min="5899" max="5899" width="23.88671875" style="1606" customWidth="1"/>
    <col min="5900" max="5900" width="2.109375" style="1606" customWidth="1"/>
    <col min="5901" max="5901" width="23.88671875" style="1606" customWidth="1"/>
    <col min="5902" max="5902" width="2.109375" style="1606" customWidth="1"/>
    <col min="5903" max="5903" width="23.88671875" style="1606" customWidth="1"/>
    <col min="5904" max="5904" width="2.88671875" style="1606" bestFit="1" customWidth="1"/>
    <col min="5905" max="6143" width="8.88671875" style="1606"/>
    <col min="6144" max="6145" width="8.88671875" style="1606" customWidth="1"/>
    <col min="6146" max="6146" width="10.109375" style="1606" customWidth="1"/>
    <col min="6147" max="6147" width="2.109375" style="1606" customWidth="1"/>
    <col min="6148" max="6148" width="50.44140625" style="1606" customWidth="1"/>
    <col min="6149" max="6149" width="8.88671875" style="1606"/>
    <col min="6150" max="6150" width="2.109375" style="1606" customWidth="1"/>
    <col min="6151" max="6151" width="23.88671875" style="1606" customWidth="1"/>
    <col min="6152" max="6152" width="2.109375" style="1606" customWidth="1"/>
    <col min="6153" max="6153" width="23.88671875" style="1606" customWidth="1"/>
    <col min="6154" max="6154" width="2.109375" style="1606" customWidth="1"/>
    <col min="6155" max="6155" width="23.88671875" style="1606" customWidth="1"/>
    <col min="6156" max="6156" width="2.109375" style="1606" customWidth="1"/>
    <col min="6157" max="6157" width="23.88671875" style="1606" customWidth="1"/>
    <col min="6158" max="6158" width="2.109375" style="1606" customWidth="1"/>
    <col min="6159" max="6159" width="23.88671875" style="1606" customWidth="1"/>
    <col min="6160" max="6160" width="2.88671875" style="1606" bestFit="1" customWidth="1"/>
    <col min="6161" max="6399" width="8.88671875" style="1606"/>
    <col min="6400" max="6401" width="8.88671875" style="1606" customWidth="1"/>
    <col min="6402" max="6402" width="10.109375" style="1606" customWidth="1"/>
    <col min="6403" max="6403" width="2.109375" style="1606" customWidth="1"/>
    <col min="6404" max="6404" width="50.44140625" style="1606" customWidth="1"/>
    <col min="6405" max="6405" width="8.88671875" style="1606"/>
    <col min="6406" max="6406" width="2.109375" style="1606" customWidth="1"/>
    <col min="6407" max="6407" width="23.88671875" style="1606" customWidth="1"/>
    <col min="6408" max="6408" width="2.109375" style="1606" customWidth="1"/>
    <col min="6409" max="6409" width="23.88671875" style="1606" customWidth="1"/>
    <col min="6410" max="6410" width="2.109375" style="1606" customWidth="1"/>
    <col min="6411" max="6411" width="23.88671875" style="1606" customWidth="1"/>
    <col min="6412" max="6412" width="2.109375" style="1606" customWidth="1"/>
    <col min="6413" max="6413" width="23.88671875" style="1606" customWidth="1"/>
    <col min="6414" max="6414" width="2.109375" style="1606" customWidth="1"/>
    <col min="6415" max="6415" width="23.88671875" style="1606" customWidth="1"/>
    <col min="6416" max="6416" width="2.88671875" style="1606" bestFit="1" customWidth="1"/>
    <col min="6417" max="6655" width="8.88671875" style="1606"/>
    <col min="6656" max="6657" width="8.88671875" style="1606" customWidth="1"/>
    <col min="6658" max="6658" width="10.109375" style="1606" customWidth="1"/>
    <col min="6659" max="6659" width="2.109375" style="1606" customWidth="1"/>
    <col min="6660" max="6660" width="50.44140625" style="1606" customWidth="1"/>
    <col min="6661" max="6661" width="8.88671875" style="1606"/>
    <col min="6662" max="6662" width="2.109375" style="1606" customWidth="1"/>
    <col min="6663" max="6663" width="23.88671875" style="1606" customWidth="1"/>
    <col min="6664" max="6664" width="2.109375" style="1606" customWidth="1"/>
    <col min="6665" max="6665" width="23.88671875" style="1606" customWidth="1"/>
    <col min="6666" max="6666" width="2.109375" style="1606" customWidth="1"/>
    <col min="6667" max="6667" width="23.88671875" style="1606" customWidth="1"/>
    <col min="6668" max="6668" width="2.109375" style="1606" customWidth="1"/>
    <col min="6669" max="6669" width="23.88671875" style="1606" customWidth="1"/>
    <col min="6670" max="6670" width="2.109375" style="1606" customWidth="1"/>
    <col min="6671" max="6671" width="23.88671875" style="1606" customWidth="1"/>
    <col min="6672" max="6672" width="2.88671875" style="1606" bestFit="1" customWidth="1"/>
    <col min="6673" max="6911" width="8.88671875" style="1606"/>
    <col min="6912" max="6913" width="8.88671875" style="1606" customWidth="1"/>
    <col min="6914" max="6914" width="10.109375" style="1606" customWidth="1"/>
    <col min="6915" max="6915" width="2.109375" style="1606" customWidth="1"/>
    <col min="6916" max="6916" width="50.44140625" style="1606" customWidth="1"/>
    <col min="6917" max="6917" width="8.88671875" style="1606"/>
    <col min="6918" max="6918" width="2.109375" style="1606" customWidth="1"/>
    <col min="6919" max="6919" width="23.88671875" style="1606" customWidth="1"/>
    <col min="6920" max="6920" width="2.109375" style="1606" customWidth="1"/>
    <col min="6921" max="6921" width="23.88671875" style="1606" customWidth="1"/>
    <col min="6922" max="6922" width="2.109375" style="1606" customWidth="1"/>
    <col min="6923" max="6923" width="23.88671875" style="1606" customWidth="1"/>
    <col min="6924" max="6924" width="2.109375" style="1606" customWidth="1"/>
    <col min="6925" max="6925" width="23.88671875" style="1606" customWidth="1"/>
    <col min="6926" max="6926" width="2.109375" style="1606" customWidth="1"/>
    <col min="6927" max="6927" width="23.88671875" style="1606" customWidth="1"/>
    <col min="6928" max="6928" width="2.88671875" style="1606" bestFit="1" customWidth="1"/>
    <col min="6929" max="7167" width="8.88671875" style="1606"/>
    <col min="7168" max="7169" width="8.88671875" style="1606" customWidth="1"/>
    <col min="7170" max="7170" width="10.109375" style="1606" customWidth="1"/>
    <col min="7171" max="7171" width="2.109375" style="1606" customWidth="1"/>
    <col min="7172" max="7172" width="50.44140625" style="1606" customWidth="1"/>
    <col min="7173" max="7173" width="8.88671875" style="1606"/>
    <col min="7174" max="7174" width="2.109375" style="1606" customWidth="1"/>
    <col min="7175" max="7175" width="23.88671875" style="1606" customWidth="1"/>
    <col min="7176" max="7176" width="2.109375" style="1606" customWidth="1"/>
    <col min="7177" max="7177" width="23.88671875" style="1606" customWidth="1"/>
    <col min="7178" max="7178" width="2.109375" style="1606" customWidth="1"/>
    <col min="7179" max="7179" width="23.88671875" style="1606" customWidth="1"/>
    <col min="7180" max="7180" width="2.109375" style="1606" customWidth="1"/>
    <col min="7181" max="7181" width="23.88671875" style="1606" customWidth="1"/>
    <col min="7182" max="7182" width="2.109375" style="1606" customWidth="1"/>
    <col min="7183" max="7183" width="23.88671875" style="1606" customWidth="1"/>
    <col min="7184" max="7184" width="2.88671875" style="1606" bestFit="1" customWidth="1"/>
    <col min="7185" max="7423" width="8.88671875" style="1606"/>
    <col min="7424" max="7425" width="8.88671875" style="1606" customWidth="1"/>
    <col min="7426" max="7426" width="10.109375" style="1606" customWidth="1"/>
    <col min="7427" max="7427" width="2.109375" style="1606" customWidth="1"/>
    <col min="7428" max="7428" width="50.44140625" style="1606" customWidth="1"/>
    <col min="7429" max="7429" width="8.88671875" style="1606"/>
    <col min="7430" max="7430" width="2.109375" style="1606" customWidth="1"/>
    <col min="7431" max="7431" width="23.88671875" style="1606" customWidth="1"/>
    <col min="7432" max="7432" width="2.109375" style="1606" customWidth="1"/>
    <col min="7433" max="7433" width="23.88671875" style="1606" customWidth="1"/>
    <col min="7434" max="7434" width="2.109375" style="1606" customWidth="1"/>
    <col min="7435" max="7435" width="23.88671875" style="1606" customWidth="1"/>
    <col min="7436" max="7436" width="2.109375" style="1606" customWidth="1"/>
    <col min="7437" max="7437" width="23.88671875" style="1606" customWidth="1"/>
    <col min="7438" max="7438" width="2.109375" style="1606" customWidth="1"/>
    <col min="7439" max="7439" width="23.88671875" style="1606" customWidth="1"/>
    <col min="7440" max="7440" width="2.88671875" style="1606" bestFit="1" customWidth="1"/>
    <col min="7441" max="7679" width="8.88671875" style="1606"/>
    <col min="7680" max="7681" width="8.88671875" style="1606" customWidth="1"/>
    <col min="7682" max="7682" width="10.109375" style="1606" customWidth="1"/>
    <col min="7683" max="7683" width="2.109375" style="1606" customWidth="1"/>
    <col min="7684" max="7684" width="50.44140625" style="1606" customWidth="1"/>
    <col min="7685" max="7685" width="8.88671875" style="1606"/>
    <col min="7686" max="7686" width="2.109375" style="1606" customWidth="1"/>
    <col min="7687" max="7687" width="23.88671875" style="1606" customWidth="1"/>
    <col min="7688" max="7688" width="2.109375" style="1606" customWidth="1"/>
    <col min="7689" max="7689" width="23.88671875" style="1606" customWidth="1"/>
    <col min="7690" max="7690" width="2.109375" style="1606" customWidth="1"/>
    <col min="7691" max="7691" width="23.88671875" style="1606" customWidth="1"/>
    <col min="7692" max="7692" width="2.109375" style="1606" customWidth="1"/>
    <col min="7693" max="7693" width="23.88671875" style="1606" customWidth="1"/>
    <col min="7694" max="7694" width="2.109375" style="1606" customWidth="1"/>
    <col min="7695" max="7695" width="23.88671875" style="1606" customWidth="1"/>
    <col min="7696" max="7696" width="2.88671875" style="1606" bestFit="1" customWidth="1"/>
    <col min="7697" max="7935" width="8.88671875" style="1606"/>
    <col min="7936" max="7937" width="8.88671875" style="1606" customWidth="1"/>
    <col min="7938" max="7938" width="10.109375" style="1606" customWidth="1"/>
    <col min="7939" max="7939" width="2.109375" style="1606" customWidth="1"/>
    <col min="7940" max="7940" width="50.44140625" style="1606" customWidth="1"/>
    <col min="7941" max="7941" width="8.88671875" style="1606"/>
    <col min="7942" max="7942" width="2.109375" style="1606" customWidth="1"/>
    <col min="7943" max="7943" width="23.88671875" style="1606" customWidth="1"/>
    <col min="7944" max="7944" width="2.109375" style="1606" customWidth="1"/>
    <col min="7945" max="7945" width="23.88671875" style="1606" customWidth="1"/>
    <col min="7946" max="7946" width="2.109375" style="1606" customWidth="1"/>
    <col min="7947" max="7947" width="23.88671875" style="1606" customWidth="1"/>
    <col min="7948" max="7948" width="2.109375" style="1606" customWidth="1"/>
    <col min="7949" max="7949" width="23.88671875" style="1606" customWidth="1"/>
    <col min="7950" max="7950" width="2.109375" style="1606" customWidth="1"/>
    <col min="7951" max="7951" width="23.88671875" style="1606" customWidth="1"/>
    <col min="7952" max="7952" width="2.88671875" style="1606" bestFit="1" customWidth="1"/>
    <col min="7953" max="8191" width="8.88671875" style="1606"/>
    <col min="8192" max="8193" width="8.88671875" style="1606" customWidth="1"/>
    <col min="8194" max="8194" width="10.109375" style="1606" customWidth="1"/>
    <col min="8195" max="8195" width="2.109375" style="1606" customWidth="1"/>
    <col min="8196" max="8196" width="50.44140625" style="1606" customWidth="1"/>
    <col min="8197" max="8197" width="8.88671875" style="1606"/>
    <col min="8198" max="8198" width="2.109375" style="1606" customWidth="1"/>
    <col min="8199" max="8199" width="23.88671875" style="1606" customWidth="1"/>
    <col min="8200" max="8200" width="2.109375" style="1606" customWidth="1"/>
    <col min="8201" max="8201" width="23.88671875" style="1606" customWidth="1"/>
    <col min="8202" max="8202" width="2.109375" style="1606" customWidth="1"/>
    <col min="8203" max="8203" width="23.88671875" style="1606" customWidth="1"/>
    <col min="8204" max="8204" width="2.109375" style="1606" customWidth="1"/>
    <col min="8205" max="8205" width="23.88671875" style="1606" customWidth="1"/>
    <col min="8206" max="8206" width="2.109375" style="1606" customWidth="1"/>
    <col min="8207" max="8207" width="23.88671875" style="1606" customWidth="1"/>
    <col min="8208" max="8208" width="2.88671875" style="1606" bestFit="1" customWidth="1"/>
    <col min="8209" max="8447" width="8.88671875" style="1606"/>
    <col min="8448" max="8449" width="8.88671875" style="1606" customWidth="1"/>
    <col min="8450" max="8450" width="10.109375" style="1606" customWidth="1"/>
    <col min="8451" max="8451" width="2.109375" style="1606" customWidth="1"/>
    <col min="8452" max="8452" width="50.44140625" style="1606" customWidth="1"/>
    <col min="8453" max="8453" width="8.88671875" style="1606"/>
    <col min="8454" max="8454" width="2.109375" style="1606" customWidth="1"/>
    <col min="8455" max="8455" width="23.88671875" style="1606" customWidth="1"/>
    <col min="8456" max="8456" width="2.109375" style="1606" customWidth="1"/>
    <col min="8457" max="8457" width="23.88671875" style="1606" customWidth="1"/>
    <col min="8458" max="8458" width="2.109375" style="1606" customWidth="1"/>
    <col min="8459" max="8459" width="23.88671875" style="1606" customWidth="1"/>
    <col min="8460" max="8460" width="2.109375" style="1606" customWidth="1"/>
    <col min="8461" max="8461" width="23.88671875" style="1606" customWidth="1"/>
    <col min="8462" max="8462" width="2.109375" style="1606" customWidth="1"/>
    <col min="8463" max="8463" width="23.88671875" style="1606" customWidth="1"/>
    <col min="8464" max="8464" width="2.88671875" style="1606" bestFit="1" customWidth="1"/>
    <col min="8465" max="8703" width="8.88671875" style="1606"/>
    <col min="8704" max="8705" width="8.88671875" style="1606" customWidth="1"/>
    <col min="8706" max="8706" width="10.109375" style="1606" customWidth="1"/>
    <col min="8707" max="8707" width="2.109375" style="1606" customWidth="1"/>
    <col min="8708" max="8708" width="50.44140625" style="1606" customWidth="1"/>
    <col min="8709" max="8709" width="8.88671875" style="1606"/>
    <col min="8710" max="8710" width="2.109375" style="1606" customWidth="1"/>
    <col min="8711" max="8711" width="23.88671875" style="1606" customWidth="1"/>
    <col min="8712" max="8712" width="2.109375" style="1606" customWidth="1"/>
    <col min="8713" max="8713" width="23.88671875" style="1606" customWidth="1"/>
    <col min="8714" max="8714" width="2.109375" style="1606" customWidth="1"/>
    <col min="8715" max="8715" width="23.88671875" style="1606" customWidth="1"/>
    <col min="8716" max="8716" width="2.109375" style="1606" customWidth="1"/>
    <col min="8717" max="8717" width="23.88671875" style="1606" customWidth="1"/>
    <col min="8718" max="8718" width="2.109375" style="1606" customWidth="1"/>
    <col min="8719" max="8719" width="23.88671875" style="1606" customWidth="1"/>
    <col min="8720" max="8720" width="2.88671875" style="1606" bestFit="1" customWidth="1"/>
    <col min="8721" max="8959" width="8.88671875" style="1606"/>
    <col min="8960" max="8961" width="8.88671875" style="1606" customWidth="1"/>
    <col min="8962" max="8962" width="10.109375" style="1606" customWidth="1"/>
    <col min="8963" max="8963" width="2.109375" style="1606" customWidth="1"/>
    <col min="8964" max="8964" width="50.44140625" style="1606" customWidth="1"/>
    <col min="8965" max="8965" width="8.88671875" style="1606"/>
    <col min="8966" max="8966" width="2.109375" style="1606" customWidth="1"/>
    <col min="8967" max="8967" width="23.88671875" style="1606" customWidth="1"/>
    <col min="8968" max="8968" width="2.109375" style="1606" customWidth="1"/>
    <col min="8969" max="8969" width="23.88671875" style="1606" customWidth="1"/>
    <col min="8970" max="8970" width="2.109375" style="1606" customWidth="1"/>
    <col min="8971" max="8971" width="23.88671875" style="1606" customWidth="1"/>
    <col min="8972" max="8972" width="2.109375" style="1606" customWidth="1"/>
    <col min="8973" max="8973" width="23.88671875" style="1606" customWidth="1"/>
    <col min="8974" max="8974" width="2.109375" style="1606" customWidth="1"/>
    <col min="8975" max="8975" width="23.88671875" style="1606" customWidth="1"/>
    <col min="8976" max="8976" width="2.88671875" style="1606" bestFit="1" customWidth="1"/>
    <col min="8977" max="9215" width="8.88671875" style="1606"/>
    <col min="9216" max="9217" width="8.88671875" style="1606" customWidth="1"/>
    <col min="9218" max="9218" width="10.109375" style="1606" customWidth="1"/>
    <col min="9219" max="9219" width="2.109375" style="1606" customWidth="1"/>
    <col min="9220" max="9220" width="50.44140625" style="1606" customWidth="1"/>
    <col min="9221" max="9221" width="8.88671875" style="1606"/>
    <col min="9222" max="9222" width="2.109375" style="1606" customWidth="1"/>
    <col min="9223" max="9223" width="23.88671875" style="1606" customWidth="1"/>
    <col min="9224" max="9224" width="2.109375" style="1606" customWidth="1"/>
    <col min="9225" max="9225" width="23.88671875" style="1606" customWidth="1"/>
    <col min="9226" max="9226" width="2.109375" style="1606" customWidth="1"/>
    <col min="9227" max="9227" width="23.88671875" style="1606" customWidth="1"/>
    <col min="9228" max="9228" width="2.109375" style="1606" customWidth="1"/>
    <col min="9229" max="9229" width="23.88671875" style="1606" customWidth="1"/>
    <col min="9230" max="9230" width="2.109375" style="1606" customWidth="1"/>
    <col min="9231" max="9231" width="23.88671875" style="1606" customWidth="1"/>
    <col min="9232" max="9232" width="2.88671875" style="1606" bestFit="1" customWidth="1"/>
    <col min="9233" max="9471" width="8.88671875" style="1606"/>
    <col min="9472" max="9473" width="8.88671875" style="1606" customWidth="1"/>
    <col min="9474" max="9474" width="10.109375" style="1606" customWidth="1"/>
    <col min="9475" max="9475" width="2.109375" style="1606" customWidth="1"/>
    <col min="9476" max="9476" width="50.44140625" style="1606" customWidth="1"/>
    <col min="9477" max="9477" width="8.88671875" style="1606"/>
    <col min="9478" max="9478" width="2.109375" style="1606" customWidth="1"/>
    <col min="9479" max="9479" width="23.88671875" style="1606" customWidth="1"/>
    <col min="9480" max="9480" width="2.109375" style="1606" customWidth="1"/>
    <col min="9481" max="9481" width="23.88671875" style="1606" customWidth="1"/>
    <col min="9482" max="9482" width="2.109375" style="1606" customWidth="1"/>
    <col min="9483" max="9483" width="23.88671875" style="1606" customWidth="1"/>
    <col min="9484" max="9484" width="2.109375" style="1606" customWidth="1"/>
    <col min="9485" max="9485" width="23.88671875" style="1606" customWidth="1"/>
    <col min="9486" max="9486" width="2.109375" style="1606" customWidth="1"/>
    <col min="9487" max="9487" width="23.88671875" style="1606" customWidth="1"/>
    <col min="9488" max="9488" width="2.88671875" style="1606" bestFit="1" customWidth="1"/>
    <col min="9489" max="9727" width="8.88671875" style="1606"/>
    <col min="9728" max="9729" width="8.88671875" style="1606" customWidth="1"/>
    <col min="9730" max="9730" width="10.109375" style="1606" customWidth="1"/>
    <col min="9731" max="9731" width="2.109375" style="1606" customWidth="1"/>
    <col min="9732" max="9732" width="50.44140625" style="1606" customWidth="1"/>
    <col min="9733" max="9733" width="8.88671875" style="1606"/>
    <col min="9734" max="9734" width="2.109375" style="1606" customWidth="1"/>
    <col min="9735" max="9735" width="23.88671875" style="1606" customWidth="1"/>
    <col min="9736" max="9736" width="2.109375" style="1606" customWidth="1"/>
    <col min="9737" max="9737" width="23.88671875" style="1606" customWidth="1"/>
    <col min="9738" max="9738" width="2.109375" style="1606" customWidth="1"/>
    <col min="9739" max="9739" width="23.88671875" style="1606" customWidth="1"/>
    <col min="9740" max="9740" width="2.109375" style="1606" customWidth="1"/>
    <col min="9741" max="9741" width="23.88671875" style="1606" customWidth="1"/>
    <col min="9742" max="9742" width="2.109375" style="1606" customWidth="1"/>
    <col min="9743" max="9743" width="23.88671875" style="1606" customWidth="1"/>
    <col min="9744" max="9744" width="2.88671875" style="1606" bestFit="1" customWidth="1"/>
    <col min="9745" max="9983" width="8.88671875" style="1606"/>
    <col min="9984" max="9985" width="8.88671875" style="1606" customWidth="1"/>
    <col min="9986" max="9986" width="10.109375" style="1606" customWidth="1"/>
    <col min="9987" max="9987" width="2.109375" style="1606" customWidth="1"/>
    <col min="9988" max="9988" width="50.44140625" style="1606" customWidth="1"/>
    <col min="9989" max="9989" width="8.88671875" style="1606"/>
    <col min="9990" max="9990" width="2.109375" style="1606" customWidth="1"/>
    <col min="9991" max="9991" width="23.88671875" style="1606" customWidth="1"/>
    <col min="9992" max="9992" width="2.109375" style="1606" customWidth="1"/>
    <col min="9993" max="9993" width="23.88671875" style="1606" customWidth="1"/>
    <col min="9994" max="9994" width="2.109375" style="1606" customWidth="1"/>
    <col min="9995" max="9995" width="23.88671875" style="1606" customWidth="1"/>
    <col min="9996" max="9996" width="2.109375" style="1606" customWidth="1"/>
    <col min="9997" max="9997" width="23.88671875" style="1606" customWidth="1"/>
    <col min="9998" max="9998" width="2.109375" style="1606" customWidth="1"/>
    <col min="9999" max="9999" width="23.88671875" style="1606" customWidth="1"/>
    <col min="10000" max="10000" width="2.88671875" style="1606" bestFit="1" customWidth="1"/>
    <col min="10001" max="10239" width="8.88671875" style="1606"/>
    <col min="10240" max="10241" width="8.88671875" style="1606" customWidth="1"/>
    <col min="10242" max="10242" width="10.109375" style="1606" customWidth="1"/>
    <col min="10243" max="10243" width="2.109375" style="1606" customWidth="1"/>
    <col min="10244" max="10244" width="50.44140625" style="1606" customWidth="1"/>
    <col min="10245" max="10245" width="8.88671875" style="1606"/>
    <col min="10246" max="10246" width="2.109375" style="1606" customWidth="1"/>
    <col min="10247" max="10247" width="23.88671875" style="1606" customWidth="1"/>
    <col min="10248" max="10248" width="2.109375" style="1606" customWidth="1"/>
    <col min="10249" max="10249" width="23.88671875" style="1606" customWidth="1"/>
    <col min="10250" max="10250" width="2.109375" style="1606" customWidth="1"/>
    <col min="10251" max="10251" width="23.88671875" style="1606" customWidth="1"/>
    <col min="10252" max="10252" width="2.109375" style="1606" customWidth="1"/>
    <col min="10253" max="10253" width="23.88671875" style="1606" customWidth="1"/>
    <col min="10254" max="10254" width="2.109375" style="1606" customWidth="1"/>
    <col min="10255" max="10255" width="23.88671875" style="1606" customWidth="1"/>
    <col min="10256" max="10256" width="2.88671875" style="1606" bestFit="1" customWidth="1"/>
    <col min="10257" max="10495" width="8.88671875" style="1606"/>
    <col min="10496" max="10497" width="8.88671875" style="1606" customWidth="1"/>
    <col min="10498" max="10498" width="10.109375" style="1606" customWidth="1"/>
    <col min="10499" max="10499" width="2.109375" style="1606" customWidth="1"/>
    <col min="10500" max="10500" width="50.44140625" style="1606" customWidth="1"/>
    <col min="10501" max="10501" width="8.88671875" style="1606"/>
    <col min="10502" max="10502" width="2.109375" style="1606" customWidth="1"/>
    <col min="10503" max="10503" width="23.88671875" style="1606" customWidth="1"/>
    <col min="10504" max="10504" width="2.109375" style="1606" customWidth="1"/>
    <col min="10505" max="10505" width="23.88671875" style="1606" customWidth="1"/>
    <col min="10506" max="10506" width="2.109375" style="1606" customWidth="1"/>
    <col min="10507" max="10507" width="23.88671875" style="1606" customWidth="1"/>
    <col min="10508" max="10508" width="2.109375" style="1606" customWidth="1"/>
    <col min="10509" max="10509" width="23.88671875" style="1606" customWidth="1"/>
    <col min="10510" max="10510" width="2.109375" style="1606" customWidth="1"/>
    <col min="10511" max="10511" width="23.88671875" style="1606" customWidth="1"/>
    <col min="10512" max="10512" width="2.88671875" style="1606" bestFit="1" customWidth="1"/>
    <col min="10513" max="10751" width="8.88671875" style="1606"/>
    <col min="10752" max="10753" width="8.88671875" style="1606" customWidth="1"/>
    <col min="10754" max="10754" width="10.109375" style="1606" customWidth="1"/>
    <col min="10755" max="10755" width="2.109375" style="1606" customWidth="1"/>
    <col min="10756" max="10756" width="50.44140625" style="1606" customWidth="1"/>
    <col min="10757" max="10757" width="8.88671875" style="1606"/>
    <col min="10758" max="10758" width="2.109375" style="1606" customWidth="1"/>
    <col min="10759" max="10759" width="23.88671875" style="1606" customWidth="1"/>
    <col min="10760" max="10760" width="2.109375" style="1606" customWidth="1"/>
    <col min="10761" max="10761" width="23.88671875" style="1606" customWidth="1"/>
    <col min="10762" max="10762" width="2.109375" style="1606" customWidth="1"/>
    <col min="10763" max="10763" width="23.88671875" style="1606" customWidth="1"/>
    <col min="10764" max="10764" width="2.109375" style="1606" customWidth="1"/>
    <col min="10765" max="10765" width="23.88671875" style="1606" customWidth="1"/>
    <col min="10766" max="10766" width="2.109375" style="1606" customWidth="1"/>
    <col min="10767" max="10767" width="23.88671875" style="1606" customWidth="1"/>
    <col min="10768" max="10768" width="2.88671875" style="1606" bestFit="1" customWidth="1"/>
    <col min="10769" max="11007" width="8.88671875" style="1606"/>
    <col min="11008" max="11009" width="8.88671875" style="1606" customWidth="1"/>
    <col min="11010" max="11010" width="10.109375" style="1606" customWidth="1"/>
    <col min="11011" max="11011" width="2.109375" style="1606" customWidth="1"/>
    <col min="11012" max="11012" width="50.44140625" style="1606" customWidth="1"/>
    <col min="11013" max="11013" width="8.88671875" style="1606"/>
    <col min="11014" max="11014" width="2.109375" style="1606" customWidth="1"/>
    <col min="11015" max="11015" width="23.88671875" style="1606" customWidth="1"/>
    <col min="11016" max="11016" width="2.109375" style="1606" customWidth="1"/>
    <col min="11017" max="11017" width="23.88671875" style="1606" customWidth="1"/>
    <col min="11018" max="11018" width="2.109375" style="1606" customWidth="1"/>
    <col min="11019" max="11019" width="23.88671875" style="1606" customWidth="1"/>
    <col min="11020" max="11020" width="2.109375" style="1606" customWidth="1"/>
    <col min="11021" max="11021" width="23.88671875" style="1606" customWidth="1"/>
    <col min="11022" max="11022" width="2.109375" style="1606" customWidth="1"/>
    <col min="11023" max="11023" width="23.88671875" style="1606" customWidth="1"/>
    <col min="11024" max="11024" width="2.88671875" style="1606" bestFit="1" customWidth="1"/>
    <col min="11025" max="11263" width="8.88671875" style="1606"/>
    <col min="11264" max="11265" width="8.88671875" style="1606" customWidth="1"/>
    <col min="11266" max="11266" width="10.109375" style="1606" customWidth="1"/>
    <col min="11267" max="11267" width="2.109375" style="1606" customWidth="1"/>
    <col min="11268" max="11268" width="50.44140625" style="1606" customWidth="1"/>
    <col min="11269" max="11269" width="8.88671875" style="1606"/>
    <col min="11270" max="11270" width="2.109375" style="1606" customWidth="1"/>
    <col min="11271" max="11271" width="23.88671875" style="1606" customWidth="1"/>
    <col min="11272" max="11272" width="2.109375" style="1606" customWidth="1"/>
    <col min="11273" max="11273" width="23.88671875" style="1606" customWidth="1"/>
    <col min="11274" max="11274" width="2.109375" style="1606" customWidth="1"/>
    <col min="11275" max="11275" width="23.88671875" style="1606" customWidth="1"/>
    <col min="11276" max="11276" width="2.109375" style="1606" customWidth="1"/>
    <col min="11277" max="11277" width="23.88671875" style="1606" customWidth="1"/>
    <col min="11278" max="11278" width="2.109375" style="1606" customWidth="1"/>
    <col min="11279" max="11279" width="23.88671875" style="1606" customWidth="1"/>
    <col min="11280" max="11280" width="2.88671875" style="1606" bestFit="1" customWidth="1"/>
    <col min="11281" max="11519" width="8.88671875" style="1606"/>
    <col min="11520" max="11521" width="8.88671875" style="1606" customWidth="1"/>
    <col min="11522" max="11522" width="10.109375" style="1606" customWidth="1"/>
    <col min="11523" max="11523" width="2.109375" style="1606" customWidth="1"/>
    <col min="11524" max="11524" width="50.44140625" style="1606" customWidth="1"/>
    <col min="11525" max="11525" width="8.88671875" style="1606"/>
    <col min="11526" max="11526" width="2.109375" style="1606" customWidth="1"/>
    <col min="11527" max="11527" width="23.88671875" style="1606" customWidth="1"/>
    <col min="11528" max="11528" width="2.109375" style="1606" customWidth="1"/>
    <col min="11529" max="11529" width="23.88671875" style="1606" customWidth="1"/>
    <col min="11530" max="11530" width="2.109375" style="1606" customWidth="1"/>
    <col min="11531" max="11531" width="23.88671875" style="1606" customWidth="1"/>
    <col min="11532" max="11532" width="2.109375" style="1606" customWidth="1"/>
    <col min="11533" max="11533" width="23.88671875" style="1606" customWidth="1"/>
    <col min="11534" max="11534" width="2.109375" style="1606" customWidth="1"/>
    <col min="11535" max="11535" width="23.88671875" style="1606" customWidth="1"/>
    <col min="11536" max="11536" width="2.88671875" style="1606" bestFit="1" customWidth="1"/>
    <col min="11537" max="11775" width="8.88671875" style="1606"/>
    <col min="11776" max="11777" width="8.88671875" style="1606" customWidth="1"/>
    <col min="11778" max="11778" width="10.109375" style="1606" customWidth="1"/>
    <col min="11779" max="11779" width="2.109375" style="1606" customWidth="1"/>
    <col min="11780" max="11780" width="50.44140625" style="1606" customWidth="1"/>
    <col min="11781" max="11781" width="8.88671875" style="1606"/>
    <col min="11782" max="11782" width="2.109375" style="1606" customWidth="1"/>
    <col min="11783" max="11783" width="23.88671875" style="1606" customWidth="1"/>
    <col min="11784" max="11784" width="2.109375" style="1606" customWidth="1"/>
    <col min="11785" max="11785" width="23.88671875" style="1606" customWidth="1"/>
    <col min="11786" max="11786" width="2.109375" style="1606" customWidth="1"/>
    <col min="11787" max="11787" width="23.88671875" style="1606" customWidth="1"/>
    <col min="11788" max="11788" width="2.109375" style="1606" customWidth="1"/>
    <col min="11789" max="11789" width="23.88671875" style="1606" customWidth="1"/>
    <col min="11790" max="11790" width="2.109375" style="1606" customWidth="1"/>
    <col min="11791" max="11791" width="23.88671875" style="1606" customWidth="1"/>
    <col min="11792" max="11792" width="2.88671875" style="1606" bestFit="1" customWidth="1"/>
    <col min="11793" max="12031" width="8.88671875" style="1606"/>
    <col min="12032" max="12033" width="8.88671875" style="1606" customWidth="1"/>
    <col min="12034" max="12034" width="10.109375" style="1606" customWidth="1"/>
    <col min="12035" max="12035" width="2.109375" style="1606" customWidth="1"/>
    <col min="12036" max="12036" width="50.44140625" style="1606" customWidth="1"/>
    <col min="12037" max="12037" width="8.88671875" style="1606"/>
    <col min="12038" max="12038" width="2.109375" style="1606" customWidth="1"/>
    <col min="12039" max="12039" width="23.88671875" style="1606" customWidth="1"/>
    <col min="12040" max="12040" width="2.109375" style="1606" customWidth="1"/>
    <col min="12041" max="12041" width="23.88671875" style="1606" customWidth="1"/>
    <col min="12042" max="12042" width="2.109375" style="1606" customWidth="1"/>
    <col min="12043" max="12043" width="23.88671875" style="1606" customWidth="1"/>
    <col min="12044" max="12044" width="2.109375" style="1606" customWidth="1"/>
    <col min="12045" max="12045" width="23.88671875" style="1606" customWidth="1"/>
    <col min="12046" max="12046" width="2.109375" style="1606" customWidth="1"/>
    <col min="12047" max="12047" width="23.88671875" style="1606" customWidth="1"/>
    <col min="12048" max="12048" width="2.88671875" style="1606" bestFit="1" customWidth="1"/>
    <col min="12049" max="12287" width="8.88671875" style="1606"/>
    <col min="12288" max="12289" width="8.88671875" style="1606" customWidth="1"/>
    <col min="12290" max="12290" width="10.109375" style="1606" customWidth="1"/>
    <col min="12291" max="12291" width="2.109375" style="1606" customWidth="1"/>
    <col min="12292" max="12292" width="50.44140625" style="1606" customWidth="1"/>
    <col min="12293" max="12293" width="8.88671875" style="1606"/>
    <col min="12294" max="12294" width="2.109375" style="1606" customWidth="1"/>
    <col min="12295" max="12295" width="23.88671875" style="1606" customWidth="1"/>
    <col min="12296" max="12296" width="2.109375" style="1606" customWidth="1"/>
    <col min="12297" max="12297" width="23.88671875" style="1606" customWidth="1"/>
    <col min="12298" max="12298" width="2.109375" style="1606" customWidth="1"/>
    <col min="12299" max="12299" width="23.88671875" style="1606" customWidth="1"/>
    <col min="12300" max="12300" width="2.109375" style="1606" customWidth="1"/>
    <col min="12301" max="12301" width="23.88671875" style="1606" customWidth="1"/>
    <col min="12302" max="12302" width="2.109375" style="1606" customWidth="1"/>
    <col min="12303" max="12303" width="23.88671875" style="1606" customWidth="1"/>
    <col min="12304" max="12304" width="2.88671875" style="1606" bestFit="1" customWidth="1"/>
    <col min="12305" max="12543" width="8.88671875" style="1606"/>
    <col min="12544" max="12545" width="8.88671875" style="1606" customWidth="1"/>
    <col min="12546" max="12546" width="10.109375" style="1606" customWidth="1"/>
    <col min="12547" max="12547" width="2.109375" style="1606" customWidth="1"/>
    <col min="12548" max="12548" width="50.44140625" style="1606" customWidth="1"/>
    <col min="12549" max="12549" width="8.88671875" style="1606"/>
    <col min="12550" max="12550" width="2.109375" style="1606" customWidth="1"/>
    <col min="12551" max="12551" width="23.88671875" style="1606" customWidth="1"/>
    <col min="12552" max="12552" width="2.109375" style="1606" customWidth="1"/>
    <col min="12553" max="12553" width="23.88671875" style="1606" customWidth="1"/>
    <col min="12554" max="12554" width="2.109375" style="1606" customWidth="1"/>
    <col min="12555" max="12555" width="23.88671875" style="1606" customWidth="1"/>
    <col min="12556" max="12556" width="2.109375" style="1606" customWidth="1"/>
    <col min="12557" max="12557" width="23.88671875" style="1606" customWidth="1"/>
    <col min="12558" max="12558" width="2.109375" style="1606" customWidth="1"/>
    <col min="12559" max="12559" width="23.88671875" style="1606" customWidth="1"/>
    <col min="12560" max="12560" width="2.88671875" style="1606" bestFit="1" customWidth="1"/>
    <col min="12561" max="12799" width="8.88671875" style="1606"/>
    <col min="12800" max="12801" width="8.88671875" style="1606" customWidth="1"/>
    <col min="12802" max="12802" width="10.109375" style="1606" customWidth="1"/>
    <col min="12803" max="12803" width="2.109375" style="1606" customWidth="1"/>
    <col min="12804" max="12804" width="50.44140625" style="1606" customWidth="1"/>
    <col min="12805" max="12805" width="8.88671875" style="1606"/>
    <col min="12806" max="12806" width="2.109375" style="1606" customWidth="1"/>
    <col min="12807" max="12807" width="23.88671875" style="1606" customWidth="1"/>
    <col min="12808" max="12808" width="2.109375" style="1606" customWidth="1"/>
    <col min="12809" max="12809" width="23.88671875" style="1606" customWidth="1"/>
    <col min="12810" max="12810" width="2.109375" style="1606" customWidth="1"/>
    <col min="12811" max="12811" width="23.88671875" style="1606" customWidth="1"/>
    <col min="12812" max="12812" width="2.109375" style="1606" customWidth="1"/>
    <col min="12813" max="12813" width="23.88671875" style="1606" customWidth="1"/>
    <col min="12814" max="12814" width="2.109375" style="1606" customWidth="1"/>
    <col min="12815" max="12815" width="23.88671875" style="1606" customWidth="1"/>
    <col min="12816" max="12816" width="2.88671875" style="1606" bestFit="1" customWidth="1"/>
    <col min="12817" max="13055" width="8.88671875" style="1606"/>
    <col min="13056" max="13057" width="8.88671875" style="1606" customWidth="1"/>
    <col min="13058" max="13058" width="10.109375" style="1606" customWidth="1"/>
    <col min="13059" max="13059" width="2.109375" style="1606" customWidth="1"/>
    <col min="13060" max="13060" width="50.44140625" style="1606" customWidth="1"/>
    <col min="13061" max="13061" width="8.88671875" style="1606"/>
    <col min="13062" max="13062" width="2.109375" style="1606" customWidth="1"/>
    <col min="13063" max="13063" width="23.88671875" style="1606" customWidth="1"/>
    <col min="13064" max="13064" width="2.109375" style="1606" customWidth="1"/>
    <col min="13065" max="13065" width="23.88671875" style="1606" customWidth="1"/>
    <col min="13066" max="13066" width="2.109375" style="1606" customWidth="1"/>
    <col min="13067" max="13067" width="23.88671875" style="1606" customWidth="1"/>
    <col min="13068" max="13068" width="2.109375" style="1606" customWidth="1"/>
    <col min="13069" max="13069" width="23.88671875" style="1606" customWidth="1"/>
    <col min="13070" max="13070" width="2.109375" style="1606" customWidth="1"/>
    <col min="13071" max="13071" width="23.88671875" style="1606" customWidth="1"/>
    <col min="13072" max="13072" width="2.88671875" style="1606" bestFit="1" customWidth="1"/>
    <col min="13073" max="13311" width="8.88671875" style="1606"/>
    <col min="13312" max="13313" width="8.88671875" style="1606" customWidth="1"/>
    <col min="13314" max="13314" width="10.109375" style="1606" customWidth="1"/>
    <col min="13315" max="13315" width="2.109375" style="1606" customWidth="1"/>
    <col min="13316" max="13316" width="50.44140625" style="1606" customWidth="1"/>
    <col min="13317" max="13317" width="8.88671875" style="1606"/>
    <col min="13318" max="13318" width="2.109375" style="1606" customWidth="1"/>
    <col min="13319" max="13319" width="23.88671875" style="1606" customWidth="1"/>
    <col min="13320" max="13320" width="2.109375" style="1606" customWidth="1"/>
    <col min="13321" max="13321" width="23.88671875" style="1606" customWidth="1"/>
    <col min="13322" max="13322" width="2.109375" style="1606" customWidth="1"/>
    <col min="13323" max="13323" width="23.88671875" style="1606" customWidth="1"/>
    <col min="13324" max="13324" width="2.109375" style="1606" customWidth="1"/>
    <col min="13325" max="13325" width="23.88671875" style="1606" customWidth="1"/>
    <col min="13326" max="13326" width="2.109375" style="1606" customWidth="1"/>
    <col min="13327" max="13327" width="23.88671875" style="1606" customWidth="1"/>
    <col min="13328" max="13328" width="2.88671875" style="1606" bestFit="1" customWidth="1"/>
    <col min="13329" max="13567" width="8.88671875" style="1606"/>
    <col min="13568" max="13569" width="8.88671875" style="1606" customWidth="1"/>
    <col min="13570" max="13570" width="10.109375" style="1606" customWidth="1"/>
    <col min="13571" max="13571" width="2.109375" style="1606" customWidth="1"/>
    <col min="13572" max="13572" width="50.44140625" style="1606" customWidth="1"/>
    <col min="13573" max="13573" width="8.88671875" style="1606"/>
    <col min="13574" max="13574" width="2.109375" style="1606" customWidth="1"/>
    <col min="13575" max="13575" width="23.88671875" style="1606" customWidth="1"/>
    <col min="13576" max="13576" width="2.109375" style="1606" customWidth="1"/>
    <col min="13577" max="13577" width="23.88671875" style="1606" customWidth="1"/>
    <col min="13578" max="13578" width="2.109375" style="1606" customWidth="1"/>
    <col min="13579" max="13579" width="23.88671875" style="1606" customWidth="1"/>
    <col min="13580" max="13580" width="2.109375" style="1606" customWidth="1"/>
    <col min="13581" max="13581" width="23.88671875" style="1606" customWidth="1"/>
    <col min="13582" max="13582" width="2.109375" style="1606" customWidth="1"/>
    <col min="13583" max="13583" width="23.88671875" style="1606" customWidth="1"/>
    <col min="13584" max="13584" width="2.88671875" style="1606" bestFit="1" customWidth="1"/>
    <col min="13585" max="13823" width="8.88671875" style="1606"/>
    <col min="13824" max="13825" width="8.88671875" style="1606" customWidth="1"/>
    <col min="13826" max="13826" width="10.109375" style="1606" customWidth="1"/>
    <col min="13827" max="13827" width="2.109375" style="1606" customWidth="1"/>
    <col min="13828" max="13828" width="50.44140625" style="1606" customWidth="1"/>
    <col min="13829" max="13829" width="8.88671875" style="1606"/>
    <col min="13830" max="13830" width="2.109375" style="1606" customWidth="1"/>
    <col min="13831" max="13831" width="23.88671875" style="1606" customWidth="1"/>
    <col min="13832" max="13832" width="2.109375" style="1606" customWidth="1"/>
    <col min="13833" max="13833" width="23.88671875" style="1606" customWidth="1"/>
    <col min="13834" max="13834" width="2.109375" style="1606" customWidth="1"/>
    <col min="13835" max="13835" width="23.88671875" style="1606" customWidth="1"/>
    <col min="13836" max="13836" width="2.109375" style="1606" customWidth="1"/>
    <col min="13837" max="13837" width="23.88671875" style="1606" customWidth="1"/>
    <col min="13838" max="13838" width="2.109375" style="1606" customWidth="1"/>
    <col min="13839" max="13839" width="23.88671875" style="1606" customWidth="1"/>
    <col min="13840" max="13840" width="2.88671875" style="1606" bestFit="1" customWidth="1"/>
    <col min="13841" max="14079" width="8.88671875" style="1606"/>
    <col min="14080" max="14081" width="8.88671875" style="1606" customWidth="1"/>
    <col min="14082" max="14082" width="10.109375" style="1606" customWidth="1"/>
    <col min="14083" max="14083" width="2.109375" style="1606" customWidth="1"/>
    <col min="14084" max="14084" width="50.44140625" style="1606" customWidth="1"/>
    <col min="14085" max="14085" width="8.88671875" style="1606"/>
    <col min="14086" max="14086" width="2.109375" style="1606" customWidth="1"/>
    <col min="14087" max="14087" width="23.88671875" style="1606" customWidth="1"/>
    <col min="14088" max="14088" width="2.109375" style="1606" customWidth="1"/>
    <col min="14089" max="14089" width="23.88671875" style="1606" customWidth="1"/>
    <col min="14090" max="14090" width="2.109375" style="1606" customWidth="1"/>
    <col min="14091" max="14091" width="23.88671875" style="1606" customWidth="1"/>
    <col min="14092" max="14092" width="2.109375" style="1606" customWidth="1"/>
    <col min="14093" max="14093" width="23.88671875" style="1606" customWidth="1"/>
    <col min="14094" max="14094" width="2.109375" style="1606" customWidth="1"/>
    <col min="14095" max="14095" width="23.88671875" style="1606" customWidth="1"/>
    <col min="14096" max="14096" width="2.88671875" style="1606" bestFit="1" customWidth="1"/>
    <col min="14097" max="14335" width="8.88671875" style="1606"/>
    <col min="14336" max="14337" width="8.88671875" style="1606" customWidth="1"/>
    <col min="14338" max="14338" width="10.109375" style="1606" customWidth="1"/>
    <col min="14339" max="14339" width="2.109375" style="1606" customWidth="1"/>
    <col min="14340" max="14340" width="50.44140625" style="1606" customWidth="1"/>
    <col min="14341" max="14341" width="8.88671875" style="1606"/>
    <col min="14342" max="14342" width="2.109375" style="1606" customWidth="1"/>
    <col min="14343" max="14343" width="23.88671875" style="1606" customWidth="1"/>
    <col min="14344" max="14344" width="2.109375" style="1606" customWidth="1"/>
    <col min="14345" max="14345" width="23.88671875" style="1606" customWidth="1"/>
    <col min="14346" max="14346" width="2.109375" style="1606" customWidth="1"/>
    <col min="14347" max="14347" width="23.88671875" style="1606" customWidth="1"/>
    <col min="14348" max="14348" width="2.109375" style="1606" customWidth="1"/>
    <col min="14349" max="14349" width="23.88671875" style="1606" customWidth="1"/>
    <col min="14350" max="14350" width="2.109375" style="1606" customWidth="1"/>
    <col min="14351" max="14351" width="23.88671875" style="1606" customWidth="1"/>
    <col min="14352" max="14352" width="2.88671875" style="1606" bestFit="1" customWidth="1"/>
    <col min="14353" max="14591" width="8.88671875" style="1606"/>
    <col min="14592" max="14593" width="8.88671875" style="1606" customWidth="1"/>
    <col min="14594" max="14594" width="10.109375" style="1606" customWidth="1"/>
    <col min="14595" max="14595" width="2.109375" style="1606" customWidth="1"/>
    <col min="14596" max="14596" width="50.44140625" style="1606" customWidth="1"/>
    <col min="14597" max="14597" width="8.88671875" style="1606"/>
    <col min="14598" max="14598" width="2.109375" style="1606" customWidth="1"/>
    <col min="14599" max="14599" width="23.88671875" style="1606" customWidth="1"/>
    <col min="14600" max="14600" width="2.109375" style="1606" customWidth="1"/>
    <col min="14601" max="14601" width="23.88671875" style="1606" customWidth="1"/>
    <col min="14602" max="14602" width="2.109375" style="1606" customWidth="1"/>
    <col min="14603" max="14603" width="23.88671875" style="1606" customWidth="1"/>
    <col min="14604" max="14604" width="2.109375" style="1606" customWidth="1"/>
    <col min="14605" max="14605" width="23.88671875" style="1606" customWidth="1"/>
    <col min="14606" max="14606" width="2.109375" style="1606" customWidth="1"/>
    <col min="14607" max="14607" width="23.88671875" style="1606" customWidth="1"/>
    <col min="14608" max="14608" width="2.88671875" style="1606" bestFit="1" customWidth="1"/>
    <col min="14609" max="14847" width="8.88671875" style="1606"/>
    <col min="14848" max="14849" width="8.88671875" style="1606" customWidth="1"/>
    <col min="14850" max="14850" width="10.109375" style="1606" customWidth="1"/>
    <col min="14851" max="14851" width="2.109375" style="1606" customWidth="1"/>
    <col min="14852" max="14852" width="50.44140625" style="1606" customWidth="1"/>
    <col min="14853" max="14853" width="8.88671875" style="1606"/>
    <col min="14854" max="14854" width="2.109375" style="1606" customWidth="1"/>
    <col min="14855" max="14855" width="23.88671875" style="1606" customWidth="1"/>
    <col min="14856" max="14856" width="2.109375" style="1606" customWidth="1"/>
    <col min="14857" max="14857" width="23.88671875" style="1606" customWidth="1"/>
    <col min="14858" max="14858" width="2.109375" style="1606" customWidth="1"/>
    <col min="14859" max="14859" width="23.88671875" style="1606" customWidth="1"/>
    <col min="14860" max="14860" width="2.109375" style="1606" customWidth="1"/>
    <col min="14861" max="14861" width="23.88671875" style="1606" customWidth="1"/>
    <col min="14862" max="14862" width="2.109375" style="1606" customWidth="1"/>
    <col min="14863" max="14863" width="23.88671875" style="1606" customWidth="1"/>
    <col min="14864" max="14864" width="2.88671875" style="1606" bestFit="1" customWidth="1"/>
    <col min="14865" max="15103" width="8.88671875" style="1606"/>
    <col min="15104" max="15105" width="8.88671875" style="1606" customWidth="1"/>
    <col min="15106" max="15106" width="10.109375" style="1606" customWidth="1"/>
    <col min="15107" max="15107" width="2.109375" style="1606" customWidth="1"/>
    <col min="15108" max="15108" width="50.44140625" style="1606" customWidth="1"/>
    <col min="15109" max="15109" width="8.88671875" style="1606"/>
    <col min="15110" max="15110" width="2.109375" style="1606" customWidth="1"/>
    <col min="15111" max="15111" width="23.88671875" style="1606" customWidth="1"/>
    <col min="15112" max="15112" width="2.109375" style="1606" customWidth="1"/>
    <col min="15113" max="15113" width="23.88671875" style="1606" customWidth="1"/>
    <col min="15114" max="15114" width="2.109375" style="1606" customWidth="1"/>
    <col min="15115" max="15115" width="23.88671875" style="1606" customWidth="1"/>
    <col min="15116" max="15116" width="2.109375" style="1606" customWidth="1"/>
    <col min="15117" max="15117" width="23.88671875" style="1606" customWidth="1"/>
    <col min="15118" max="15118" width="2.109375" style="1606" customWidth="1"/>
    <col min="15119" max="15119" width="23.88671875" style="1606" customWidth="1"/>
    <col min="15120" max="15120" width="2.88671875" style="1606" bestFit="1" customWidth="1"/>
    <col min="15121" max="15359" width="8.88671875" style="1606"/>
    <col min="15360" max="15361" width="8.88671875" style="1606" customWidth="1"/>
    <col min="15362" max="15362" width="10.109375" style="1606" customWidth="1"/>
    <col min="15363" max="15363" width="2.109375" style="1606" customWidth="1"/>
    <col min="15364" max="15364" width="50.44140625" style="1606" customWidth="1"/>
    <col min="15365" max="15365" width="8.88671875" style="1606"/>
    <col min="15366" max="15366" width="2.109375" style="1606" customWidth="1"/>
    <col min="15367" max="15367" width="23.88671875" style="1606" customWidth="1"/>
    <col min="15368" max="15368" width="2.109375" style="1606" customWidth="1"/>
    <col min="15369" max="15369" width="23.88671875" style="1606" customWidth="1"/>
    <col min="15370" max="15370" width="2.109375" style="1606" customWidth="1"/>
    <col min="15371" max="15371" width="23.88671875" style="1606" customWidth="1"/>
    <col min="15372" max="15372" width="2.109375" style="1606" customWidth="1"/>
    <col min="15373" max="15373" width="23.88671875" style="1606" customWidth="1"/>
    <col min="15374" max="15374" width="2.109375" style="1606" customWidth="1"/>
    <col min="15375" max="15375" width="23.88671875" style="1606" customWidth="1"/>
    <col min="15376" max="15376" width="2.88671875" style="1606" bestFit="1" customWidth="1"/>
    <col min="15377" max="15615" width="8.88671875" style="1606"/>
    <col min="15616" max="15617" width="8.88671875" style="1606" customWidth="1"/>
    <col min="15618" max="15618" width="10.109375" style="1606" customWidth="1"/>
    <col min="15619" max="15619" width="2.109375" style="1606" customWidth="1"/>
    <col min="15620" max="15620" width="50.44140625" style="1606" customWidth="1"/>
    <col min="15621" max="15621" width="8.88671875" style="1606"/>
    <col min="15622" max="15622" width="2.109375" style="1606" customWidth="1"/>
    <col min="15623" max="15623" width="23.88671875" style="1606" customWidth="1"/>
    <col min="15624" max="15624" width="2.109375" style="1606" customWidth="1"/>
    <col min="15625" max="15625" width="23.88671875" style="1606" customWidth="1"/>
    <col min="15626" max="15626" width="2.109375" style="1606" customWidth="1"/>
    <col min="15627" max="15627" width="23.88671875" style="1606" customWidth="1"/>
    <col min="15628" max="15628" width="2.109375" style="1606" customWidth="1"/>
    <col min="15629" max="15629" width="23.88671875" style="1606" customWidth="1"/>
    <col min="15630" max="15630" width="2.109375" style="1606" customWidth="1"/>
    <col min="15631" max="15631" width="23.88671875" style="1606" customWidth="1"/>
    <col min="15632" max="15632" width="2.88671875" style="1606" bestFit="1" customWidth="1"/>
    <col min="15633" max="15871" width="8.88671875" style="1606"/>
    <col min="15872" max="15873" width="8.88671875" style="1606" customWidth="1"/>
    <col min="15874" max="15874" width="10.109375" style="1606" customWidth="1"/>
    <col min="15875" max="15875" width="2.109375" style="1606" customWidth="1"/>
    <col min="15876" max="15876" width="50.44140625" style="1606" customWidth="1"/>
    <col min="15877" max="15877" width="8.88671875" style="1606"/>
    <col min="15878" max="15878" width="2.109375" style="1606" customWidth="1"/>
    <col min="15879" max="15879" width="23.88671875" style="1606" customWidth="1"/>
    <col min="15880" max="15880" width="2.109375" style="1606" customWidth="1"/>
    <col min="15881" max="15881" width="23.88671875" style="1606" customWidth="1"/>
    <col min="15882" max="15882" width="2.109375" style="1606" customWidth="1"/>
    <col min="15883" max="15883" width="23.88671875" style="1606" customWidth="1"/>
    <col min="15884" max="15884" width="2.109375" style="1606" customWidth="1"/>
    <col min="15885" max="15885" width="23.88671875" style="1606" customWidth="1"/>
    <col min="15886" max="15886" width="2.109375" style="1606" customWidth="1"/>
    <col min="15887" max="15887" width="23.88671875" style="1606" customWidth="1"/>
    <col min="15888" max="15888" width="2.88671875" style="1606" bestFit="1" customWidth="1"/>
    <col min="15889" max="16127" width="8.88671875" style="1606"/>
    <col min="16128" max="16129" width="8.88671875" style="1606" customWidth="1"/>
    <col min="16130" max="16130" width="10.109375" style="1606" customWidth="1"/>
    <col min="16131" max="16131" width="2.109375" style="1606" customWidth="1"/>
    <col min="16132" max="16132" width="50.44140625" style="1606" customWidth="1"/>
    <col min="16133" max="16133" width="8.88671875" style="1606"/>
    <col min="16134" max="16134" width="2.109375" style="1606" customWidth="1"/>
    <col min="16135" max="16135" width="23.88671875" style="1606" customWidth="1"/>
    <col min="16136" max="16136" width="2.109375" style="1606" customWidth="1"/>
    <col min="16137" max="16137" width="23.88671875" style="1606" customWidth="1"/>
    <col min="16138" max="16138" width="2.109375" style="1606" customWidth="1"/>
    <col min="16139" max="16139" width="23.88671875" style="1606" customWidth="1"/>
    <col min="16140" max="16140" width="2.109375" style="1606" customWidth="1"/>
    <col min="16141" max="16141" width="23.88671875" style="1606" customWidth="1"/>
    <col min="16142" max="16142" width="2.109375" style="1606" customWidth="1"/>
    <col min="16143" max="16143" width="23.88671875" style="1606" customWidth="1"/>
    <col min="16144" max="16144" width="2.88671875" style="1606" bestFit="1" customWidth="1"/>
    <col min="16145" max="16384" width="8.88671875" style="1606"/>
  </cols>
  <sheetData>
    <row r="1" spans="2:17" ht="15.75">
      <c r="B1" s="829"/>
      <c r="C1" s="829"/>
      <c r="D1" s="489" t="s">
        <v>841</v>
      </c>
      <c r="E1" s="829"/>
      <c r="F1" s="1605"/>
      <c r="G1" s="829"/>
      <c r="H1" s="829"/>
      <c r="I1" s="829"/>
      <c r="J1" s="829"/>
      <c r="K1" s="829"/>
      <c r="L1" s="829"/>
      <c r="M1" s="829"/>
      <c r="N1" s="829"/>
      <c r="P1" s="1607"/>
    </row>
    <row r="2" spans="2:17" ht="15.75">
      <c r="B2" s="829"/>
      <c r="C2" s="829"/>
      <c r="D2" s="829"/>
      <c r="E2" s="829"/>
      <c r="F2" s="1605"/>
      <c r="G2" s="829"/>
      <c r="H2" s="829"/>
      <c r="I2" s="829"/>
      <c r="J2" s="829"/>
      <c r="K2" s="829"/>
      <c r="L2" s="829"/>
      <c r="M2" s="829"/>
      <c r="N2" s="829"/>
      <c r="O2" s="1945" t="s">
        <v>517</v>
      </c>
      <c r="P2" s="1607"/>
    </row>
    <row r="3" spans="2:17" ht="15.75">
      <c r="B3" s="829"/>
      <c r="C3" s="829"/>
      <c r="D3" s="829"/>
      <c r="E3" s="829"/>
      <c r="F3" s="1605"/>
      <c r="G3" s="829"/>
      <c r="H3" s="829"/>
      <c r="I3" s="829"/>
      <c r="J3" s="829"/>
      <c r="K3" s="829"/>
      <c r="L3" s="829"/>
      <c r="M3" s="829"/>
      <c r="N3" s="829"/>
      <c r="O3" s="1946"/>
      <c r="P3" s="1608"/>
    </row>
    <row r="4" spans="2:17" ht="18">
      <c r="B4" s="1609"/>
      <c r="C4" s="1610"/>
      <c r="D4" s="1611" t="s">
        <v>0</v>
      </c>
      <c r="E4" s="1610"/>
      <c r="F4" s="1610"/>
      <c r="G4"/>
      <c r="H4"/>
      <c r="I4"/>
      <c r="J4"/>
      <c r="K4"/>
      <c r="L4"/>
      <c r="M4" s="1612"/>
      <c r="N4" s="1612"/>
      <c r="O4" s="1612"/>
      <c r="P4" s="1613"/>
    </row>
    <row r="5" spans="2:17" ht="18">
      <c r="B5" s="1609"/>
      <c r="C5" s="1610"/>
      <c r="D5" s="1611" t="s">
        <v>741</v>
      </c>
      <c r="E5" s="1610"/>
      <c r="F5" s="1610"/>
      <c r="G5"/>
      <c r="H5"/>
      <c r="I5"/>
      <c r="J5"/>
      <c r="K5"/>
      <c r="L5"/>
      <c r="M5" s="1614"/>
      <c r="N5" s="1614"/>
      <c r="O5" s="1614"/>
      <c r="P5" s="1615"/>
    </row>
    <row r="6" spans="2:17" ht="15.75">
      <c r="B6" s="1609"/>
      <c r="C6" s="1610"/>
      <c r="D6" s="1616"/>
      <c r="E6" s="1610"/>
      <c r="F6" s="1610"/>
      <c r="G6"/>
      <c r="H6"/>
      <c r="I6"/>
      <c r="J6"/>
      <c r="K6"/>
      <c r="L6"/>
      <c r="M6" s="1617"/>
      <c r="N6" s="1617"/>
      <c r="O6" s="1617"/>
      <c r="P6" s="1618"/>
    </row>
    <row r="7" spans="2:17" ht="15.75">
      <c r="B7" s="1609"/>
      <c r="C7" s="1607"/>
      <c r="D7" s="1607"/>
      <c r="E7" s="1619"/>
      <c r="F7" s="1619"/>
      <c r="G7"/>
      <c r="H7"/>
      <c r="I7"/>
      <c r="J7"/>
      <c r="K7"/>
      <c r="L7"/>
      <c r="M7" s="1620"/>
      <c r="N7" s="1620"/>
      <c r="O7" s="1620"/>
      <c r="P7" s="1621"/>
    </row>
    <row r="8" spans="2:17" s="1628" customFormat="1" ht="16.5" thickBot="1">
      <c r="B8" s="1622" t="s">
        <v>527</v>
      </c>
      <c r="C8" s="1623"/>
      <c r="D8" s="1624" t="s">
        <v>528</v>
      </c>
      <c r="E8" s="1624"/>
      <c r="F8" s="1624"/>
      <c r="G8" s="2193" t="s">
        <v>1469</v>
      </c>
      <c r="H8" s="1625"/>
      <c r="I8" s="2193" t="s">
        <v>1477</v>
      </c>
      <c r="J8" s="1625"/>
      <c r="K8" s="2193" t="s">
        <v>1495</v>
      </c>
      <c r="L8" s="1625"/>
      <c r="M8" s="1625" t="s">
        <v>529</v>
      </c>
      <c r="N8" s="1626"/>
      <c r="O8" s="2193" t="s">
        <v>1506</v>
      </c>
      <c r="P8" s="1627"/>
    </row>
    <row r="9" spans="2:17" s="1628" customFormat="1" ht="15.75">
      <c r="B9" s="1629"/>
      <c r="C9" s="1630"/>
      <c r="D9" s="1631" t="s">
        <v>143</v>
      </c>
      <c r="E9" s="1632"/>
      <c r="F9" s="1632"/>
      <c r="G9" s="1947"/>
      <c r="H9" s="2132"/>
      <c r="I9" s="1947"/>
      <c r="J9" s="2132"/>
      <c r="K9" s="1947"/>
      <c r="L9" s="2132"/>
      <c r="M9" s="1947"/>
      <c r="N9" s="1947"/>
      <c r="O9" s="1947"/>
      <c r="P9" s="1633"/>
    </row>
    <row r="10" spans="2:17" s="1628" customFormat="1" ht="15.75">
      <c r="B10" s="1634">
        <v>10050</v>
      </c>
      <c r="C10" s="1629"/>
      <c r="D10" s="1635" t="s">
        <v>842</v>
      </c>
      <c r="E10"/>
      <c r="F10" s="1636"/>
      <c r="G10" s="1637">
        <v>0</v>
      </c>
      <c r="H10" s="1637"/>
      <c r="I10" s="1637">
        <v>0</v>
      </c>
      <c r="J10" s="1637"/>
      <c r="K10" s="1637">
        <v>0</v>
      </c>
      <c r="L10" s="1637"/>
      <c r="M10" s="1637">
        <f>ROUND(SUM(O10)-SUM(K10),2)</f>
        <v>0</v>
      </c>
      <c r="N10" s="1637"/>
      <c r="O10" s="1637">
        <v>0</v>
      </c>
      <c r="P10" s="1638" t="s">
        <v>738</v>
      </c>
      <c r="Q10" s="1639"/>
    </row>
    <row r="11" spans="2:17" s="1628" customFormat="1" ht="16.5" thickBot="1">
      <c r="B11" s="1638"/>
      <c r="C11" s="1630"/>
      <c r="D11" s="1640" t="s">
        <v>530</v>
      </c>
      <c r="E11" s="1632"/>
      <c r="F11" s="1632"/>
      <c r="G11" s="1948">
        <f>ROUND(SUM(G10),2)</f>
        <v>0</v>
      </c>
      <c r="H11" s="1949"/>
      <c r="I11" s="1948">
        <f>ROUND(SUM(I10),2)</f>
        <v>0</v>
      </c>
      <c r="J11" s="1949"/>
      <c r="K11" s="1948">
        <f>ROUND(SUM(K10),2)</f>
        <v>0</v>
      </c>
      <c r="L11" s="1949"/>
      <c r="M11" s="1948">
        <f>ROUND(SUM(M10),2)</f>
        <v>0</v>
      </c>
      <c r="N11" s="1949"/>
      <c r="O11" s="1948">
        <f>ROUND(SUM(O10),2)</f>
        <v>0</v>
      </c>
      <c r="P11" s="1638"/>
      <c r="Q11" s="1639"/>
    </row>
    <row r="12" spans="2:17" s="1628" customFormat="1" ht="16.5" thickTop="1">
      <c r="B12" s="1638"/>
      <c r="C12" s="1630"/>
      <c r="D12" s="1641"/>
      <c r="E12" s="1632"/>
      <c r="F12" s="1632"/>
      <c r="G12" s="1949"/>
      <c r="H12" s="1950"/>
      <c r="I12" s="1949"/>
      <c r="J12" s="1950"/>
      <c r="K12" s="1949"/>
      <c r="L12" s="1950"/>
      <c r="M12" s="1949"/>
      <c r="N12" s="1949"/>
      <c r="O12" s="1949"/>
      <c r="P12" s="1638"/>
      <c r="Q12" s="1639"/>
    </row>
    <row r="13" spans="2:17" s="1628" customFormat="1" ht="15.75">
      <c r="B13" s="1638"/>
      <c r="C13" s="1630"/>
      <c r="D13" s="1631" t="s">
        <v>531</v>
      </c>
      <c r="E13" s="1632"/>
      <c r="F13" s="1632"/>
      <c r="G13" s="1950"/>
      <c r="H13"/>
      <c r="I13" s="1950"/>
      <c r="J13"/>
      <c r="K13" s="1950"/>
      <c r="L13"/>
      <c r="M13" s="1950"/>
      <c r="N13" s="1950"/>
      <c r="O13" s="1950"/>
      <c r="P13" s="1638"/>
      <c r="Q13" s="1639"/>
    </row>
    <row r="14" spans="2:17" s="1628" customFormat="1" ht="15.75">
      <c r="B14" s="1634">
        <v>30051</v>
      </c>
      <c r="C14" s="829"/>
      <c r="D14" s="1635" t="s">
        <v>532</v>
      </c>
      <c r="E14" s="829"/>
      <c r="F14" s="825">
        <v>227042324.13</v>
      </c>
      <c r="G14" s="825">
        <v>0</v>
      </c>
      <c r="H14" s="825"/>
      <c r="I14" s="825">
        <v>0</v>
      </c>
      <c r="J14" s="825"/>
      <c r="K14" s="825">
        <v>0</v>
      </c>
      <c r="L14" s="825"/>
      <c r="M14" s="825">
        <f>ROUND(SUM(O14)-SUM(K14),2)</f>
        <v>0</v>
      </c>
      <c r="N14" s="825"/>
      <c r="O14" s="825">
        <v>0</v>
      </c>
      <c r="P14" s="1638"/>
      <c r="Q14" s="1639"/>
    </row>
    <row r="15" spans="2:17" s="1628" customFormat="1" ht="15.75">
      <c r="B15" s="1634">
        <v>30101</v>
      </c>
      <c r="C15" s="1605"/>
      <c r="D15" s="1635" t="s">
        <v>1352</v>
      </c>
      <c r="E15" s="829"/>
      <c r="F15" s="825"/>
      <c r="G15" s="825">
        <v>0</v>
      </c>
      <c r="H15" s="825"/>
      <c r="I15" s="825">
        <v>0</v>
      </c>
      <c r="J15" s="825"/>
      <c r="K15" s="825">
        <v>0</v>
      </c>
      <c r="L15" s="825"/>
      <c r="M15" s="825">
        <f t="shared" ref="M15:M60" si="0">ROUND(SUM(O15)-SUM(K15),2)</f>
        <v>0</v>
      </c>
      <c r="N15" s="825"/>
      <c r="O15" s="825">
        <v>0</v>
      </c>
      <c r="P15" s="1638"/>
      <c r="Q15" s="1639"/>
    </row>
    <row r="16" spans="2:17" s="1628" customFormat="1" ht="15.75">
      <c r="B16" s="1634">
        <v>30102</v>
      </c>
      <c r="C16" s="829"/>
      <c r="D16" s="1635" t="s">
        <v>1307</v>
      </c>
      <c r="E16" s="829"/>
      <c r="F16" s="825"/>
      <c r="G16" s="825">
        <v>0</v>
      </c>
      <c r="H16" s="825"/>
      <c r="I16" s="825">
        <v>0</v>
      </c>
      <c r="J16" s="825"/>
      <c r="K16" s="825">
        <v>0</v>
      </c>
      <c r="L16" s="825"/>
      <c r="M16" s="825">
        <f t="shared" si="0"/>
        <v>0</v>
      </c>
      <c r="N16" s="825"/>
      <c r="O16" s="825">
        <v>0</v>
      </c>
      <c r="P16" s="1638"/>
      <c r="Q16" s="1639"/>
    </row>
    <row r="17" spans="2:17" s="1628" customFormat="1" ht="15.75">
      <c r="B17" s="1634">
        <v>30103</v>
      </c>
      <c r="C17" s="829"/>
      <c r="D17" s="1635" t="s">
        <v>1308</v>
      </c>
      <c r="E17" s="829"/>
      <c r="F17" s="825"/>
      <c r="G17" s="825">
        <v>0</v>
      </c>
      <c r="H17" s="825"/>
      <c r="I17" s="825">
        <v>0</v>
      </c>
      <c r="J17" s="825"/>
      <c r="K17" s="825">
        <v>0</v>
      </c>
      <c r="L17" s="825"/>
      <c r="M17" s="825">
        <f t="shared" si="0"/>
        <v>0</v>
      </c>
      <c r="N17" s="825"/>
      <c r="O17" s="825">
        <v>0</v>
      </c>
      <c r="P17" s="1638"/>
      <c r="Q17" s="1639"/>
    </row>
    <row r="18" spans="2:17" s="1628" customFormat="1" ht="15.75">
      <c r="B18" s="1634">
        <v>30104</v>
      </c>
      <c r="C18" s="829"/>
      <c r="D18" s="1635" t="s">
        <v>1309</v>
      </c>
      <c r="E18" s="829"/>
      <c r="F18" s="825"/>
      <c r="G18" s="825">
        <v>0</v>
      </c>
      <c r="H18" s="825"/>
      <c r="I18" s="825">
        <v>0</v>
      </c>
      <c r="J18" s="825"/>
      <c r="K18" s="825">
        <v>0</v>
      </c>
      <c r="L18" s="825"/>
      <c r="M18" s="825">
        <f t="shared" si="0"/>
        <v>0</v>
      </c>
      <c r="N18" s="825"/>
      <c r="O18" s="825">
        <v>0</v>
      </c>
      <c r="P18" s="1638"/>
      <c r="Q18" s="1639"/>
    </row>
    <row r="19" spans="2:17" s="1628" customFormat="1" ht="15.75">
      <c r="B19" s="1634">
        <v>30105</v>
      </c>
      <c r="C19" s="829"/>
      <c r="D19" s="1635" t="s">
        <v>1310</v>
      </c>
      <c r="E19" s="829"/>
      <c r="F19" s="825"/>
      <c r="G19" s="825">
        <v>0</v>
      </c>
      <c r="H19" s="825"/>
      <c r="I19" s="825">
        <v>0</v>
      </c>
      <c r="J19" s="825"/>
      <c r="K19" s="825">
        <v>0</v>
      </c>
      <c r="L19" s="825"/>
      <c r="M19" s="825">
        <f t="shared" si="0"/>
        <v>0</v>
      </c>
      <c r="N19" s="825"/>
      <c r="O19" s="825">
        <v>0</v>
      </c>
      <c r="P19" s="1638"/>
      <c r="Q19" s="1639"/>
    </row>
    <row r="20" spans="2:17" s="1628" customFormat="1" ht="15.75">
      <c r="B20" s="1634">
        <v>30106</v>
      </c>
      <c r="C20" s="829"/>
      <c r="D20" s="1635" t="s">
        <v>1311</v>
      </c>
      <c r="E20" s="829"/>
      <c r="F20" s="825"/>
      <c r="G20" s="825">
        <v>0</v>
      </c>
      <c r="H20" s="825"/>
      <c r="I20" s="825">
        <v>0</v>
      </c>
      <c r="J20" s="825"/>
      <c r="K20" s="825">
        <v>0</v>
      </c>
      <c r="L20" s="825"/>
      <c r="M20" s="825">
        <f t="shared" si="0"/>
        <v>0</v>
      </c>
      <c r="N20" s="825"/>
      <c r="O20" s="825">
        <v>0</v>
      </c>
      <c r="P20" s="1638"/>
      <c r="Q20" s="1639"/>
    </row>
    <row r="21" spans="2:17" s="1628" customFormat="1" ht="15.75">
      <c r="B21" s="1634">
        <v>30107</v>
      </c>
      <c r="C21" s="829"/>
      <c r="D21" s="1635" t="s">
        <v>1312</v>
      </c>
      <c r="E21" s="829"/>
      <c r="F21" s="825"/>
      <c r="G21" s="825">
        <v>0</v>
      </c>
      <c r="H21" s="825"/>
      <c r="I21" s="825">
        <v>0</v>
      </c>
      <c r="J21" s="825"/>
      <c r="K21" s="825">
        <v>0</v>
      </c>
      <c r="L21" s="825"/>
      <c r="M21" s="825">
        <f t="shared" si="0"/>
        <v>0</v>
      </c>
      <c r="N21" s="825"/>
      <c r="O21" s="825">
        <v>0</v>
      </c>
      <c r="P21" s="1638"/>
      <c r="Q21" s="1639"/>
    </row>
    <row r="22" spans="2:17" s="1628" customFormat="1" ht="15.75">
      <c r="B22" s="1634">
        <v>30108</v>
      </c>
      <c r="C22" s="829"/>
      <c r="D22" s="1635" t="s">
        <v>1313</v>
      </c>
      <c r="E22" s="829"/>
      <c r="F22" s="825"/>
      <c r="G22" s="825">
        <v>0</v>
      </c>
      <c r="H22" s="825"/>
      <c r="I22" s="825">
        <v>0</v>
      </c>
      <c r="J22" s="825"/>
      <c r="K22" s="825">
        <v>0</v>
      </c>
      <c r="L22" s="825"/>
      <c r="M22" s="825">
        <f t="shared" si="0"/>
        <v>0</v>
      </c>
      <c r="N22" s="825"/>
      <c r="O22" s="825">
        <v>0</v>
      </c>
      <c r="P22" s="1638"/>
      <c r="Q22" s="1639"/>
    </row>
    <row r="23" spans="2:17" s="1628" customFormat="1" ht="15.75">
      <c r="B23" s="1634">
        <v>30109</v>
      </c>
      <c r="C23" s="829"/>
      <c r="D23" s="1635" t="s">
        <v>1314</v>
      </c>
      <c r="E23" s="829"/>
      <c r="F23" s="825"/>
      <c r="G23" s="825">
        <v>0</v>
      </c>
      <c r="H23" s="825"/>
      <c r="I23" s="825">
        <v>0</v>
      </c>
      <c r="J23" s="825"/>
      <c r="K23" s="825">
        <v>0</v>
      </c>
      <c r="L23" s="825"/>
      <c r="M23" s="825">
        <f t="shared" si="0"/>
        <v>0</v>
      </c>
      <c r="N23" s="825"/>
      <c r="O23" s="825">
        <v>0</v>
      </c>
      <c r="P23" s="1638"/>
      <c r="Q23" s="1639"/>
    </row>
    <row r="24" spans="2:17" s="1628" customFormat="1" ht="15.75">
      <c r="B24" s="1634">
        <v>30110</v>
      </c>
      <c r="C24" s="829"/>
      <c r="D24" s="1635" t="s">
        <v>1315</v>
      </c>
      <c r="E24" s="829"/>
      <c r="F24" s="825"/>
      <c r="G24" s="825">
        <v>0</v>
      </c>
      <c r="H24" s="825"/>
      <c r="I24" s="825">
        <v>0</v>
      </c>
      <c r="J24" s="825"/>
      <c r="K24" s="825">
        <v>0</v>
      </c>
      <c r="L24" s="825"/>
      <c r="M24" s="825">
        <f t="shared" si="0"/>
        <v>0</v>
      </c>
      <c r="N24" s="825"/>
      <c r="O24" s="825">
        <v>0</v>
      </c>
      <c r="P24" s="1638"/>
      <c r="Q24" s="1639"/>
    </row>
    <row r="25" spans="2:17" s="1628" customFormat="1" ht="15.75">
      <c r="B25" s="1634">
        <v>30111</v>
      </c>
      <c r="C25" s="829"/>
      <c r="D25" s="1635" t="s">
        <v>1316</v>
      </c>
      <c r="E25" s="829"/>
      <c r="F25" s="825"/>
      <c r="G25" s="825">
        <v>0</v>
      </c>
      <c r="H25" s="825"/>
      <c r="I25" s="825">
        <v>0</v>
      </c>
      <c r="J25" s="825"/>
      <c r="K25" s="825">
        <v>0</v>
      </c>
      <c r="L25" s="825"/>
      <c r="M25" s="825">
        <f t="shared" si="0"/>
        <v>0</v>
      </c>
      <c r="N25" s="825"/>
      <c r="O25" s="825">
        <v>0</v>
      </c>
      <c r="P25" s="1638"/>
      <c r="Q25" s="1639"/>
    </row>
    <row r="26" spans="2:17" s="1628" customFormat="1" ht="15.75">
      <c r="B26" s="1634">
        <v>30112</v>
      </c>
      <c r="C26" s="829"/>
      <c r="D26" s="1635" t="s">
        <v>1317</v>
      </c>
      <c r="E26" s="829"/>
      <c r="F26" s="825"/>
      <c r="G26" s="825">
        <v>0</v>
      </c>
      <c r="H26" s="825"/>
      <c r="I26" s="825">
        <v>0</v>
      </c>
      <c r="J26" s="825"/>
      <c r="K26" s="825">
        <v>0</v>
      </c>
      <c r="L26" s="825"/>
      <c r="M26" s="825">
        <f t="shared" si="0"/>
        <v>0</v>
      </c>
      <c r="N26" s="825"/>
      <c r="O26" s="825">
        <v>0</v>
      </c>
      <c r="P26" s="1638"/>
      <c r="Q26" s="1639"/>
    </row>
    <row r="27" spans="2:17" s="1628" customFormat="1" ht="15.75">
      <c r="B27" s="1634">
        <v>30113</v>
      </c>
      <c r="C27" s="829"/>
      <c r="D27" s="1635" t="s">
        <v>1318</v>
      </c>
      <c r="E27" s="829"/>
      <c r="F27" s="825"/>
      <c r="G27" s="825">
        <v>0</v>
      </c>
      <c r="H27" s="825"/>
      <c r="I27" s="825">
        <v>0</v>
      </c>
      <c r="J27" s="825"/>
      <c r="K27" s="825">
        <v>0</v>
      </c>
      <c r="L27" s="825"/>
      <c r="M27" s="825">
        <f t="shared" si="0"/>
        <v>0</v>
      </c>
      <c r="N27" s="825"/>
      <c r="O27" s="825">
        <v>0</v>
      </c>
      <c r="P27" s="1638"/>
      <c r="Q27" s="1639"/>
    </row>
    <row r="28" spans="2:17" s="1628" customFormat="1" ht="15.75">
      <c r="B28" s="1634">
        <v>30114</v>
      </c>
      <c r="C28" s="829"/>
      <c r="D28" s="1635" t="s">
        <v>1319</v>
      </c>
      <c r="E28" s="829"/>
      <c r="F28" s="825"/>
      <c r="G28" s="825">
        <v>0</v>
      </c>
      <c r="H28" s="825"/>
      <c r="I28" s="825">
        <v>0</v>
      </c>
      <c r="J28" s="825"/>
      <c r="K28" s="825">
        <v>0</v>
      </c>
      <c r="L28" s="825"/>
      <c r="M28" s="825">
        <f t="shared" si="0"/>
        <v>0</v>
      </c>
      <c r="N28" s="825"/>
      <c r="O28" s="825">
        <v>0</v>
      </c>
      <c r="P28" s="1638"/>
      <c r="Q28" s="1639"/>
    </row>
    <row r="29" spans="2:17" s="1628" customFormat="1" ht="15.75">
      <c r="B29" s="1634">
        <v>30115</v>
      </c>
      <c r="C29" s="829"/>
      <c r="D29" s="1635" t="s">
        <v>1320</v>
      </c>
      <c r="E29" s="829"/>
      <c r="F29" s="825"/>
      <c r="G29" s="825">
        <v>0</v>
      </c>
      <c r="H29" s="825"/>
      <c r="I29" s="825">
        <v>0</v>
      </c>
      <c r="J29" s="825"/>
      <c r="K29" s="825">
        <v>0</v>
      </c>
      <c r="L29" s="825"/>
      <c r="M29" s="825">
        <f t="shared" si="0"/>
        <v>0</v>
      </c>
      <c r="N29" s="825"/>
      <c r="O29" s="825">
        <v>0</v>
      </c>
      <c r="P29" s="1638"/>
      <c r="Q29" s="1639"/>
    </row>
    <row r="30" spans="2:17" s="1628" customFormat="1" ht="15.75">
      <c r="B30" s="1634">
        <v>30116</v>
      </c>
      <c r="C30" s="829"/>
      <c r="D30" s="1635" t="s">
        <v>1321</v>
      </c>
      <c r="E30" s="829"/>
      <c r="F30" s="825"/>
      <c r="G30" s="825">
        <v>0</v>
      </c>
      <c r="H30" s="825"/>
      <c r="I30" s="825">
        <v>0</v>
      </c>
      <c r="J30" s="825"/>
      <c r="K30" s="825">
        <v>0</v>
      </c>
      <c r="L30" s="825"/>
      <c r="M30" s="825">
        <f t="shared" si="0"/>
        <v>0</v>
      </c>
      <c r="N30" s="825"/>
      <c r="O30" s="825">
        <v>0</v>
      </c>
      <c r="P30" s="1638"/>
      <c r="Q30" s="1639"/>
    </row>
    <row r="31" spans="2:17" s="1628" customFormat="1" ht="15.75">
      <c r="B31" s="1634">
        <v>30117</v>
      </c>
      <c r="C31" s="829"/>
      <c r="D31" s="1635" t="s">
        <v>1322</v>
      </c>
      <c r="E31" s="829"/>
      <c r="F31" s="825"/>
      <c r="G31" s="825">
        <v>0</v>
      </c>
      <c r="H31" s="825"/>
      <c r="I31" s="825">
        <v>0</v>
      </c>
      <c r="J31" s="825"/>
      <c r="K31" s="825">
        <v>0</v>
      </c>
      <c r="L31" s="825"/>
      <c r="M31" s="825">
        <f t="shared" si="0"/>
        <v>0</v>
      </c>
      <c r="N31" s="825"/>
      <c r="O31" s="825">
        <v>0</v>
      </c>
      <c r="P31" s="1638"/>
      <c r="Q31" s="1639"/>
    </row>
    <row r="32" spans="2:17" s="1628" customFormat="1" ht="15.75">
      <c r="B32" s="1634">
        <v>30118</v>
      </c>
      <c r="C32" s="829"/>
      <c r="D32" s="1635" t="s">
        <v>1323</v>
      </c>
      <c r="E32" s="829"/>
      <c r="F32" s="825"/>
      <c r="G32" s="825">
        <v>0</v>
      </c>
      <c r="H32" s="825"/>
      <c r="I32" s="825">
        <v>0</v>
      </c>
      <c r="J32" s="825"/>
      <c r="K32" s="825">
        <v>0</v>
      </c>
      <c r="L32" s="825"/>
      <c r="M32" s="825">
        <f t="shared" si="0"/>
        <v>0</v>
      </c>
      <c r="N32" s="825"/>
      <c r="O32" s="825">
        <v>0</v>
      </c>
      <c r="P32" s="1638"/>
      <c r="Q32" s="1639"/>
    </row>
    <row r="33" spans="2:17" s="1628" customFormat="1" ht="15.75">
      <c r="B33" s="1634">
        <v>30119</v>
      </c>
      <c r="C33" s="829"/>
      <c r="D33" s="1635" t="s">
        <v>1324</v>
      </c>
      <c r="E33" s="829"/>
      <c r="F33" s="825"/>
      <c r="G33" s="825">
        <v>0</v>
      </c>
      <c r="H33" s="825"/>
      <c r="I33" s="825">
        <v>0</v>
      </c>
      <c r="J33" s="825"/>
      <c r="K33" s="825">
        <v>0</v>
      </c>
      <c r="L33" s="825"/>
      <c r="M33" s="825">
        <f t="shared" si="0"/>
        <v>0</v>
      </c>
      <c r="N33" s="825"/>
      <c r="O33" s="825">
        <v>0</v>
      </c>
      <c r="P33" s="1638"/>
      <c r="Q33" s="1639"/>
    </row>
    <row r="34" spans="2:17" s="1628" customFormat="1" ht="15.75">
      <c r="B34" s="1634">
        <v>30120</v>
      </c>
      <c r="C34" s="829"/>
      <c r="D34" s="1635" t="s">
        <v>1325</v>
      </c>
      <c r="E34" s="829"/>
      <c r="F34" s="825"/>
      <c r="G34" s="825">
        <v>0</v>
      </c>
      <c r="H34" s="825"/>
      <c r="I34" s="825">
        <v>0</v>
      </c>
      <c r="J34" s="825"/>
      <c r="K34" s="825">
        <v>0</v>
      </c>
      <c r="L34" s="825"/>
      <c r="M34" s="825">
        <f t="shared" si="0"/>
        <v>0</v>
      </c>
      <c r="N34" s="825"/>
      <c r="O34" s="825">
        <v>0</v>
      </c>
      <c r="P34" s="1638"/>
      <c r="Q34" s="1639"/>
    </row>
    <row r="35" spans="2:17" s="1628" customFormat="1" ht="15.75">
      <c r="B35" s="1634">
        <v>30121</v>
      </c>
      <c r="C35" s="829"/>
      <c r="D35" s="1635" t="s">
        <v>1326</v>
      </c>
      <c r="E35" s="829"/>
      <c r="F35" s="825"/>
      <c r="G35" s="825">
        <v>0</v>
      </c>
      <c r="H35" s="825"/>
      <c r="I35" s="825">
        <v>0</v>
      </c>
      <c r="J35" s="825"/>
      <c r="K35" s="825">
        <v>0</v>
      </c>
      <c r="L35" s="825"/>
      <c r="M35" s="825">
        <f t="shared" si="0"/>
        <v>0</v>
      </c>
      <c r="N35" s="825"/>
      <c r="O35" s="825">
        <v>0</v>
      </c>
      <c r="P35" s="1638"/>
      <c r="Q35" s="1639"/>
    </row>
    <row r="36" spans="2:17" s="1628" customFormat="1" ht="15.75">
      <c r="B36" s="1634">
        <v>30122</v>
      </c>
      <c r="C36" s="829"/>
      <c r="D36" s="1635" t="s">
        <v>1327</v>
      </c>
      <c r="E36" s="829"/>
      <c r="F36" s="825"/>
      <c r="G36" s="825">
        <v>0</v>
      </c>
      <c r="H36" s="825"/>
      <c r="I36" s="825">
        <v>0</v>
      </c>
      <c r="J36" s="825"/>
      <c r="K36" s="825">
        <v>0</v>
      </c>
      <c r="L36" s="825"/>
      <c r="M36" s="825">
        <f t="shared" si="0"/>
        <v>0</v>
      </c>
      <c r="N36" s="825"/>
      <c r="O36" s="825">
        <v>0</v>
      </c>
      <c r="P36" s="1638"/>
      <c r="Q36" s="1639"/>
    </row>
    <row r="37" spans="2:17" s="1628" customFormat="1" ht="15.75">
      <c r="B37" s="1634">
        <v>30123</v>
      </c>
      <c r="C37" s="829"/>
      <c r="D37" s="1635" t="s">
        <v>1328</v>
      </c>
      <c r="E37" s="829"/>
      <c r="F37" s="825"/>
      <c r="G37" s="825">
        <v>0</v>
      </c>
      <c r="H37" s="825"/>
      <c r="I37" s="825">
        <v>0</v>
      </c>
      <c r="J37" s="825"/>
      <c r="K37" s="825">
        <v>0</v>
      </c>
      <c r="L37" s="825"/>
      <c r="M37" s="825">
        <f t="shared" si="0"/>
        <v>0</v>
      </c>
      <c r="N37" s="825"/>
      <c r="O37" s="825">
        <v>0</v>
      </c>
      <c r="P37" s="1638"/>
      <c r="Q37" s="1639"/>
    </row>
    <row r="38" spans="2:17" s="1628" customFormat="1" ht="15.75">
      <c r="B38" s="1634">
        <v>30124</v>
      </c>
      <c r="C38" s="829"/>
      <c r="D38" s="1635" t="s">
        <v>1329</v>
      </c>
      <c r="E38" s="829"/>
      <c r="F38" s="825"/>
      <c r="G38" s="825">
        <v>0</v>
      </c>
      <c r="H38" s="825"/>
      <c r="I38" s="825">
        <v>0</v>
      </c>
      <c r="J38" s="825"/>
      <c r="K38" s="825">
        <v>0</v>
      </c>
      <c r="L38" s="825"/>
      <c r="M38" s="825">
        <f t="shared" si="0"/>
        <v>0</v>
      </c>
      <c r="N38" s="825"/>
      <c r="O38" s="825">
        <v>0</v>
      </c>
      <c r="P38" s="1638"/>
      <c r="Q38" s="1639"/>
    </row>
    <row r="39" spans="2:17" s="1628" customFormat="1" ht="15.75">
      <c r="B39" s="1634">
        <v>30125</v>
      </c>
      <c r="C39" s="829"/>
      <c r="D39" s="1635" t="s">
        <v>1330</v>
      </c>
      <c r="E39" s="829"/>
      <c r="F39" s="825"/>
      <c r="G39" s="825">
        <v>0</v>
      </c>
      <c r="H39" s="825"/>
      <c r="I39" s="825">
        <v>0</v>
      </c>
      <c r="J39" s="825"/>
      <c r="K39" s="825">
        <v>0</v>
      </c>
      <c r="L39" s="825"/>
      <c r="M39" s="825">
        <f t="shared" si="0"/>
        <v>0</v>
      </c>
      <c r="N39" s="825"/>
      <c r="O39" s="825">
        <v>0</v>
      </c>
      <c r="P39" s="1638"/>
      <c r="Q39" s="1639"/>
    </row>
    <row r="40" spans="2:17" s="1628" customFormat="1" ht="15.75">
      <c r="B40" s="1634">
        <v>30126</v>
      </c>
      <c r="C40" s="829"/>
      <c r="D40" s="1635" t="s">
        <v>1331</v>
      </c>
      <c r="E40" s="829"/>
      <c r="F40" s="825"/>
      <c r="G40" s="825">
        <v>0</v>
      </c>
      <c r="H40" s="825"/>
      <c r="I40" s="825">
        <v>0</v>
      </c>
      <c r="J40" s="825"/>
      <c r="K40" s="825">
        <v>0</v>
      </c>
      <c r="L40" s="825"/>
      <c r="M40" s="825">
        <f t="shared" si="0"/>
        <v>0</v>
      </c>
      <c r="N40" s="825"/>
      <c r="O40" s="825">
        <v>0</v>
      </c>
      <c r="P40" s="1638"/>
      <c r="Q40" s="1639"/>
    </row>
    <row r="41" spans="2:17" s="1628" customFormat="1" ht="15.75">
      <c r="B41" s="1634">
        <v>30127</v>
      </c>
      <c r="C41" s="829"/>
      <c r="D41" s="1635" t="s">
        <v>1332</v>
      </c>
      <c r="E41" s="829"/>
      <c r="F41" s="825"/>
      <c r="G41" s="825">
        <v>0</v>
      </c>
      <c r="H41" s="825"/>
      <c r="I41" s="825">
        <v>0</v>
      </c>
      <c r="J41" s="825"/>
      <c r="K41" s="825">
        <v>0</v>
      </c>
      <c r="L41" s="825"/>
      <c r="M41" s="825">
        <f t="shared" si="0"/>
        <v>0</v>
      </c>
      <c r="N41" s="825"/>
      <c r="O41" s="825">
        <v>0</v>
      </c>
      <c r="P41" s="1638"/>
      <c r="Q41" s="1639"/>
    </row>
    <row r="42" spans="2:17" s="1628" customFormat="1" ht="15.75">
      <c r="B42" s="1634">
        <v>30128</v>
      </c>
      <c r="C42" s="829"/>
      <c r="D42" s="1635" t="s">
        <v>1333</v>
      </c>
      <c r="E42" s="829"/>
      <c r="F42" s="825"/>
      <c r="G42" s="825">
        <v>0</v>
      </c>
      <c r="H42" s="825"/>
      <c r="I42" s="825">
        <v>0</v>
      </c>
      <c r="J42" s="825"/>
      <c r="K42" s="825">
        <v>0</v>
      </c>
      <c r="L42" s="825"/>
      <c r="M42" s="825">
        <f t="shared" si="0"/>
        <v>0</v>
      </c>
      <c r="N42" s="825"/>
      <c r="O42" s="825">
        <v>0</v>
      </c>
      <c r="P42" s="1638"/>
      <c r="Q42" s="1639"/>
    </row>
    <row r="43" spans="2:17" s="1628" customFormat="1" ht="15.75">
      <c r="B43" s="1634">
        <v>30129</v>
      </c>
      <c r="C43" s="829"/>
      <c r="D43" s="1635" t="s">
        <v>1334</v>
      </c>
      <c r="E43" s="829"/>
      <c r="F43" s="825"/>
      <c r="G43" s="825">
        <v>0</v>
      </c>
      <c r="H43" s="825"/>
      <c r="I43" s="825">
        <v>0</v>
      </c>
      <c r="J43" s="825"/>
      <c r="K43" s="825">
        <v>0</v>
      </c>
      <c r="L43" s="825"/>
      <c r="M43" s="825">
        <f t="shared" si="0"/>
        <v>0</v>
      </c>
      <c r="N43" s="825"/>
      <c r="O43" s="825">
        <v>0</v>
      </c>
      <c r="P43" s="1638"/>
      <c r="Q43" s="1639"/>
    </row>
    <row r="44" spans="2:17" s="1628" customFormat="1" ht="15.75">
      <c r="B44" s="1634">
        <v>30130</v>
      </c>
      <c r="C44" s="829"/>
      <c r="D44" s="1635" t="s">
        <v>1335</v>
      </c>
      <c r="E44" s="829"/>
      <c r="F44" s="825"/>
      <c r="G44" s="825">
        <v>0</v>
      </c>
      <c r="H44" s="825"/>
      <c r="I44" s="825">
        <v>0</v>
      </c>
      <c r="J44" s="825"/>
      <c r="K44" s="825">
        <v>0</v>
      </c>
      <c r="L44" s="825"/>
      <c r="M44" s="825">
        <f t="shared" si="0"/>
        <v>0</v>
      </c>
      <c r="N44" s="825"/>
      <c r="O44" s="825">
        <v>0</v>
      </c>
      <c r="P44" s="1638"/>
      <c r="Q44" s="1639"/>
    </row>
    <row r="45" spans="2:17" s="1628" customFormat="1" ht="15.75">
      <c r="B45" s="1634">
        <v>30131</v>
      </c>
      <c r="C45" s="829"/>
      <c r="D45" s="1635" t="s">
        <v>1336</v>
      </c>
      <c r="E45" s="829"/>
      <c r="F45" s="825"/>
      <c r="G45" s="825">
        <v>0</v>
      </c>
      <c r="H45" s="825"/>
      <c r="I45" s="825">
        <v>0</v>
      </c>
      <c r="J45" s="825"/>
      <c r="K45" s="825">
        <v>0</v>
      </c>
      <c r="L45" s="825"/>
      <c r="M45" s="825">
        <f t="shared" si="0"/>
        <v>0</v>
      </c>
      <c r="N45" s="825"/>
      <c r="O45" s="825">
        <v>0</v>
      </c>
      <c r="P45" s="1638"/>
      <c r="Q45" s="1639"/>
    </row>
    <row r="46" spans="2:17" s="1628" customFormat="1" ht="15.75">
      <c r="B46" s="1634">
        <v>30132</v>
      </c>
      <c r="C46" s="829"/>
      <c r="D46" s="1635" t="s">
        <v>1337</v>
      </c>
      <c r="E46" s="829"/>
      <c r="F46" s="825"/>
      <c r="G46" s="825">
        <v>0</v>
      </c>
      <c r="H46" s="825"/>
      <c r="I46" s="825">
        <v>0</v>
      </c>
      <c r="J46" s="825"/>
      <c r="K46" s="825">
        <v>0</v>
      </c>
      <c r="L46" s="825"/>
      <c r="M46" s="825">
        <f t="shared" si="0"/>
        <v>0</v>
      </c>
      <c r="N46" s="825"/>
      <c r="O46" s="825">
        <v>0</v>
      </c>
      <c r="P46" s="1638"/>
      <c r="Q46" s="1639"/>
    </row>
    <row r="47" spans="2:17" s="1628" customFormat="1" ht="15.75">
      <c r="B47" s="1634">
        <v>30133</v>
      </c>
      <c r="C47" s="829"/>
      <c r="D47" s="1635" t="s">
        <v>1338</v>
      </c>
      <c r="E47" s="829"/>
      <c r="F47" s="825"/>
      <c r="G47" s="825">
        <v>0</v>
      </c>
      <c r="H47" s="825"/>
      <c r="I47" s="825">
        <v>0</v>
      </c>
      <c r="J47" s="825"/>
      <c r="K47" s="825">
        <v>0</v>
      </c>
      <c r="L47" s="825"/>
      <c r="M47" s="825">
        <f t="shared" si="0"/>
        <v>317522.26</v>
      </c>
      <c r="N47" s="825"/>
      <c r="O47" s="825">
        <v>317522.26</v>
      </c>
      <c r="P47" s="1638"/>
      <c r="Q47" s="1639"/>
    </row>
    <row r="48" spans="2:17" s="1628" customFormat="1" ht="15.75">
      <c r="B48" s="1634">
        <v>30134</v>
      </c>
      <c r="C48" s="829"/>
      <c r="D48" s="1635" t="s">
        <v>1339</v>
      </c>
      <c r="E48" s="829"/>
      <c r="F48" s="825"/>
      <c r="G48" s="825">
        <v>0</v>
      </c>
      <c r="H48" s="825"/>
      <c r="I48" s="825">
        <v>0</v>
      </c>
      <c r="J48" s="825"/>
      <c r="K48" s="825">
        <v>0</v>
      </c>
      <c r="L48" s="825"/>
      <c r="M48" s="825">
        <f t="shared" si="0"/>
        <v>0</v>
      </c>
      <c r="N48" s="825"/>
      <c r="O48" s="825">
        <v>0</v>
      </c>
      <c r="P48" s="1638"/>
      <c r="Q48" s="1639"/>
    </row>
    <row r="49" spans="2:17" s="1628" customFormat="1" ht="15.75">
      <c r="B49" s="1634">
        <v>30135</v>
      </c>
      <c r="C49" s="829"/>
      <c r="D49" s="1635" t="s">
        <v>1340</v>
      </c>
      <c r="E49" s="829"/>
      <c r="F49" s="825"/>
      <c r="G49" s="825">
        <v>5.0999999999999996</v>
      </c>
      <c r="H49" s="825"/>
      <c r="I49" s="825">
        <v>6.12</v>
      </c>
      <c r="J49" s="825"/>
      <c r="K49" s="825">
        <v>110006.15</v>
      </c>
      <c r="L49" s="825"/>
      <c r="M49" s="825">
        <f t="shared" si="0"/>
        <v>32</v>
      </c>
      <c r="N49" s="825"/>
      <c r="O49" s="825">
        <v>110038.15</v>
      </c>
      <c r="P49" s="1638"/>
      <c r="Q49" s="1639"/>
    </row>
    <row r="50" spans="2:17" s="1628" customFormat="1" ht="15.75">
      <c r="B50" s="1634">
        <v>30136</v>
      </c>
      <c r="C50" s="829"/>
      <c r="D50" s="1635" t="s">
        <v>1341</v>
      </c>
      <c r="E50" s="829"/>
      <c r="F50" s="825"/>
      <c r="G50" s="825">
        <v>0</v>
      </c>
      <c r="H50" s="825"/>
      <c r="I50" s="825">
        <v>0</v>
      </c>
      <c r="J50" s="825"/>
      <c r="K50" s="825">
        <v>0</v>
      </c>
      <c r="L50" s="825"/>
      <c r="M50" s="825">
        <f t="shared" si="0"/>
        <v>0</v>
      </c>
      <c r="N50" s="825"/>
      <c r="O50" s="825">
        <v>0</v>
      </c>
      <c r="P50" s="1638"/>
      <c r="Q50" s="1639"/>
    </row>
    <row r="51" spans="2:17" s="1628" customFormat="1" ht="15.75">
      <c r="B51" s="1634">
        <v>30137</v>
      </c>
      <c r="C51" s="829"/>
      <c r="D51" s="1635" t="s">
        <v>1342</v>
      </c>
      <c r="E51" s="829"/>
      <c r="F51" s="825"/>
      <c r="G51" s="825">
        <v>0</v>
      </c>
      <c r="H51" s="825"/>
      <c r="I51" s="825">
        <v>0</v>
      </c>
      <c r="J51" s="825"/>
      <c r="K51" s="825">
        <v>0</v>
      </c>
      <c r="L51" s="825"/>
      <c r="M51" s="825">
        <f t="shared" si="0"/>
        <v>0</v>
      </c>
      <c r="N51" s="825"/>
      <c r="O51" s="825">
        <v>0</v>
      </c>
      <c r="P51" s="1638"/>
      <c r="Q51" s="1639"/>
    </row>
    <row r="52" spans="2:17" s="1628" customFormat="1" ht="15.75">
      <c r="B52" s="1634">
        <v>30138</v>
      </c>
      <c r="C52" s="829"/>
      <c r="D52" s="1635" t="s">
        <v>1343</v>
      </c>
      <c r="E52" s="829"/>
      <c r="F52" s="825"/>
      <c r="G52" s="825">
        <v>0</v>
      </c>
      <c r="H52" s="825"/>
      <c r="I52" s="825">
        <v>0</v>
      </c>
      <c r="J52" s="825"/>
      <c r="K52" s="825">
        <v>0</v>
      </c>
      <c r="L52" s="825"/>
      <c r="M52" s="825">
        <f t="shared" si="0"/>
        <v>0</v>
      </c>
      <c r="N52" s="825"/>
      <c r="O52" s="825">
        <v>0</v>
      </c>
      <c r="P52" s="1638"/>
      <c r="Q52" s="1639"/>
    </row>
    <row r="53" spans="2:17" s="1628" customFormat="1" ht="15.75">
      <c r="B53" s="1634">
        <v>30139</v>
      </c>
      <c r="C53" s="829"/>
      <c r="D53" s="1635" t="s">
        <v>1344</v>
      </c>
      <c r="E53" s="829"/>
      <c r="F53" s="825"/>
      <c r="G53" s="825">
        <v>0</v>
      </c>
      <c r="H53" s="825"/>
      <c r="I53" s="825">
        <v>0</v>
      </c>
      <c r="J53" s="825"/>
      <c r="K53" s="825">
        <v>0</v>
      </c>
      <c r="L53" s="825"/>
      <c r="M53" s="825">
        <f t="shared" si="0"/>
        <v>0</v>
      </c>
      <c r="N53" s="825"/>
      <c r="O53" s="825">
        <v>0</v>
      </c>
      <c r="P53" s="1638"/>
      <c r="Q53" s="1639"/>
    </row>
    <row r="54" spans="2:17" s="1628" customFormat="1" ht="15.75">
      <c r="B54" s="1634">
        <v>30140</v>
      </c>
      <c r="C54" s="829"/>
      <c r="D54" s="1635" t="s">
        <v>1345</v>
      </c>
      <c r="E54" s="829"/>
      <c r="F54" s="825"/>
      <c r="G54" s="825">
        <v>0</v>
      </c>
      <c r="H54" s="825"/>
      <c r="I54" s="825">
        <v>0</v>
      </c>
      <c r="J54" s="825"/>
      <c r="K54" s="825">
        <v>0</v>
      </c>
      <c r="L54" s="825"/>
      <c r="M54" s="825">
        <f t="shared" si="0"/>
        <v>0</v>
      </c>
      <c r="N54" s="825"/>
      <c r="O54" s="825">
        <v>0</v>
      </c>
      <c r="P54" s="1638"/>
      <c r="Q54" s="1639"/>
    </row>
    <row r="55" spans="2:17" s="1628" customFormat="1" ht="15.75">
      <c r="B55" s="1634">
        <v>30141</v>
      </c>
      <c r="C55" s="829"/>
      <c r="D55" s="1635" t="s">
        <v>1346</v>
      </c>
      <c r="E55" s="829"/>
      <c r="F55" s="825"/>
      <c r="G55" s="825">
        <v>19383.240000000002</v>
      </c>
      <c r="H55" s="825"/>
      <c r="I55" s="825">
        <v>19464.63</v>
      </c>
      <c r="J55" s="825"/>
      <c r="K55" s="825">
        <v>19550.830000000002</v>
      </c>
      <c r="L55" s="825"/>
      <c r="M55" s="825">
        <f t="shared" si="0"/>
        <v>88.03</v>
      </c>
      <c r="N55" s="825"/>
      <c r="O55" s="825">
        <v>19638.86</v>
      </c>
      <c r="P55" s="1638"/>
      <c r="Q55" s="1639"/>
    </row>
    <row r="56" spans="2:17" s="1628" customFormat="1" ht="15.75">
      <c r="B56" s="1634">
        <v>30142</v>
      </c>
      <c r="C56" s="829"/>
      <c r="D56" s="1635" t="s">
        <v>1347</v>
      </c>
      <c r="E56" s="829"/>
      <c r="F56" s="825"/>
      <c r="G56" s="825">
        <v>0</v>
      </c>
      <c r="H56" s="825"/>
      <c r="I56" s="825">
        <v>0</v>
      </c>
      <c r="J56" s="825"/>
      <c r="K56" s="825">
        <v>0</v>
      </c>
      <c r="L56" s="825"/>
      <c r="M56" s="825">
        <f t="shared" si="0"/>
        <v>0</v>
      </c>
      <c r="N56" s="825"/>
      <c r="O56" s="825">
        <v>0</v>
      </c>
      <c r="P56" s="1638"/>
      <c r="Q56" s="1639"/>
    </row>
    <row r="57" spans="2:17" s="1628" customFormat="1" ht="15.75">
      <c r="B57" s="1634">
        <v>30143</v>
      </c>
      <c r="C57" s="829"/>
      <c r="D57" s="1635" t="s">
        <v>1348</v>
      </c>
      <c r="E57" s="829"/>
      <c r="F57" s="825"/>
      <c r="G57" s="825">
        <v>0</v>
      </c>
      <c r="H57" s="825"/>
      <c r="I57" s="825">
        <v>0</v>
      </c>
      <c r="J57" s="825"/>
      <c r="K57" s="825">
        <v>0</v>
      </c>
      <c r="L57" s="825"/>
      <c r="M57" s="825">
        <f t="shared" si="0"/>
        <v>0</v>
      </c>
      <c r="N57" s="825"/>
      <c r="O57" s="825">
        <v>0</v>
      </c>
      <c r="P57" s="1638"/>
      <c r="Q57" s="1639"/>
    </row>
    <row r="58" spans="2:17" s="1628" customFormat="1" ht="15.75">
      <c r="B58" s="1634">
        <v>30144</v>
      </c>
      <c r="C58" s="829"/>
      <c r="D58" s="1635" t="s">
        <v>1349</v>
      </c>
      <c r="E58" s="829"/>
      <c r="F58" s="825"/>
      <c r="G58" s="825">
        <v>0</v>
      </c>
      <c r="H58" s="825"/>
      <c r="I58" s="825">
        <v>0</v>
      </c>
      <c r="J58" s="825"/>
      <c r="K58" s="825">
        <v>0</v>
      </c>
      <c r="L58" s="825"/>
      <c r="M58" s="825">
        <f t="shared" si="0"/>
        <v>0</v>
      </c>
      <c r="N58" s="825"/>
      <c r="O58" s="825">
        <v>0</v>
      </c>
      <c r="P58" s="1638"/>
      <c r="Q58" s="1639"/>
    </row>
    <row r="59" spans="2:17" s="1628" customFormat="1" ht="15.75">
      <c r="B59" s="1634">
        <v>30145</v>
      </c>
      <c r="C59" s="829"/>
      <c r="D59" s="1635" t="s">
        <v>1350</v>
      </c>
      <c r="E59" s="829"/>
      <c r="F59" s="825"/>
      <c r="G59" s="825">
        <v>0</v>
      </c>
      <c r="H59" s="825"/>
      <c r="I59" s="825">
        <v>0</v>
      </c>
      <c r="J59" s="825"/>
      <c r="K59" s="825">
        <v>0</v>
      </c>
      <c r="L59" s="825"/>
      <c r="M59" s="825">
        <f t="shared" si="0"/>
        <v>0</v>
      </c>
      <c r="N59" s="825"/>
      <c r="O59" s="825">
        <v>0</v>
      </c>
      <c r="P59" s="1638"/>
      <c r="Q59" s="1639"/>
    </row>
    <row r="60" spans="2:17" s="1628" customFormat="1" ht="15.75">
      <c r="B60" s="1634">
        <v>30146</v>
      </c>
      <c r="C60" s="829"/>
      <c r="D60" s="1635" t="s">
        <v>1351</v>
      </c>
      <c r="E60" s="829"/>
      <c r="F60" s="825"/>
      <c r="G60" s="825">
        <v>0</v>
      </c>
      <c r="H60" s="825"/>
      <c r="I60" s="825">
        <v>0</v>
      </c>
      <c r="J60" s="825"/>
      <c r="K60" s="825">
        <v>0</v>
      </c>
      <c r="L60" s="825"/>
      <c r="M60" s="825">
        <f t="shared" si="0"/>
        <v>0</v>
      </c>
      <c r="N60" s="825"/>
      <c r="O60" s="825">
        <v>0</v>
      </c>
      <c r="P60" s="1638"/>
      <c r="Q60" s="1639"/>
    </row>
    <row r="61" spans="2:17" s="1628" customFormat="1" ht="15.75">
      <c r="B61" s="1634">
        <v>30147</v>
      </c>
      <c r="C61" s="829"/>
      <c r="D61" s="1635" t="s">
        <v>533</v>
      </c>
      <c r="E61" s="829"/>
      <c r="F61" s="825">
        <v>0</v>
      </c>
      <c r="G61" s="825">
        <v>0</v>
      </c>
      <c r="H61" s="825"/>
      <c r="I61" s="825">
        <v>0</v>
      </c>
      <c r="J61" s="825"/>
      <c r="K61" s="825">
        <v>0</v>
      </c>
      <c r="L61" s="825"/>
      <c r="M61" s="825">
        <f t="shared" ref="M61:M74" si="1">ROUND(SUM(O61)-SUM(K61),2)</f>
        <v>0</v>
      </c>
      <c r="N61" s="825"/>
      <c r="O61" s="825">
        <v>0</v>
      </c>
      <c r="P61" s="1638"/>
      <c r="Q61" s="1639"/>
    </row>
    <row r="62" spans="2:17" s="1628" customFormat="1" ht="15.75">
      <c r="B62" s="1634">
        <v>30148</v>
      </c>
      <c r="C62" s="829"/>
      <c r="D62" s="1635" t="s">
        <v>1353</v>
      </c>
      <c r="E62" s="829"/>
      <c r="F62" s="825"/>
      <c r="G62" s="825">
        <v>0</v>
      </c>
      <c r="H62" s="825"/>
      <c r="I62" s="825">
        <v>0</v>
      </c>
      <c r="J62" s="825"/>
      <c r="K62" s="825">
        <v>0</v>
      </c>
      <c r="L62" s="825"/>
      <c r="M62" s="825">
        <f t="shared" ref="M62:M68" si="2">ROUND(SUM(O62)-SUM(K62),2)</f>
        <v>0</v>
      </c>
      <c r="N62" s="825"/>
      <c r="O62" s="825">
        <v>0</v>
      </c>
      <c r="P62" s="1638"/>
      <c r="Q62" s="1639"/>
    </row>
    <row r="63" spans="2:17" s="1628" customFormat="1" ht="15.75">
      <c r="B63" s="1634">
        <v>30149</v>
      </c>
      <c r="C63" s="829"/>
      <c r="D63" s="1635" t="s">
        <v>1354</v>
      </c>
      <c r="E63" s="829"/>
      <c r="F63" s="825"/>
      <c r="G63" s="825">
        <v>0</v>
      </c>
      <c r="H63" s="825"/>
      <c r="I63" s="825">
        <v>0</v>
      </c>
      <c r="J63" s="825"/>
      <c r="K63" s="825">
        <v>0</v>
      </c>
      <c r="L63" s="825"/>
      <c r="M63" s="825">
        <f t="shared" si="2"/>
        <v>0</v>
      </c>
      <c r="N63" s="825"/>
      <c r="O63" s="825">
        <v>0</v>
      </c>
      <c r="P63" s="1638"/>
      <c r="Q63" s="1639"/>
    </row>
    <row r="64" spans="2:17" s="1628" customFormat="1" ht="15.75">
      <c r="B64" s="1634">
        <v>30150</v>
      </c>
      <c r="C64" s="829"/>
      <c r="D64" s="1635" t="s">
        <v>1355</v>
      </c>
      <c r="E64" s="829"/>
      <c r="F64" s="825"/>
      <c r="G64" s="825">
        <v>0</v>
      </c>
      <c r="H64" s="825"/>
      <c r="I64" s="825">
        <v>0</v>
      </c>
      <c r="J64" s="825"/>
      <c r="K64" s="825">
        <v>0</v>
      </c>
      <c r="L64" s="825"/>
      <c r="M64" s="825">
        <f t="shared" si="2"/>
        <v>0</v>
      </c>
      <c r="N64" s="825"/>
      <c r="O64" s="825">
        <v>0</v>
      </c>
      <c r="P64" s="1638"/>
      <c r="Q64" s="1639"/>
    </row>
    <row r="65" spans="2:17" s="1628" customFormat="1" ht="15.75">
      <c r="B65" s="1634">
        <v>30151</v>
      </c>
      <c r="C65" s="829"/>
      <c r="D65" s="1635" t="s">
        <v>1356</v>
      </c>
      <c r="E65" s="829"/>
      <c r="F65" s="825"/>
      <c r="G65" s="825">
        <v>0</v>
      </c>
      <c r="H65" s="825"/>
      <c r="I65" s="825">
        <v>0</v>
      </c>
      <c r="J65" s="825"/>
      <c r="K65" s="825">
        <v>0</v>
      </c>
      <c r="L65" s="825"/>
      <c r="M65" s="825">
        <f t="shared" si="2"/>
        <v>0</v>
      </c>
      <c r="N65" s="825"/>
      <c r="O65" s="825">
        <v>0</v>
      </c>
      <c r="P65" s="1638"/>
      <c r="Q65" s="1639"/>
    </row>
    <row r="66" spans="2:17" s="1628" customFormat="1" ht="15.75">
      <c r="B66" s="1634">
        <v>30152</v>
      </c>
      <c r="C66" s="829"/>
      <c r="D66" s="1635" t="s">
        <v>1357</v>
      </c>
      <c r="E66" s="829"/>
      <c r="F66" s="825"/>
      <c r="G66" s="825">
        <v>0</v>
      </c>
      <c r="H66" s="825"/>
      <c r="I66" s="825">
        <v>0</v>
      </c>
      <c r="J66" s="825"/>
      <c r="K66" s="825">
        <v>0</v>
      </c>
      <c r="L66" s="825"/>
      <c r="M66" s="825">
        <f t="shared" si="2"/>
        <v>0</v>
      </c>
      <c r="N66" s="825"/>
      <c r="O66" s="825">
        <v>0</v>
      </c>
      <c r="P66" s="1638"/>
      <c r="Q66" s="1639"/>
    </row>
    <row r="67" spans="2:17" s="1628" customFormat="1" ht="15.75">
      <c r="B67" s="1634">
        <v>30153</v>
      </c>
      <c r="C67" s="829"/>
      <c r="D67" s="1635" t="s">
        <v>1358</v>
      </c>
      <c r="E67" s="829"/>
      <c r="F67" s="825"/>
      <c r="G67" s="825">
        <v>0</v>
      </c>
      <c r="H67" s="825"/>
      <c r="I67" s="825">
        <v>0</v>
      </c>
      <c r="J67" s="825"/>
      <c r="K67" s="825">
        <v>0</v>
      </c>
      <c r="L67" s="825"/>
      <c r="M67" s="825">
        <f t="shared" si="2"/>
        <v>0</v>
      </c>
      <c r="N67" s="825"/>
      <c r="O67" s="825">
        <v>0</v>
      </c>
      <c r="P67" s="1638"/>
      <c r="Q67" s="1639"/>
    </row>
    <row r="68" spans="2:17" s="1628" customFormat="1" ht="15.75">
      <c r="B68" s="1634">
        <v>30154</v>
      </c>
      <c r="C68" s="829"/>
      <c r="D68" s="1635" t="s">
        <v>1359</v>
      </c>
      <c r="E68" s="829"/>
      <c r="F68" s="825"/>
      <c r="G68" s="825">
        <v>0</v>
      </c>
      <c r="H68" s="825"/>
      <c r="I68" s="825">
        <v>0</v>
      </c>
      <c r="J68" s="825"/>
      <c r="K68" s="825">
        <v>0</v>
      </c>
      <c r="L68" s="825"/>
      <c r="M68" s="825">
        <f t="shared" si="2"/>
        <v>0</v>
      </c>
      <c r="N68" s="825"/>
      <c r="O68" s="825">
        <v>0</v>
      </c>
      <c r="P68" s="1638"/>
      <c r="Q68" s="1639"/>
    </row>
    <row r="69" spans="2:17" s="1628" customFormat="1" ht="15.75">
      <c r="B69" s="1634">
        <v>30351</v>
      </c>
      <c r="C69" s="829"/>
      <c r="D69" s="1635" t="s">
        <v>534</v>
      </c>
      <c r="E69" s="829"/>
      <c r="F69" s="825">
        <v>72792259.140000001</v>
      </c>
      <c r="G69" s="825">
        <v>202003730.46000001</v>
      </c>
      <c r="H69" s="825"/>
      <c r="I69" s="825">
        <v>206047275.66999999</v>
      </c>
      <c r="J69" s="825"/>
      <c r="K69" s="825">
        <v>167260878.84</v>
      </c>
      <c r="L69" s="825"/>
      <c r="M69" s="825">
        <f t="shared" si="1"/>
        <v>14127774.810000001</v>
      </c>
      <c r="N69" s="825"/>
      <c r="O69" s="825">
        <v>181388653.65000001</v>
      </c>
      <c r="P69" s="1638"/>
      <c r="Q69" s="1639"/>
    </row>
    <row r="70" spans="2:17" s="1628" customFormat="1" ht="15.75">
      <c r="B70" s="1634">
        <v>30501</v>
      </c>
      <c r="C70" s="829"/>
      <c r="D70" s="1635" t="s">
        <v>1360</v>
      </c>
      <c r="E70" s="829"/>
      <c r="F70" s="825"/>
      <c r="G70" s="825">
        <v>0</v>
      </c>
      <c r="H70" s="825"/>
      <c r="I70" s="825">
        <v>0</v>
      </c>
      <c r="J70" s="825"/>
      <c r="K70" s="825">
        <v>0</v>
      </c>
      <c r="L70" s="825"/>
      <c r="M70" s="825">
        <f>ROUND(SUM(O70)-SUM(K70),2)</f>
        <v>0</v>
      </c>
      <c r="N70" s="825"/>
      <c r="O70" s="825">
        <v>0</v>
      </c>
      <c r="P70" s="1638"/>
      <c r="Q70" s="1639"/>
    </row>
    <row r="71" spans="2:17" s="1628" customFormat="1" ht="15.75">
      <c r="B71" s="1634">
        <v>30502</v>
      </c>
      <c r="C71" s="829"/>
      <c r="D71" s="1635" t="s">
        <v>1361</v>
      </c>
      <c r="E71" s="829"/>
      <c r="F71" s="825"/>
      <c r="G71" s="825">
        <v>0</v>
      </c>
      <c r="H71" s="825"/>
      <c r="I71" s="825">
        <v>0</v>
      </c>
      <c r="J71" s="825"/>
      <c r="K71" s="825">
        <v>0</v>
      </c>
      <c r="L71" s="825"/>
      <c r="M71" s="825">
        <f>ROUND(SUM(O71)-SUM(K71),2)</f>
        <v>0</v>
      </c>
      <c r="N71" s="825"/>
      <c r="O71" s="825">
        <v>0</v>
      </c>
      <c r="P71" s="1638"/>
      <c r="Q71" s="1639"/>
    </row>
    <row r="72" spans="2:17" s="1628" customFormat="1" ht="15.75">
      <c r="B72" s="1634">
        <v>30503</v>
      </c>
      <c r="C72" s="829"/>
      <c r="D72" s="1635" t="s">
        <v>1362</v>
      </c>
      <c r="E72" s="829"/>
      <c r="F72" s="825"/>
      <c r="G72" s="825">
        <v>0</v>
      </c>
      <c r="H72" s="825"/>
      <c r="I72" s="825">
        <v>0</v>
      </c>
      <c r="J72" s="825"/>
      <c r="K72" s="825">
        <v>0</v>
      </c>
      <c r="L72" s="825"/>
      <c r="M72" s="825">
        <f>ROUND(SUM(O72)-SUM(K72),2)</f>
        <v>0</v>
      </c>
      <c r="N72" s="825"/>
      <c r="O72" s="825">
        <v>0</v>
      </c>
      <c r="P72" s="1638"/>
      <c r="Q72" s="1639"/>
    </row>
    <row r="73" spans="2:17" s="1628" customFormat="1" ht="15.75">
      <c r="B73" s="1634">
        <v>30504</v>
      </c>
      <c r="C73" s="829"/>
      <c r="D73" s="1635" t="s">
        <v>1363</v>
      </c>
      <c r="E73" s="829"/>
      <c r="F73" s="825"/>
      <c r="G73" s="825">
        <v>0</v>
      </c>
      <c r="H73" s="825"/>
      <c r="I73" s="825">
        <v>0</v>
      </c>
      <c r="J73" s="825"/>
      <c r="K73" s="825">
        <v>0</v>
      </c>
      <c r="L73" s="825"/>
      <c r="M73" s="825">
        <f>ROUND(SUM(O73)-SUM(K73),2)</f>
        <v>0</v>
      </c>
      <c r="N73" s="825"/>
      <c r="O73" s="825">
        <v>0</v>
      </c>
      <c r="P73" s="1638"/>
      <c r="Q73" s="1639"/>
    </row>
    <row r="74" spans="2:17" s="1628" customFormat="1" ht="15.75">
      <c r="B74" s="1634">
        <v>31506</v>
      </c>
      <c r="C74" s="1643"/>
      <c r="D74" s="1642" t="s">
        <v>535</v>
      </c>
      <c r="E74" s="1644"/>
      <c r="F74" s="825">
        <v>109849194.79000001</v>
      </c>
      <c r="G74" s="825">
        <v>236710820.43000001</v>
      </c>
      <c r="H74" s="825"/>
      <c r="I74" s="825">
        <v>240163104.63999999</v>
      </c>
      <c r="J74" s="825"/>
      <c r="K74" s="825">
        <v>204725943.84999999</v>
      </c>
      <c r="L74" s="825"/>
      <c r="M74" s="825">
        <f t="shared" si="1"/>
        <v>13885675.220000001</v>
      </c>
      <c r="N74" s="825"/>
      <c r="O74" s="825">
        <v>218611619.06999999</v>
      </c>
      <c r="P74" s="1638"/>
      <c r="Q74" s="1639"/>
    </row>
    <row r="75" spans="2:17" s="1628" customFormat="1" ht="15.75">
      <c r="B75" s="1634">
        <v>31701</v>
      </c>
      <c r="C75" s="829"/>
      <c r="D75" s="1635" t="s">
        <v>536</v>
      </c>
      <c r="E75" s="829"/>
      <c r="F75" s="825">
        <v>7423246.6200000001</v>
      </c>
      <c r="G75" s="825">
        <v>21454857.199999999</v>
      </c>
      <c r="H75" s="825"/>
      <c r="I75" s="825">
        <v>22556838.210000001</v>
      </c>
      <c r="J75" s="825"/>
      <c r="K75" s="825">
        <v>23313358.359999999</v>
      </c>
      <c r="L75" s="825"/>
      <c r="M75" s="825">
        <f t="shared" ref="M75:M82" si="3">ROUND(SUM(O75)-SUM(K75),2)</f>
        <v>773695.9</v>
      </c>
      <c r="N75" s="825"/>
      <c r="O75" s="825">
        <v>24087054.260000002</v>
      </c>
      <c r="P75" s="1638"/>
      <c r="Q75" s="1639"/>
    </row>
    <row r="76" spans="2:17" s="1628" customFormat="1" ht="15.75">
      <c r="B76" s="1634">
        <v>31801</v>
      </c>
      <c r="C76" s="829"/>
      <c r="D76" s="1635" t="s">
        <v>537</v>
      </c>
      <c r="E76" s="829"/>
      <c r="F76" s="825">
        <v>13150846.050000001</v>
      </c>
      <c r="G76" s="825">
        <v>12941967.060000001</v>
      </c>
      <c r="H76" s="825"/>
      <c r="I76" s="825">
        <v>12941967.060000001</v>
      </c>
      <c r="J76" s="825"/>
      <c r="K76" s="825">
        <v>12941967.060000001</v>
      </c>
      <c r="L76" s="825"/>
      <c r="M76" s="825">
        <f t="shared" si="3"/>
        <v>0</v>
      </c>
      <c r="N76" s="825"/>
      <c r="O76" s="825">
        <v>12941967.060000001</v>
      </c>
      <c r="P76" s="1638"/>
      <c r="Q76" s="1639"/>
    </row>
    <row r="77" spans="2:17" s="1628" customFormat="1" ht="15.75">
      <c r="B77" s="1634">
        <v>31851</v>
      </c>
      <c r="C77" s="829"/>
      <c r="D77" s="1642" t="s">
        <v>538</v>
      </c>
      <c r="E77" s="829"/>
      <c r="F77" s="825">
        <v>0</v>
      </c>
      <c r="G77" s="825">
        <v>507022661.13</v>
      </c>
      <c r="H77" s="825"/>
      <c r="I77" s="825">
        <v>543738274.13</v>
      </c>
      <c r="J77" s="825"/>
      <c r="K77" s="825">
        <v>610072854.13</v>
      </c>
      <c r="L77" s="825"/>
      <c r="M77" s="825">
        <f t="shared" si="3"/>
        <v>23090796</v>
      </c>
      <c r="N77" s="825"/>
      <c r="O77" s="825">
        <v>633163650.13</v>
      </c>
      <c r="P77" s="1638"/>
      <c r="Q77" s="1639"/>
    </row>
    <row r="78" spans="2:17" s="1628" customFormat="1" ht="15.75">
      <c r="B78" s="1634">
        <v>31852</v>
      </c>
      <c r="C78" s="829"/>
      <c r="D78" s="1635" t="s">
        <v>539</v>
      </c>
      <c r="E78" s="829"/>
      <c r="F78" s="825">
        <v>40679225.310000002</v>
      </c>
      <c r="G78" s="825">
        <v>38700336.25</v>
      </c>
      <c r="H78" s="825"/>
      <c r="I78" s="825">
        <v>39695336.25</v>
      </c>
      <c r="J78" s="825"/>
      <c r="K78" s="825">
        <v>39695336.25</v>
      </c>
      <c r="L78" s="825"/>
      <c r="M78" s="825">
        <f t="shared" si="3"/>
        <v>0</v>
      </c>
      <c r="N78" s="825"/>
      <c r="O78" s="825">
        <v>39695336.25</v>
      </c>
      <c r="P78" s="1638"/>
      <c r="Q78" s="1639"/>
    </row>
    <row r="79" spans="2:17" s="1628" customFormat="1" ht="15.75">
      <c r="B79" s="1634">
        <v>31853</v>
      </c>
      <c r="C79" s="829"/>
      <c r="D79" s="1642" t="s">
        <v>540</v>
      </c>
      <c r="E79" s="829"/>
      <c r="F79" s="825">
        <v>76297899.909999996</v>
      </c>
      <c r="G79" s="825">
        <v>224606710.25</v>
      </c>
      <c r="H79" s="825"/>
      <c r="I79" s="825">
        <v>224606710.25</v>
      </c>
      <c r="J79" s="825"/>
      <c r="K79" s="825">
        <v>249898710.25</v>
      </c>
      <c r="L79" s="825"/>
      <c r="M79" s="825">
        <f t="shared" si="3"/>
        <v>0</v>
      </c>
      <c r="N79" s="825"/>
      <c r="O79" s="825">
        <v>249898710.25</v>
      </c>
      <c r="P79" s="1638"/>
      <c r="Q79" s="1639"/>
    </row>
    <row r="80" spans="2:17" s="1628" customFormat="1" ht="15.75">
      <c r="B80" s="1634">
        <v>31854</v>
      </c>
      <c r="C80" s="829"/>
      <c r="D80" s="1642" t="s">
        <v>1364</v>
      </c>
      <c r="E80" s="829"/>
      <c r="F80" s="825"/>
      <c r="G80" s="825">
        <v>0</v>
      </c>
      <c r="H80" s="825"/>
      <c r="I80" s="825">
        <v>0</v>
      </c>
      <c r="J80" s="825"/>
      <c r="K80" s="825">
        <v>0</v>
      </c>
      <c r="L80" s="825"/>
      <c r="M80" s="825">
        <f t="shared" ref="M80" si="4">ROUND(SUM(O80)-SUM(K80),2)</f>
        <v>0</v>
      </c>
      <c r="N80" s="825"/>
      <c r="O80" s="825">
        <v>0</v>
      </c>
      <c r="P80" s="1638"/>
      <c r="Q80" s="1639"/>
    </row>
    <row r="81" spans="2:17" s="1628" customFormat="1" ht="15.75">
      <c r="B81" s="1634">
        <v>31951</v>
      </c>
      <c r="C81" s="829"/>
      <c r="D81" s="1642" t="s">
        <v>541</v>
      </c>
      <c r="E81" s="829"/>
      <c r="F81" s="825">
        <v>12348115.710000001</v>
      </c>
      <c r="G81" s="825">
        <v>12015920.550000001</v>
      </c>
      <c r="H81" s="825"/>
      <c r="I81" s="825">
        <v>12015920.550000001</v>
      </c>
      <c r="J81" s="825"/>
      <c r="K81" s="825">
        <v>12015920.550000001</v>
      </c>
      <c r="L81" s="825"/>
      <c r="M81" s="825">
        <f t="shared" si="3"/>
        <v>0</v>
      </c>
      <c r="N81" s="825"/>
      <c r="O81" s="825">
        <v>12015920.550000001</v>
      </c>
      <c r="P81" s="1638"/>
      <c r="Q81" s="1639"/>
    </row>
    <row r="82" spans="2:17" s="1628" customFormat="1" ht="15.75">
      <c r="B82" s="1634">
        <v>32213</v>
      </c>
      <c r="C82" s="829"/>
      <c r="D82" s="1635" t="s">
        <v>542</v>
      </c>
      <c r="E82" s="829"/>
      <c r="F82" s="825">
        <v>153750</v>
      </c>
      <c r="G82" s="825">
        <v>153750</v>
      </c>
      <c r="H82" s="825"/>
      <c r="I82" s="825">
        <v>153750</v>
      </c>
      <c r="J82" s="825"/>
      <c r="K82" s="825">
        <v>153750</v>
      </c>
      <c r="L82" s="825"/>
      <c r="M82" s="825">
        <f t="shared" si="3"/>
        <v>0</v>
      </c>
      <c r="N82" s="825"/>
      <c r="O82" s="825">
        <v>153750</v>
      </c>
      <c r="P82" s="1638"/>
      <c r="Q82" s="1639"/>
    </row>
    <row r="83" spans="2:17" s="1628" customFormat="1" ht="15.75">
      <c r="B83" s="1634">
        <v>32214</v>
      </c>
      <c r="C83" s="829"/>
      <c r="D83" s="1635" t="s">
        <v>1117</v>
      </c>
      <c r="E83" s="829"/>
      <c r="F83" s="825"/>
      <c r="G83" s="825">
        <v>0</v>
      </c>
      <c r="H83" s="825"/>
      <c r="I83" s="825">
        <v>0</v>
      </c>
      <c r="J83" s="825"/>
      <c r="K83" s="825">
        <v>0</v>
      </c>
      <c r="L83" s="825"/>
      <c r="M83" s="825">
        <f t="shared" ref="M83" si="5">ROUND(SUM(O83)-SUM(K83),2)</f>
        <v>0</v>
      </c>
      <c r="N83" s="825"/>
      <c r="O83" s="825">
        <v>0</v>
      </c>
      <c r="P83" s="1638"/>
      <c r="Q83" s="1639"/>
    </row>
    <row r="84" spans="2:17" s="1628" customFormat="1" ht="15.75">
      <c r="B84" s="1634">
        <v>32215</v>
      </c>
      <c r="C84" s="829"/>
      <c r="D84" s="1635" t="s">
        <v>1095</v>
      </c>
      <c r="E84" s="829"/>
      <c r="F84" s="825"/>
      <c r="G84" s="825">
        <v>1021.48000000045</v>
      </c>
      <c r="H84" s="825"/>
      <c r="I84" s="825">
        <v>1025.7599999997799</v>
      </c>
      <c r="J84" s="825"/>
      <c r="K84" s="825">
        <v>1030.2999999998101</v>
      </c>
      <c r="L84" s="825"/>
      <c r="M84" s="825">
        <f>ROUND(SUM(O84)-SUM(K84),2)</f>
        <v>4.63</v>
      </c>
      <c r="N84" s="825"/>
      <c r="O84" s="825">
        <v>1034.9299999996999</v>
      </c>
      <c r="P84" s="1638"/>
      <c r="Q84" s="1639"/>
    </row>
    <row r="85" spans="2:17" s="1628" customFormat="1" ht="15.75">
      <c r="B85" s="1634">
        <v>32219</v>
      </c>
      <c r="C85" s="829"/>
      <c r="D85" s="1635" t="s">
        <v>1141</v>
      </c>
      <c r="E85" s="829"/>
      <c r="F85" s="825"/>
      <c r="G85" s="825">
        <v>0</v>
      </c>
      <c r="H85" s="825"/>
      <c r="I85" s="825">
        <v>0</v>
      </c>
      <c r="J85" s="825"/>
      <c r="K85" s="825">
        <v>0</v>
      </c>
      <c r="L85" s="825"/>
      <c r="M85" s="825">
        <f>ROUND(SUM(O85)-SUM(K85),2)</f>
        <v>0</v>
      </c>
      <c r="N85" s="825"/>
      <c r="O85" s="825">
        <v>0</v>
      </c>
      <c r="P85" s="1638"/>
      <c r="Q85" s="1639"/>
    </row>
    <row r="86" spans="2:17" s="1628" customFormat="1" ht="15.75">
      <c r="B86" s="1634">
        <v>32301</v>
      </c>
      <c r="C86" s="829"/>
      <c r="D86" s="1635" t="s">
        <v>1365</v>
      </c>
      <c r="E86" s="829"/>
      <c r="F86" s="825"/>
      <c r="G86" s="825">
        <v>0</v>
      </c>
      <c r="H86" s="825"/>
      <c r="I86" s="825">
        <v>0</v>
      </c>
      <c r="J86" s="825"/>
      <c r="K86" s="825">
        <v>0</v>
      </c>
      <c r="L86" s="825"/>
      <c r="M86" s="825">
        <f t="shared" ref="M86:M87" si="6">ROUND(SUM(O86)-SUM(K86),2)</f>
        <v>0</v>
      </c>
      <c r="N86" s="825"/>
      <c r="O86" s="825">
        <v>0</v>
      </c>
      <c r="P86" s="1638"/>
      <c r="Q86" s="1639"/>
    </row>
    <row r="87" spans="2:17" s="1628" customFormat="1" ht="15.75">
      <c r="B87" s="1634">
        <v>32302</v>
      </c>
      <c r="C87" s="829"/>
      <c r="D87" s="1635" t="s">
        <v>1366</v>
      </c>
      <c r="E87" s="829"/>
      <c r="F87" s="825"/>
      <c r="G87" s="825">
        <v>0</v>
      </c>
      <c r="H87" s="825"/>
      <c r="I87" s="825">
        <v>0</v>
      </c>
      <c r="J87" s="825"/>
      <c r="K87" s="825">
        <v>0</v>
      </c>
      <c r="L87" s="825"/>
      <c r="M87" s="825">
        <f t="shared" si="6"/>
        <v>0</v>
      </c>
      <c r="N87" s="825"/>
      <c r="O87" s="825">
        <v>0</v>
      </c>
      <c r="P87" s="1638"/>
      <c r="Q87" s="1639"/>
    </row>
    <row r="88" spans="2:17" s="1628" customFormat="1" ht="15.75">
      <c r="B88" s="1634">
        <v>32303</v>
      </c>
      <c r="C88" s="829"/>
      <c r="D88" s="1635" t="s">
        <v>543</v>
      </c>
      <c r="E88" s="1644"/>
      <c r="F88" s="825">
        <v>87723047.260000005</v>
      </c>
      <c r="G88" s="825">
        <v>98770105.609999999</v>
      </c>
      <c r="H88" s="825"/>
      <c r="I88" s="825">
        <v>102916802.34999999</v>
      </c>
      <c r="J88" s="825"/>
      <c r="K88" s="825">
        <v>106854324.2</v>
      </c>
      <c r="L88" s="825"/>
      <c r="M88" s="825">
        <f>ROUND(SUM(O88)-SUM(K88),2)</f>
        <v>3411601.44</v>
      </c>
      <c r="N88" s="825"/>
      <c r="O88" s="825">
        <v>110265925.64</v>
      </c>
      <c r="P88" s="1638"/>
      <c r="Q88" s="1639"/>
    </row>
    <row r="89" spans="2:17" s="1628" customFormat="1" ht="15.75">
      <c r="B89" s="1634">
        <v>32304</v>
      </c>
      <c r="C89" s="829"/>
      <c r="D89" s="1635" t="s">
        <v>1367</v>
      </c>
      <c r="E89" s="1644"/>
      <c r="F89" s="825"/>
      <c r="G89" s="825">
        <v>0</v>
      </c>
      <c r="H89" s="825"/>
      <c r="I89" s="825">
        <v>0</v>
      </c>
      <c r="J89" s="825"/>
      <c r="K89" s="825">
        <v>0</v>
      </c>
      <c r="L89" s="825"/>
      <c r="M89" s="825">
        <f>ROUND(SUM(O89)-SUM(K89),2)</f>
        <v>0</v>
      </c>
      <c r="N89" s="825"/>
      <c r="O89" s="825">
        <v>0</v>
      </c>
      <c r="P89" s="1638"/>
      <c r="Q89" s="1639"/>
    </row>
    <row r="90" spans="2:17" s="1628" customFormat="1" ht="15.75">
      <c r="B90" s="1634">
        <v>32305</v>
      </c>
      <c r="C90" s="829"/>
      <c r="D90" s="1635" t="s">
        <v>880</v>
      </c>
      <c r="E90" s="1644"/>
      <c r="F90" s="825">
        <v>172362230.61000001</v>
      </c>
      <c r="G90" s="825">
        <v>228667709.46000001</v>
      </c>
      <c r="H90" s="825"/>
      <c r="I90" s="825">
        <v>230118806.22999999</v>
      </c>
      <c r="J90" s="825"/>
      <c r="K90" s="825">
        <v>231818277.71000001</v>
      </c>
      <c r="L90" s="825"/>
      <c r="M90" s="825">
        <f t="shared" ref="M90:M100" si="7">ROUND(SUM(O90)-SUM(K90),2)</f>
        <v>2700000</v>
      </c>
      <c r="N90" s="825"/>
      <c r="O90" s="825">
        <v>234518277.71000001</v>
      </c>
      <c r="P90" s="1638"/>
      <c r="Q90" s="1639"/>
    </row>
    <row r="91" spans="2:17" s="1628" customFormat="1" ht="15.75">
      <c r="B91" s="1634">
        <v>32306</v>
      </c>
      <c r="C91" s="829"/>
      <c r="D91" s="1635" t="s">
        <v>1368</v>
      </c>
      <c r="E91" s="1644"/>
      <c r="F91" s="825"/>
      <c r="G91" s="825">
        <v>0</v>
      </c>
      <c r="H91" s="825"/>
      <c r="I91" s="825">
        <v>0</v>
      </c>
      <c r="J91" s="825"/>
      <c r="K91" s="825">
        <v>0</v>
      </c>
      <c r="L91" s="825"/>
      <c r="M91" s="825">
        <f t="shared" ref="M91" si="8">ROUND(SUM(O91)-SUM(K91),2)</f>
        <v>0</v>
      </c>
      <c r="N91" s="825"/>
      <c r="O91" s="825">
        <v>0</v>
      </c>
      <c r="P91" s="1638"/>
      <c r="Q91" s="1639"/>
    </row>
    <row r="92" spans="2:17" s="1628" customFormat="1" ht="15.75">
      <c r="B92" s="1634">
        <v>32307</v>
      </c>
      <c r="C92" s="829"/>
      <c r="D92" s="1642" t="s">
        <v>544</v>
      </c>
      <c r="E92" s="1644"/>
      <c r="F92" s="825">
        <v>5430710.0300000003</v>
      </c>
      <c r="G92" s="825">
        <v>13238402.039999999</v>
      </c>
      <c r="H92" s="825"/>
      <c r="I92" s="825">
        <v>13238402.039999999</v>
      </c>
      <c r="J92" s="825"/>
      <c r="K92" s="825">
        <v>13238402.039999999</v>
      </c>
      <c r="L92" s="825"/>
      <c r="M92" s="825">
        <f t="shared" si="7"/>
        <v>0</v>
      </c>
      <c r="N92" s="825"/>
      <c r="O92" s="825">
        <v>13238402.039999999</v>
      </c>
      <c r="P92" s="1638"/>
      <c r="Q92" s="1639"/>
    </row>
    <row r="93" spans="2:17" s="1628" customFormat="1" ht="15.75">
      <c r="B93" s="1634">
        <v>32308</v>
      </c>
      <c r="C93" s="829"/>
      <c r="D93" s="1642" t="s">
        <v>545</v>
      </c>
      <c r="E93" s="1644"/>
      <c r="F93" s="825">
        <v>539890.44999999995</v>
      </c>
      <c r="G93" s="825">
        <v>1279633.1599999999</v>
      </c>
      <c r="H93" s="825"/>
      <c r="I93" s="825">
        <v>1279633.1599999999</v>
      </c>
      <c r="J93" s="825"/>
      <c r="K93" s="825">
        <v>1279633.1599999999</v>
      </c>
      <c r="L93" s="825"/>
      <c r="M93" s="825">
        <f t="shared" si="7"/>
        <v>0</v>
      </c>
      <c r="N93" s="825"/>
      <c r="O93" s="825">
        <v>1279633.1599999999</v>
      </c>
      <c r="P93" s="1638"/>
      <c r="Q93" s="1639"/>
    </row>
    <row r="94" spans="2:17" s="1628" customFormat="1" ht="15.75">
      <c r="B94" s="1634">
        <v>32309</v>
      </c>
      <c r="C94" s="829"/>
      <c r="D94" s="1642" t="s">
        <v>546</v>
      </c>
      <c r="E94" s="1644"/>
      <c r="F94" s="825">
        <v>104401100.42</v>
      </c>
      <c r="G94" s="825">
        <v>336053445.06</v>
      </c>
      <c r="H94" s="825"/>
      <c r="I94" s="825">
        <v>340748762.58999997</v>
      </c>
      <c r="J94" s="825"/>
      <c r="K94" s="825">
        <v>279122325.68000001</v>
      </c>
      <c r="L94" s="825"/>
      <c r="M94" s="825">
        <f t="shared" si="7"/>
        <v>22498373.989999998</v>
      </c>
      <c r="N94" s="825"/>
      <c r="O94" s="825">
        <v>301620699.67000002</v>
      </c>
      <c r="P94" s="1638"/>
      <c r="Q94" s="1639"/>
    </row>
    <row r="95" spans="2:17" s="1628" customFormat="1" ht="15.75">
      <c r="B95" s="1634">
        <v>32310</v>
      </c>
      <c r="C95" s="829"/>
      <c r="D95" s="1642" t="s">
        <v>547</v>
      </c>
      <c r="E95" s="1644"/>
      <c r="F95" s="825">
        <v>0</v>
      </c>
      <c r="G95" s="825">
        <v>56318185.909999996</v>
      </c>
      <c r="H95" s="825"/>
      <c r="I95" s="825">
        <v>56318185.909999996</v>
      </c>
      <c r="J95" s="825"/>
      <c r="K95" s="825">
        <v>49151463.5</v>
      </c>
      <c r="L95" s="825"/>
      <c r="M95" s="825">
        <f t="shared" si="7"/>
        <v>2652023.73</v>
      </c>
      <c r="N95" s="825"/>
      <c r="O95" s="825">
        <v>51803487.229999997</v>
      </c>
      <c r="P95" s="1638"/>
      <c r="Q95" s="1639"/>
    </row>
    <row r="96" spans="2:17" s="1628" customFormat="1" ht="15.75">
      <c r="B96" s="1634">
        <v>32311</v>
      </c>
      <c r="C96" s="829"/>
      <c r="D96" s="2066" t="s">
        <v>548</v>
      </c>
      <c r="E96" s="1644"/>
      <c r="F96" s="825">
        <v>2486315.4700000002</v>
      </c>
      <c r="G96" s="825">
        <v>9571108.2599999998</v>
      </c>
      <c r="H96" s="825"/>
      <c r="I96" s="825">
        <v>9571108.2599999998</v>
      </c>
      <c r="J96" s="825"/>
      <c r="K96" s="825">
        <v>8102836.5</v>
      </c>
      <c r="L96" s="825"/>
      <c r="M96" s="825">
        <f t="shared" si="7"/>
        <v>606113.55000000005</v>
      </c>
      <c r="N96" s="825"/>
      <c r="O96" s="825">
        <v>8708950.0500000007</v>
      </c>
      <c r="P96" s="1638"/>
      <c r="Q96" s="1639"/>
    </row>
    <row r="97" spans="2:17" s="1628" customFormat="1" ht="15.75">
      <c r="B97" s="1634">
        <v>32351</v>
      </c>
      <c r="C97" s="1605"/>
      <c r="D97" s="1642" t="s">
        <v>549</v>
      </c>
      <c r="E97" s="1644"/>
      <c r="F97" s="825"/>
      <c r="G97" s="825">
        <v>0</v>
      </c>
      <c r="H97" s="825"/>
      <c r="I97" s="825">
        <v>0</v>
      </c>
      <c r="J97" s="825"/>
      <c r="K97" s="825">
        <v>0</v>
      </c>
      <c r="L97" s="825"/>
      <c r="M97" s="825">
        <f t="shared" si="7"/>
        <v>0</v>
      </c>
      <c r="N97" s="825"/>
      <c r="O97" s="825">
        <v>0</v>
      </c>
      <c r="P97" s="1638"/>
      <c r="Q97" s="1639"/>
    </row>
    <row r="98" spans="2:17" s="1628" customFormat="1" ht="15.75">
      <c r="B98" s="1634">
        <v>32352</v>
      </c>
      <c r="C98" s="829"/>
      <c r="D98" s="1635" t="s">
        <v>550</v>
      </c>
      <c r="E98" s="1644"/>
      <c r="F98" s="825">
        <v>65245293.57</v>
      </c>
      <c r="G98" s="825">
        <v>326008794.17000002</v>
      </c>
      <c r="H98" s="825"/>
      <c r="I98" s="825">
        <v>355755212.88</v>
      </c>
      <c r="J98" s="825"/>
      <c r="K98" s="825">
        <v>358283936.48000002</v>
      </c>
      <c r="L98" s="825"/>
      <c r="M98" s="825">
        <f t="shared" ref="M98" si="9">ROUND(SUM(O98)-SUM(K98),2)</f>
        <v>30804222.350000001</v>
      </c>
      <c r="N98" s="825"/>
      <c r="O98" s="825">
        <v>389088158.82999998</v>
      </c>
      <c r="P98" s="1638"/>
      <c r="Q98" s="1639"/>
    </row>
    <row r="99" spans="2:17" s="1628" customFormat="1" ht="15.75">
      <c r="B99" s="1634">
        <v>32353</v>
      </c>
      <c r="C99" s="1605"/>
      <c r="D99" s="1635" t="s">
        <v>1369</v>
      </c>
      <c r="E99" s="1644"/>
      <c r="F99" s="825"/>
      <c r="G99" s="825">
        <v>0</v>
      </c>
      <c r="H99" s="825"/>
      <c r="I99" s="825">
        <v>0</v>
      </c>
      <c r="J99" s="825"/>
      <c r="K99" s="825">
        <v>0</v>
      </c>
      <c r="L99" s="825"/>
      <c r="M99" s="825">
        <f t="shared" ref="M99" si="10">ROUND(SUM(O99)-SUM(K99),2)</f>
        <v>0</v>
      </c>
      <c r="N99" s="825"/>
      <c r="O99" s="825">
        <v>0</v>
      </c>
      <c r="P99" s="1638"/>
      <c r="Q99" s="1639"/>
    </row>
    <row r="100" spans="2:17" s="1628" customFormat="1" ht="15.75">
      <c r="B100" s="1634">
        <v>33001</v>
      </c>
      <c r="C100" s="829"/>
      <c r="D100" s="1635" t="s">
        <v>551</v>
      </c>
      <c r="E100" s="1644"/>
      <c r="F100" s="825">
        <v>10000000</v>
      </c>
      <c r="G100" s="825">
        <v>44865828.700000003</v>
      </c>
      <c r="H100" s="825"/>
      <c r="I100" s="825">
        <v>43144577.850000001</v>
      </c>
      <c r="J100" s="825"/>
      <c r="K100" s="825">
        <v>42834110.210000001</v>
      </c>
      <c r="L100" s="825"/>
      <c r="M100" s="825">
        <f t="shared" si="7"/>
        <v>-4069761.5</v>
      </c>
      <c r="N100" s="825"/>
      <c r="O100" s="825">
        <v>38764348.710000001</v>
      </c>
      <c r="P100" s="1638"/>
      <c r="Q100" s="1639"/>
    </row>
    <row r="101" spans="2:17" s="1628" customFormat="1" ht="16.5" thickBot="1">
      <c r="B101" s="1645"/>
      <c r="C101" s="1646"/>
      <c r="D101" s="1640" t="s">
        <v>552</v>
      </c>
      <c r="E101" s="1632"/>
      <c r="F101" s="1632"/>
      <c r="G101" s="1026">
        <f>ROUND(SUM(G14:G100),2)</f>
        <v>2370404375.52</v>
      </c>
      <c r="H101" s="1293"/>
      <c r="I101" s="1026">
        <f>ROUND(SUM(I14:I100),2)</f>
        <v>2455031164.54</v>
      </c>
      <c r="J101" s="1293"/>
      <c r="K101" s="1026">
        <f>ROUND(SUM(K14:K100),2)</f>
        <v>2410894616.0500002</v>
      </c>
      <c r="L101"/>
      <c r="M101" s="827">
        <f>ROUND(SUM(M14:M100),2)</f>
        <v>110798162.41</v>
      </c>
      <c r="N101"/>
      <c r="O101" s="1026">
        <f>ROUND(SUM(O14:O100),2)</f>
        <v>2521692778.46</v>
      </c>
      <c r="P101" s="1638"/>
      <c r="Q101" s="1639"/>
    </row>
    <row r="102" spans="2:17" s="1628" customFormat="1" ht="16.5" thickTop="1">
      <c r="B102" s="1633"/>
      <c r="C102" s="1633"/>
      <c r="D102" s="1647"/>
      <c r="E102" s="1633"/>
      <c r="F102" s="1633"/>
      <c r="G102" s="1951"/>
      <c r="H102" s="469"/>
      <c r="I102" s="1951"/>
      <c r="J102" s="469"/>
      <c r="K102" s="1951"/>
      <c r="L102" s="469"/>
      <c r="M102" s="2133"/>
      <c r="N102" s="469"/>
      <c r="O102" s="1951"/>
      <c r="P102" s="1648"/>
      <c r="Q102" s="1639"/>
    </row>
    <row r="103" spans="2:17" s="1628" customFormat="1" ht="15.75">
      <c r="B103" s="1629"/>
      <c r="C103" s="1646"/>
      <c r="D103" s="1649" t="s">
        <v>553</v>
      </c>
      <c r="E103" s="1650"/>
      <c r="F103" s="1650"/>
      <c r="G103" s="1952"/>
      <c r="H103" s="1740"/>
      <c r="I103" s="1952"/>
      <c r="J103" s="1740"/>
      <c r="K103" s="1952"/>
      <c r="L103" s="1740"/>
      <c r="M103" s="1293"/>
      <c r="N103" s="1293"/>
      <c r="O103" s="1952"/>
      <c r="P103" s="1633"/>
      <c r="Q103" s="1639"/>
    </row>
    <row r="104" spans="2:17" s="1628" customFormat="1" ht="15.75">
      <c r="B104" s="1634">
        <v>20401</v>
      </c>
      <c r="C104" s="1646"/>
      <c r="D104" s="1635" t="s">
        <v>1193</v>
      </c>
      <c r="E104" s="1650"/>
      <c r="F104" s="1650"/>
      <c r="G104" s="825">
        <v>0</v>
      </c>
      <c r="H104" s="1740"/>
      <c r="I104" s="825">
        <v>0</v>
      </c>
      <c r="J104" s="1740"/>
      <c r="K104" s="825">
        <v>0</v>
      </c>
      <c r="L104" s="1740"/>
      <c r="M104" s="825">
        <f t="shared" ref="M104:M163" si="11">ROUND(SUM(O104)-SUM(K104),2)</f>
        <v>0</v>
      </c>
      <c r="N104" s="1293"/>
      <c r="O104" s="825">
        <v>0</v>
      </c>
      <c r="P104" s="1633"/>
      <c r="Q104" s="1639"/>
    </row>
    <row r="105" spans="2:17" s="1628" customFormat="1" ht="15.75">
      <c r="B105" s="1634">
        <v>20501</v>
      </c>
      <c r="C105" s="1651"/>
      <c r="D105" s="1635" t="s">
        <v>554</v>
      </c>
      <c r="E105" s="1652"/>
      <c r="F105" s="1652"/>
      <c r="G105" s="825">
        <v>0</v>
      </c>
      <c r="H105" s="825"/>
      <c r="I105" s="825">
        <v>0</v>
      </c>
      <c r="J105" s="825"/>
      <c r="K105" s="825">
        <v>0</v>
      </c>
      <c r="L105" s="825"/>
      <c r="M105" s="825">
        <f t="shared" si="11"/>
        <v>0</v>
      </c>
      <c r="N105" s="825"/>
      <c r="O105" s="825">
        <v>0</v>
      </c>
      <c r="P105" s="1638"/>
      <c r="Q105" s="1639"/>
    </row>
    <row r="106" spans="2:17" s="1628" customFormat="1" ht="15.75">
      <c r="B106" s="1634">
        <v>20810</v>
      </c>
      <c r="C106" s="1643"/>
      <c r="D106" s="1635" t="s">
        <v>555</v>
      </c>
      <c r="E106" s="1644"/>
      <c r="F106" s="1644"/>
      <c r="G106" s="825">
        <v>0</v>
      </c>
      <c r="H106" s="825"/>
      <c r="I106" s="825">
        <v>33701966.5</v>
      </c>
      <c r="J106" s="825"/>
      <c r="K106" s="825">
        <v>77323463.319999993</v>
      </c>
      <c r="L106" s="825"/>
      <c r="M106" s="825">
        <f t="shared" si="11"/>
        <v>-77323463.319999993</v>
      </c>
      <c r="N106" s="825"/>
      <c r="O106" s="825">
        <v>0</v>
      </c>
      <c r="P106" s="1312"/>
      <c r="Q106" s="1639"/>
    </row>
    <row r="107" spans="2:17" s="1628" customFormat="1" ht="15.75">
      <c r="B107" s="1634">
        <v>20818</v>
      </c>
      <c r="C107" s="1643"/>
      <c r="D107" s="1635" t="s">
        <v>556</v>
      </c>
      <c r="E107" s="1644"/>
      <c r="F107" s="1644"/>
      <c r="G107" s="825">
        <v>0</v>
      </c>
      <c r="H107" s="825"/>
      <c r="I107" s="825">
        <v>0</v>
      </c>
      <c r="J107" s="825"/>
      <c r="K107" s="825">
        <v>0</v>
      </c>
      <c r="L107" s="825"/>
      <c r="M107" s="825">
        <f t="shared" si="11"/>
        <v>0</v>
      </c>
      <c r="N107" s="825"/>
      <c r="O107" s="825">
        <v>0</v>
      </c>
      <c r="P107" s="1312"/>
      <c r="Q107" s="1639"/>
    </row>
    <row r="108" spans="2:17" s="1628" customFormat="1" ht="15.75">
      <c r="B108" s="1634">
        <v>20901</v>
      </c>
      <c r="C108" s="1643"/>
      <c r="D108" s="1635" t="s">
        <v>557</v>
      </c>
      <c r="E108" s="1644"/>
      <c r="F108" s="1644"/>
      <c r="G108" s="825">
        <v>0</v>
      </c>
      <c r="H108" s="825"/>
      <c r="I108" s="825">
        <v>0</v>
      </c>
      <c r="J108" s="825"/>
      <c r="K108" s="825">
        <v>0</v>
      </c>
      <c r="L108" s="825"/>
      <c r="M108" s="825">
        <f t="shared" si="11"/>
        <v>1147536595.25</v>
      </c>
      <c r="N108" s="825"/>
      <c r="O108" s="825">
        <v>1147536595.25</v>
      </c>
      <c r="P108" s="1312"/>
      <c r="Q108" s="1639"/>
    </row>
    <row r="109" spans="2:17" s="1628" customFormat="1" ht="15.75">
      <c r="B109" s="1634">
        <v>20904</v>
      </c>
      <c r="C109" s="1643"/>
      <c r="D109" s="1635" t="s">
        <v>558</v>
      </c>
      <c r="E109" s="1644"/>
      <c r="F109" s="1644"/>
      <c r="G109" s="825">
        <v>0</v>
      </c>
      <c r="H109" s="825"/>
      <c r="I109" s="825">
        <v>0</v>
      </c>
      <c r="J109" s="825"/>
      <c r="K109" s="825">
        <v>0</v>
      </c>
      <c r="L109" s="825"/>
      <c r="M109" s="825">
        <f t="shared" si="11"/>
        <v>0</v>
      </c>
      <c r="N109" s="825"/>
      <c r="O109" s="825">
        <v>0</v>
      </c>
      <c r="P109" s="1312"/>
      <c r="Q109" s="1639"/>
    </row>
    <row r="110" spans="2:17" s="1628" customFormat="1" ht="15.75">
      <c r="B110" s="1634">
        <v>21001</v>
      </c>
      <c r="C110" s="1643"/>
      <c r="D110" s="1635" t="s">
        <v>1370</v>
      </c>
      <c r="E110" s="1644"/>
      <c r="F110" s="1644"/>
      <c r="G110" s="825">
        <v>0</v>
      </c>
      <c r="H110" s="825"/>
      <c r="I110" s="825">
        <v>0</v>
      </c>
      <c r="J110" s="825"/>
      <c r="K110" s="825">
        <v>0</v>
      </c>
      <c r="L110" s="825"/>
      <c r="M110" s="825">
        <f>ROUND(SUM(O110)-SUM(K110),2)</f>
        <v>0</v>
      </c>
      <c r="N110" s="825"/>
      <c r="O110" s="825">
        <v>0</v>
      </c>
      <c r="P110" s="1312"/>
      <c r="Q110" s="1639"/>
    </row>
    <row r="111" spans="2:17" s="1628" customFormat="1" ht="15.75">
      <c r="B111" s="1634">
        <v>21002</v>
      </c>
      <c r="C111" s="1643"/>
      <c r="D111" s="1635" t="s">
        <v>1150</v>
      </c>
      <c r="E111" s="1644"/>
      <c r="F111" s="1644"/>
      <c r="G111" s="825">
        <v>0</v>
      </c>
      <c r="H111" s="825"/>
      <c r="I111" s="825">
        <v>46091.7</v>
      </c>
      <c r="J111" s="825"/>
      <c r="K111" s="825">
        <v>115155.3</v>
      </c>
      <c r="L111" s="825"/>
      <c r="M111" s="825">
        <f t="shared" si="11"/>
        <v>53693.97</v>
      </c>
      <c r="N111" s="825"/>
      <c r="O111" s="825">
        <v>168849.27</v>
      </c>
      <c r="P111" s="1312"/>
      <c r="Q111" s="1639"/>
    </row>
    <row r="112" spans="2:17" s="1628" customFormat="1" ht="15.75">
      <c r="B112" s="1634">
        <v>21061</v>
      </c>
      <c r="C112" s="1643"/>
      <c r="D112" s="1635" t="s">
        <v>559</v>
      </c>
      <c r="E112" s="1644"/>
      <c r="F112" s="1644"/>
      <c r="G112" s="825">
        <v>0</v>
      </c>
      <c r="H112" s="825"/>
      <c r="I112" s="825">
        <v>0</v>
      </c>
      <c r="J112" s="825"/>
      <c r="K112" s="825">
        <v>0</v>
      </c>
      <c r="L112" s="825"/>
      <c r="M112" s="825">
        <f t="shared" si="11"/>
        <v>0</v>
      </c>
      <c r="N112" s="825"/>
      <c r="O112" s="825">
        <v>0</v>
      </c>
      <c r="P112" s="1312"/>
      <c r="Q112" s="1639"/>
    </row>
    <row r="113" spans="2:17" s="1628" customFormat="1" ht="15.75">
      <c r="B113" s="1634">
        <v>21064</v>
      </c>
      <c r="C113" s="1643"/>
      <c r="D113" s="1635" t="s">
        <v>1142</v>
      </c>
      <c r="E113" s="1644"/>
      <c r="F113" s="1644"/>
      <c r="G113" s="825">
        <v>618.66</v>
      </c>
      <c r="H113" s="825"/>
      <c r="I113" s="825">
        <v>618.66</v>
      </c>
      <c r="J113" s="825"/>
      <c r="K113" s="825">
        <v>618.66</v>
      </c>
      <c r="L113" s="825"/>
      <c r="M113" s="825">
        <f t="shared" ref="M113" si="12">ROUND(SUM(O113)-SUM(K113),2)</f>
        <v>0</v>
      </c>
      <c r="N113" s="825"/>
      <c r="O113" s="825">
        <v>618.66</v>
      </c>
      <c r="P113" s="1312"/>
      <c r="Q113" s="1639"/>
    </row>
    <row r="114" spans="2:17" s="1628" customFormat="1" ht="15.75">
      <c r="B114" s="1634">
        <v>21065</v>
      </c>
      <c r="C114" s="1643"/>
      <c r="D114" s="1635" t="s">
        <v>560</v>
      </c>
      <c r="E114" s="1644"/>
      <c r="F114" s="1644"/>
      <c r="G114" s="825">
        <v>1193244.17</v>
      </c>
      <c r="H114" s="825"/>
      <c r="I114" s="825">
        <v>1840513.03</v>
      </c>
      <c r="J114" s="825"/>
      <c r="K114" s="825">
        <v>3473819.67</v>
      </c>
      <c r="L114" s="825"/>
      <c r="M114" s="825">
        <f t="shared" si="11"/>
        <v>663442.11</v>
      </c>
      <c r="N114" s="825"/>
      <c r="O114" s="825">
        <v>4137261.78</v>
      </c>
      <c r="P114" s="1312"/>
      <c r="Q114" s="1639"/>
    </row>
    <row r="115" spans="2:17" s="1628" customFormat="1" ht="15.75">
      <c r="B115" s="1634">
        <v>21066</v>
      </c>
      <c r="C115" s="1643"/>
      <c r="D115" s="1642" t="s">
        <v>561</v>
      </c>
      <c r="E115" s="1644"/>
      <c r="F115" s="1644"/>
      <c r="G115" s="825">
        <v>1001766.59</v>
      </c>
      <c r="H115" s="825"/>
      <c r="I115" s="825">
        <v>1139373.24</v>
      </c>
      <c r="J115" s="825"/>
      <c r="K115" s="825">
        <v>1314938.6499999999</v>
      </c>
      <c r="L115" s="825"/>
      <c r="M115" s="825">
        <f t="shared" si="11"/>
        <v>-359932.34</v>
      </c>
      <c r="N115" s="825"/>
      <c r="O115" s="825">
        <v>955006.31</v>
      </c>
      <c r="P115" s="1312"/>
      <c r="Q115" s="1639"/>
    </row>
    <row r="116" spans="2:17" s="1628" customFormat="1" ht="15.75">
      <c r="B116" s="1634">
        <v>21067</v>
      </c>
      <c r="C116" s="1643"/>
      <c r="D116" s="1642" t="s">
        <v>562</v>
      </c>
      <c r="E116" s="1644"/>
      <c r="F116" s="1644"/>
      <c r="G116" s="825">
        <v>0</v>
      </c>
      <c r="H116" s="825"/>
      <c r="I116" s="825">
        <v>0</v>
      </c>
      <c r="J116" s="825"/>
      <c r="K116" s="825">
        <v>0</v>
      </c>
      <c r="L116" s="825"/>
      <c r="M116" s="825">
        <f t="shared" si="11"/>
        <v>0</v>
      </c>
      <c r="N116" s="825"/>
      <c r="O116" s="825">
        <v>0</v>
      </c>
      <c r="P116" s="1312"/>
      <c r="Q116" s="1639"/>
    </row>
    <row r="117" spans="2:17" s="1628" customFormat="1" ht="15.75">
      <c r="B117" s="1634">
        <v>21077</v>
      </c>
      <c r="C117" s="1643"/>
      <c r="D117" s="1635" t="s">
        <v>563</v>
      </c>
      <c r="E117" s="1644"/>
      <c r="F117" s="1644"/>
      <c r="G117" s="825">
        <v>0</v>
      </c>
      <c r="H117" s="825"/>
      <c r="I117" s="825">
        <v>0</v>
      </c>
      <c r="J117" s="825"/>
      <c r="K117" s="825">
        <v>0</v>
      </c>
      <c r="L117" s="825"/>
      <c r="M117" s="825">
        <f t="shared" si="11"/>
        <v>0</v>
      </c>
      <c r="N117" s="825"/>
      <c r="O117" s="825">
        <v>0</v>
      </c>
      <c r="P117" s="1312"/>
      <c r="Q117" s="1639"/>
    </row>
    <row r="118" spans="2:17" s="1628" customFormat="1" ht="15.75">
      <c r="B118" s="1634">
        <v>21081</v>
      </c>
      <c r="C118" s="1643"/>
      <c r="D118" s="1642" t="s">
        <v>564</v>
      </c>
      <c r="E118" s="1644"/>
      <c r="F118" s="1644"/>
      <c r="G118" s="825">
        <v>86314783.879999995</v>
      </c>
      <c r="H118" s="825"/>
      <c r="I118" s="825">
        <v>86850189.569999993</v>
      </c>
      <c r="J118" s="825"/>
      <c r="K118" s="825">
        <v>88428701.980000004</v>
      </c>
      <c r="L118" s="825"/>
      <c r="M118" s="825">
        <f t="shared" si="11"/>
        <v>2506948.7000000002</v>
      </c>
      <c r="N118" s="825"/>
      <c r="O118" s="825">
        <v>90935650.680000007</v>
      </c>
      <c r="P118" s="1312"/>
      <c r="Q118" s="1639"/>
    </row>
    <row r="119" spans="2:17" s="1628" customFormat="1" ht="15.75">
      <c r="B119" s="1634">
        <v>21082</v>
      </c>
      <c r="C119" s="1643"/>
      <c r="D119" s="1635" t="s">
        <v>565</v>
      </c>
      <c r="E119" s="1644"/>
      <c r="F119" s="1644"/>
      <c r="G119" s="825">
        <v>2445669.31</v>
      </c>
      <c r="H119" s="825"/>
      <c r="I119" s="825">
        <v>2460968.6800000002</v>
      </c>
      <c r="J119" s="825"/>
      <c r="K119" s="825">
        <v>2772241.67</v>
      </c>
      <c r="L119" s="825"/>
      <c r="M119" s="825">
        <f t="shared" si="11"/>
        <v>-355318.77</v>
      </c>
      <c r="N119" s="825"/>
      <c r="O119" s="825">
        <v>2416922.9</v>
      </c>
      <c r="P119" s="1312"/>
      <c r="Q119" s="1639"/>
    </row>
    <row r="120" spans="2:17" s="1628" customFormat="1" ht="15.75">
      <c r="B120" s="1634">
        <v>21084</v>
      </c>
      <c r="C120" s="1643"/>
      <c r="D120" s="1635" t="s">
        <v>566</v>
      </c>
      <c r="E120" s="1644"/>
      <c r="F120" s="1644"/>
      <c r="G120" s="825">
        <v>0</v>
      </c>
      <c r="H120" s="825"/>
      <c r="I120" s="825">
        <v>0</v>
      </c>
      <c r="J120" s="825"/>
      <c r="K120" s="825">
        <v>0</v>
      </c>
      <c r="L120" s="825"/>
      <c r="M120" s="825">
        <f t="shared" si="11"/>
        <v>0</v>
      </c>
      <c r="N120" s="825"/>
      <c r="O120" s="825">
        <v>0</v>
      </c>
      <c r="P120" s="1312"/>
      <c r="Q120" s="1639"/>
    </row>
    <row r="121" spans="2:17" s="1628" customFormat="1" ht="15.75">
      <c r="B121" s="1634">
        <v>21087</v>
      </c>
      <c r="C121" s="1643"/>
      <c r="D121" s="1635" t="s">
        <v>567</v>
      </c>
      <c r="E121" s="1644"/>
      <c r="F121" s="1644"/>
      <c r="G121" s="825">
        <v>0</v>
      </c>
      <c r="H121" s="825"/>
      <c r="I121" s="825">
        <v>0</v>
      </c>
      <c r="J121" s="825"/>
      <c r="K121" s="825">
        <v>0</v>
      </c>
      <c r="L121" s="825"/>
      <c r="M121" s="825">
        <f t="shared" si="11"/>
        <v>0</v>
      </c>
      <c r="N121" s="825"/>
      <c r="O121" s="825">
        <v>0</v>
      </c>
      <c r="P121" s="1312"/>
      <c r="Q121" s="1639"/>
    </row>
    <row r="122" spans="2:17" s="1628" customFormat="1" ht="15.75">
      <c r="B122" s="1634">
        <v>21201</v>
      </c>
      <c r="C122" s="1643"/>
      <c r="D122" s="1635" t="s">
        <v>568</v>
      </c>
      <c r="E122" s="1644"/>
      <c r="F122" s="1644"/>
      <c r="G122" s="825">
        <v>0</v>
      </c>
      <c r="H122" s="825"/>
      <c r="I122" s="825">
        <v>0</v>
      </c>
      <c r="J122" s="825"/>
      <c r="K122" s="825">
        <v>0</v>
      </c>
      <c r="L122" s="825"/>
      <c r="M122" s="825">
        <f t="shared" si="11"/>
        <v>0</v>
      </c>
      <c r="N122" s="825"/>
      <c r="O122" s="825">
        <v>0</v>
      </c>
      <c r="P122" s="1312"/>
      <c r="Q122" s="1639"/>
    </row>
    <row r="123" spans="2:17" s="1628" customFormat="1" ht="15.75">
      <c r="B123" s="1634">
        <v>21202</v>
      </c>
      <c r="C123" s="1643"/>
      <c r="D123" s="1635" t="s">
        <v>569</v>
      </c>
      <c r="E123" s="1644"/>
      <c r="F123" s="1644"/>
      <c r="G123" s="825">
        <v>0</v>
      </c>
      <c r="H123" s="825"/>
      <c r="I123" s="825">
        <v>0</v>
      </c>
      <c r="J123" s="825"/>
      <c r="K123" s="825">
        <v>0</v>
      </c>
      <c r="L123" s="825"/>
      <c r="M123" s="825">
        <f t="shared" si="11"/>
        <v>0</v>
      </c>
      <c r="N123" s="825"/>
      <c r="O123" s="825">
        <v>0</v>
      </c>
      <c r="P123" s="1312"/>
      <c r="Q123" s="1639"/>
    </row>
    <row r="124" spans="2:17" s="1628" customFormat="1" ht="15.75">
      <c r="B124" s="1634">
        <v>21203</v>
      </c>
      <c r="C124" s="1643"/>
      <c r="D124" s="1635" t="s">
        <v>570</v>
      </c>
      <c r="E124" s="1644"/>
      <c r="F124" s="1644"/>
      <c r="G124" s="825">
        <v>6540.66</v>
      </c>
      <c r="H124" s="825"/>
      <c r="I124" s="825">
        <v>0</v>
      </c>
      <c r="J124" s="825"/>
      <c r="K124" s="825">
        <v>0</v>
      </c>
      <c r="L124" s="825"/>
      <c r="M124" s="825">
        <f t="shared" si="11"/>
        <v>46.37</v>
      </c>
      <c r="N124" s="825"/>
      <c r="O124" s="825">
        <v>46.369999999999898</v>
      </c>
      <c r="P124" s="1312"/>
      <c r="Q124" s="1639"/>
    </row>
    <row r="125" spans="2:17" s="1628" customFormat="1" ht="15.75">
      <c r="B125" s="1634">
        <v>21204</v>
      </c>
      <c r="C125" s="1643"/>
      <c r="D125" s="1635" t="s">
        <v>1371</v>
      </c>
      <c r="E125" s="1644"/>
      <c r="F125" s="1644"/>
      <c r="G125" s="825">
        <v>0</v>
      </c>
      <c r="H125" s="825"/>
      <c r="I125" s="825">
        <v>0</v>
      </c>
      <c r="J125" s="825"/>
      <c r="K125" s="825">
        <v>0</v>
      </c>
      <c r="L125" s="825"/>
      <c r="M125" s="825">
        <f t="shared" ref="M125:M126" si="13">ROUND(SUM(O125)-SUM(K125),2)</f>
        <v>0</v>
      </c>
      <c r="N125" s="825"/>
      <c r="O125" s="825">
        <v>0</v>
      </c>
      <c r="P125" s="1312"/>
      <c r="Q125" s="1639"/>
    </row>
    <row r="126" spans="2:17" s="1628" customFormat="1" ht="15.75">
      <c r="B126" s="1634">
        <v>21205</v>
      </c>
      <c r="C126" s="1643"/>
      <c r="D126" s="1635" t="s">
        <v>1372</v>
      </c>
      <c r="E126" s="1644"/>
      <c r="F126" s="1644"/>
      <c r="G126" s="825">
        <v>0</v>
      </c>
      <c r="H126" s="825"/>
      <c r="I126" s="825">
        <v>0</v>
      </c>
      <c r="J126" s="825"/>
      <c r="K126" s="825">
        <v>0</v>
      </c>
      <c r="L126" s="825"/>
      <c r="M126" s="825">
        <f t="shared" si="13"/>
        <v>0</v>
      </c>
      <c r="N126" s="825"/>
      <c r="O126" s="825">
        <v>0</v>
      </c>
      <c r="P126" s="1312"/>
      <c r="Q126" s="1639"/>
    </row>
    <row r="127" spans="2:17" s="1628" customFormat="1" ht="15.75">
      <c r="B127" s="1634">
        <v>21206</v>
      </c>
      <c r="C127" s="1643"/>
      <c r="D127" s="1635" t="s">
        <v>1427</v>
      </c>
      <c r="E127" s="1644"/>
      <c r="F127" s="1644"/>
      <c r="G127" s="825">
        <v>0</v>
      </c>
      <c r="H127" s="825"/>
      <c r="I127" s="825">
        <v>0</v>
      </c>
      <c r="J127" s="825"/>
      <c r="K127" s="825">
        <v>0</v>
      </c>
      <c r="L127" s="825"/>
      <c r="M127" s="825">
        <f t="shared" ref="M127" si="14">ROUND(SUM(O127)-SUM(K127),2)</f>
        <v>0</v>
      </c>
      <c r="N127" s="825"/>
      <c r="O127" s="825">
        <v>0</v>
      </c>
      <c r="P127" s="1312"/>
      <c r="Q127" s="1639"/>
    </row>
    <row r="128" spans="2:17" s="1628" customFormat="1" ht="15.75">
      <c r="B128" s="1634">
        <v>21401</v>
      </c>
      <c r="C128" s="1643"/>
      <c r="D128" s="1642" t="s">
        <v>571</v>
      </c>
      <c r="E128" s="1644"/>
      <c r="F128" s="1644"/>
      <c r="G128" s="825">
        <v>0</v>
      </c>
      <c r="H128" s="825"/>
      <c r="I128" s="825">
        <v>0</v>
      </c>
      <c r="J128" s="825"/>
      <c r="K128" s="825">
        <v>0</v>
      </c>
      <c r="L128" s="825"/>
      <c r="M128" s="825">
        <f t="shared" si="11"/>
        <v>0</v>
      </c>
      <c r="N128" s="825"/>
      <c r="O128" s="825">
        <v>0</v>
      </c>
      <c r="P128" s="1312"/>
      <c r="Q128" s="1639"/>
    </row>
    <row r="129" spans="2:17" s="1628" customFormat="1" ht="15.75">
      <c r="B129" s="1634">
        <v>21402</v>
      </c>
      <c r="C129" s="1643"/>
      <c r="D129" s="1642" t="s">
        <v>572</v>
      </c>
      <c r="E129" s="1644"/>
      <c r="F129" s="1644"/>
      <c r="G129" s="825">
        <v>0</v>
      </c>
      <c r="H129" s="825"/>
      <c r="I129" s="825">
        <v>0</v>
      </c>
      <c r="J129" s="825"/>
      <c r="K129" s="825">
        <v>0</v>
      </c>
      <c r="L129" s="825"/>
      <c r="M129" s="825">
        <f t="shared" si="11"/>
        <v>0</v>
      </c>
      <c r="N129" s="825"/>
      <c r="O129" s="825">
        <v>0</v>
      </c>
      <c r="P129" s="1312"/>
      <c r="Q129" s="1639"/>
    </row>
    <row r="130" spans="2:17" s="1628" customFormat="1" ht="15.75">
      <c r="B130" s="1634">
        <v>21451</v>
      </c>
      <c r="C130" s="1643"/>
      <c r="D130" s="1642" t="s">
        <v>573</v>
      </c>
      <c r="E130" s="1644"/>
      <c r="F130" s="1644"/>
      <c r="G130" s="825">
        <v>43577368.640000001</v>
      </c>
      <c r="H130" s="825"/>
      <c r="I130" s="825">
        <v>44200684.789999999</v>
      </c>
      <c r="J130" s="825"/>
      <c r="K130" s="825">
        <v>44768735.969999999</v>
      </c>
      <c r="L130" s="825"/>
      <c r="M130" s="825">
        <f t="shared" si="11"/>
        <v>535273.96</v>
      </c>
      <c r="N130" s="825"/>
      <c r="O130" s="825">
        <v>45304009.93</v>
      </c>
      <c r="P130" s="1312"/>
      <c r="Q130" s="1639"/>
    </row>
    <row r="131" spans="2:17" s="1628" customFormat="1" ht="15.75">
      <c r="B131" s="1634">
        <v>21452</v>
      </c>
      <c r="C131" s="1643"/>
      <c r="D131" s="1635" t="s">
        <v>574</v>
      </c>
      <c r="E131" s="1644"/>
      <c r="F131" s="1644"/>
      <c r="G131" s="825">
        <v>0</v>
      </c>
      <c r="H131" s="825"/>
      <c r="I131" s="825">
        <v>0</v>
      </c>
      <c r="J131" s="825"/>
      <c r="K131" s="825">
        <v>0</v>
      </c>
      <c r="L131" s="825"/>
      <c r="M131" s="825">
        <f t="shared" si="11"/>
        <v>0</v>
      </c>
      <c r="N131" s="825"/>
      <c r="O131" s="825">
        <v>0</v>
      </c>
      <c r="P131" s="1312"/>
      <c r="Q131" s="1639"/>
    </row>
    <row r="132" spans="2:17" s="1628" customFormat="1" ht="15.75">
      <c r="B132" s="1634">
        <v>21902</v>
      </c>
      <c r="C132" s="1643"/>
      <c r="D132" s="1642" t="s">
        <v>1096</v>
      </c>
      <c r="E132" s="1644"/>
      <c r="F132" s="1644"/>
      <c r="G132" s="825">
        <v>0</v>
      </c>
      <c r="H132" s="825"/>
      <c r="I132" s="825">
        <v>0</v>
      </c>
      <c r="J132" s="825"/>
      <c r="K132" s="825">
        <v>0</v>
      </c>
      <c r="L132" s="825"/>
      <c r="M132" s="825">
        <f t="shared" si="11"/>
        <v>0</v>
      </c>
      <c r="N132" s="825"/>
      <c r="O132" s="825">
        <v>0</v>
      </c>
      <c r="P132" s="1312"/>
      <c r="Q132" s="1639"/>
    </row>
    <row r="133" spans="2:17" s="1628" customFormat="1" ht="15.75">
      <c r="B133" s="1634">
        <v>21905</v>
      </c>
      <c r="C133" s="1643"/>
      <c r="D133" s="1738" t="s">
        <v>1099</v>
      </c>
      <c r="E133" s="1644"/>
      <c r="F133" s="1644"/>
      <c r="G133" s="825">
        <v>589713.68999999797</v>
      </c>
      <c r="H133" s="825"/>
      <c r="I133" s="825">
        <v>541279.01999999594</v>
      </c>
      <c r="J133" s="825"/>
      <c r="K133" s="825">
        <v>1523471.1800000099</v>
      </c>
      <c r="L133" s="825"/>
      <c r="M133" s="825">
        <f t="shared" si="11"/>
        <v>-208213.36</v>
      </c>
      <c r="N133" s="825"/>
      <c r="O133" s="825">
        <v>1315257.8199999901</v>
      </c>
      <c r="P133" s="1312"/>
      <c r="Q133" s="1639"/>
    </row>
    <row r="134" spans="2:17" s="1628" customFormat="1" ht="15.75">
      <c r="B134" s="1634">
        <v>21907</v>
      </c>
      <c r="C134" s="1643"/>
      <c r="D134" s="1635" t="s">
        <v>575</v>
      </c>
      <c r="E134" s="1644"/>
      <c r="F134" s="1644"/>
      <c r="G134" s="825">
        <v>0</v>
      </c>
      <c r="H134" s="825"/>
      <c r="I134" s="825">
        <v>0</v>
      </c>
      <c r="J134" s="825"/>
      <c r="K134" s="825">
        <v>0</v>
      </c>
      <c r="L134" s="825"/>
      <c r="M134" s="825">
        <f t="shared" si="11"/>
        <v>0</v>
      </c>
      <c r="N134" s="825"/>
      <c r="O134" s="825">
        <v>0</v>
      </c>
      <c r="P134" s="1312"/>
      <c r="Q134" s="1639"/>
    </row>
    <row r="135" spans="2:17" s="1628" customFormat="1" ht="15.75">
      <c r="B135" s="1634">
        <v>21909</v>
      </c>
      <c r="C135" s="1643"/>
      <c r="D135" s="1635" t="s">
        <v>576</v>
      </c>
      <c r="E135" s="1644"/>
      <c r="F135" s="1644"/>
      <c r="G135" s="825">
        <v>0</v>
      </c>
      <c r="H135" s="825"/>
      <c r="I135" s="825">
        <v>0</v>
      </c>
      <c r="J135" s="825"/>
      <c r="K135" s="825">
        <v>0</v>
      </c>
      <c r="L135" s="825"/>
      <c r="M135" s="825">
        <f t="shared" si="11"/>
        <v>0</v>
      </c>
      <c r="N135" s="825"/>
      <c r="O135" s="825">
        <v>0</v>
      </c>
      <c r="P135" s="1312"/>
      <c r="Q135" s="1639"/>
    </row>
    <row r="136" spans="2:17" s="1628" customFormat="1" ht="15.75">
      <c r="B136" s="1634">
        <v>21911</v>
      </c>
      <c r="C136" s="1643"/>
      <c r="D136" s="1635" t="s">
        <v>577</v>
      </c>
      <c r="E136" s="1644"/>
      <c r="F136" s="1644"/>
      <c r="G136" s="825">
        <v>661323.67000000004</v>
      </c>
      <c r="H136" s="825"/>
      <c r="I136" s="825">
        <v>155419.38</v>
      </c>
      <c r="J136" s="825"/>
      <c r="K136" s="825">
        <v>479848.64</v>
      </c>
      <c r="L136" s="825"/>
      <c r="M136" s="825">
        <f t="shared" si="11"/>
        <v>280267.63</v>
      </c>
      <c r="N136" s="825"/>
      <c r="O136" s="825">
        <v>760116.27</v>
      </c>
      <c r="P136" s="1312"/>
      <c r="Q136" s="1639"/>
    </row>
    <row r="137" spans="2:17" s="1628" customFormat="1" ht="15.75">
      <c r="B137" s="1634">
        <v>21912</v>
      </c>
      <c r="C137" s="1643"/>
      <c r="D137" s="1642" t="s">
        <v>578</v>
      </c>
      <c r="E137" s="1644"/>
      <c r="F137" s="1644"/>
      <c r="G137" s="825">
        <v>4296286.18</v>
      </c>
      <c r="H137" s="825"/>
      <c r="I137" s="825">
        <v>2857568.08</v>
      </c>
      <c r="J137" s="825"/>
      <c r="K137" s="825">
        <v>3394043.43</v>
      </c>
      <c r="L137" s="825"/>
      <c r="M137" s="825">
        <f t="shared" si="11"/>
        <v>-321108.34000000003</v>
      </c>
      <c r="N137" s="825"/>
      <c r="O137" s="825">
        <v>3072935.09</v>
      </c>
      <c r="P137" s="1312"/>
      <c r="Q137" s="1639"/>
    </row>
    <row r="138" spans="2:17" s="1628" customFormat="1" ht="15.75">
      <c r="B138" s="1634">
        <v>21937</v>
      </c>
      <c r="C138" s="1643"/>
      <c r="D138" s="1635" t="s">
        <v>579</v>
      </c>
      <c r="E138" s="1644"/>
      <c r="F138" s="1644"/>
      <c r="G138" s="825">
        <v>85997.28</v>
      </c>
      <c r="H138" s="825"/>
      <c r="I138" s="825">
        <v>390504.11</v>
      </c>
      <c r="J138" s="825"/>
      <c r="K138" s="825">
        <v>879377.96</v>
      </c>
      <c r="L138" s="825"/>
      <c r="M138" s="825">
        <f>ROUND(SUM(O138)-SUM(K138),2)</f>
        <v>-624082.78</v>
      </c>
      <c r="N138" s="825"/>
      <c r="O138" s="825">
        <v>255295.18</v>
      </c>
      <c r="P138" s="1312"/>
      <c r="Q138" s="1639"/>
    </row>
    <row r="139" spans="2:17" s="1628" customFormat="1" ht="15.75">
      <c r="B139" s="1634">
        <v>21945</v>
      </c>
      <c r="C139" s="1643"/>
      <c r="D139" s="1642" t="s">
        <v>580</v>
      </c>
      <c r="E139" s="1644"/>
      <c r="F139" s="1644"/>
      <c r="G139" s="825">
        <v>0</v>
      </c>
      <c r="H139" s="825"/>
      <c r="I139" s="825">
        <v>0</v>
      </c>
      <c r="J139" s="825"/>
      <c r="K139" s="825">
        <v>0</v>
      </c>
      <c r="L139" s="825"/>
      <c r="M139" s="825">
        <f t="shared" si="11"/>
        <v>0</v>
      </c>
      <c r="N139" s="825"/>
      <c r="O139" s="825">
        <v>0</v>
      </c>
      <c r="P139" s="1312"/>
      <c r="Q139" s="1639"/>
    </row>
    <row r="140" spans="2:17" s="1628" customFormat="1" ht="15.75">
      <c r="B140" s="1634">
        <v>21959</v>
      </c>
      <c r="C140" s="1643"/>
      <c r="D140" s="1635" t="s">
        <v>581</v>
      </c>
      <c r="E140" s="1644"/>
      <c r="F140" s="1644"/>
      <c r="G140" s="825">
        <v>0</v>
      </c>
      <c r="H140" s="825"/>
      <c r="I140" s="825">
        <v>0</v>
      </c>
      <c r="J140" s="825"/>
      <c r="K140" s="825">
        <v>0</v>
      </c>
      <c r="L140" s="825"/>
      <c r="M140" s="825">
        <f t="shared" si="11"/>
        <v>0</v>
      </c>
      <c r="N140" s="825"/>
      <c r="O140" s="825">
        <v>0</v>
      </c>
      <c r="P140" s="1312"/>
      <c r="Q140" s="1639"/>
    </row>
    <row r="141" spans="2:17" s="1628" customFormat="1" ht="15.75">
      <c r="B141" s="1634">
        <v>21961</v>
      </c>
      <c r="C141" s="1643"/>
      <c r="D141" s="1635" t="s">
        <v>1194</v>
      </c>
      <c r="E141" s="1644"/>
      <c r="F141" s="1644"/>
      <c r="G141" s="825">
        <v>422903.45</v>
      </c>
      <c r="H141" s="825"/>
      <c r="I141" s="825">
        <v>236061.89</v>
      </c>
      <c r="J141" s="825"/>
      <c r="K141" s="825">
        <v>267670.95</v>
      </c>
      <c r="L141" s="825"/>
      <c r="M141" s="825">
        <f t="shared" si="11"/>
        <v>613191.86</v>
      </c>
      <c r="N141" s="825"/>
      <c r="O141" s="825">
        <v>880862.81</v>
      </c>
      <c r="P141" s="1312"/>
      <c r="Q141" s="1639"/>
    </row>
    <row r="142" spans="2:17" s="1628" customFormat="1" ht="15.75">
      <c r="B142" s="1634">
        <v>21962</v>
      </c>
      <c r="C142" s="1643"/>
      <c r="D142" s="1635" t="s">
        <v>582</v>
      </c>
      <c r="E142" s="1644"/>
      <c r="F142" s="1644"/>
      <c r="G142" s="825">
        <v>11752031.51</v>
      </c>
      <c r="H142" s="825"/>
      <c r="I142" s="825">
        <v>13473390.539999999</v>
      </c>
      <c r="J142" s="825"/>
      <c r="K142" s="825">
        <v>11937176.949999999</v>
      </c>
      <c r="L142" s="825"/>
      <c r="M142" s="825">
        <f t="shared" si="11"/>
        <v>-646577.31999999995</v>
      </c>
      <c r="N142" s="825"/>
      <c r="O142" s="825">
        <v>11290599.630000001</v>
      </c>
      <c r="P142" s="1312"/>
      <c r="Q142" s="1639"/>
    </row>
    <row r="143" spans="2:17" s="1628" customFormat="1" ht="15.75">
      <c r="B143" s="1634">
        <v>21978</v>
      </c>
      <c r="C143" s="1643"/>
      <c r="D143" s="1642" t="s">
        <v>583</v>
      </c>
      <c r="E143" s="1644"/>
      <c r="F143" s="1644"/>
      <c r="G143" s="825">
        <v>0</v>
      </c>
      <c r="H143" s="825"/>
      <c r="I143" s="825">
        <v>729713.09</v>
      </c>
      <c r="J143" s="825"/>
      <c r="K143" s="825">
        <v>0</v>
      </c>
      <c r="L143" s="825"/>
      <c r="M143" s="825">
        <f t="shared" si="11"/>
        <v>0</v>
      </c>
      <c r="N143" s="825"/>
      <c r="O143" s="825">
        <v>0</v>
      </c>
      <c r="P143" s="1312"/>
      <c r="Q143" s="1639"/>
    </row>
    <row r="144" spans="2:17" s="1628" customFormat="1" ht="15.75">
      <c r="B144" s="1634">
        <v>21989</v>
      </c>
      <c r="C144" s="1643"/>
      <c r="D144" s="1642" t="s">
        <v>584</v>
      </c>
      <c r="E144" s="1644"/>
      <c r="F144" s="1644"/>
      <c r="G144" s="825">
        <v>0</v>
      </c>
      <c r="H144" s="825"/>
      <c r="I144" s="825">
        <v>0</v>
      </c>
      <c r="J144" s="825"/>
      <c r="K144" s="825">
        <v>0</v>
      </c>
      <c r="L144" s="825"/>
      <c r="M144" s="825">
        <f t="shared" si="11"/>
        <v>0</v>
      </c>
      <c r="N144" s="825"/>
      <c r="O144" s="825">
        <v>0</v>
      </c>
      <c r="P144" s="1312"/>
      <c r="Q144" s="1639"/>
    </row>
    <row r="145" spans="2:17" s="1628" customFormat="1" ht="15.75">
      <c r="B145" s="1634">
        <v>22003</v>
      </c>
      <c r="C145" s="1643"/>
      <c r="D145" s="1642" t="s">
        <v>585</v>
      </c>
      <c r="E145" s="1644"/>
      <c r="F145" s="1644"/>
      <c r="G145" s="825">
        <v>0</v>
      </c>
      <c r="H145" s="825"/>
      <c r="I145" s="825">
        <v>0</v>
      </c>
      <c r="J145" s="825"/>
      <c r="K145" s="825">
        <v>0</v>
      </c>
      <c r="L145" s="825"/>
      <c r="M145" s="825">
        <f t="shared" si="11"/>
        <v>0</v>
      </c>
      <c r="N145" s="825"/>
      <c r="O145" s="825">
        <v>0</v>
      </c>
      <c r="P145" s="1312"/>
      <c r="Q145" s="1639"/>
    </row>
    <row r="146" spans="2:17" s="1628" customFormat="1" ht="15.75">
      <c r="B146" s="1634">
        <v>22004</v>
      </c>
      <c r="C146" s="1643"/>
      <c r="D146" s="1635" t="s">
        <v>586</v>
      </c>
      <c r="E146" s="1644"/>
      <c r="F146" s="1644"/>
      <c r="G146" s="825">
        <v>0</v>
      </c>
      <c r="H146" s="825"/>
      <c r="I146" s="825">
        <v>0</v>
      </c>
      <c r="J146" s="825"/>
      <c r="K146" s="825">
        <v>0</v>
      </c>
      <c r="L146" s="825"/>
      <c r="M146" s="825">
        <f t="shared" si="11"/>
        <v>0</v>
      </c>
      <c r="N146" s="825"/>
      <c r="O146" s="825">
        <v>0</v>
      </c>
      <c r="P146" s="1312"/>
      <c r="Q146" s="1639"/>
    </row>
    <row r="147" spans="2:17" s="1628" customFormat="1" ht="15.75">
      <c r="B147" s="1634">
        <v>22006</v>
      </c>
      <c r="C147" s="1643"/>
      <c r="D147" s="1642" t="s">
        <v>587</v>
      </c>
      <c r="E147" s="1644"/>
      <c r="F147" s="1644"/>
      <c r="G147" s="825">
        <v>0</v>
      </c>
      <c r="H147" s="825"/>
      <c r="I147" s="825">
        <v>0</v>
      </c>
      <c r="J147" s="825"/>
      <c r="K147" s="825">
        <v>0</v>
      </c>
      <c r="L147" s="825"/>
      <c r="M147" s="825">
        <f t="shared" si="11"/>
        <v>0</v>
      </c>
      <c r="N147" s="825"/>
      <c r="O147" s="825">
        <v>0</v>
      </c>
      <c r="P147" s="1312"/>
      <c r="Q147" s="1639"/>
    </row>
    <row r="148" spans="2:17" s="1628" customFormat="1" ht="15.75">
      <c r="B148" s="1634">
        <v>22007</v>
      </c>
      <c r="C148" s="1643"/>
      <c r="D148" s="1635" t="s">
        <v>588</v>
      </c>
      <c r="E148" s="1644"/>
      <c r="F148" s="1644"/>
      <c r="G148" s="825">
        <v>2992252.62</v>
      </c>
      <c r="H148" s="825"/>
      <c r="I148" s="825">
        <v>2801450.68</v>
      </c>
      <c r="J148" s="825"/>
      <c r="K148" s="825">
        <v>3156306.1</v>
      </c>
      <c r="L148" s="825"/>
      <c r="M148" s="825">
        <f t="shared" si="11"/>
        <v>70620.63</v>
      </c>
      <c r="N148" s="825"/>
      <c r="O148" s="825">
        <v>3226926.73</v>
      </c>
      <c r="P148" s="1312"/>
      <c r="Q148" s="1639"/>
    </row>
    <row r="149" spans="2:17" s="1628" customFormat="1" ht="15.75">
      <c r="B149" s="1634">
        <v>22008</v>
      </c>
      <c r="C149" s="1643"/>
      <c r="D149" s="1635" t="s">
        <v>1143</v>
      </c>
      <c r="E149" s="1644"/>
      <c r="F149" s="1644"/>
      <c r="G149" s="825">
        <v>0</v>
      </c>
      <c r="H149" s="825"/>
      <c r="I149" s="825">
        <v>0</v>
      </c>
      <c r="J149" s="825"/>
      <c r="K149" s="825">
        <v>0</v>
      </c>
      <c r="L149" s="825"/>
      <c r="M149" s="825">
        <f t="shared" ref="M149" si="15">ROUND(SUM(O149)-SUM(K149),2)</f>
        <v>0</v>
      </c>
      <c r="N149" s="825"/>
      <c r="O149" s="825">
        <v>0</v>
      </c>
      <c r="P149" s="1312"/>
      <c r="Q149" s="1639"/>
    </row>
    <row r="150" spans="2:17" s="1628" customFormat="1" ht="15.75">
      <c r="B150" s="1634">
        <v>22009</v>
      </c>
      <c r="C150" s="1643"/>
      <c r="D150" s="1635" t="s">
        <v>589</v>
      </c>
      <c r="E150" s="1644"/>
      <c r="F150" s="1644"/>
      <c r="G150" s="825">
        <v>0</v>
      </c>
      <c r="H150" s="825"/>
      <c r="I150" s="825">
        <v>0</v>
      </c>
      <c r="J150" s="825"/>
      <c r="K150" s="825">
        <v>0</v>
      </c>
      <c r="L150" s="825"/>
      <c r="M150" s="825">
        <f t="shared" si="11"/>
        <v>0</v>
      </c>
      <c r="N150" s="825"/>
      <c r="O150" s="825">
        <v>0</v>
      </c>
      <c r="P150" s="1312"/>
      <c r="Q150" s="1639"/>
    </row>
    <row r="151" spans="2:17" s="1628" customFormat="1" ht="15.75">
      <c r="B151" s="1634">
        <v>22032</v>
      </c>
      <c r="C151" s="1643"/>
      <c r="D151" s="1635" t="s">
        <v>590</v>
      </c>
      <c r="E151" s="1644"/>
      <c r="F151" s="1644"/>
      <c r="G151" s="825">
        <v>8894305.75</v>
      </c>
      <c r="H151" s="825"/>
      <c r="I151" s="825">
        <v>9436771.0199999996</v>
      </c>
      <c r="J151" s="825"/>
      <c r="K151" s="825">
        <v>10228824.26</v>
      </c>
      <c r="L151" s="825"/>
      <c r="M151" s="825">
        <f t="shared" si="11"/>
        <v>949155.7</v>
      </c>
      <c r="N151" s="825"/>
      <c r="O151" s="825">
        <v>11177979.960000001</v>
      </c>
      <c r="P151" s="1312"/>
      <c r="Q151" s="1639"/>
    </row>
    <row r="152" spans="2:17" s="1628" customFormat="1" ht="15.75">
      <c r="B152" s="1634">
        <v>22034</v>
      </c>
      <c r="C152" s="1643"/>
      <c r="D152" s="1635" t="s">
        <v>591</v>
      </c>
      <c r="E152" s="1644"/>
      <c r="F152" s="1644"/>
      <c r="G152" s="825">
        <v>0</v>
      </c>
      <c r="H152" s="825"/>
      <c r="I152" s="825">
        <v>0</v>
      </c>
      <c r="J152" s="825"/>
      <c r="K152" s="825">
        <v>0</v>
      </c>
      <c r="L152" s="825"/>
      <c r="M152" s="825">
        <f t="shared" si="11"/>
        <v>0</v>
      </c>
      <c r="N152" s="825"/>
      <c r="O152" s="825">
        <v>0</v>
      </c>
      <c r="P152" s="1312"/>
      <c r="Q152" s="1639"/>
    </row>
    <row r="153" spans="2:17" s="1628" customFormat="1" ht="15.75">
      <c r="B153" s="1634">
        <v>22036</v>
      </c>
      <c r="C153" s="1643"/>
      <c r="D153" s="1635" t="s">
        <v>592</v>
      </c>
      <c r="E153" s="1644"/>
      <c r="F153" s="1644"/>
      <c r="G153" s="825">
        <v>0</v>
      </c>
      <c r="H153" s="825"/>
      <c r="I153" s="825">
        <v>0</v>
      </c>
      <c r="J153" s="825"/>
      <c r="K153" s="825">
        <v>0</v>
      </c>
      <c r="L153" s="825"/>
      <c r="M153" s="825">
        <f t="shared" si="11"/>
        <v>0</v>
      </c>
      <c r="N153" s="825"/>
      <c r="O153" s="825">
        <v>0</v>
      </c>
      <c r="P153" s="1312"/>
      <c r="Q153" s="1639"/>
    </row>
    <row r="154" spans="2:17" s="1628" customFormat="1" ht="15.75">
      <c r="B154" s="1634">
        <v>22039</v>
      </c>
      <c r="C154" s="1643"/>
      <c r="D154" s="1635" t="s">
        <v>593</v>
      </c>
      <c r="E154" s="1644"/>
      <c r="F154" s="1644"/>
      <c r="G154" s="825">
        <v>929217.5</v>
      </c>
      <c r="H154" s="825"/>
      <c r="I154" s="825">
        <v>340272.61</v>
      </c>
      <c r="J154" s="825"/>
      <c r="K154" s="825">
        <v>771076.56</v>
      </c>
      <c r="L154" s="825"/>
      <c r="M154" s="825">
        <f t="shared" si="11"/>
        <v>304464.21000000002</v>
      </c>
      <c r="N154" s="825"/>
      <c r="O154" s="825">
        <v>1075540.77</v>
      </c>
      <c r="P154" s="1312"/>
      <c r="Q154" s="1639"/>
    </row>
    <row r="155" spans="2:17" s="1628" customFormat="1" ht="15.75">
      <c r="B155" s="1634">
        <v>22046</v>
      </c>
      <c r="C155" s="1643"/>
      <c r="D155" s="1635" t="s">
        <v>594</v>
      </c>
      <c r="E155" s="1644"/>
      <c r="F155" s="1644"/>
      <c r="G155" s="825">
        <v>117478171.56</v>
      </c>
      <c r="H155" s="825"/>
      <c r="I155" s="825">
        <v>118362620.97</v>
      </c>
      <c r="J155" s="825"/>
      <c r="K155" s="825">
        <v>119346655.76000001</v>
      </c>
      <c r="L155" s="825"/>
      <c r="M155" s="825">
        <f t="shared" si="11"/>
        <v>810581.95</v>
      </c>
      <c r="N155" s="825"/>
      <c r="O155" s="825">
        <v>120157237.70999999</v>
      </c>
      <c r="P155" s="1312"/>
      <c r="Q155" s="1639"/>
    </row>
    <row r="156" spans="2:17" s="1628" customFormat="1" ht="15.75">
      <c r="B156" s="1634">
        <v>22053</v>
      </c>
      <c r="C156" s="1643"/>
      <c r="D156" s="1635" t="s">
        <v>595</v>
      </c>
      <c r="E156" s="1644"/>
      <c r="F156" s="1644"/>
      <c r="G156" s="825">
        <v>4020027.46</v>
      </c>
      <c r="H156" s="825"/>
      <c r="I156" s="825">
        <v>4486586.47</v>
      </c>
      <c r="J156" s="825"/>
      <c r="K156" s="825">
        <v>5276605.0199999996</v>
      </c>
      <c r="L156" s="825"/>
      <c r="M156" s="825">
        <f t="shared" si="11"/>
        <v>729413.55</v>
      </c>
      <c r="N156" s="825"/>
      <c r="O156" s="825">
        <v>6006018.5700000003</v>
      </c>
      <c r="P156" s="1312"/>
      <c r="Q156" s="1639"/>
    </row>
    <row r="157" spans="2:17" s="1628" customFormat="1" ht="15.75">
      <c r="B157" s="1634">
        <v>22054</v>
      </c>
      <c r="C157" s="1643"/>
      <c r="D157" s="1635" t="s">
        <v>596</v>
      </c>
      <c r="E157" s="1644"/>
      <c r="F157" s="1644"/>
      <c r="G157" s="825">
        <v>0</v>
      </c>
      <c r="H157" s="825"/>
      <c r="I157" s="825">
        <v>0</v>
      </c>
      <c r="J157" s="825"/>
      <c r="K157" s="825">
        <v>0</v>
      </c>
      <c r="L157" s="825"/>
      <c r="M157" s="825">
        <f t="shared" si="11"/>
        <v>0</v>
      </c>
      <c r="N157" s="825"/>
      <c r="O157" s="825">
        <v>0</v>
      </c>
      <c r="P157" s="1312"/>
      <c r="Q157" s="1639"/>
    </row>
    <row r="158" spans="2:17" s="1628" customFormat="1" ht="15.75">
      <c r="B158" s="1634">
        <v>22055</v>
      </c>
      <c r="C158" s="1643"/>
      <c r="D158" s="1635" t="s">
        <v>597</v>
      </c>
      <c r="E158" s="1644"/>
      <c r="F158" s="1644"/>
      <c r="G158" s="825">
        <v>52453190.530000001</v>
      </c>
      <c r="H158" s="825"/>
      <c r="I158" s="825">
        <v>50113576.880000003</v>
      </c>
      <c r="J158" s="825"/>
      <c r="K158" s="825">
        <v>48879769.219999999</v>
      </c>
      <c r="L158" s="825"/>
      <c r="M158" s="825">
        <f t="shared" si="11"/>
        <v>3920306.85</v>
      </c>
      <c r="N158" s="825"/>
      <c r="O158" s="825">
        <v>52800076.07</v>
      </c>
      <c r="P158" s="1312"/>
      <c r="Q158" s="1639"/>
    </row>
    <row r="159" spans="2:17" s="1628" customFormat="1" ht="15.75">
      <c r="B159" s="1634">
        <v>22062</v>
      </c>
      <c r="C159" s="1643"/>
      <c r="D159" s="1635" t="s">
        <v>598</v>
      </c>
      <c r="E159" s="1644"/>
      <c r="F159" s="1644"/>
      <c r="G159" s="825">
        <v>0</v>
      </c>
      <c r="H159" s="825"/>
      <c r="I159" s="825">
        <v>0</v>
      </c>
      <c r="J159" s="825"/>
      <c r="K159" s="825">
        <v>0</v>
      </c>
      <c r="L159" s="825"/>
      <c r="M159" s="825">
        <f t="shared" si="11"/>
        <v>0</v>
      </c>
      <c r="N159" s="825"/>
      <c r="O159" s="825">
        <v>0</v>
      </c>
      <c r="P159" s="1312"/>
      <c r="Q159" s="1639"/>
    </row>
    <row r="160" spans="2:17" s="1628" customFormat="1" ht="15.75">
      <c r="B160" s="1634">
        <v>22063</v>
      </c>
      <c r="C160" s="1643"/>
      <c r="D160" s="1635" t="s">
        <v>599</v>
      </c>
      <c r="E160" s="1644"/>
      <c r="F160" s="1644"/>
      <c r="G160" s="825">
        <v>0</v>
      </c>
      <c r="H160" s="825"/>
      <c r="I160" s="825">
        <v>0</v>
      </c>
      <c r="J160" s="825"/>
      <c r="K160" s="825">
        <v>0</v>
      </c>
      <c r="L160" s="825"/>
      <c r="M160" s="825">
        <f t="shared" si="11"/>
        <v>0</v>
      </c>
      <c r="N160" s="825"/>
      <c r="O160" s="825">
        <v>0</v>
      </c>
      <c r="P160" s="1312"/>
      <c r="Q160" s="1639"/>
    </row>
    <row r="161" spans="2:17" s="1628" customFormat="1" ht="15.75">
      <c r="B161" s="1634">
        <v>22078</v>
      </c>
      <c r="C161" s="1643"/>
      <c r="D161" s="1635" t="s">
        <v>600</v>
      </c>
      <c r="E161" s="1644"/>
      <c r="F161" s="1644"/>
      <c r="G161" s="825">
        <v>0</v>
      </c>
      <c r="H161" s="825"/>
      <c r="I161" s="825">
        <v>0</v>
      </c>
      <c r="J161" s="825"/>
      <c r="K161" s="825">
        <v>0</v>
      </c>
      <c r="L161" s="825"/>
      <c r="M161" s="825">
        <f t="shared" si="11"/>
        <v>0</v>
      </c>
      <c r="N161" s="825"/>
      <c r="O161" s="825">
        <v>0</v>
      </c>
      <c r="P161" s="1312"/>
      <c r="Q161" s="1639"/>
    </row>
    <row r="162" spans="2:17" s="1628" customFormat="1" ht="15.75">
      <c r="B162" s="1634">
        <v>22085</v>
      </c>
      <c r="C162" s="1643"/>
      <c r="D162" s="1635" t="s">
        <v>601</v>
      </c>
      <c r="E162" s="1644"/>
      <c r="F162" s="1644"/>
      <c r="G162" s="825">
        <v>0</v>
      </c>
      <c r="H162" s="825"/>
      <c r="I162" s="825">
        <v>0</v>
      </c>
      <c r="J162" s="825"/>
      <c r="K162" s="825">
        <v>0</v>
      </c>
      <c r="L162" s="825"/>
      <c r="M162" s="825">
        <f>ROUND(SUM(O162)-SUM(K162),2)</f>
        <v>0</v>
      </c>
      <c r="N162" s="825"/>
      <c r="O162" s="825">
        <v>0</v>
      </c>
      <c r="P162" s="1312"/>
      <c r="Q162" s="1639"/>
    </row>
    <row r="163" spans="2:17" s="1628" customFormat="1" ht="15.75">
      <c r="B163" s="1634">
        <v>22090</v>
      </c>
      <c r="C163" s="1643"/>
      <c r="D163" s="1635" t="s">
        <v>602</v>
      </c>
      <c r="E163" s="1644"/>
      <c r="F163" s="1644"/>
      <c r="G163" s="825">
        <v>0</v>
      </c>
      <c r="H163" s="825"/>
      <c r="I163" s="825">
        <v>0</v>
      </c>
      <c r="J163" s="825"/>
      <c r="K163" s="825">
        <v>0</v>
      </c>
      <c r="L163" s="825"/>
      <c r="M163" s="825">
        <f t="shared" si="11"/>
        <v>0</v>
      </c>
      <c r="N163" s="825"/>
      <c r="O163" s="825">
        <v>0</v>
      </c>
      <c r="P163" s="1312"/>
      <c r="Q163" s="1639"/>
    </row>
    <row r="164" spans="2:17" s="1628" customFormat="1" ht="15.75">
      <c r="B164" s="1634">
        <v>22099</v>
      </c>
      <c r="C164" s="1643"/>
      <c r="D164" s="1635" t="s">
        <v>1442</v>
      </c>
      <c r="E164" s="1644"/>
      <c r="F164" s="1644"/>
      <c r="G164" s="825">
        <v>0</v>
      </c>
      <c r="H164" s="825"/>
      <c r="I164" s="825">
        <v>0</v>
      </c>
      <c r="J164" s="825"/>
      <c r="K164" s="825">
        <v>0</v>
      </c>
      <c r="L164" s="825"/>
      <c r="M164" s="825">
        <f t="shared" ref="M164" si="16">ROUND(SUM(O164)-SUM(K164),2)</f>
        <v>0</v>
      </c>
      <c r="N164" s="825"/>
      <c r="O164" s="825">
        <v>0</v>
      </c>
      <c r="P164" s="1312"/>
      <c r="Q164" s="1639"/>
    </row>
    <row r="165" spans="2:17" s="1628" customFormat="1" ht="15.75">
      <c r="B165" s="1634">
        <v>22100</v>
      </c>
      <c r="C165" s="1643"/>
      <c r="D165" s="1635" t="s">
        <v>603</v>
      </c>
      <c r="E165" s="1644"/>
      <c r="F165" s="1644"/>
      <c r="G165" s="825">
        <v>15485667.4</v>
      </c>
      <c r="H165" s="825"/>
      <c r="I165" s="825">
        <v>15573303.800000001</v>
      </c>
      <c r="J165" s="825"/>
      <c r="K165" s="825">
        <v>16263549.34</v>
      </c>
      <c r="L165" s="825"/>
      <c r="M165" s="825">
        <f t="shared" ref="M165:M185" si="17">ROUND(SUM(O165)-SUM(K165),2)</f>
        <v>120923.16</v>
      </c>
      <c r="N165" s="825"/>
      <c r="O165" s="825">
        <v>16384472.5</v>
      </c>
      <c r="P165" s="1312"/>
      <c r="Q165" s="1639"/>
    </row>
    <row r="166" spans="2:17" s="1628" customFormat="1" ht="15.75">
      <c r="B166" s="1634">
        <v>22130</v>
      </c>
      <c r="C166" s="1643"/>
      <c r="D166" s="1642" t="s">
        <v>604</v>
      </c>
      <c r="E166" s="1644"/>
      <c r="F166" s="1644"/>
      <c r="G166" s="825">
        <v>0</v>
      </c>
      <c r="H166" s="825"/>
      <c r="I166" s="825">
        <v>0</v>
      </c>
      <c r="J166" s="825"/>
      <c r="K166" s="825">
        <v>0</v>
      </c>
      <c r="L166" s="825"/>
      <c r="M166" s="825">
        <f t="shared" si="17"/>
        <v>0</v>
      </c>
      <c r="N166" s="825"/>
      <c r="O166" s="825">
        <v>0</v>
      </c>
      <c r="P166" s="1312"/>
      <c r="Q166" s="1639"/>
    </row>
    <row r="167" spans="2:17" s="1628" customFormat="1" ht="15.75">
      <c r="B167" s="1634">
        <v>22134</v>
      </c>
      <c r="C167" s="1643"/>
      <c r="D167" s="1642" t="s">
        <v>1443</v>
      </c>
      <c r="E167" s="1644"/>
      <c r="F167" s="1644"/>
      <c r="G167" s="825">
        <v>0</v>
      </c>
      <c r="H167" s="825"/>
      <c r="I167" s="825">
        <v>0</v>
      </c>
      <c r="J167" s="825"/>
      <c r="K167" s="825">
        <v>0</v>
      </c>
      <c r="L167" s="825"/>
      <c r="M167" s="825">
        <f t="shared" ref="M167" si="18">ROUND(SUM(O167)-SUM(K167),2)</f>
        <v>0</v>
      </c>
      <c r="N167" s="825"/>
      <c r="O167" s="825">
        <v>0</v>
      </c>
      <c r="P167" s="1312"/>
      <c r="Q167" s="1639"/>
    </row>
    <row r="168" spans="2:17" s="1628" customFormat="1" ht="15.75">
      <c r="B168" s="1634">
        <v>22135</v>
      </c>
      <c r="C168" s="1643"/>
      <c r="D168" s="1642" t="s">
        <v>605</v>
      </c>
      <c r="E168" s="1644"/>
      <c r="F168" s="1644"/>
      <c r="G168" s="825">
        <v>0</v>
      </c>
      <c r="H168" s="825"/>
      <c r="I168" s="825">
        <v>0</v>
      </c>
      <c r="J168" s="825"/>
      <c r="K168" s="825">
        <v>0</v>
      </c>
      <c r="L168" s="825"/>
      <c r="M168" s="825">
        <f t="shared" si="17"/>
        <v>0</v>
      </c>
      <c r="N168" s="825"/>
      <c r="O168" s="825">
        <v>0</v>
      </c>
      <c r="P168" s="1312"/>
      <c r="Q168" s="1639"/>
    </row>
    <row r="169" spans="2:17" s="1628" customFormat="1" ht="15.75">
      <c r="B169" s="1634">
        <v>22144</v>
      </c>
      <c r="C169" s="1643"/>
      <c r="D169" s="1635" t="s">
        <v>606</v>
      </c>
      <c r="E169" s="1644"/>
      <c r="F169" s="1644"/>
      <c r="G169" s="825">
        <v>0</v>
      </c>
      <c r="H169" s="825"/>
      <c r="I169" s="825">
        <v>0</v>
      </c>
      <c r="J169" s="825"/>
      <c r="K169" s="825">
        <v>0</v>
      </c>
      <c r="L169" s="825"/>
      <c r="M169" s="825">
        <f t="shared" si="17"/>
        <v>0</v>
      </c>
      <c r="N169" s="825"/>
      <c r="O169" s="825">
        <v>0</v>
      </c>
      <c r="P169" s="1312"/>
      <c r="Q169" s="1639"/>
    </row>
    <row r="170" spans="2:17" s="1628" customFormat="1" ht="15.75">
      <c r="B170" s="1634">
        <v>22151</v>
      </c>
      <c r="C170" s="1643"/>
      <c r="D170" s="1642" t="s">
        <v>607</v>
      </c>
      <c r="E170" s="1644"/>
      <c r="F170" s="1644"/>
      <c r="G170" s="825">
        <v>86162.72</v>
      </c>
      <c r="H170" s="825"/>
      <c r="I170" s="825">
        <v>149404.16</v>
      </c>
      <c r="J170" s="825"/>
      <c r="K170" s="825">
        <v>83219.38</v>
      </c>
      <c r="L170" s="825"/>
      <c r="M170" s="825">
        <f t="shared" si="17"/>
        <v>50614.78</v>
      </c>
      <c r="N170" s="825"/>
      <c r="O170" s="825">
        <v>133834.16</v>
      </c>
      <c r="P170" s="1312"/>
      <c r="Q170" s="1639"/>
    </row>
    <row r="171" spans="2:17" s="1628" customFormat="1" ht="15.75">
      <c r="B171" s="1634">
        <v>22156</v>
      </c>
      <c r="C171" s="1643"/>
      <c r="D171" s="1642" t="s">
        <v>608</v>
      </c>
      <c r="E171" s="1644"/>
      <c r="F171" s="1644"/>
      <c r="G171" s="825">
        <v>0</v>
      </c>
      <c r="H171" s="825"/>
      <c r="I171" s="825">
        <v>0</v>
      </c>
      <c r="J171" s="825"/>
      <c r="K171" s="825">
        <v>0</v>
      </c>
      <c r="L171" s="825"/>
      <c r="M171" s="825">
        <f t="shared" si="17"/>
        <v>0</v>
      </c>
      <c r="N171" s="825"/>
      <c r="O171" s="825">
        <v>0</v>
      </c>
      <c r="P171" s="1312"/>
      <c r="Q171" s="1639"/>
    </row>
    <row r="172" spans="2:17" s="1628" customFormat="1" ht="15.75">
      <c r="B172" s="1634">
        <v>22158</v>
      </c>
      <c r="C172" s="1643"/>
      <c r="D172" s="1635" t="s">
        <v>609</v>
      </c>
      <c r="E172" s="1644"/>
      <c r="F172" s="1644"/>
      <c r="G172" s="825">
        <v>0</v>
      </c>
      <c r="H172" s="825"/>
      <c r="I172" s="825">
        <v>0</v>
      </c>
      <c r="J172" s="825"/>
      <c r="K172" s="825">
        <v>0</v>
      </c>
      <c r="L172" s="825"/>
      <c r="M172" s="825">
        <f t="shared" si="17"/>
        <v>0</v>
      </c>
      <c r="N172" s="825"/>
      <c r="O172" s="825">
        <v>0</v>
      </c>
      <c r="P172" s="1312"/>
      <c r="Q172" s="1639"/>
    </row>
    <row r="173" spans="2:17" s="1628" customFormat="1" ht="15.75">
      <c r="B173" s="1634">
        <v>22165</v>
      </c>
      <c r="C173" s="1643"/>
      <c r="D173" s="1635" t="s">
        <v>1413</v>
      </c>
      <c r="E173" s="1644"/>
      <c r="F173" s="1644"/>
      <c r="G173" s="825">
        <v>0</v>
      </c>
      <c r="H173" s="825"/>
      <c r="I173" s="825">
        <v>0</v>
      </c>
      <c r="J173" s="825"/>
      <c r="K173" s="825">
        <v>0</v>
      </c>
      <c r="L173" s="825"/>
      <c r="M173" s="825">
        <f t="shared" ref="M173" si="19">ROUND(SUM(O173)-SUM(K173),2)</f>
        <v>0</v>
      </c>
      <c r="N173" s="825"/>
      <c r="O173" s="825">
        <v>0</v>
      </c>
      <c r="P173" s="1312"/>
      <c r="Q173" s="1639"/>
    </row>
    <row r="174" spans="2:17" s="1628" customFormat="1" ht="15.75">
      <c r="B174" s="1634">
        <v>22168</v>
      </c>
      <c r="C174" s="1643"/>
      <c r="D174" s="1635" t="s">
        <v>610</v>
      </c>
      <c r="E174" s="1644"/>
      <c r="F174" s="1644"/>
      <c r="G174" s="825">
        <v>0</v>
      </c>
      <c r="H174" s="825"/>
      <c r="I174" s="825">
        <v>0</v>
      </c>
      <c r="J174" s="825"/>
      <c r="K174" s="825">
        <v>0</v>
      </c>
      <c r="L174" s="825"/>
      <c r="M174" s="825">
        <f t="shared" si="17"/>
        <v>0</v>
      </c>
      <c r="N174" s="825"/>
      <c r="O174" s="825">
        <v>0</v>
      </c>
      <c r="P174" s="1312"/>
      <c r="Q174" s="1639"/>
    </row>
    <row r="175" spans="2:17" s="1628" customFormat="1" ht="15.75">
      <c r="B175" s="1634">
        <v>22211</v>
      </c>
      <c r="C175" s="1643"/>
      <c r="D175" s="1635" t="s">
        <v>1444</v>
      </c>
      <c r="E175" s="1644"/>
      <c r="F175" s="1644"/>
      <c r="G175" s="825">
        <v>0</v>
      </c>
      <c r="H175" s="825"/>
      <c r="I175" s="825">
        <v>0</v>
      </c>
      <c r="J175" s="825"/>
      <c r="K175" s="825">
        <v>0</v>
      </c>
      <c r="L175" s="825"/>
      <c r="M175" s="825">
        <f t="shared" ref="M175" si="20">ROUND(SUM(O175)-SUM(K175),2)</f>
        <v>0</v>
      </c>
      <c r="N175" s="825"/>
      <c r="O175" s="825">
        <v>0</v>
      </c>
      <c r="P175" s="1312"/>
      <c r="Q175" s="1639"/>
    </row>
    <row r="176" spans="2:17" s="1628" customFormat="1" ht="15.75">
      <c r="B176" s="1634">
        <v>22240</v>
      </c>
      <c r="C176" s="1643"/>
      <c r="D176" s="1635" t="s">
        <v>1195</v>
      </c>
      <c r="E176" s="1644"/>
      <c r="F176" s="1644"/>
      <c r="G176" s="825">
        <v>3805298.97</v>
      </c>
      <c r="H176" s="825" t="s">
        <v>14</v>
      </c>
      <c r="I176" s="825">
        <v>3912911.49</v>
      </c>
      <c r="J176" s="825" t="s">
        <v>14</v>
      </c>
      <c r="K176" s="825">
        <v>4120143.24</v>
      </c>
      <c r="L176" s="825" t="s">
        <v>14</v>
      </c>
      <c r="M176" s="825">
        <f t="shared" si="17"/>
        <v>116573.37</v>
      </c>
      <c r="N176" s="825" t="s">
        <v>14</v>
      </c>
      <c r="O176" s="825">
        <v>4236716.6100000003</v>
      </c>
      <c r="P176" s="1312"/>
      <c r="Q176" s="1639"/>
    </row>
    <row r="177" spans="2:17" s="1628" customFormat="1" ht="15.75">
      <c r="B177" s="1634">
        <v>22246</v>
      </c>
      <c r="C177" s="1643"/>
      <c r="D177" s="1635" t="s">
        <v>1305</v>
      </c>
      <c r="E177" s="1644"/>
      <c r="F177" s="1644"/>
      <c r="G177" s="825">
        <v>0</v>
      </c>
      <c r="H177" s="825" t="s">
        <v>14</v>
      </c>
      <c r="I177" s="825">
        <v>0</v>
      </c>
      <c r="J177" s="825" t="s">
        <v>14</v>
      </c>
      <c r="K177" s="825">
        <v>0</v>
      </c>
      <c r="L177" s="825" t="s">
        <v>14</v>
      </c>
      <c r="M177" s="825">
        <v>0</v>
      </c>
      <c r="N177" s="825" t="s">
        <v>14</v>
      </c>
      <c r="O177" s="825">
        <v>0</v>
      </c>
      <c r="P177" s="1312"/>
      <c r="Q177" s="1639"/>
    </row>
    <row r="178" spans="2:17" s="1628" customFormat="1" ht="15.75">
      <c r="B178" s="1634">
        <v>22255</v>
      </c>
      <c r="C178" s="1643"/>
      <c r="D178" s="1635" t="s">
        <v>1445</v>
      </c>
      <c r="E178" s="1644"/>
      <c r="F178" s="1644"/>
      <c r="G178" s="825">
        <v>402770.87</v>
      </c>
      <c r="H178" s="825" t="s">
        <v>14</v>
      </c>
      <c r="I178" s="825">
        <v>655191.86</v>
      </c>
      <c r="J178" s="825" t="s">
        <v>14</v>
      </c>
      <c r="K178" s="825">
        <v>1065070.8500000001</v>
      </c>
      <c r="L178" s="825" t="s">
        <v>14</v>
      </c>
      <c r="M178" s="825">
        <f>ROUND(SUM(O178)-SUM(K178),2)</f>
        <v>274019.32</v>
      </c>
      <c r="N178" s="825" t="s">
        <v>14</v>
      </c>
      <c r="O178" s="825">
        <v>1339090.17</v>
      </c>
      <c r="P178" s="1312"/>
      <c r="Q178" s="1639"/>
    </row>
    <row r="179" spans="2:17" s="1628" customFormat="1" ht="15.75">
      <c r="B179" s="1634">
        <v>22654</v>
      </c>
      <c r="C179" s="1643"/>
      <c r="D179" s="1642" t="s">
        <v>611</v>
      </c>
      <c r="E179" s="1644"/>
      <c r="F179" s="1644"/>
      <c r="G179" s="825">
        <v>21420966.879999999</v>
      </c>
      <c r="H179" s="825"/>
      <c r="I179" s="825">
        <v>21510767.93</v>
      </c>
      <c r="J179" s="825"/>
      <c r="K179" s="825">
        <v>21605895.23</v>
      </c>
      <c r="L179" s="825"/>
      <c r="M179" s="825">
        <f t="shared" si="17"/>
        <v>97104.97</v>
      </c>
      <c r="N179" s="825"/>
      <c r="O179" s="825">
        <v>21703000.199999999</v>
      </c>
      <c r="P179" s="1312"/>
      <c r="Q179" s="1639"/>
    </row>
    <row r="180" spans="2:17" s="1628" customFormat="1" ht="15.75">
      <c r="B180" s="1634">
        <v>22751</v>
      </c>
      <c r="C180" s="1643"/>
      <c r="D180" s="1642" t="s">
        <v>1111</v>
      </c>
      <c r="E180" s="1644"/>
      <c r="F180" s="1644"/>
      <c r="G180" s="825">
        <v>0</v>
      </c>
      <c r="H180" s="825"/>
      <c r="I180" s="825">
        <v>0</v>
      </c>
      <c r="J180" s="825"/>
      <c r="K180" s="825">
        <v>0</v>
      </c>
      <c r="L180" s="825"/>
      <c r="M180" s="825">
        <f>ROUND(SUM(O180)-SUM(K180),2)</f>
        <v>0</v>
      </c>
      <c r="N180" s="825"/>
      <c r="O180" s="825">
        <v>0</v>
      </c>
      <c r="P180" s="1312"/>
      <c r="Q180" s="1639"/>
    </row>
    <row r="181" spans="2:17" s="1628" customFormat="1" ht="15.75">
      <c r="B181" s="1634">
        <v>23001</v>
      </c>
      <c r="C181" s="1643"/>
      <c r="D181" s="1642" t="s">
        <v>612</v>
      </c>
      <c r="E181" s="1644"/>
      <c r="F181" s="1644"/>
      <c r="G181" s="825">
        <v>22873528.18</v>
      </c>
      <c r="H181" s="825"/>
      <c r="I181" s="825">
        <v>23210733.890000001</v>
      </c>
      <c r="J181" s="825"/>
      <c r="K181" s="825">
        <v>23510644.390000001</v>
      </c>
      <c r="L181" s="825"/>
      <c r="M181" s="825">
        <f t="shared" si="17"/>
        <v>173479.19</v>
      </c>
      <c r="N181" s="825"/>
      <c r="O181" s="825">
        <v>23684123.579999998</v>
      </c>
      <c r="P181" s="1312"/>
      <c r="Q181" s="1639"/>
    </row>
    <row r="182" spans="2:17" s="1628" customFormat="1" ht="15.75">
      <c r="B182" s="1634">
        <v>23102</v>
      </c>
      <c r="C182" s="1643"/>
      <c r="D182" s="1635" t="s">
        <v>613</v>
      </c>
      <c r="E182" s="1644"/>
      <c r="F182" s="1644"/>
      <c r="G182" s="825">
        <v>0</v>
      </c>
      <c r="H182" s="825"/>
      <c r="I182" s="825">
        <v>0</v>
      </c>
      <c r="J182" s="825"/>
      <c r="K182" s="825">
        <v>0</v>
      </c>
      <c r="L182" s="825"/>
      <c r="M182" s="825">
        <f t="shared" si="17"/>
        <v>0</v>
      </c>
      <c r="N182" s="825"/>
      <c r="O182" s="825">
        <v>0</v>
      </c>
      <c r="P182" s="1312"/>
      <c r="Q182" s="1639"/>
    </row>
    <row r="183" spans="2:17" s="1628" customFormat="1" ht="15.75">
      <c r="B183" s="1634">
        <v>23151</v>
      </c>
      <c r="C183" s="1643"/>
      <c r="D183" s="1642" t="s">
        <v>614</v>
      </c>
      <c r="E183" s="1644"/>
      <c r="F183" s="1644"/>
      <c r="G183" s="825">
        <v>38047459.810000002</v>
      </c>
      <c r="H183" s="825"/>
      <c r="I183" s="825">
        <v>40633033.030000001</v>
      </c>
      <c r="J183" s="825"/>
      <c r="K183" s="825">
        <v>44117324.07</v>
      </c>
      <c r="L183" s="825"/>
      <c r="M183" s="825">
        <f t="shared" si="17"/>
        <v>2672177.87</v>
      </c>
      <c r="N183" s="825"/>
      <c r="O183" s="825">
        <v>46789501.939999998</v>
      </c>
      <c r="P183" s="1312"/>
      <c r="Q183" s="1639"/>
    </row>
    <row r="184" spans="2:17" s="1628" customFormat="1" ht="15.75">
      <c r="B184" s="1634">
        <v>23701</v>
      </c>
      <c r="C184" s="1643"/>
      <c r="D184" s="1642" t="s">
        <v>1462</v>
      </c>
      <c r="E184" s="1644"/>
      <c r="F184" s="1644"/>
      <c r="G184" s="825">
        <v>0</v>
      </c>
      <c r="H184" s="825"/>
      <c r="I184" s="825">
        <v>0</v>
      </c>
      <c r="J184" s="825"/>
      <c r="K184" s="825">
        <v>0</v>
      </c>
      <c r="L184" s="825"/>
      <c r="M184" s="825">
        <f t="shared" si="17"/>
        <v>0</v>
      </c>
      <c r="N184" s="825"/>
      <c r="O184" s="825">
        <v>0</v>
      </c>
      <c r="P184" s="1312"/>
      <c r="Q184" s="1639"/>
    </row>
    <row r="185" spans="2:17" s="1628" customFormat="1" ht="15.75">
      <c r="B185" s="1653">
        <v>23702</v>
      </c>
      <c r="C185" s="1643"/>
      <c r="D185" s="1635" t="s">
        <v>819</v>
      </c>
      <c r="E185" s="1644"/>
      <c r="F185" s="1644"/>
      <c r="G185" s="825">
        <v>27284661.449999999</v>
      </c>
      <c r="H185" s="825"/>
      <c r="I185" s="825">
        <v>25629645.809999999</v>
      </c>
      <c r="J185" s="825"/>
      <c r="K185" s="825">
        <v>26164414.82</v>
      </c>
      <c r="L185" s="825"/>
      <c r="M185" s="825">
        <f t="shared" si="17"/>
        <v>314735.48</v>
      </c>
      <c r="N185" s="825"/>
      <c r="O185" s="825">
        <v>26479150.300000001</v>
      </c>
      <c r="P185" s="1312"/>
      <c r="Q185" s="1639"/>
    </row>
    <row r="186" spans="2:17" s="1628" customFormat="1" ht="15.75">
      <c r="B186" s="1653">
        <v>23801</v>
      </c>
      <c r="C186" s="1643"/>
      <c r="D186" s="1635" t="s">
        <v>1118</v>
      </c>
      <c r="E186" s="1644"/>
      <c r="F186" s="1644"/>
      <c r="G186" s="825">
        <v>0</v>
      </c>
      <c r="H186" s="825"/>
      <c r="I186" s="825">
        <v>0</v>
      </c>
      <c r="J186" s="825"/>
      <c r="K186" s="825">
        <v>0</v>
      </c>
      <c r="L186" s="825"/>
      <c r="M186" s="825">
        <f>ROUND(SUM(O186)-SUM(K186),2)</f>
        <v>0</v>
      </c>
      <c r="N186" s="825"/>
      <c r="O186" s="825">
        <v>0</v>
      </c>
      <c r="P186" s="1638"/>
      <c r="Q186" s="1639"/>
    </row>
    <row r="187" spans="2:17" s="1628" customFormat="1" ht="15.75">
      <c r="B187" s="1653">
        <v>23806</v>
      </c>
      <c r="C187" s="1643"/>
      <c r="D187" s="1635" t="s">
        <v>1144</v>
      </c>
      <c r="E187" s="1644"/>
      <c r="F187" s="1644"/>
      <c r="G187" s="825">
        <v>566098.18000000005</v>
      </c>
      <c r="H187" s="825"/>
      <c r="I187" s="825">
        <v>635543.56000000006</v>
      </c>
      <c r="J187" s="825"/>
      <c r="K187" s="825">
        <v>689112.07</v>
      </c>
      <c r="L187" s="825"/>
      <c r="M187" s="825">
        <f t="shared" ref="M187:M189" si="21">ROUND(SUM(O187)-SUM(K187),2)</f>
        <v>35363.03</v>
      </c>
      <c r="N187" s="825"/>
      <c r="O187" s="825">
        <v>724475.1</v>
      </c>
      <c r="P187" s="1638"/>
      <c r="Q187" s="1639"/>
    </row>
    <row r="188" spans="2:17" s="1628" customFormat="1" ht="15.75">
      <c r="B188" s="1653">
        <v>24800</v>
      </c>
      <c r="C188" s="1643"/>
      <c r="D188" s="1635" t="s">
        <v>1421</v>
      </c>
      <c r="E188" s="1644"/>
      <c r="F188" s="1644"/>
      <c r="G188" s="825">
        <v>15714856.939999999</v>
      </c>
      <c r="H188" s="825"/>
      <c r="I188" s="825">
        <v>28383371.390000001</v>
      </c>
      <c r="J188" s="825"/>
      <c r="K188" s="825">
        <v>34860398.060000002</v>
      </c>
      <c r="L188" s="825"/>
      <c r="M188" s="825">
        <f t="shared" si="21"/>
        <v>-5535143.5999999996</v>
      </c>
      <c r="N188" s="825"/>
      <c r="O188" s="825">
        <v>29325254.460000001</v>
      </c>
      <c r="P188" s="1638"/>
      <c r="Q188" s="1639"/>
    </row>
    <row r="189" spans="2:17" s="1628" customFormat="1" ht="15.75">
      <c r="B189" s="1653">
        <v>24951</v>
      </c>
      <c r="C189" s="1643"/>
      <c r="D189" s="1635" t="s">
        <v>1145</v>
      </c>
      <c r="E189" s="1644"/>
      <c r="F189" s="1644"/>
      <c r="G189" s="825">
        <v>88134.7</v>
      </c>
      <c r="H189" s="825"/>
      <c r="I189" s="825">
        <v>113664.04</v>
      </c>
      <c r="J189" s="825"/>
      <c r="K189" s="825">
        <v>124104.44</v>
      </c>
      <c r="L189" s="825"/>
      <c r="M189" s="825">
        <f t="shared" si="21"/>
        <v>404.75</v>
      </c>
      <c r="N189" s="825"/>
      <c r="O189" s="825">
        <v>124509.19</v>
      </c>
      <c r="P189" s="1638"/>
      <c r="Q189" s="1639"/>
    </row>
    <row r="190" spans="2:17" s="1628" customFormat="1" ht="15.75">
      <c r="B190" s="1653">
        <v>24955</v>
      </c>
      <c r="C190" s="1643"/>
      <c r="D190" s="1635" t="s">
        <v>1446</v>
      </c>
      <c r="E190" s="1644"/>
      <c r="F190" s="1644"/>
      <c r="G190" s="825">
        <v>0</v>
      </c>
      <c r="H190" s="825"/>
      <c r="I190" s="825">
        <v>0</v>
      </c>
      <c r="J190" s="825"/>
      <c r="K190" s="825">
        <v>0</v>
      </c>
      <c r="L190" s="825"/>
      <c r="M190" s="825">
        <f t="shared" ref="M190" si="22">ROUND(SUM(O190)-SUM(K190),2)</f>
        <v>313802066.06</v>
      </c>
      <c r="N190" s="825"/>
      <c r="O190" s="825">
        <v>313802066.06</v>
      </c>
      <c r="P190" s="1638"/>
      <c r="Q190" s="1639"/>
    </row>
    <row r="191" spans="2:17" s="1628" customFormat="1" ht="16.5" thickBot="1">
      <c r="B191" s="1645"/>
      <c r="C191" s="1630"/>
      <c r="D191" s="1640" t="s">
        <v>615</v>
      </c>
      <c r="E191" s="1632"/>
      <c r="F191" s="1632"/>
      <c r="G191" s="1026">
        <f>ROUND(SUM(G104:G190),2)</f>
        <v>484891019.20999998</v>
      </c>
      <c r="H191" s="1293"/>
      <c r="I191" s="1026">
        <f>ROUND(SUM(I104:I190),2)</f>
        <v>534573191.87</v>
      </c>
      <c r="J191" s="1293"/>
      <c r="K191" s="1026">
        <f>ROUND(SUM(K104:K190),2)</f>
        <v>596942377.13999999</v>
      </c>
      <c r="L191"/>
      <c r="M191" s="1026">
        <f>ROUND(SUM(M104:M190),2)</f>
        <v>1391257624.8900001</v>
      </c>
      <c r="N191"/>
      <c r="O191" s="1026">
        <f>ROUND(SUM(O104:O190),2)</f>
        <v>1988200002.03</v>
      </c>
      <c r="P191" s="1638"/>
      <c r="Q191" s="1639"/>
    </row>
    <row r="192" spans="2:17" s="1628" customFormat="1" ht="16.5" thickTop="1">
      <c r="B192" s="1647"/>
      <c r="C192" s="1633"/>
      <c r="D192" s="1654"/>
      <c r="E192" s="1643"/>
      <c r="F192" s="1643"/>
      <c r="G192" s="1312"/>
      <c r="H192" s="1740"/>
      <c r="I192" s="1312"/>
      <c r="J192" s="1740"/>
      <c r="K192" s="1312"/>
      <c r="L192" s="1740"/>
      <c r="M192" s="825"/>
      <c r="N192" s="1740"/>
      <c r="O192" s="1312"/>
      <c r="P192" s="1638"/>
      <c r="Q192" s="1639"/>
    </row>
    <row r="193" spans="2:17" s="1628" customFormat="1" ht="15.75">
      <c r="B193" s="1647"/>
      <c r="C193" s="1630"/>
      <c r="D193" s="1640" t="s">
        <v>616</v>
      </c>
      <c r="E193" s="1632"/>
      <c r="F193" s="1632"/>
      <c r="G193" s="1312"/>
      <c r="H193" s="1740"/>
      <c r="I193" s="1312"/>
      <c r="J193" s="1740"/>
      <c r="K193" s="1312"/>
      <c r="L193" s="1740"/>
      <c r="M193" s="826"/>
      <c r="N193" s="1293"/>
      <c r="O193" s="1312"/>
      <c r="P193" s="1638"/>
      <c r="Q193" s="1639"/>
    </row>
    <row r="194" spans="2:17" s="1628" customFormat="1" ht="15.75">
      <c r="B194" s="1655" t="s">
        <v>617</v>
      </c>
      <c r="C194" s="2088"/>
      <c r="D194" s="1642" t="s">
        <v>618</v>
      </c>
      <c r="E194" s="1730"/>
      <c r="F194" s="1730"/>
      <c r="G194" s="2089">
        <v>74126387.650000006</v>
      </c>
      <c r="H194" s="825"/>
      <c r="I194" s="2089">
        <v>71239163.090000004</v>
      </c>
      <c r="J194" s="825"/>
      <c r="K194" s="2089">
        <v>64197165.82</v>
      </c>
      <c r="L194" s="825"/>
      <c r="M194" s="825">
        <v>-56252359.640000001</v>
      </c>
      <c r="N194" s="825"/>
      <c r="O194" s="2089">
        <v>7944806.1799999997</v>
      </c>
      <c r="P194" s="1638"/>
      <c r="Q194" s="1639"/>
    </row>
    <row r="195" spans="2:17" s="1628" customFormat="1" ht="15.75">
      <c r="B195" s="1655" t="s">
        <v>619</v>
      </c>
      <c r="C195" s="2088"/>
      <c r="D195" s="1642" t="s">
        <v>620</v>
      </c>
      <c r="E195" s="1730"/>
      <c r="F195" s="1730"/>
      <c r="G195" s="2089">
        <v>956755398.53999996</v>
      </c>
      <c r="H195" s="825"/>
      <c r="I195" s="2089">
        <v>301697483.33000004</v>
      </c>
      <c r="J195" s="825"/>
      <c r="K195" s="2089">
        <v>178112116.81999999</v>
      </c>
      <c r="L195" s="825"/>
      <c r="M195" s="825">
        <v>121089478.13</v>
      </c>
      <c r="N195" s="825"/>
      <c r="O195" s="2089">
        <v>299201594.95000005</v>
      </c>
      <c r="P195" s="1638"/>
      <c r="Q195" s="1639"/>
    </row>
    <row r="196" spans="2:17" s="1628" customFormat="1" ht="15.75">
      <c r="B196" s="1655" t="s">
        <v>621</v>
      </c>
      <c r="C196" s="2088"/>
      <c r="D196" s="1635" t="s">
        <v>622</v>
      </c>
      <c r="E196" s="1730"/>
      <c r="F196" s="1730"/>
      <c r="G196" s="2089">
        <v>86611041.650000006</v>
      </c>
      <c r="H196" s="825"/>
      <c r="I196" s="2089">
        <v>58379460.93</v>
      </c>
      <c r="J196" s="825"/>
      <c r="K196" s="2089">
        <v>93007454.620000005</v>
      </c>
      <c r="L196" s="825"/>
      <c r="M196" s="825">
        <v>22822870.760000002</v>
      </c>
      <c r="N196" s="825"/>
      <c r="O196" s="2089">
        <v>115830325.38000001</v>
      </c>
      <c r="P196" s="1638"/>
      <c r="Q196" s="1639"/>
    </row>
    <row r="197" spans="2:17" s="1628" customFormat="1" ht="15.75">
      <c r="B197" s="1655" t="s">
        <v>623</v>
      </c>
      <c r="C197" s="1635"/>
      <c r="D197" s="1642" t="s">
        <v>624</v>
      </c>
      <c r="E197" s="1730"/>
      <c r="F197" s="1730"/>
      <c r="G197" s="2089">
        <v>499543614.12000024</v>
      </c>
      <c r="H197" s="825"/>
      <c r="I197" s="2089">
        <v>471395484.98000008</v>
      </c>
      <c r="J197" s="825"/>
      <c r="K197" s="2089">
        <v>468435128.69000018</v>
      </c>
      <c r="L197" s="825"/>
      <c r="M197" s="825">
        <v>-15377666.67</v>
      </c>
      <c r="N197" s="825"/>
      <c r="O197" s="2089">
        <v>453057462.02000016</v>
      </c>
      <c r="P197" s="1638"/>
      <c r="Q197" s="1639"/>
    </row>
    <row r="198" spans="2:17" s="1628" customFormat="1" ht="15.75">
      <c r="B198" s="1586">
        <v>31354</v>
      </c>
      <c r="C198" s="1731"/>
      <c r="D198" s="1635" t="s">
        <v>625</v>
      </c>
      <c r="E198" s="1730"/>
      <c r="F198" s="1730"/>
      <c r="G198" s="825">
        <v>362239376.48000002</v>
      </c>
      <c r="I198" s="825">
        <v>357566620.70999998</v>
      </c>
      <c r="K198" s="825">
        <v>422695064.07999998</v>
      </c>
      <c r="L198" s="825"/>
      <c r="M198" s="825">
        <v>-9284398.7799999993</v>
      </c>
      <c r="N198" s="825"/>
      <c r="O198" s="825">
        <v>413410665.30000001</v>
      </c>
      <c r="P198" s="1644"/>
      <c r="Q198" s="1639"/>
    </row>
    <row r="199" spans="2:17" s="1628" customFormat="1" ht="15.75">
      <c r="B199" s="1732" t="s">
        <v>626</v>
      </c>
      <c r="C199" s="1643"/>
      <c r="D199" s="1642" t="s">
        <v>627</v>
      </c>
      <c r="E199" s="1730"/>
      <c r="F199" s="1730"/>
      <c r="G199" s="2060">
        <v>127878834.50000006</v>
      </c>
      <c r="H199" s="825"/>
      <c r="I199" s="2060">
        <v>134923472.41000003</v>
      </c>
      <c r="J199" s="825"/>
      <c r="K199" s="2060">
        <v>140805763.50000006</v>
      </c>
      <c r="L199" s="825"/>
      <c r="M199" s="825">
        <v>2956568.38</v>
      </c>
      <c r="N199" s="825"/>
      <c r="O199" s="2060">
        <v>143762331.88000005</v>
      </c>
      <c r="P199" s="1648"/>
      <c r="Q199" s="1639" t="s">
        <v>14</v>
      </c>
    </row>
    <row r="200" spans="2:17" s="1628" customFormat="1" ht="15.75">
      <c r="B200" s="1653" t="s">
        <v>820</v>
      </c>
      <c r="C200" s="1643"/>
      <c r="D200" s="1642" t="s">
        <v>821</v>
      </c>
      <c r="E200" s="1655"/>
      <c r="F200" s="1655"/>
      <c r="G200" s="2060">
        <v>41500410.060000002</v>
      </c>
      <c r="H200" s="825"/>
      <c r="I200" s="2060">
        <v>36821877.310000002</v>
      </c>
      <c r="J200" s="825"/>
      <c r="K200" s="2060">
        <v>45862854.780000001</v>
      </c>
      <c r="L200" s="825"/>
      <c r="M200" s="825">
        <v>-6577608.5700000003</v>
      </c>
      <c r="N200" s="825"/>
      <c r="O200" s="2060">
        <v>39285246.210000001</v>
      </c>
      <c r="P200" s="1655"/>
      <c r="Q200" s="1639"/>
    </row>
    <row r="201" spans="2:17" s="1628" customFormat="1" ht="15.75">
      <c r="B201" s="1634">
        <v>25950</v>
      </c>
      <c r="C201" s="1643"/>
      <c r="D201" s="1642" t="s">
        <v>628</v>
      </c>
      <c r="E201" s="1656"/>
      <c r="F201" s="1656"/>
      <c r="G201" s="825">
        <v>506429.5</v>
      </c>
      <c r="I201" s="825">
        <v>494831.5</v>
      </c>
      <c r="K201" s="825">
        <v>473970.8</v>
      </c>
      <c r="L201" s="825"/>
      <c r="M201" s="825">
        <v>34792.239999999998</v>
      </c>
      <c r="N201" s="825"/>
      <c r="O201" s="825">
        <v>508763.04</v>
      </c>
      <c r="P201" s="1655"/>
      <c r="Q201" s="1639"/>
    </row>
    <row r="202" spans="2:17" s="1628" customFormat="1" ht="15.75">
      <c r="B202" s="1653" t="s">
        <v>1097</v>
      </c>
      <c r="C202" s="1643"/>
      <c r="D202" s="1635" t="s">
        <v>822</v>
      </c>
      <c r="E202" s="1655"/>
      <c r="F202" s="1655"/>
      <c r="G202" s="1312">
        <v>2765623.33</v>
      </c>
      <c r="H202" s="825"/>
      <c r="I202" s="1312">
        <v>15283585.189999999</v>
      </c>
      <c r="J202" s="825"/>
      <c r="K202" s="1312">
        <v>3276530.48</v>
      </c>
      <c r="L202" s="825"/>
      <c r="M202" s="825">
        <v>9463841.0099999998</v>
      </c>
      <c r="N202" s="825"/>
      <c r="O202" s="1312">
        <v>12740371.49</v>
      </c>
      <c r="P202" s="1655"/>
      <c r="Q202" s="1639"/>
    </row>
    <row r="203" spans="2:17" s="1628" customFormat="1" ht="16.5" thickBot="1">
      <c r="B203" s="1648"/>
      <c r="C203" s="1630"/>
      <c r="D203" s="1640" t="s">
        <v>629</v>
      </c>
      <c r="E203" s="1641"/>
      <c r="F203" s="1641"/>
      <c r="G203" s="1026">
        <f>ROUND(SUM(G194:G202),2)</f>
        <v>2151927115.8299999</v>
      </c>
      <c r="H203" s="1293"/>
      <c r="I203" s="1026">
        <f>ROUND(SUM(I194:I202),2)</f>
        <v>1447801979.45</v>
      </c>
      <c r="J203" s="1293"/>
      <c r="K203" s="1026">
        <f>ROUND(SUM(K194:K202),2)</f>
        <v>1416866049.5899999</v>
      </c>
      <c r="L203"/>
      <c r="M203" s="827">
        <f>ROUND(SUM(M194:M202),2)</f>
        <v>68875516.859999999</v>
      </c>
      <c r="N203"/>
      <c r="O203" s="1026">
        <f>ROUND(SUM(O194:O202),2)</f>
        <v>1485741566.45</v>
      </c>
      <c r="P203" s="1644" t="s">
        <v>111</v>
      </c>
      <c r="Q203" s="1639"/>
    </row>
    <row r="204" spans="2:17" s="1628" customFormat="1" ht="16.5" thickTop="1">
      <c r="B204" s="1645"/>
      <c r="C204" s="1630"/>
      <c r="D204" s="1644"/>
      <c r="E204" s="1641"/>
      <c r="F204" s="1641"/>
      <c r="G204" s="1657"/>
      <c r="H204" s="1293"/>
      <c r="I204" s="1657"/>
      <c r="J204" s="1293"/>
      <c r="K204" s="1657"/>
      <c r="L204" s="1293"/>
      <c r="M204" s="826"/>
      <c r="N204" s="1293"/>
      <c r="O204" s="1657"/>
      <c r="P204" s="1732"/>
      <c r="Q204" s="1639"/>
    </row>
    <row r="205" spans="2:17" s="1628" customFormat="1" ht="15.75">
      <c r="B205" s="1647"/>
      <c r="C205" s="1630"/>
      <c r="D205" s="1631" t="s">
        <v>630</v>
      </c>
      <c r="E205" s="1641"/>
      <c r="F205" s="1641"/>
      <c r="G205" s="1312"/>
      <c r="H205" s="1740"/>
      <c r="I205" s="1312"/>
      <c r="J205" s="1740"/>
      <c r="K205" s="1312"/>
      <c r="L205" s="1740"/>
      <c r="M205" s="826"/>
      <c r="N205" s="1293"/>
      <c r="O205" s="1312"/>
      <c r="P205" s="1653"/>
      <c r="Q205" s="1639"/>
    </row>
    <row r="206" spans="2:17" s="1628" customFormat="1" ht="15.75">
      <c r="B206" s="1634">
        <v>60201</v>
      </c>
      <c r="C206" s="1630"/>
      <c r="D206" s="1642" t="s">
        <v>631</v>
      </c>
      <c r="E206" s="1641"/>
      <c r="F206" s="1641"/>
      <c r="G206" s="825">
        <v>221559913.72</v>
      </c>
      <c r="H206" s="825"/>
      <c r="I206" s="825">
        <v>0</v>
      </c>
      <c r="J206" s="825"/>
      <c r="K206" s="825">
        <v>174648662</v>
      </c>
      <c r="L206" s="825"/>
      <c r="M206" s="825">
        <f>ROUND(SUM(O206)-SUM(K206),2)</f>
        <v>-12459469.689999999</v>
      </c>
      <c r="N206" s="825"/>
      <c r="O206" s="825">
        <v>162189192.31</v>
      </c>
      <c r="P206" s="1653"/>
      <c r="Q206" s="1639"/>
    </row>
    <row r="207" spans="2:17" s="1628" customFormat="1" ht="15.75">
      <c r="B207" s="1634">
        <v>60901</v>
      </c>
      <c r="C207" s="1643"/>
      <c r="D207" s="1635" t="s">
        <v>843</v>
      </c>
      <c r="E207" s="1644"/>
      <c r="F207" s="1644"/>
      <c r="G207" s="825">
        <v>0</v>
      </c>
      <c r="H207" s="825"/>
      <c r="I207" s="825">
        <v>0</v>
      </c>
      <c r="J207" s="825"/>
      <c r="K207" s="825">
        <v>0</v>
      </c>
      <c r="L207" s="825"/>
      <c r="M207" s="825">
        <f>ROUND(SUM(O207)-SUM(K207),2)</f>
        <v>0</v>
      </c>
      <c r="N207" s="825"/>
      <c r="O207" s="825">
        <v>0</v>
      </c>
      <c r="P207" s="1653"/>
      <c r="Q207" s="1639" t="s">
        <v>14</v>
      </c>
    </row>
    <row r="208" spans="2:17" s="1628" customFormat="1" ht="16.5" thickBot="1">
      <c r="B208" s="1653"/>
      <c r="C208" s="1630"/>
      <c r="D208" s="1631" t="s">
        <v>632</v>
      </c>
      <c r="E208" s="1641"/>
      <c r="F208" s="1641"/>
      <c r="G208" s="1029">
        <f>ROUND(SUM(G206:G207),2)</f>
        <v>221559913.72</v>
      </c>
      <c r="H208" s="1293"/>
      <c r="I208" s="1029">
        <f>ROUND(SUM(I206:I207),2)</f>
        <v>0</v>
      </c>
      <c r="J208" s="1293"/>
      <c r="K208" s="1029">
        <f>ROUND(SUM(K206:K207),2)</f>
        <v>174648662</v>
      </c>
      <c r="L208" s="1293"/>
      <c r="M208" s="827">
        <f>ROUND(SUM(M206:M207),2)</f>
        <v>-12459469.689999999</v>
      </c>
      <c r="N208" s="1293"/>
      <c r="O208" s="1029">
        <f>ROUND(SUM(O206:O207),2)</f>
        <v>162189192.31</v>
      </c>
      <c r="P208" s="1638"/>
      <c r="Q208" s="1639"/>
    </row>
    <row r="209" spans="2:17" s="1628" customFormat="1" ht="16.5" thickTop="1">
      <c r="B209" s="1653"/>
      <c r="C209" s="1658"/>
      <c r="D209" s="1658"/>
      <c r="E209" s="1659"/>
      <c r="F209" s="1659"/>
      <c r="G209" s="1312"/>
      <c r="H209" s="1740"/>
      <c r="I209" s="1312"/>
      <c r="J209" s="1740"/>
      <c r="K209" s="1312"/>
      <c r="L209" s="1740"/>
      <c r="M209" s="825"/>
      <c r="N209" s="1740"/>
      <c r="O209" s="1312"/>
      <c r="P209" s="1638"/>
      <c r="Q209" s="1639"/>
    </row>
    <row r="210" spans="2:17" s="1628" customFormat="1" ht="15.75">
      <c r="B210" s="1653"/>
      <c r="C210" s="1646"/>
      <c r="D210" s="1631" t="s">
        <v>633</v>
      </c>
      <c r="E210" s="1650"/>
      <c r="F210" s="1650"/>
      <c r="G210" s="1312"/>
      <c r="H210" s="1740"/>
      <c r="I210" s="1312"/>
      <c r="J210" s="1740"/>
      <c r="K210" s="1312"/>
      <c r="L210" s="1740"/>
      <c r="M210" s="828"/>
      <c r="N210" s="2134"/>
      <c r="O210" s="1312"/>
      <c r="P210" s="1732"/>
      <c r="Q210" s="1639"/>
    </row>
    <row r="211" spans="2:17" s="1628" customFormat="1" ht="15.75">
      <c r="B211" s="1634">
        <v>50318</v>
      </c>
      <c r="C211" s="1633"/>
      <c r="D211" s="1635" t="s">
        <v>634</v>
      </c>
      <c r="E211" s="1633"/>
      <c r="F211" s="1633"/>
      <c r="G211" s="825">
        <v>612431.84</v>
      </c>
      <c r="H211" s="825"/>
      <c r="I211" s="825">
        <v>582966.84</v>
      </c>
      <c r="J211" s="825"/>
      <c r="K211" s="825">
        <v>617566.36</v>
      </c>
      <c r="L211" s="825"/>
      <c r="M211" s="825">
        <f>ROUND(SUM(O211)-SUM(K211),2)</f>
        <v>74575.33</v>
      </c>
      <c r="N211" s="825"/>
      <c r="O211" s="825">
        <v>692141.69</v>
      </c>
      <c r="P211" s="1653"/>
      <c r="Q211" s="1639"/>
    </row>
    <row r="212" spans="2:17" s="1628" customFormat="1" ht="15.75">
      <c r="B212" s="1634">
        <v>50327</v>
      </c>
      <c r="C212" s="1633"/>
      <c r="D212" s="1635" t="s">
        <v>1108</v>
      </c>
      <c r="E212" s="1633"/>
      <c r="F212" s="1633"/>
      <c r="G212" s="825">
        <v>358975.33</v>
      </c>
      <c r="H212" s="825"/>
      <c r="I212" s="825">
        <v>319457.18</v>
      </c>
      <c r="J212" s="825"/>
      <c r="K212" s="825">
        <v>349013.76000000001</v>
      </c>
      <c r="L212" s="825"/>
      <c r="M212" s="825">
        <f>ROUND(SUM(O212)-SUM(K212),2)</f>
        <v>38391.769999999997</v>
      </c>
      <c r="N212" s="825"/>
      <c r="O212" s="825">
        <v>387405.53</v>
      </c>
      <c r="P212" s="1653"/>
      <c r="Q212" s="1639"/>
    </row>
    <row r="213" spans="2:17" s="1628" customFormat="1" ht="15.75">
      <c r="B213" s="1634">
        <v>50651</v>
      </c>
      <c r="C213" s="1633"/>
      <c r="D213" s="1635" t="s">
        <v>1460</v>
      </c>
      <c r="E213" s="1633"/>
      <c r="F213" s="1633"/>
      <c r="G213" s="825">
        <v>0</v>
      </c>
      <c r="H213" s="825"/>
      <c r="I213" s="825">
        <v>0</v>
      </c>
      <c r="J213" s="825"/>
      <c r="K213" s="825">
        <v>0</v>
      </c>
      <c r="L213" s="825"/>
      <c r="M213" s="825">
        <f>ROUND(SUM(O213)-SUM(K213),2)</f>
        <v>0</v>
      </c>
      <c r="N213" s="825"/>
      <c r="O213" s="825">
        <v>0</v>
      </c>
      <c r="P213" s="1653"/>
      <c r="Q213" s="1639"/>
    </row>
    <row r="214" spans="2:17" s="1628" customFormat="1" ht="16.5" thickBot="1">
      <c r="B214" s="1648"/>
      <c r="C214" s="1630"/>
      <c r="D214" s="1640" t="s">
        <v>635</v>
      </c>
      <c r="E214" s="1632"/>
      <c r="F214" s="1632"/>
      <c r="G214" s="1953">
        <f>ROUND(SUM(G211:G213),2)</f>
        <v>971407.17</v>
      </c>
      <c r="H214" s="1293"/>
      <c r="I214" s="1953">
        <f>ROUND(SUM(I211:I213),2)</f>
        <v>902424.02</v>
      </c>
      <c r="J214" s="1293"/>
      <c r="K214" s="1953">
        <f>ROUND(SUM(K211:K213),2)</f>
        <v>966580.12</v>
      </c>
      <c r="L214" s="1293"/>
      <c r="M214" s="2135">
        <f>ROUND(SUM(M211:M213),2)</f>
        <v>112967.1</v>
      </c>
      <c r="N214" s="1293"/>
      <c r="O214" s="1953">
        <f>ROUND(SUM(O211:O213),2)</f>
        <v>1079547.22</v>
      </c>
      <c r="P214" s="1648"/>
      <c r="Q214" s="1639"/>
    </row>
    <row r="215" spans="2:17" s="1628" customFormat="1" ht="16.5" thickTop="1">
      <c r="B215" s="1633"/>
      <c r="C215" s="1633"/>
      <c r="D215" s="1660"/>
      <c r="E215" s="1633"/>
      <c r="F215" s="1633"/>
      <c r="G215" s="1312"/>
      <c r="H215" s="973"/>
      <c r="I215" s="1312"/>
      <c r="J215" s="973"/>
      <c r="K215" s="1312"/>
      <c r="L215" s="973"/>
      <c r="M215" s="973"/>
      <c r="N215" s="973"/>
      <c r="O215" s="1312"/>
      <c r="P215" s="1648"/>
      <c r="Q215" s="1639"/>
    </row>
    <row r="216" spans="2:17" s="1628" customFormat="1" ht="15.75">
      <c r="B216" s="1629"/>
      <c r="C216" s="1630"/>
      <c r="D216" s="1631" t="s">
        <v>217</v>
      </c>
      <c r="E216" s="1632"/>
      <c r="F216" s="1632"/>
      <c r="G216" s="1952"/>
      <c r="H216" s="1740"/>
      <c r="I216" s="1952"/>
      <c r="J216" s="1740"/>
      <c r="K216" s="1952"/>
      <c r="L216" s="1740"/>
      <c r="M216" s="1293"/>
      <c r="N216" s="1293"/>
      <c r="O216" s="1952"/>
      <c r="P216" s="1633"/>
      <c r="Q216" s="1639"/>
    </row>
    <row r="217" spans="2:17" s="1628" customFormat="1" ht="15.75">
      <c r="B217" s="1634">
        <v>55001</v>
      </c>
      <c r="C217" s="1633"/>
      <c r="D217" s="1635" t="s">
        <v>1373</v>
      </c>
      <c r="E217" s="1633"/>
      <c r="F217" s="1633"/>
      <c r="G217" s="825">
        <v>0</v>
      </c>
      <c r="H217" s="825"/>
      <c r="I217" s="825">
        <v>0</v>
      </c>
      <c r="J217" s="825"/>
      <c r="K217" s="825">
        <v>0</v>
      </c>
      <c r="L217" s="825"/>
      <c r="M217" s="825">
        <f t="shared" ref="M217:M260" si="23">ROUND(SUM(O217)-SUM(K217),2)</f>
        <v>0</v>
      </c>
      <c r="N217" s="825"/>
      <c r="O217" s="825">
        <v>0</v>
      </c>
      <c r="P217" s="1638"/>
      <c r="Q217" s="1639"/>
    </row>
    <row r="218" spans="2:17" s="1628" customFormat="1" ht="15.75">
      <c r="B218" s="1634">
        <v>55002</v>
      </c>
      <c r="C218" s="1633"/>
      <c r="D218" s="1635" t="s">
        <v>1374</v>
      </c>
      <c r="E218" s="1633"/>
      <c r="F218" s="1633"/>
      <c r="G218" s="825">
        <v>0</v>
      </c>
      <c r="H218" s="825"/>
      <c r="I218" s="825">
        <v>0</v>
      </c>
      <c r="J218" s="825"/>
      <c r="K218" s="825">
        <v>0</v>
      </c>
      <c r="L218" s="825"/>
      <c r="M218" s="825">
        <f>ROUND(SUM(O218)-SUM(K218),2)</f>
        <v>0</v>
      </c>
      <c r="N218" s="825"/>
      <c r="O218" s="825">
        <v>0</v>
      </c>
      <c r="P218" s="1638"/>
      <c r="Q218" s="1639"/>
    </row>
    <row r="219" spans="2:17" s="1628" customFormat="1" ht="15.75">
      <c r="B219" s="1634">
        <v>55003</v>
      </c>
      <c r="C219" s="1643"/>
      <c r="D219" s="1635" t="s">
        <v>636</v>
      </c>
      <c r="E219" s="1644"/>
      <c r="F219" s="1644"/>
      <c r="G219" s="825">
        <v>324665.09000000003</v>
      </c>
      <c r="H219" s="825"/>
      <c r="I219" s="825">
        <v>316100.25</v>
      </c>
      <c r="J219" s="825"/>
      <c r="K219" s="825">
        <v>342978.61</v>
      </c>
      <c r="L219" s="825"/>
      <c r="M219" s="825">
        <f t="shared" si="23"/>
        <v>-9479.69</v>
      </c>
      <c r="N219" s="825"/>
      <c r="O219" s="825">
        <v>333498.92</v>
      </c>
      <c r="P219" s="1638"/>
      <c r="Q219" s="1639"/>
    </row>
    <row r="220" spans="2:17" s="1628" customFormat="1" ht="15.75">
      <c r="B220" s="1634">
        <v>55004</v>
      </c>
      <c r="C220" s="1643"/>
      <c r="D220" s="1642" t="s">
        <v>637</v>
      </c>
      <c r="E220" s="1644"/>
      <c r="F220" s="1644"/>
      <c r="G220" s="825">
        <v>13520.37</v>
      </c>
      <c r="H220" s="825"/>
      <c r="I220" s="825">
        <v>139146.31</v>
      </c>
      <c r="J220" s="825"/>
      <c r="K220" s="825">
        <v>0</v>
      </c>
      <c r="L220" s="825"/>
      <c r="M220" s="825">
        <f t="shared" si="23"/>
        <v>33917.370000000003</v>
      </c>
      <c r="N220" s="825"/>
      <c r="O220" s="825">
        <v>33917.370000000003</v>
      </c>
      <c r="P220" s="1638"/>
      <c r="Q220" s="1639"/>
    </row>
    <row r="221" spans="2:17" s="1628" customFormat="1" ht="15.75">
      <c r="B221" s="1634">
        <v>55005</v>
      </c>
      <c r="C221" s="1643"/>
      <c r="D221" s="1642" t="s">
        <v>1375</v>
      </c>
      <c r="E221" s="1644"/>
      <c r="F221" s="1644"/>
      <c r="G221" s="825">
        <v>0</v>
      </c>
      <c r="H221" s="825"/>
      <c r="I221" s="825">
        <v>0</v>
      </c>
      <c r="J221" s="825"/>
      <c r="K221" s="825">
        <v>0</v>
      </c>
      <c r="L221" s="825"/>
      <c r="M221" s="825">
        <f>ROUND(SUM(O221)-SUM(K221),2)</f>
        <v>0</v>
      </c>
      <c r="N221" s="825"/>
      <c r="O221" s="825">
        <v>0</v>
      </c>
      <c r="P221" s="1638"/>
      <c r="Q221" s="1639"/>
    </row>
    <row r="222" spans="2:17" s="1628" customFormat="1" ht="15.75">
      <c r="B222" s="1634">
        <v>55006</v>
      </c>
      <c r="C222" s="1643"/>
      <c r="D222" s="1635" t="s">
        <v>638</v>
      </c>
      <c r="E222" s="1644"/>
      <c r="F222" s="1644"/>
      <c r="G222" s="825">
        <v>35087.129999999997</v>
      </c>
      <c r="H222" s="825"/>
      <c r="I222" s="825">
        <v>37721.9</v>
      </c>
      <c r="J222" s="825"/>
      <c r="K222" s="825">
        <v>32700.5</v>
      </c>
      <c r="L222" s="825"/>
      <c r="M222" s="825">
        <f t="shared" si="23"/>
        <v>12392.81</v>
      </c>
      <c r="N222" s="825"/>
      <c r="O222" s="825">
        <v>45093.31</v>
      </c>
      <c r="P222" s="1638"/>
      <c r="Q222" s="1639"/>
    </row>
    <row r="223" spans="2:17" s="1628" customFormat="1" ht="15.75">
      <c r="B223" s="1634">
        <v>55007</v>
      </c>
      <c r="C223" s="1651"/>
      <c r="D223" s="1635" t="s">
        <v>639</v>
      </c>
      <c r="E223" s="1652"/>
      <c r="F223" s="1652"/>
      <c r="G223" s="825">
        <v>1810527.43</v>
      </c>
      <c r="H223" s="825"/>
      <c r="I223" s="825">
        <v>1636828.85</v>
      </c>
      <c r="J223" s="825"/>
      <c r="K223" s="825">
        <v>1519268.05</v>
      </c>
      <c r="L223" s="825"/>
      <c r="M223" s="825">
        <f t="shared" si="23"/>
        <v>-48999.82</v>
      </c>
      <c r="N223" s="825"/>
      <c r="O223" s="825">
        <v>1470268.23</v>
      </c>
      <c r="P223" s="1638"/>
      <c r="Q223" s="1639"/>
    </row>
    <row r="224" spans="2:17" s="1628" customFormat="1" ht="15.75">
      <c r="B224" s="1634">
        <v>55008</v>
      </c>
      <c r="C224" s="1643"/>
      <c r="D224" s="1642" t="s">
        <v>640</v>
      </c>
      <c r="E224" s="1644"/>
      <c r="F224" s="1644"/>
      <c r="G224" s="825">
        <v>5058131.78</v>
      </c>
      <c r="H224" s="825"/>
      <c r="I224" s="825">
        <v>8255234.8499999996</v>
      </c>
      <c r="J224" s="825"/>
      <c r="K224" s="825">
        <v>8871276.3599999994</v>
      </c>
      <c r="L224" s="825"/>
      <c r="M224" s="825">
        <f t="shared" si="23"/>
        <v>-3804527.15</v>
      </c>
      <c r="N224" s="825"/>
      <c r="O224" s="825">
        <v>5066749.21</v>
      </c>
      <c r="P224" s="1648"/>
      <c r="Q224" s="1639"/>
    </row>
    <row r="225" spans="2:17" s="1628" customFormat="1" ht="15.75">
      <c r="B225" s="1634">
        <v>55009</v>
      </c>
      <c r="C225" s="1643"/>
      <c r="D225" s="1642" t="s">
        <v>1376</v>
      </c>
      <c r="E225" s="1644"/>
      <c r="F225" s="1644"/>
      <c r="G225" s="825">
        <v>0</v>
      </c>
      <c r="H225" s="825"/>
      <c r="I225" s="825">
        <v>0</v>
      </c>
      <c r="J225" s="825"/>
      <c r="K225" s="825">
        <v>0</v>
      </c>
      <c r="L225" s="825"/>
      <c r="M225" s="825">
        <f>ROUND(SUM(O225)-SUM(K225),2)</f>
        <v>0</v>
      </c>
      <c r="N225" s="825"/>
      <c r="O225" s="825">
        <v>0</v>
      </c>
      <c r="P225" s="1648"/>
      <c r="Q225" s="1639"/>
    </row>
    <row r="226" spans="2:17" s="1628" customFormat="1" ht="15.75">
      <c r="B226" s="1586">
        <v>55010</v>
      </c>
      <c r="C226" s="1643"/>
      <c r="D226" s="1635" t="s">
        <v>844</v>
      </c>
      <c r="E226" s="1644"/>
      <c r="F226" s="1644"/>
      <c r="G226" s="825">
        <v>26239248.73</v>
      </c>
      <c r="H226" s="825"/>
      <c r="I226" s="825">
        <v>25344694.18</v>
      </c>
      <c r="J226" s="825"/>
      <c r="K226" s="825">
        <v>24685346.02</v>
      </c>
      <c r="L226" s="825"/>
      <c r="M226" s="825">
        <f t="shared" si="23"/>
        <v>-5470002.21</v>
      </c>
      <c r="N226" s="825"/>
      <c r="O226" s="825">
        <v>19215343.809999999</v>
      </c>
      <c r="P226" s="1633"/>
      <c r="Q226" s="1639"/>
    </row>
    <row r="227" spans="2:17" s="1628" customFormat="1" ht="15.75">
      <c r="B227" s="1634">
        <v>55011</v>
      </c>
      <c r="C227" s="1651"/>
      <c r="D227" s="1635" t="s">
        <v>641</v>
      </c>
      <c r="E227" s="1652"/>
      <c r="F227" s="1652"/>
      <c r="G227" s="825">
        <v>0</v>
      </c>
      <c r="H227" s="825"/>
      <c r="I227" s="825">
        <v>0</v>
      </c>
      <c r="J227" s="825"/>
      <c r="K227" s="825">
        <v>6360974.6799999997</v>
      </c>
      <c r="L227" s="825"/>
      <c r="M227" s="825">
        <f t="shared" si="23"/>
        <v>-194019.49</v>
      </c>
      <c r="N227" s="825"/>
      <c r="O227" s="825">
        <v>6166955.1900000004</v>
      </c>
      <c r="P227" s="1638"/>
      <c r="Q227" s="1639"/>
    </row>
    <row r="228" spans="2:17" s="1628" customFormat="1" ht="15.75">
      <c r="B228" s="1634">
        <v>55012</v>
      </c>
      <c r="C228" s="1643"/>
      <c r="D228" s="1642" t="s">
        <v>642</v>
      </c>
      <c r="E228" s="1644"/>
      <c r="F228" s="1644"/>
      <c r="G228" s="825">
        <v>187038.98</v>
      </c>
      <c r="H228" s="825"/>
      <c r="I228" s="825">
        <v>171568.98</v>
      </c>
      <c r="J228" s="825"/>
      <c r="K228" s="825">
        <v>158984.98000000001</v>
      </c>
      <c r="L228" s="825"/>
      <c r="M228" s="825">
        <f t="shared" si="23"/>
        <v>-14508</v>
      </c>
      <c r="N228" s="825"/>
      <c r="O228" s="825">
        <v>144476.98000000001</v>
      </c>
      <c r="P228" s="1638"/>
      <c r="Q228" s="1639"/>
    </row>
    <row r="229" spans="2:17" s="1628" customFormat="1" ht="15.75">
      <c r="B229" s="1634">
        <v>55013</v>
      </c>
      <c r="C229" s="1643"/>
      <c r="D229" s="1642" t="s">
        <v>1377</v>
      </c>
      <c r="E229" s="1644"/>
      <c r="F229" s="1644"/>
      <c r="G229" s="825">
        <v>0</v>
      </c>
      <c r="H229" s="825"/>
      <c r="I229" s="825">
        <v>0</v>
      </c>
      <c r="J229" s="825"/>
      <c r="K229" s="825">
        <v>0</v>
      </c>
      <c r="L229" s="825"/>
      <c r="M229" s="825">
        <f>ROUND(SUM(O229)-SUM(K229),2)</f>
        <v>0</v>
      </c>
      <c r="N229" s="825"/>
      <c r="O229" s="825">
        <v>0</v>
      </c>
      <c r="P229" s="1638"/>
      <c r="Q229" s="1639"/>
    </row>
    <row r="230" spans="2:17" s="1628" customFormat="1" ht="15.75">
      <c r="B230" s="1634">
        <v>55014</v>
      </c>
      <c r="C230" s="1643"/>
      <c r="D230" s="1642" t="s">
        <v>1378</v>
      </c>
      <c r="E230" s="1644"/>
      <c r="F230" s="1644"/>
      <c r="G230" s="825">
        <v>0</v>
      </c>
      <c r="H230" s="825"/>
      <c r="I230" s="825">
        <v>0</v>
      </c>
      <c r="J230" s="825"/>
      <c r="K230" s="825">
        <v>0</v>
      </c>
      <c r="L230" s="825"/>
      <c r="M230" s="825">
        <f>ROUND(SUM(O230)-SUM(K230),2)</f>
        <v>0</v>
      </c>
      <c r="N230" s="825"/>
      <c r="O230" s="825">
        <v>0</v>
      </c>
      <c r="P230" s="1638"/>
      <c r="Q230" s="1639"/>
    </row>
    <row r="231" spans="2:17" s="1628" customFormat="1" ht="15.75">
      <c r="B231" s="1634">
        <v>55015</v>
      </c>
      <c r="C231" s="1643"/>
      <c r="D231" s="1642" t="s">
        <v>1379</v>
      </c>
      <c r="E231" s="1644"/>
      <c r="F231" s="1644"/>
      <c r="G231" s="825">
        <v>0</v>
      </c>
      <c r="H231" s="825"/>
      <c r="I231" s="825">
        <v>0</v>
      </c>
      <c r="J231" s="825"/>
      <c r="K231" s="825">
        <v>0</v>
      </c>
      <c r="L231" s="825"/>
      <c r="M231" s="825">
        <f>ROUND(SUM(O231)-SUM(K231),2)</f>
        <v>0</v>
      </c>
      <c r="N231" s="825"/>
      <c r="O231" s="825">
        <v>0</v>
      </c>
      <c r="P231" s="1638"/>
      <c r="Q231" s="1639"/>
    </row>
    <row r="232" spans="2:17" s="1628" customFormat="1" ht="15.75">
      <c r="B232" s="1634">
        <v>55016</v>
      </c>
      <c r="C232" s="1643"/>
      <c r="D232" s="1635" t="s">
        <v>643</v>
      </c>
      <c r="E232" s="1644"/>
      <c r="F232" s="1644"/>
      <c r="G232" s="825">
        <v>738713.28</v>
      </c>
      <c r="H232" s="825"/>
      <c r="I232" s="825">
        <v>924613.91</v>
      </c>
      <c r="J232" s="825"/>
      <c r="K232" s="825">
        <v>433881.93</v>
      </c>
      <c r="L232" s="825"/>
      <c r="M232" s="825">
        <f t="shared" si="23"/>
        <v>85879.92</v>
      </c>
      <c r="N232" s="825"/>
      <c r="O232" s="825">
        <v>519761.85</v>
      </c>
      <c r="P232" s="1638"/>
      <c r="Q232" s="1639"/>
    </row>
    <row r="233" spans="2:17" s="1628" customFormat="1" ht="15.75">
      <c r="B233" s="1634">
        <v>55017</v>
      </c>
      <c r="C233" s="1643"/>
      <c r="D233" s="1635" t="s">
        <v>644</v>
      </c>
      <c r="E233" s="1644"/>
      <c r="F233" s="1644"/>
      <c r="G233" s="825">
        <v>253052.28</v>
      </c>
      <c r="H233" s="825"/>
      <c r="I233" s="825">
        <v>317846.62</v>
      </c>
      <c r="J233" s="825"/>
      <c r="K233" s="825">
        <v>240308.28</v>
      </c>
      <c r="L233" s="825"/>
      <c r="M233" s="825">
        <f t="shared" si="23"/>
        <v>316660.34000000003</v>
      </c>
      <c r="N233" s="825"/>
      <c r="O233" s="825">
        <v>556968.62</v>
      </c>
      <c r="P233" s="1638"/>
      <c r="Q233" s="1639"/>
    </row>
    <row r="234" spans="2:17" s="1628" customFormat="1" ht="15.75">
      <c r="B234" s="1634">
        <v>55018</v>
      </c>
      <c r="C234" s="1643"/>
      <c r="D234" s="1635" t="s">
        <v>1380</v>
      </c>
      <c r="E234" s="1644"/>
      <c r="F234" s="1644"/>
      <c r="G234" s="825">
        <v>0</v>
      </c>
      <c r="H234" s="825"/>
      <c r="I234" s="825">
        <v>0</v>
      </c>
      <c r="J234" s="825"/>
      <c r="K234" s="825">
        <v>0</v>
      </c>
      <c r="L234" s="825"/>
      <c r="M234" s="825">
        <f>ROUND(SUM(O234)-SUM(K234),2)</f>
        <v>0</v>
      </c>
      <c r="N234" s="825"/>
      <c r="O234" s="825">
        <v>0</v>
      </c>
      <c r="P234" s="1638"/>
      <c r="Q234" s="1639"/>
    </row>
    <row r="235" spans="2:17" s="1628" customFormat="1" ht="15.75">
      <c r="B235" s="1634">
        <v>55019</v>
      </c>
      <c r="C235" s="1643"/>
      <c r="D235" s="1635" t="s">
        <v>1381</v>
      </c>
      <c r="E235" s="1644"/>
      <c r="F235" s="1644"/>
      <c r="G235" s="825">
        <v>0</v>
      </c>
      <c r="H235" s="825"/>
      <c r="I235" s="825">
        <v>0</v>
      </c>
      <c r="J235" s="825"/>
      <c r="K235" s="825">
        <v>0</v>
      </c>
      <c r="L235" s="825"/>
      <c r="M235" s="825">
        <f>ROUND(SUM(O235)-SUM(K235),2)</f>
        <v>0</v>
      </c>
      <c r="N235" s="825"/>
      <c r="O235" s="825">
        <v>0</v>
      </c>
      <c r="P235" s="1638"/>
      <c r="Q235" s="1639"/>
    </row>
    <row r="236" spans="2:17" s="1628" customFormat="1" ht="15.75">
      <c r="B236" s="1634">
        <v>55020</v>
      </c>
      <c r="C236" s="1643"/>
      <c r="D236" s="1635" t="s">
        <v>645</v>
      </c>
      <c r="E236" s="1644"/>
      <c r="F236" s="1644"/>
      <c r="G236" s="825">
        <v>22994098.440000001</v>
      </c>
      <c r="H236" s="825"/>
      <c r="I236" s="825">
        <v>17768265.489999998</v>
      </c>
      <c r="J236" s="825"/>
      <c r="K236" s="825">
        <v>22920064.510000002</v>
      </c>
      <c r="L236" s="825"/>
      <c r="M236" s="825">
        <f t="shared" si="23"/>
        <v>2799132.9</v>
      </c>
      <c r="N236" s="825"/>
      <c r="O236" s="825">
        <v>25719197.41</v>
      </c>
      <c r="P236" s="1638"/>
      <c r="Q236" s="1639"/>
    </row>
    <row r="237" spans="2:17" s="1628" customFormat="1" ht="15.75">
      <c r="B237" s="1634">
        <v>55021</v>
      </c>
      <c r="C237" s="1643"/>
      <c r="D237" s="1635" t="s">
        <v>646</v>
      </c>
      <c r="E237" s="1644"/>
      <c r="F237" s="1644"/>
      <c r="G237" s="825">
        <v>8147122.1900000004</v>
      </c>
      <c r="H237" s="825"/>
      <c r="I237" s="825">
        <v>7921123.0700000003</v>
      </c>
      <c r="J237" s="825"/>
      <c r="K237" s="825">
        <v>8326053.8300000001</v>
      </c>
      <c r="L237" s="825"/>
      <c r="M237" s="825">
        <f t="shared" si="23"/>
        <v>518689.2</v>
      </c>
      <c r="N237" s="825"/>
      <c r="O237" s="825">
        <v>8844743.0299999993</v>
      </c>
      <c r="P237" s="1638"/>
      <c r="Q237" s="1639"/>
    </row>
    <row r="238" spans="2:17" s="1628" customFormat="1" ht="15.75">
      <c r="B238" s="1634">
        <v>55022</v>
      </c>
      <c r="C238" s="1643"/>
      <c r="D238" s="1642" t="s">
        <v>647</v>
      </c>
      <c r="E238" s="1644"/>
      <c r="F238" s="1644"/>
      <c r="G238" s="825">
        <v>7524980.3200000003</v>
      </c>
      <c r="H238" s="825"/>
      <c r="I238" s="825">
        <v>9781060.6199999992</v>
      </c>
      <c r="J238" s="825"/>
      <c r="K238" s="825">
        <v>13695469.369999999</v>
      </c>
      <c r="L238" s="825"/>
      <c r="M238" s="825">
        <f t="shared" si="23"/>
        <v>2251934.8199999998</v>
      </c>
      <c r="N238" s="825"/>
      <c r="O238" s="825">
        <v>15947404.189999999</v>
      </c>
      <c r="P238" s="1638"/>
      <c r="Q238" s="1639"/>
    </row>
    <row r="239" spans="2:17" s="1628" customFormat="1" ht="15.75">
      <c r="B239" s="1634">
        <v>55052</v>
      </c>
      <c r="C239" s="1643"/>
      <c r="D239" s="1642" t="s">
        <v>648</v>
      </c>
      <c r="E239" s="1644"/>
      <c r="F239" s="1644"/>
      <c r="G239" s="825">
        <v>530606.65</v>
      </c>
      <c r="H239" s="825"/>
      <c r="I239" s="825">
        <v>605010.84</v>
      </c>
      <c r="J239" s="825"/>
      <c r="K239" s="825">
        <v>804912.74</v>
      </c>
      <c r="L239" s="825"/>
      <c r="M239" s="825">
        <f t="shared" si="23"/>
        <v>67872.600000000006</v>
      </c>
      <c r="N239" s="825"/>
      <c r="O239" s="825">
        <v>872785.34</v>
      </c>
      <c r="P239" s="1638"/>
      <c r="Q239" s="1639"/>
    </row>
    <row r="240" spans="2:17" s="1628" customFormat="1" ht="15.75">
      <c r="B240" s="1634">
        <v>55053</v>
      </c>
      <c r="C240" s="1643"/>
      <c r="D240" s="1635" t="s">
        <v>649</v>
      </c>
      <c r="E240" s="1644"/>
      <c r="F240" s="1644"/>
      <c r="G240" s="825">
        <v>0</v>
      </c>
      <c r="H240" s="825"/>
      <c r="I240" s="825">
        <v>0</v>
      </c>
      <c r="J240" s="825"/>
      <c r="K240" s="825">
        <v>0</v>
      </c>
      <c r="L240" s="825"/>
      <c r="M240" s="825">
        <f t="shared" si="23"/>
        <v>0</v>
      </c>
      <c r="N240" s="825"/>
      <c r="O240" s="825">
        <v>0</v>
      </c>
      <c r="P240" s="1638"/>
      <c r="Q240" s="1639"/>
    </row>
    <row r="241" spans="2:17" s="1628" customFormat="1" ht="15.75">
      <c r="B241" s="1634">
        <v>55055</v>
      </c>
      <c r="C241" s="1643"/>
      <c r="D241" s="1635" t="s">
        <v>1306</v>
      </c>
      <c r="E241" s="1644"/>
      <c r="F241" s="1644"/>
      <c r="G241" s="825">
        <v>0</v>
      </c>
      <c r="H241" s="825"/>
      <c r="I241" s="825">
        <v>112835.35</v>
      </c>
      <c r="J241" s="825"/>
      <c r="K241" s="825">
        <v>2780848.77</v>
      </c>
      <c r="L241" s="825"/>
      <c r="M241" s="825">
        <f t="shared" ref="M241" si="24">ROUND(SUM(O241)-SUM(K241),2)</f>
        <v>730288.11</v>
      </c>
      <c r="N241" s="825"/>
      <c r="O241" s="825">
        <v>3511136.88</v>
      </c>
      <c r="P241" s="1638"/>
      <c r="Q241" s="1639"/>
    </row>
    <row r="242" spans="2:17" s="1628" customFormat="1" ht="15.75">
      <c r="B242" s="1634">
        <v>55056</v>
      </c>
      <c r="C242" s="1643"/>
      <c r="D242" s="1635" t="s">
        <v>650</v>
      </c>
      <c r="E242" s="1644"/>
      <c r="F242" s="1644"/>
      <c r="G242" s="825">
        <v>0</v>
      </c>
      <c r="H242" s="825"/>
      <c r="I242" s="825">
        <v>0</v>
      </c>
      <c r="J242" s="825"/>
      <c r="K242" s="825">
        <v>0</v>
      </c>
      <c r="L242" s="825"/>
      <c r="M242" s="825">
        <f t="shared" si="23"/>
        <v>0</v>
      </c>
      <c r="N242" s="825"/>
      <c r="O242" s="825">
        <v>0</v>
      </c>
      <c r="P242" s="1638"/>
      <c r="Q242" s="1639"/>
    </row>
    <row r="243" spans="2:17" s="1628" customFormat="1" ht="15.75">
      <c r="B243" s="1634">
        <v>55057</v>
      </c>
      <c r="C243" s="1643"/>
      <c r="D243" s="1635" t="s">
        <v>651</v>
      </c>
      <c r="E243" s="1644"/>
      <c r="F243" s="1644"/>
      <c r="G243" s="825">
        <v>18395.78</v>
      </c>
      <c r="H243" s="825"/>
      <c r="I243" s="825">
        <v>0</v>
      </c>
      <c r="J243" s="825"/>
      <c r="K243" s="825">
        <v>6621.7800000000298</v>
      </c>
      <c r="L243" s="825"/>
      <c r="M243" s="825">
        <f t="shared" si="23"/>
        <v>852710.49</v>
      </c>
      <c r="N243" s="825"/>
      <c r="O243" s="825">
        <v>859332.27</v>
      </c>
      <c r="P243" s="1638"/>
      <c r="Q243" s="1639"/>
    </row>
    <row r="244" spans="2:17" s="1628" customFormat="1" ht="15.75">
      <c r="B244" s="1634">
        <v>55058</v>
      </c>
      <c r="C244" s="1643"/>
      <c r="D244" s="1635" t="s">
        <v>652</v>
      </c>
      <c r="E244" s="1644"/>
      <c r="F244" s="1644"/>
      <c r="G244" s="825">
        <v>6152128.5300000003</v>
      </c>
      <c r="H244" s="825"/>
      <c r="I244" s="825">
        <v>2673317.37</v>
      </c>
      <c r="J244" s="825"/>
      <c r="K244" s="825">
        <v>3146402.67</v>
      </c>
      <c r="L244" s="825"/>
      <c r="M244" s="825">
        <f t="shared" si="23"/>
        <v>364023.83</v>
      </c>
      <c r="N244" s="825"/>
      <c r="O244" s="825">
        <v>3510426.5</v>
      </c>
      <c r="P244" s="1638"/>
      <c r="Q244" s="1639"/>
    </row>
    <row r="245" spans="2:17" s="1628" customFormat="1" ht="15.75">
      <c r="B245" s="1634">
        <v>55059</v>
      </c>
      <c r="C245" s="1643"/>
      <c r="D245" s="1635" t="s">
        <v>1110</v>
      </c>
      <c r="E245" s="1644"/>
      <c r="F245" s="1644"/>
      <c r="G245" s="825">
        <v>11597294.140000001</v>
      </c>
      <c r="H245" s="825"/>
      <c r="I245" s="825">
        <v>11368655.720000001</v>
      </c>
      <c r="J245" s="825"/>
      <c r="K245" s="825">
        <v>12045435.59</v>
      </c>
      <c r="L245" s="825"/>
      <c r="M245" s="825">
        <f t="shared" ref="M245" si="25">ROUND(SUM(O245)-SUM(K245),2)</f>
        <v>342983.4</v>
      </c>
      <c r="N245" s="825"/>
      <c r="O245" s="825">
        <v>12388418.99</v>
      </c>
      <c r="P245" s="1638"/>
      <c r="Q245" s="1639"/>
    </row>
    <row r="246" spans="2:17" s="1628" customFormat="1" ht="15.75">
      <c r="B246" s="1634">
        <v>55060</v>
      </c>
      <c r="C246" s="1643"/>
      <c r="D246" s="1642" t="s">
        <v>653</v>
      </c>
      <c r="E246" s="1644"/>
      <c r="F246" s="1644"/>
      <c r="G246" s="825">
        <v>4105013.7</v>
      </c>
      <c r="H246" s="825"/>
      <c r="I246" s="825">
        <v>5230526.26</v>
      </c>
      <c r="J246" s="825"/>
      <c r="K246" s="825">
        <v>8299957.8600000003</v>
      </c>
      <c r="L246" s="825"/>
      <c r="M246" s="825">
        <f t="shared" si="23"/>
        <v>1172108.58</v>
      </c>
      <c r="N246" s="825"/>
      <c r="O246" s="825">
        <v>9472066.4399999995</v>
      </c>
      <c r="P246" s="1638"/>
      <c r="Q246" s="1639"/>
    </row>
    <row r="247" spans="2:17" s="1628" customFormat="1" ht="15.75">
      <c r="B247" s="1634">
        <v>55061</v>
      </c>
      <c r="C247" s="1643"/>
      <c r="D247" s="1642" t="s">
        <v>654</v>
      </c>
      <c r="E247" s="1644"/>
      <c r="F247" s="1644"/>
      <c r="G247" s="825">
        <v>0</v>
      </c>
      <c r="H247" s="825"/>
      <c r="I247" s="825">
        <v>0</v>
      </c>
      <c r="J247" s="825"/>
      <c r="K247" s="825">
        <v>0</v>
      </c>
      <c r="L247" s="825"/>
      <c r="M247" s="825">
        <f t="shared" si="23"/>
        <v>0</v>
      </c>
      <c r="N247" s="825"/>
      <c r="O247" s="825">
        <v>0</v>
      </c>
      <c r="P247" s="1638"/>
      <c r="Q247" s="1639"/>
    </row>
    <row r="248" spans="2:17" s="1628" customFormat="1" ht="15.75">
      <c r="B248" s="1634">
        <v>55062</v>
      </c>
      <c r="C248" s="1643"/>
      <c r="D248" s="1635" t="s">
        <v>655</v>
      </c>
      <c r="E248" s="1644"/>
      <c r="F248" s="1644"/>
      <c r="G248" s="825">
        <v>14024373.52</v>
      </c>
      <c r="H248" s="825"/>
      <c r="I248" s="825">
        <v>14024373.52</v>
      </c>
      <c r="J248" s="825"/>
      <c r="K248" s="825">
        <v>12383759.02</v>
      </c>
      <c r="L248" s="825"/>
      <c r="M248" s="825">
        <f t="shared" si="23"/>
        <v>-24377.61</v>
      </c>
      <c r="N248" s="825"/>
      <c r="O248" s="825">
        <v>12359381.41</v>
      </c>
      <c r="P248" s="1638"/>
      <c r="Q248" s="1639"/>
    </row>
    <row r="249" spans="2:17" s="1628" customFormat="1" ht="15.75">
      <c r="B249" s="1634">
        <v>55066</v>
      </c>
      <c r="C249" s="1643"/>
      <c r="D249" s="1635" t="s">
        <v>656</v>
      </c>
      <c r="E249" s="1644"/>
      <c r="F249" s="1644"/>
      <c r="G249" s="825">
        <v>1261584.27</v>
      </c>
      <c r="H249" s="825"/>
      <c r="I249" s="825">
        <v>1261584.27</v>
      </c>
      <c r="J249" s="825"/>
      <c r="K249" s="825">
        <v>1261584.27</v>
      </c>
      <c r="L249" s="825"/>
      <c r="M249" s="825">
        <f t="shared" si="23"/>
        <v>0</v>
      </c>
      <c r="N249" s="825"/>
      <c r="O249" s="825">
        <v>1261584.27</v>
      </c>
      <c r="P249" s="1638"/>
      <c r="Q249" s="1639"/>
    </row>
    <row r="250" spans="2:17" s="1628" customFormat="1" ht="15.75">
      <c r="B250" s="1634">
        <v>55067</v>
      </c>
      <c r="C250" s="1643"/>
      <c r="D250" s="1635" t="s">
        <v>657</v>
      </c>
      <c r="E250" s="1644"/>
      <c r="F250" s="1644"/>
      <c r="G250" s="825">
        <v>395170.83</v>
      </c>
      <c r="H250" s="825"/>
      <c r="I250" s="825">
        <v>429640.15</v>
      </c>
      <c r="J250" s="825"/>
      <c r="K250" s="825">
        <v>416982.84</v>
      </c>
      <c r="L250" s="825"/>
      <c r="M250" s="825">
        <f t="shared" si="23"/>
        <v>39076.42</v>
      </c>
      <c r="N250" s="825"/>
      <c r="O250" s="825">
        <v>456059.26</v>
      </c>
      <c r="P250" s="1638"/>
      <c r="Q250" s="1639"/>
    </row>
    <row r="251" spans="2:17" s="1628" customFormat="1" ht="15.75">
      <c r="B251" s="1634">
        <v>55069</v>
      </c>
      <c r="C251" s="1643"/>
      <c r="D251" s="1635" t="s">
        <v>658</v>
      </c>
      <c r="E251" s="1644"/>
      <c r="F251" s="1644"/>
      <c r="G251" s="825">
        <v>5229929.95</v>
      </c>
      <c r="H251" s="825"/>
      <c r="I251" s="825">
        <v>5006156.66</v>
      </c>
      <c r="J251" s="825"/>
      <c r="K251" s="825">
        <v>389919.73</v>
      </c>
      <c r="L251" s="825"/>
      <c r="M251" s="825">
        <f t="shared" si="23"/>
        <v>6475666.8600000003</v>
      </c>
      <c r="N251" s="825"/>
      <c r="O251" s="825">
        <v>6865586.5899999999</v>
      </c>
      <c r="P251" s="1638"/>
      <c r="Q251" s="1639"/>
    </row>
    <row r="252" spans="2:17" s="1628" customFormat="1" ht="15.75">
      <c r="B252" s="1653">
        <v>55071</v>
      </c>
      <c r="C252" s="1643"/>
      <c r="D252" s="1635" t="s">
        <v>823</v>
      </c>
      <c r="E252" s="1644"/>
      <c r="F252" s="1644"/>
      <c r="G252" s="825">
        <v>889652.94</v>
      </c>
      <c r="H252" s="825"/>
      <c r="I252" s="825">
        <v>594423.89</v>
      </c>
      <c r="J252" s="825"/>
      <c r="K252" s="825">
        <v>834415.17</v>
      </c>
      <c r="L252" s="825"/>
      <c r="M252" s="825">
        <f t="shared" si="23"/>
        <v>225446.32</v>
      </c>
      <c r="N252" s="825"/>
      <c r="O252" s="825">
        <v>1059861.49</v>
      </c>
      <c r="P252" s="1638"/>
      <c r="Q252" s="1639"/>
    </row>
    <row r="253" spans="2:17" s="1628" customFormat="1" ht="15.75">
      <c r="B253" s="1634">
        <v>55072</v>
      </c>
      <c r="C253" s="1643"/>
      <c r="D253" s="1635" t="s">
        <v>824</v>
      </c>
      <c r="E253" s="1644"/>
      <c r="F253" s="1644"/>
      <c r="G253" s="825">
        <v>2885393.07</v>
      </c>
      <c r="H253" s="825"/>
      <c r="I253" s="825">
        <v>4055109.16</v>
      </c>
      <c r="J253" s="825"/>
      <c r="K253" s="825">
        <v>3602292.7</v>
      </c>
      <c r="L253" s="825"/>
      <c r="M253" s="825">
        <f t="shared" si="23"/>
        <v>77658.539999999994</v>
      </c>
      <c r="N253" s="825"/>
      <c r="O253" s="825">
        <v>3679951.24</v>
      </c>
      <c r="P253" s="1638"/>
      <c r="Q253" s="1639"/>
    </row>
    <row r="254" spans="2:17" s="1628" customFormat="1" ht="15.75">
      <c r="B254" s="1653">
        <v>55073</v>
      </c>
      <c r="C254" s="1643"/>
      <c r="D254" s="1635" t="s">
        <v>825</v>
      </c>
      <c r="E254" s="1644"/>
      <c r="F254" s="1644"/>
      <c r="G254" s="825">
        <v>0</v>
      </c>
      <c r="H254" s="825"/>
      <c r="I254" s="825">
        <v>0</v>
      </c>
      <c r="J254" s="825"/>
      <c r="K254" s="825">
        <v>0</v>
      </c>
      <c r="L254" s="825"/>
      <c r="M254" s="825">
        <f t="shared" si="23"/>
        <v>0</v>
      </c>
      <c r="N254" s="825"/>
      <c r="O254" s="825">
        <v>0</v>
      </c>
      <c r="P254" s="1638"/>
      <c r="Q254" s="1639"/>
    </row>
    <row r="255" spans="2:17" s="1628" customFormat="1" ht="15.75">
      <c r="B255" s="1653">
        <v>55074</v>
      </c>
      <c r="C255" s="1643"/>
      <c r="D255" s="1635" t="s">
        <v>1135</v>
      </c>
      <c r="E255" s="1644"/>
      <c r="F255" s="1644"/>
      <c r="G255" s="825">
        <v>0</v>
      </c>
      <c r="H255" s="825"/>
      <c r="I255" s="825">
        <v>0</v>
      </c>
      <c r="J255" s="825"/>
      <c r="K255" s="825">
        <v>0</v>
      </c>
      <c r="L255" s="825"/>
      <c r="M255" s="825">
        <f t="shared" ref="M255" si="26">ROUND(SUM(O255)-SUM(K255),2)</f>
        <v>0</v>
      </c>
      <c r="N255" s="825"/>
      <c r="O255" s="825">
        <v>0</v>
      </c>
      <c r="P255" s="1638"/>
      <c r="Q255" s="1639"/>
    </row>
    <row r="256" spans="2:17" s="1628" customFormat="1" ht="15.75">
      <c r="B256" s="1634">
        <v>55251</v>
      </c>
      <c r="C256" s="1643"/>
      <c r="D256" s="1642" t="s">
        <v>659</v>
      </c>
      <c r="E256" s="1644"/>
      <c r="F256" s="1644"/>
      <c r="G256" s="825">
        <v>7007129.9699999997</v>
      </c>
      <c r="H256" s="825"/>
      <c r="I256" s="825">
        <v>7198619.46</v>
      </c>
      <c r="J256" s="825"/>
      <c r="K256" s="825">
        <v>7534134.4000000004</v>
      </c>
      <c r="L256" s="825"/>
      <c r="M256" s="825">
        <f t="shared" si="23"/>
        <v>226372.03</v>
      </c>
      <c r="N256" s="825"/>
      <c r="O256" s="825">
        <v>7760506.4299999997</v>
      </c>
      <c r="P256" s="1638"/>
      <c r="Q256" s="1639"/>
    </row>
    <row r="257" spans="2:17" s="1628" customFormat="1" ht="15.75">
      <c r="B257" s="1634">
        <v>55252</v>
      </c>
      <c r="C257" s="1643"/>
      <c r="D257" s="1635" t="s">
        <v>660</v>
      </c>
      <c r="E257" s="1644"/>
      <c r="F257" s="1644"/>
      <c r="G257" s="825">
        <v>51257347.719999999</v>
      </c>
      <c r="H257" s="825"/>
      <c r="I257" s="825">
        <v>59384613.75</v>
      </c>
      <c r="J257" s="825"/>
      <c r="K257" s="825">
        <v>62793537.5</v>
      </c>
      <c r="L257" s="825"/>
      <c r="M257" s="825">
        <f t="shared" si="23"/>
        <v>6160193.9800000004</v>
      </c>
      <c r="N257" s="825"/>
      <c r="O257" s="825">
        <v>68953731.480000004</v>
      </c>
      <c r="P257" s="1638"/>
      <c r="Q257" s="1639"/>
    </row>
    <row r="258" spans="2:17" s="1628" customFormat="1" ht="15.75">
      <c r="B258" s="1634">
        <v>55300</v>
      </c>
      <c r="C258" s="1643"/>
      <c r="D258" s="1642" t="s">
        <v>661</v>
      </c>
      <c r="E258" s="1644"/>
      <c r="F258" s="1644"/>
      <c r="G258" s="825">
        <v>3197844.8</v>
      </c>
      <c r="H258" s="825"/>
      <c r="I258" s="825">
        <v>4048282.07</v>
      </c>
      <c r="J258" s="825"/>
      <c r="K258" s="825">
        <v>6942556.4400000004</v>
      </c>
      <c r="L258" s="825"/>
      <c r="M258" s="825">
        <f t="shared" si="23"/>
        <v>1164959.3600000001</v>
      </c>
      <c r="N258" s="825"/>
      <c r="O258" s="825">
        <v>8107515.7999999998</v>
      </c>
      <c r="P258" s="1638"/>
      <c r="Q258" s="1639"/>
    </row>
    <row r="259" spans="2:17" s="1628" customFormat="1" ht="15.75">
      <c r="B259" s="1634">
        <v>55301</v>
      </c>
      <c r="C259" s="1643"/>
      <c r="D259" s="1642" t="s">
        <v>662</v>
      </c>
      <c r="E259" s="1644"/>
      <c r="F259" s="1644"/>
      <c r="G259" s="825">
        <v>240201.1</v>
      </c>
      <c r="H259" s="825"/>
      <c r="I259" s="825">
        <v>315330.40000000002</v>
      </c>
      <c r="J259" s="825"/>
      <c r="K259" s="825">
        <v>439596.09</v>
      </c>
      <c r="L259" s="825"/>
      <c r="M259" s="825">
        <f t="shared" si="23"/>
        <v>81551.429999999993</v>
      </c>
      <c r="N259" s="825"/>
      <c r="O259" s="825">
        <v>521147.52</v>
      </c>
      <c r="P259" s="1638"/>
      <c r="Q259" s="1639"/>
    </row>
    <row r="260" spans="2:17" s="1628" customFormat="1" ht="15.75">
      <c r="B260" s="1634">
        <v>55350</v>
      </c>
      <c r="C260" s="1633"/>
      <c r="D260" s="1642" t="s">
        <v>663</v>
      </c>
      <c r="E260" s="1633"/>
      <c r="F260" s="1633"/>
      <c r="G260" s="825">
        <v>5894370.9199999999</v>
      </c>
      <c r="H260" s="825"/>
      <c r="I260" s="825">
        <v>6696203.5899999999</v>
      </c>
      <c r="J260" s="825"/>
      <c r="K260" s="825">
        <v>9135247.3000000007</v>
      </c>
      <c r="L260" s="825"/>
      <c r="M260" s="825">
        <f t="shared" si="23"/>
        <v>2694285.73</v>
      </c>
      <c r="N260" s="825"/>
      <c r="O260" s="825">
        <v>11829533.029999999</v>
      </c>
      <c r="P260" s="1638"/>
      <c r="Q260" s="1639"/>
    </row>
    <row r="261" spans="2:17" s="1628" customFormat="1" ht="16.5" thickBot="1">
      <c r="B261" s="1661"/>
      <c r="C261" s="1630"/>
      <c r="D261" s="1631" t="s">
        <v>664</v>
      </c>
      <c r="E261" s="1632"/>
      <c r="F261" s="1632"/>
      <c r="G261" s="1026">
        <f>ROUND(SUM(G217:G260),2)</f>
        <v>188012623.91</v>
      </c>
      <c r="H261" s="1293"/>
      <c r="I261" s="1026">
        <f>ROUND(SUM(I217:I260),2)</f>
        <v>195618887.49000001</v>
      </c>
      <c r="J261" s="1293"/>
      <c r="K261" s="1026">
        <f>ROUND(SUM(K217:K260),2)</f>
        <v>220405511.99000001</v>
      </c>
      <c r="L261" s="1293"/>
      <c r="M261" s="827">
        <f>ROUND(SUM(M217:M260),2)</f>
        <v>17127891.07</v>
      </c>
      <c r="N261" s="1293"/>
      <c r="O261" s="1026">
        <f>ROUND(SUM(O217:O260),2)</f>
        <v>237533403.06</v>
      </c>
      <c r="P261" s="1638"/>
      <c r="Q261" s="1639"/>
    </row>
    <row r="262" spans="2:17" s="1628" customFormat="1" ht="16.5" thickTop="1">
      <c r="B262" s="1647"/>
      <c r="C262" s="1633"/>
      <c r="D262" s="1662"/>
      <c r="E262" s="1633"/>
      <c r="F262" s="1633"/>
      <c r="G262" s="825"/>
      <c r="H262" s="1740"/>
      <c r="I262" s="825"/>
      <c r="J262" s="1740"/>
      <c r="K262" s="825"/>
      <c r="L262" s="1740"/>
      <c r="M262" s="825"/>
      <c r="N262" s="1740"/>
      <c r="O262" s="825"/>
      <c r="P262" s="1638"/>
      <c r="Q262" s="1639"/>
    </row>
    <row r="263" spans="2:17" s="1628" customFormat="1" ht="16.5" thickBot="1">
      <c r="B263" s="1647"/>
      <c r="C263" s="1633"/>
      <c r="D263" s="1662"/>
      <c r="E263" s="1633"/>
      <c r="F263" s="1633"/>
      <c r="G263" s="825"/>
      <c r="H263" s="1740"/>
      <c r="I263" s="825"/>
      <c r="J263" s="1740"/>
      <c r="K263" s="825"/>
      <c r="L263" s="1740"/>
      <c r="M263" s="825"/>
      <c r="N263" s="1740"/>
      <c r="O263" s="825"/>
      <c r="P263" s="1638"/>
      <c r="Q263" s="1639"/>
    </row>
    <row r="264" spans="2:17" s="1628" customFormat="1" ht="16.5" thickBot="1">
      <c r="B264" s="1661"/>
      <c r="C264" s="1663"/>
      <c r="D264" s="1664" t="s">
        <v>665</v>
      </c>
      <c r="E264" s="1632"/>
      <c r="F264" s="1636"/>
      <c r="G264" s="1027">
        <f>ROUND(SUM(G11+G101+G191+G203+G208+G214+G261),2)</f>
        <v>5417766455.3599997</v>
      </c>
      <c r="H264" s="1636"/>
      <c r="I264" s="1027">
        <f>ROUND(SUM(I11+I101+I191+I203+I208+I214+I261),2)</f>
        <v>4633927647.3699999</v>
      </c>
      <c r="J264" s="1636"/>
      <c r="K264" s="1027">
        <f>ROUND(SUM(K11+K101+K191+K203+K208+K214+K261),2)</f>
        <v>4820723796.8900003</v>
      </c>
      <c r="L264" s="1636"/>
      <c r="M264" s="966">
        <f>ROUND(SUM(M11+M101+M191+M203+M208+M214+M261),2)</f>
        <v>1575712692.6400001</v>
      </c>
      <c r="N264" s="1636"/>
      <c r="O264" s="1027">
        <f>ROUND(SUM(O11+O101+O191+O203+O208+O214+O261),2)</f>
        <v>6396436489.5299997</v>
      </c>
      <c r="P264" s="1638"/>
      <c r="Q264" s="1639"/>
    </row>
    <row r="265" spans="2:17" s="1628" customFormat="1" ht="15.75">
      <c r="B265" s="1647"/>
      <c r="C265" s="1633"/>
      <c r="D265" s="1662"/>
      <c r="E265" s="1633"/>
      <c r="F265" s="1633"/>
      <c r="G265"/>
      <c r="H265" s="1293"/>
      <c r="I265" s="826"/>
      <c r="J265" s="1293"/>
      <c r="K265" s="826"/>
      <c r="L265" s="1293"/>
      <c r="M265" s="829"/>
      <c r="N265" s="1633"/>
      <c r="O265" s="829"/>
      <c r="P265" s="1638"/>
    </row>
    <row r="266" spans="2:17" s="1628" customFormat="1" ht="15.75">
      <c r="B266" s="1966" t="s">
        <v>739</v>
      </c>
      <c r="C266" s="1316" t="s">
        <v>1447</v>
      </c>
      <c r="D266" s="1665"/>
      <c r="E266" s="586"/>
      <c r="F266" s="586"/>
      <c r="G266" s="826"/>
      <c r="H266" s="1666"/>
      <c r="I266" s="830"/>
      <c r="J266" s="469"/>
      <c r="K266" s="830"/>
      <c r="L266" s="469"/>
      <c r="M266" s="830"/>
      <c r="N266" s="469"/>
      <c r="O266" s="830"/>
      <c r="P266" s="1638"/>
    </row>
    <row r="267" spans="2:17" s="1628" customFormat="1" ht="15.75">
      <c r="B267" s="1667"/>
      <c r="C267" s="586" t="s">
        <v>666</v>
      </c>
      <c r="D267" s="1668"/>
      <c r="E267" s="586"/>
      <c r="F267" s="586"/>
      <c r="G267" s="830"/>
      <c r="H267" s="1666"/>
      <c r="I267" s="830"/>
      <c r="J267" s="469"/>
      <c r="K267" s="830"/>
      <c r="L267" s="469"/>
      <c r="M267" s="830"/>
      <c r="N267" s="469"/>
      <c r="O267" s="830"/>
      <c r="P267" s="1638"/>
    </row>
    <row r="268" spans="2:17" s="1628" customFormat="1" ht="15.75">
      <c r="B268" s="1667"/>
      <c r="C268" s="586" t="s">
        <v>667</v>
      </c>
      <c r="D268" s="1665"/>
      <c r="E268" s="586"/>
      <c r="F268" s="586"/>
      <c r="G268" s="830"/>
      <c r="H268" s="1666"/>
      <c r="I268" s="831"/>
      <c r="J268" s="590"/>
      <c r="K268" s="831"/>
      <c r="L268" s="590"/>
      <c r="M268" s="831"/>
      <c r="N268" s="590"/>
      <c r="O268" s="831"/>
      <c r="P268" s="1638"/>
    </row>
    <row r="269" spans="2:17" s="1628" customFormat="1" ht="15.75">
      <c r="B269" s="1667"/>
      <c r="C269" s="586" t="s">
        <v>668</v>
      </c>
      <c r="D269" s="1665"/>
      <c r="E269" s="586"/>
      <c r="F269" s="586"/>
      <c r="G269" s="831"/>
      <c r="H269" s="1666"/>
      <c r="I269" s="831"/>
      <c r="J269" s="590"/>
      <c r="K269" s="831"/>
      <c r="L269" s="590"/>
      <c r="M269" s="831"/>
      <c r="N269" s="590"/>
      <c r="O269" s="831"/>
      <c r="P269" s="1638"/>
    </row>
    <row r="270" spans="2:17" s="1628" customFormat="1" ht="15.75">
      <c r="B270" s="1667"/>
      <c r="C270" s="586" t="s">
        <v>669</v>
      </c>
      <c r="D270" s="1665"/>
      <c r="E270" s="586"/>
      <c r="F270" s="586"/>
      <c r="G270" s="831"/>
      <c r="H270" s="1666"/>
      <c r="I270" s="1669"/>
      <c r="J270" s="1670"/>
      <c r="K270" s="1669"/>
      <c r="L270" s="1670"/>
      <c r="M270" s="1669"/>
      <c r="N270" s="1670"/>
      <c r="O270" s="1669"/>
      <c r="P270" s="1638"/>
    </row>
    <row r="271" spans="2:17" s="1628" customFormat="1" ht="15.75">
      <c r="B271" s="1316"/>
      <c r="C271" s="586" t="s">
        <v>1100</v>
      </c>
      <c r="D271" s="1665"/>
      <c r="E271" s="586"/>
      <c r="F271" s="586"/>
      <c r="G271" s="1669"/>
      <c r="H271" s="1666"/>
      <c r="I271" s="1669"/>
      <c r="J271" s="1670"/>
      <c r="K271" s="1669"/>
      <c r="L271" s="1670"/>
      <c r="M271" s="1669"/>
      <c r="N271" s="1670"/>
      <c r="O271" s="1669"/>
      <c r="P271" s="1638"/>
    </row>
    <row r="272" spans="2:17" s="1628" customFormat="1" ht="15.75">
      <c r="B272" s="1316"/>
      <c r="C272" s="1666" t="s">
        <v>740</v>
      </c>
      <c r="D272" s="1668"/>
      <c r="E272" s="1666"/>
      <c r="F272" s="1666"/>
      <c r="G272" s="1669"/>
      <c r="H272" s="1666"/>
      <c r="I272" s="1669"/>
      <c r="J272" s="1670"/>
      <c r="K272" s="1669"/>
      <c r="L272" s="1670"/>
      <c r="M272" s="1669"/>
      <c r="N272" s="1670"/>
      <c r="O272" s="1669"/>
      <c r="P272" s="1638"/>
    </row>
    <row r="273" spans="2:16" s="1628" customFormat="1" ht="15.75">
      <c r="B273" s="1671" t="s">
        <v>111</v>
      </c>
      <c r="C273" s="586" t="s">
        <v>1082</v>
      </c>
      <c r="D273" s="1665"/>
      <c r="E273" s="1666"/>
      <c r="F273" s="1666"/>
      <c r="G273" s="1669"/>
      <c r="H273" s="1666"/>
      <c r="I273" s="1672"/>
      <c r="J273" s="1673"/>
      <c r="K273" s="1672"/>
      <c r="L273" s="1672"/>
      <c r="M273" s="590"/>
      <c r="N273" s="590"/>
      <c r="O273" s="1672"/>
      <c r="P273" s="1633"/>
    </row>
    <row r="274" spans="2:16" s="1628" customFormat="1" ht="15.75">
      <c r="B274" s="1674"/>
      <c r="C274" s="1672" t="s">
        <v>1083</v>
      </c>
      <c r="D274" s="469"/>
      <c r="E274" s="1666"/>
      <c r="F274" s="1666"/>
      <c r="G274" s="1672"/>
      <c r="H274" s="1666"/>
      <c r="I274" s="1672"/>
      <c r="J274" s="1673"/>
      <c r="K274" s="1672"/>
      <c r="L274" s="1672"/>
      <c r="M274" s="590"/>
      <c r="N274" s="590"/>
      <c r="O274" s="1672"/>
      <c r="P274" s="590"/>
    </row>
    <row r="275" spans="2:16" s="1628" customFormat="1" ht="15.75">
      <c r="B275" s="1675" t="s">
        <v>738</v>
      </c>
      <c r="C275" s="1316" t="s">
        <v>845</v>
      </c>
      <c r="D275" s="469"/>
      <c r="E275" s="469"/>
      <c r="F275" s="469"/>
      <c r="G275" s="1672"/>
      <c r="H275" s="588"/>
      <c r="I275" s="586"/>
      <c r="J275" s="589"/>
      <c r="K275" s="586"/>
      <c r="L275" s="588"/>
      <c r="M275" s="587"/>
      <c r="N275" s="590"/>
      <c r="O275" s="586"/>
      <c r="P275" s="1627"/>
    </row>
    <row r="276" spans="2:16" s="1628" customFormat="1" ht="15.75">
      <c r="C276" s="586"/>
      <c r="D276" s="590"/>
      <c r="E276" s="586"/>
      <c r="F276" s="586"/>
      <c r="G276" s="1677"/>
      <c r="H276" s="1677"/>
      <c r="I276" s="1677"/>
      <c r="J276" s="1677"/>
      <c r="K276" s="1677"/>
      <c r="L276" s="1677"/>
      <c r="M276" s="1677"/>
      <c r="N276" s="1677"/>
      <c r="O276" s="1677"/>
      <c r="P276" s="1666"/>
    </row>
    <row r="277" spans="2:16" s="1628" customFormat="1" ht="15.75">
      <c r="B277" s="586"/>
      <c r="C277" s="586"/>
      <c r="D277" s="590"/>
      <c r="E277" s="586"/>
      <c r="F277" s="586"/>
      <c r="G277" s="1678"/>
      <c r="H277" s="1678"/>
      <c r="I277" s="1678"/>
      <c r="J277" s="1678"/>
      <c r="K277" s="1678"/>
      <c r="L277" s="1678"/>
      <c r="M277" s="590"/>
      <c r="N277" s="590"/>
      <c r="O277" s="590"/>
      <c r="P277" s="1666"/>
    </row>
    <row r="278" spans="2:16" s="1628" customFormat="1" ht="15.75">
      <c r="B278" s="586"/>
      <c r="C278" s="586"/>
      <c r="D278" s="590"/>
      <c r="E278" s="586"/>
      <c r="F278" s="586"/>
      <c r="G278" s="1678"/>
      <c r="H278" s="1678"/>
      <c r="I278" s="1678"/>
      <c r="J278" s="1678"/>
      <c r="K278" s="1678"/>
      <c r="L278" s="1678"/>
      <c r="M278" s="590"/>
      <c r="N278" s="590"/>
      <c r="O278" s="590"/>
      <c r="P278" s="1666"/>
    </row>
    <row r="279" spans="2:16" s="1628" customFormat="1" ht="15.75">
      <c r="B279" s="1671"/>
      <c r="C279" s="1666"/>
      <c r="D279" s="590"/>
      <c r="E279" s="586"/>
      <c r="F279" s="586"/>
      <c r="G279" s="1678"/>
      <c r="H279" s="1666"/>
      <c r="I279" s="1666"/>
      <c r="J279" s="1666"/>
      <c r="K279" s="1666"/>
      <c r="L279" s="590"/>
      <c r="M279" s="590"/>
      <c r="N279" s="590"/>
      <c r="O279" s="590"/>
      <c r="P279" s="1676"/>
    </row>
    <row r="280" spans="2:16" s="1628" customFormat="1" ht="15.75">
      <c r="B280" s="1679"/>
      <c r="C280" s="1666"/>
      <c r="D280" s="590"/>
      <c r="E280" s="586"/>
      <c r="F280" s="586"/>
      <c r="G280" s="1666"/>
      <c r="H280" s="1666"/>
      <c r="I280" s="1666"/>
      <c r="J280" s="1666"/>
      <c r="K280" s="1666"/>
      <c r="L280" s="590"/>
      <c r="M280" s="590"/>
      <c r="N280" s="590"/>
      <c r="O280" s="590"/>
      <c r="P280" s="1676"/>
    </row>
    <row r="281" spans="2:16" s="1628" customFormat="1" ht="15.75">
      <c r="B281" s="1679"/>
      <c r="C281" s="1666"/>
      <c r="D281" s="590"/>
      <c r="E281" s="586"/>
      <c r="F281" s="586"/>
      <c r="G281" s="1666"/>
      <c r="H281" s="1666"/>
      <c r="I281" s="1666"/>
      <c r="J281" s="1666"/>
      <c r="K281" s="1666"/>
      <c r="L281" s="590"/>
      <c r="M281" s="469"/>
      <c r="N281" s="469"/>
      <c r="O281" s="469"/>
      <c r="P281" s="1676"/>
    </row>
    <row r="282" spans="2:16" s="1628" customFormat="1" ht="15.75">
      <c r="B282" s="1676"/>
      <c r="C282" s="1666"/>
      <c r="D282" s="590"/>
      <c r="E282"/>
      <c r="F282" s="1666"/>
      <c r="G282" s="1666"/>
      <c r="H282" s="1666"/>
      <c r="I282" s="1666"/>
      <c r="J282" s="1666"/>
      <c r="K282" s="1666"/>
      <c r="L282" s="469"/>
      <c r="M282" s="469"/>
      <c r="N282" s="469"/>
      <c r="O282" s="469"/>
      <c r="P282" s="1676"/>
    </row>
    <row r="283" spans="2:16" s="1628" customFormat="1" ht="15.75">
      <c r="B283" s="1676"/>
      <c r="C283" s="1666"/>
      <c r="D283" s="590"/>
      <c r="E283"/>
      <c r="F283" s="1666"/>
      <c r="G283" s="1666"/>
      <c r="H283" s="1666"/>
      <c r="I283" s="1666"/>
      <c r="J283" s="1666"/>
      <c r="K283" s="1666"/>
      <c r="L283" s="469"/>
      <c r="M283" s="1680"/>
      <c r="N283" s="1680"/>
      <c r="O283" s="1680"/>
      <c r="P283" s="1676"/>
    </row>
    <row r="284" spans="2:16" ht="15.75">
      <c r="B284" s="1676"/>
      <c r="C284" s="1666"/>
      <c r="D284" s="590"/>
      <c r="E284"/>
      <c r="F284" s="1666"/>
      <c r="G284" s="1666"/>
      <c r="H284" s="1666"/>
      <c r="I284" s="1666"/>
      <c r="J284" s="1666"/>
      <c r="K284" s="1666"/>
      <c r="L284" s="469"/>
      <c r="M284" s="469"/>
      <c r="N284" s="469"/>
      <c r="O284" s="469"/>
      <c r="P284" s="1676"/>
    </row>
    <row r="285" spans="2:16" ht="15.75">
      <c r="G285" s="1666"/>
    </row>
    <row r="290" spans="3:12" ht="15.75">
      <c r="C290" s="829"/>
      <c r="D290" s="829"/>
      <c r="E290" s="829"/>
      <c r="F290" s="1605"/>
      <c r="H290" s="1683"/>
      <c r="I290" s="1683"/>
      <c r="J290" s="1683"/>
      <c r="K290" s="1683"/>
      <c r="L290" s="1683"/>
    </row>
    <row r="291" spans="3:12" ht="15.75">
      <c r="C291" s="829"/>
      <c r="D291" s="829"/>
      <c r="E291" s="829"/>
      <c r="F291" s="1605"/>
      <c r="G291" s="1683"/>
      <c r="H291" s="1683"/>
      <c r="I291" s="1683"/>
      <c r="J291" s="1683"/>
      <c r="K291" s="1683"/>
      <c r="L291" s="1683"/>
    </row>
    <row r="292" spans="3:12" ht="15.75">
      <c r="C292" s="829"/>
      <c r="D292" s="829"/>
      <c r="E292" s="829"/>
      <c r="F292" s="1605"/>
      <c r="G292" s="1683"/>
      <c r="H292" s="1683"/>
      <c r="I292" s="1683"/>
      <c r="J292" s="1683"/>
      <c r="K292" s="1683"/>
      <c r="L292" s="1683"/>
    </row>
    <row r="293" spans="3:12" ht="15.75">
      <c r="C293" s="829"/>
      <c r="D293" s="829"/>
      <c r="E293" s="829"/>
      <c r="F293" s="1605"/>
      <c r="G293" s="1683"/>
      <c r="H293" s="1683"/>
      <c r="I293" s="1683"/>
      <c r="J293" s="1683"/>
      <c r="K293" s="1683"/>
      <c r="L293" s="1683"/>
    </row>
    <row r="294" spans="3:12" ht="15.75">
      <c r="C294" s="829"/>
      <c r="D294" s="829"/>
      <c r="E294" s="829"/>
      <c r="F294" s="1605"/>
      <c r="G294" s="1683"/>
      <c r="H294" s="1683"/>
      <c r="I294" s="1683"/>
      <c r="J294" s="1683"/>
      <c r="K294" s="1683"/>
      <c r="L294" s="1683"/>
    </row>
    <row r="295" spans="3:12">
      <c r="G295" s="1683"/>
    </row>
  </sheetData>
  <printOptions horizontalCentered="1"/>
  <pageMargins left="0.45" right="0.45" top="0.5" bottom="0.5" header="0.3" footer="0.25"/>
  <pageSetup scale="43" firstPageNumber="52" fitToHeight="4" orientation="landscape" useFirstPageNumber="1" r:id="rId1"/>
  <headerFooter scaleWithDoc="0" alignWithMargins="0">
    <oddFooter>&amp;C&amp;8&amp;P</oddFooter>
  </headerFooter>
  <rowBreaks count="3" manualBreakCount="3">
    <brk id="95" max="16383" man="1"/>
    <brk id="173" max="16383" man="1"/>
    <brk id="246" max="16383" man="1"/>
  </rowBreaks>
  <customProperties>
    <customPr name="SheetOptions" r:id="rId2"/>
  </customProperties>
  <ignoredErrors>
    <ignoredError sqref="L11 N11 L208 N208 L214 N214 L261 N261 L264 N264 L12:N13 L102:N103 L192:N193 L204:N205 L209:N210 L215:N216 L262:N263" unlockedFormula="1"/>
  </ignoredError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4">
    <pageSetUpPr fitToPage="1"/>
  </sheetPr>
  <dimension ref="A1:AG89"/>
  <sheetViews>
    <sheetView showGridLines="0" zoomScale="80" zoomScaleNormal="80" workbookViewId="0"/>
  </sheetViews>
  <sheetFormatPr defaultColWidth="8.88671875" defaultRowHeight="12.75"/>
  <cols>
    <col min="1" max="1" width="54.88671875" style="349" customWidth="1"/>
    <col min="2" max="2" width="15" style="1020" bestFit="1" customWidth="1"/>
    <col min="3" max="3" width="1.88671875" style="1020" customWidth="1"/>
    <col min="4" max="4" width="15" style="1020" bestFit="1" customWidth="1"/>
    <col min="5" max="5" width="1.88671875" style="1019" customWidth="1"/>
    <col min="6" max="6" width="13.88671875" style="1020" customWidth="1"/>
    <col min="7" max="7" width="1.88671875" style="1019" customWidth="1"/>
    <col min="8" max="8" width="13.88671875" style="1020" customWidth="1"/>
    <col min="9" max="9" width="1.88671875" style="1019" customWidth="1"/>
    <col min="10" max="10" width="13.88671875" style="1020" customWidth="1"/>
    <col min="11" max="11" width="1.88671875" style="1020" customWidth="1"/>
    <col min="12" max="12" width="13.88671875" style="1020" customWidth="1"/>
    <col min="13" max="13" width="1.88671875" style="1019" customWidth="1"/>
    <col min="14" max="14" width="13.88671875" style="1020" customWidth="1"/>
    <col min="15" max="15" width="1.88671875" style="1019" customWidth="1"/>
    <col min="16" max="16" width="13.88671875" style="1020" customWidth="1"/>
    <col min="17" max="17" width="1.88671875" style="1019" customWidth="1"/>
    <col min="18" max="18" width="13.88671875" style="1020" customWidth="1"/>
    <col min="19" max="19" width="1.88671875" style="1019" customWidth="1"/>
    <col min="20" max="20" width="13.88671875" style="1020" customWidth="1"/>
    <col min="21" max="21" width="1.88671875" style="1019" customWidth="1"/>
    <col min="22" max="22" width="13.88671875" style="1020" customWidth="1"/>
    <col min="23" max="23" width="1.88671875" style="1019" customWidth="1"/>
    <col min="24" max="24" width="13.88671875" style="1020" customWidth="1"/>
    <col min="25" max="25" width="1.88671875" style="1019" customWidth="1"/>
    <col min="26" max="26" width="18.88671875" style="288" customWidth="1"/>
    <col min="27" max="27" width="1.5546875" style="349" customWidth="1"/>
    <col min="28" max="28" width="18.88671875" style="349" bestFit="1" customWidth="1"/>
    <col min="29" max="29" width="12.88671875" style="349" bestFit="1" customWidth="1"/>
    <col min="30" max="16384" width="8.88671875" style="349"/>
  </cols>
  <sheetData>
    <row r="1" spans="1:33" ht="15">
      <c r="A1" s="675" t="s">
        <v>841</v>
      </c>
      <c r="B1" s="876"/>
      <c r="C1" s="876"/>
      <c r="D1" s="876"/>
      <c r="E1" s="876"/>
      <c r="F1" s="876"/>
      <c r="G1" s="876"/>
      <c r="H1" s="876"/>
      <c r="I1" s="876"/>
      <c r="J1" s="876"/>
      <c r="K1" s="876"/>
      <c r="L1" s="876"/>
      <c r="M1" s="876"/>
      <c r="N1" s="876"/>
      <c r="O1" s="876"/>
      <c r="P1" s="876"/>
      <c r="Q1" s="876"/>
      <c r="R1" s="876"/>
      <c r="S1" s="876"/>
      <c r="T1" s="876"/>
      <c r="U1" s="876"/>
      <c r="V1" s="876"/>
      <c r="W1" s="876"/>
      <c r="X1" s="876"/>
      <c r="Y1" s="876"/>
      <c r="Z1" s="876"/>
      <c r="AA1" s="876"/>
      <c r="AB1" s="876"/>
      <c r="AC1" s="876"/>
      <c r="AD1" s="876"/>
      <c r="AE1" s="876"/>
      <c r="AF1" s="876"/>
      <c r="AG1" s="876"/>
    </row>
    <row r="2" spans="1:33" ht="15">
      <c r="A2" s="675"/>
      <c r="B2" s="876"/>
      <c r="C2" s="876"/>
      <c r="D2" s="876"/>
      <c r="E2" s="876"/>
      <c r="F2" s="876"/>
      <c r="G2" s="876"/>
      <c r="H2" s="876"/>
      <c r="I2" s="876"/>
      <c r="J2" s="876"/>
      <c r="K2" s="876"/>
      <c r="L2" s="876"/>
      <c r="M2" s="876"/>
      <c r="N2" s="876"/>
      <c r="O2" s="876"/>
      <c r="P2" s="876"/>
      <c r="Q2" s="876"/>
      <c r="R2" s="876"/>
      <c r="S2" s="876"/>
      <c r="T2" s="876"/>
      <c r="U2" s="876"/>
      <c r="V2" s="876"/>
      <c r="W2" s="876"/>
      <c r="X2" s="876"/>
      <c r="Y2" s="876"/>
      <c r="Z2" s="876"/>
      <c r="AA2" s="876"/>
      <c r="AB2" s="876"/>
      <c r="AC2" s="876"/>
      <c r="AD2" s="876"/>
      <c r="AE2" s="876"/>
      <c r="AF2" s="876"/>
      <c r="AG2" s="876"/>
    </row>
    <row r="3" spans="1:33" ht="24" customHeight="1">
      <c r="A3" s="591" t="s">
        <v>0</v>
      </c>
      <c r="B3" s="346"/>
      <c r="C3" s="346"/>
      <c r="D3" s="347"/>
      <c r="E3" s="348"/>
      <c r="F3" s="347"/>
      <c r="G3" s="348"/>
      <c r="H3" s="347"/>
      <c r="I3" s="348"/>
      <c r="K3" s="346"/>
      <c r="L3" s="287"/>
      <c r="M3" s="346"/>
      <c r="N3" s="347"/>
      <c r="O3" s="348"/>
      <c r="P3" s="347"/>
      <c r="Q3" s="348"/>
      <c r="R3" s="347"/>
      <c r="S3" s="348"/>
      <c r="T3" s="347"/>
      <c r="U3" s="348"/>
      <c r="V3" s="347"/>
      <c r="W3" s="348"/>
      <c r="X3" s="347"/>
      <c r="Y3" s="348"/>
      <c r="Z3" s="585" t="s">
        <v>526</v>
      </c>
      <c r="AA3" s="346"/>
      <c r="AC3" s="346"/>
      <c r="AE3" s="346"/>
    </row>
    <row r="4" spans="1:33" ht="16.5">
      <c r="A4" s="591" t="s">
        <v>1212</v>
      </c>
      <c r="B4" s="877"/>
      <c r="C4" s="877"/>
      <c r="D4" s="350"/>
      <c r="E4" s="348"/>
      <c r="F4" s="877"/>
      <c r="G4" s="348"/>
      <c r="H4" s="877"/>
      <c r="I4" s="348"/>
      <c r="J4" s="877"/>
      <c r="K4" s="877"/>
      <c r="L4" s="877"/>
      <c r="M4" s="351"/>
      <c r="N4" s="877"/>
      <c r="O4" s="348"/>
      <c r="P4" s="877"/>
      <c r="Q4" s="348"/>
      <c r="R4" s="877"/>
      <c r="S4" s="348"/>
      <c r="T4" s="877"/>
      <c r="U4" s="348"/>
      <c r="V4" s="877"/>
      <c r="W4" s="348"/>
      <c r="X4" s="877"/>
      <c r="Y4" s="348"/>
      <c r="Z4" s="878"/>
      <c r="AA4" s="352"/>
      <c r="AC4" s="346"/>
    </row>
    <row r="5" spans="1:33" ht="16.5">
      <c r="A5" s="592" t="s">
        <v>1027</v>
      </c>
      <c r="B5" s="877"/>
      <c r="C5" s="877"/>
      <c r="D5" s="877"/>
      <c r="E5" s="348"/>
      <c r="F5" s="877"/>
      <c r="G5" s="348"/>
      <c r="H5" s="877"/>
      <c r="I5" s="348"/>
      <c r="J5" s="877"/>
      <c r="K5" s="877"/>
      <c r="L5" s="877"/>
      <c r="M5" s="351"/>
      <c r="N5" s="877"/>
      <c r="O5" s="348"/>
      <c r="P5" s="877"/>
      <c r="Q5" s="348"/>
      <c r="R5" s="877"/>
      <c r="S5" s="348"/>
      <c r="T5" s="877"/>
      <c r="U5" s="348"/>
      <c r="V5" s="877"/>
      <c r="W5" s="348"/>
      <c r="X5" s="877"/>
      <c r="Y5" s="348"/>
      <c r="Z5" s="878"/>
    </row>
    <row r="6" spans="1:33" ht="18" customHeight="1">
      <c r="A6" s="353" t="str">
        <f>'Cashflow Governmental'!A6</f>
        <v xml:space="preserve">FISCAL YEAR 2023-2024   </v>
      </c>
      <c r="B6" s="877"/>
      <c r="C6" s="877"/>
      <c r="D6" s="355"/>
      <c r="E6" s="348"/>
      <c r="F6" s="877"/>
      <c r="G6" s="348"/>
      <c r="H6" s="877"/>
      <c r="I6" s="348"/>
      <c r="J6" s="877"/>
      <c r="K6" s="877"/>
      <c r="L6" s="877"/>
      <c r="M6" s="351"/>
      <c r="N6" s="877"/>
      <c r="O6" s="348"/>
      <c r="P6" s="877"/>
      <c r="Q6" s="348"/>
      <c r="R6" s="877"/>
      <c r="S6" s="348"/>
      <c r="T6" s="877"/>
      <c r="U6" s="348"/>
      <c r="V6" s="877"/>
      <c r="W6" s="348"/>
      <c r="X6" s="877"/>
      <c r="Y6" s="348"/>
      <c r="Z6" s="878"/>
    </row>
    <row r="7" spans="1:33" ht="15" customHeight="1">
      <c r="A7" s="354"/>
      <c r="B7" s="877"/>
      <c r="C7" s="877"/>
      <c r="D7" s="877"/>
      <c r="E7" s="348"/>
      <c r="F7" s="877"/>
      <c r="G7" s="348"/>
      <c r="H7" s="877"/>
      <c r="I7" s="348"/>
      <c r="J7" s="877"/>
      <c r="K7" s="877"/>
      <c r="L7" s="877"/>
      <c r="M7" s="351"/>
      <c r="N7" s="877"/>
      <c r="O7" s="348"/>
      <c r="P7" s="877"/>
      <c r="Q7" s="348"/>
      <c r="R7" s="879"/>
      <c r="S7" s="348"/>
      <c r="T7" s="879"/>
      <c r="U7" s="348"/>
      <c r="V7" s="879"/>
      <c r="W7" s="348"/>
      <c r="X7" s="879"/>
      <c r="Y7" s="348"/>
      <c r="Z7" s="878"/>
    </row>
    <row r="8" spans="1:33" ht="15.75">
      <c r="A8" s="345"/>
      <c r="B8" s="2252"/>
      <c r="C8" s="2252"/>
      <c r="D8" s="2252"/>
      <c r="E8" s="2253"/>
      <c r="F8" s="2252"/>
      <c r="G8" s="2253"/>
      <c r="H8" s="2252"/>
      <c r="I8" s="2253"/>
      <c r="J8" s="2252"/>
      <c r="K8" s="2252"/>
      <c r="L8" s="2252"/>
      <c r="M8" s="2253"/>
      <c r="N8" s="2252"/>
      <c r="O8" s="2253"/>
      <c r="P8" s="2252"/>
      <c r="Q8" s="2253"/>
      <c r="R8" s="2252"/>
      <c r="S8" s="2253"/>
      <c r="T8" s="2252"/>
      <c r="U8" s="2253"/>
      <c r="V8" s="2252"/>
      <c r="W8" s="2253"/>
      <c r="X8" s="2252"/>
      <c r="Y8" s="2253"/>
      <c r="Z8" s="2254"/>
      <c r="AA8" s="357"/>
    </row>
    <row r="9" spans="1:33" ht="15" customHeight="1">
      <c r="A9" s="880"/>
      <c r="B9" s="2255" t="str">
        <f>'Cashflow Governmental'!C13</f>
        <v>2023</v>
      </c>
      <c r="C9" s="2255"/>
      <c r="D9" s="2255"/>
      <c r="E9" s="2256"/>
      <c r="F9" s="2255"/>
      <c r="G9" s="2256"/>
      <c r="H9" s="2255"/>
      <c r="I9" s="2256"/>
      <c r="J9" s="2255"/>
      <c r="K9" s="2255"/>
      <c r="L9" s="2257"/>
      <c r="M9" s="2256"/>
      <c r="N9" s="2257"/>
      <c r="O9" s="2256"/>
      <c r="P9" s="2257"/>
      <c r="Q9" s="2256"/>
      <c r="R9" s="2257"/>
      <c r="S9" s="2256"/>
      <c r="T9" s="660">
        <f>'Cashflow Governmental'!U13</f>
        <v>2024</v>
      </c>
      <c r="U9" s="2256"/>
      <c r="V9" s="2257"/>
      <c r="W9" s="2256"/>
      <c r="X9" s="2257"/>
      <c r="Y9" s="2256"/>
      <c r="Z9" s="2257" t="s">
        <v>1522</v>
      </c>
      <c r="AA9" s="359"/>
    </row>
    <row r="10" spans="1:33" ht="15" customHeight="1">
      <c r="A10" s="880"/>
      <c r="B10" s="2257" t="s">
        <v>122</v>
      </c>
      <c r="C10" s="2257"/>
      <c r="D10" s="2257" t="s">
        <v>123</v>
      </c>
      <c r="E10" s="2256"/>
      <c r="F10" s="2257" t="s">
        <v>124</v>
      </c>
      <c r="G10" s="2256"/>
      <c r="H10" s="2257" t="s">
        <v>125</v>
      </c>
      <c r="I10" s="2256"/>
      <c r="J10" s="2257" t="s">
        <v>126</v>
      </c>
      <c r="K10" s="2256"/>
      <c r="L10" s="2257" t="s">
        <v>141</v>
      </c>
      <c r="M10" s="2256"/>
      <c r="N10" s="2257" t="s">
        <v>142</v>
      </c>
      <c r="O10" s="2256"/>
      <c r="P10" s="2257" t="s">
        <v>129</v>
      </c>
      <c r="Q10" s="2256"/>
      <c r="R10" s="2257" t="s">
        <v>130</v>
      </c>
      <c r="S10" s="2256"/>
      <c r="T10" s="2257" t="s">
        <v>131</v>
      </c>
      <c r="U10" s="2256"/>
      <c r="V10" s="2257" t="s">
        <v>132</v>
      </c>
      <c r="W10" s="2256"/>
      <c r="X10" s="2257" t="s">
        <v>182</v>
      </c>
      <c r="Y10" s="2256"/>
      <c r="Z10" s="2255" t="s">
        <v>1506</v>
      </c>
      <c r="AA10" s="362"/>
    </row>
    <row r="11" spans="1:33" ht="15" customHeight="1">
      <c r="A11" s="880"/>
      <c r="B11" s="2258" t="s">
        <v>14</v>
      </c>
      <c r="C11" s="2259"/>
      <c r="D11" s="2258" t="s">
        <v>14</v>
      </c>
      <c r="E11" s="2259"/>
      <c r="F11" s="2258" t="s">
        <v>14</v>
      </c>
      <c r="G11" s="2259"/>
      <c r="H11" s="2258" t="s">
        <v>14</v>
      </c>
      <c r="I11" s="2259"/>
      <c r="J11" s="2258" t="s">
        <v>14</v>
      </c>
      <c r="K11" s="2256"/>
      <c r="L11" s="2258" t="s">
        <v>14</v>
      </c>
      <c r="M11" s="2259"/>
      <c r="N11" s="2258" t="s">
        <v>14</v>
      </c>
      <c r="O11" s="2259"/>
      <c r="P11" s="2258" t="s">
        <v>14</v>
      </c>
      <c r="Q11" s="2259"/>
      <c r="R11" s="2258" t="s">
        <v>14</v>
      </c>
      <c r="S11" s="2259"/>
      <c r="T11" s="2258" t="s">
        <v>14</v>
      </c>
      <c r="U11" s="2259"/>
      <c r="V11" s="2258" t="s">
        <v>14</v>
      </c>
      <c r="W11" s="2259"/>
      <c r="X11" s="2258" t="s">
        <v>14</v>
      </c>
      <c r="Y11" s="2259"/>
      <c r="Z11" s="2260" t="s">
        <v>14</v>
      </c>
    </row>
    <row r="12" spans="1:33" s="364" customFormat="1" ht="15" customHeight="1">
      <c r="A12" s="368" t="s">
        <v>447</v>
      </c>
      <c r="B12" s="363">
        <v>38968871</v>
      </c>
      <c r="C12" s="363"/>
      <c r="D12" s="363">
        <f>B40</f>
        <v>78341297</v>
      </c>
      <c r="E12" s="883"/>
      <c r="F12" s="363">
        <f>D40</f>
        <v>65935931</v>
      </c>
      <c r="G12" s="883"/>
      <c r="H12" s="363">
        <f>F40</f>
        <v>52347389</v>
      </c>
      <c r="I12" s="883"/>
      <c r="J12" s="363">
        <f>H40</f>
        <v>35480253</v>
      </c>
      <c r="K12" s="363"/>
      <c r="L12" s="363">
        <f>J40</f>
        <v>70412682</v>
      </c>
      <c r="M12" s="363"/>
      <c r="N12" s="363"/>
      <c r="O12" s="363"/>
      <c r="P12" s="363"/>
      <c r="Q12" s="363"/>
      <c r="R12" s="363"/>
      <c r="S12" s="363"/>
      <c r="T12" s="363"/>
      <c r="U12" s="363"/>
      <c r="V12" s="363"/>
      <c r="W12" s="363"/>
      <c r="X12" s="363"/>
      <c r="Y12" s="363"/>
      <c r="Z12" s="363">
        <f>+B12</f>
        <v>38968871</v>
      </c>
    </row>
    <row r="13" spans="1:33" ht="15" customHeight="1">
      <c r="A13" s="884"/>
      <c r="B13" s="2259"/>
      <c r="C13" s="2259"/>
      <c r="D13" s="2259"/>
      <c r="E13" s="2259"/>
      <c r="F13" s="2259"/>
      <c r="G13" s="2259"/>
      <c r="H13" s="2259"/>
      <c r="I13" s="2259"/>
      <c r="J13" s="2259"/>
      <c r="K13" s="2256"/>
      <c r="L13" s="2259"/>
      <c r="M13" s="2259"/>
      <c r="N13" s="2259"/>
      <c r="O13" s="2259"/>
      <c r="P13" s="2259"/>
      <c r="Q13" s="2259"/>
      <c r="R13" s="2259"/>
      <c r="S13" s="2259"/>
      <c r="T13" s="2259"/>
      <c r="U13" s="2259"/>
      <c r="V13" s="2259"/>
      <c r="W13" s="2259"/>
      <c r="X13" s="2259"/>
      <c r="Y13" s="2259"/>
      <c r="Z13" s="2261"/>
    </row>
    <row r="14" spans="1:33" ht="15" customHeight="1">
      <c r="A14" s="365" t="s">
        <v>13</v>
      </c>
      <c r="B14" s="2259"/>
      <c r="C14" s="2259"/>
      <c r="D14" s="2259"/>
      <c r="E14" s="2259"/>
      <c r="F14" s="2259"/>
      <c r="G14" s="2259"/>
      <c r="H14" s="2259"/>
      <c r="I14" s="2259"/>
      <c r="J14" s="2259"/>
      <c r="K14" s="2259"/>
      <c r="L14" s="2259"/>
      <c r="M14" s="2259"/>
      <c r="N14" s="2259"/>
      <c r="O14" s="2259"/>
      <c r="P14" s="2259"/>
      <c r="Q14" s="2259"/>
      <c r="R14" s="2259"/>
      <c r="S14" s="2259"/>
      <c r="T14" s="2259"/>
      <c r="U14" s="2259"/>
      <c r="V14" s="2259"/>
      <c r="W14" s="2259"/>
      <c r="X14" s="2259"/>
      <c r="Y14" s="2259"/>
      <c r="Z14" s="2261"/>
      <c r="AC14" s="1155"/>
    </row>
    <row r="15" spans="1:33" ht="15" customHeight="1">
      <c r="A15" s="593" t="s">
        <v>1075</v>
      </c>
      <c r="B15" s="2268">
        <v>80000000</v>
      </c>
      <c r="C15" s="2259"/>
      <c r="D15" s="2259">
        <v>0</v>
      </c>
      <c r="E15" s="2259"/>
      <c r="F15" s="2259">
        <v>0</v>
      </c>
      <c r="G15" s="2259"/>
      <c r="H15" s="2259">
        <v>0</v>
      </c>
      <c r="I15" s="2259"/>
      <c r="J15" s="1155">
        <v>50000000</v>
      </c>
      <c r="K15" s="2259"/>
      <c r="L15" s="2268">
        <v>80000000</v>
      </c>
      <c r="M15" s="2259"/>
      <c r="N15" s="2259"/>
      <c r="O15" s="2259"/>
      <c r="P15" s="2259"/>
      <c r="Q15" s="2259"/>
      <c r="R15" s="2259"/>
      <c r="S15" s="2259"/>
      <c r="T15" s="2259"/>
      <c r="U15" s="2259"/>
      <c r="V15" s="2259"/>
      <c r="W15" s="2259"/>
      <c r="X15" s="2259"/>
      <c r="Y15" s="2259"/>
      <c r="Z15" s="1106">
        <f>SUM(B15:X15)</f>
        <v>210000000</v>
      </c>
    </row>
    <row r="16" spans="1:33" ht="15" customHeight="1">
      <c r="A16" s="593" t="s">
        <v>1281</v>
      </c>
      <c r="B16" s="2259">
        <v>0</v>
      </c>
      <c r="C16" s="2259"/>
      <c r="D16" s="2259">
        <v>0</v>
      </c>
      <c r="E16" s="2259"/>
      <c r="F16" s="2259">
        <v>0</v>
      </c>
      <c r="G16" s="2259"/>
      <c r="H16" s="2259">
        <v>0</v>
      </c>
      <c r="I16" s="2259"/>
      <c r="J16" s="1155">
        <v>0</v>
      </c>
      <c r="K16" s="2259"/>
      <c r="L16" s="2259">
        <v>0</v>
      </c>
      <c r="M16" s="2259"/>
      <c r="N16" s="2259"/>
      <c r="O16" s="2259"/>
      <c r="P16" s="2259"/>
      <c r="Q16" s="2259"/>
      <c r="R16" s="2259"/>
      <c r="S16" s="2259"/>
      <c r="T16" s="2259"/>
      <c r="U16" s="2259"/>
      <c r="V16" s="2259"/>
      <c r="W16" s="2259"/>
      <c r="X16" s="2259"/>
      <c r="Y16" s="2259"/>
      <c r="Z16" s="1106">
        <f>SUM(B16:X16)</f>
        <v>0</v>
      </c>
    </row>
    <row r="17" spans="1:28" s="364" customFormat="1" ht="22.5" customHeight="1">
      <c r="A17" s="365" t="s">
        <v>147</v>
      </c>
      <c r="B17" s="2270">
        <f>ROUND(SUM(B15:B16),0)</f>
        <v>80000000</v>
      </c>
      <c r="C17" s="2256"/>
      <c r="D17" s="2262">
        <f>ROUND(SUM(D15:D16),0)</f>
        <v>0</v>
      </c>
      <c r="E17" s="2256"/>
      <c r="F17" s="2262">
        <f>ROUND(SUM(F15:F16),0)</f>
        <v>0</v>
      </c>
      <c r="G17" s="2256"/>
      <c r="H17" s="2262">
        <f>ROUND(SUM(H15:H16),0)</f>
        <v>0</v>
      </c>
      <c r="I17" s="2256"/>
      <c r="J17" s="2294">
        <f>ROUND(SUM(J15:J16),0)</f>
        <v>50000000</v>
      </c>
      <c r="K17" s="2256"/>
      <c r="L17" s="2270">
        <f>ROUND(SUM(L15:L16),0)</f>
        <v>80000000</v>
      </c>
      <c r="M17" s="2256"/>
      <c r="N17" s="2262">
        <f>ROUND(SUM(N15:N16),0)</f>
        <v>0</v>
      </c>
      <c r="O17" s="2256"/>
      <c r="P17" s="2262">
        <f>ROUND(SUM(P15:P16),0)</f>
        <v>0</v>
      </c>
      <c r="Q17" s="2256"/>
      <c r="R17" s="2262">
        <f>ROUND(SUM(R15:R16),0)</f>
        <v>0</v>
      </c>
      <c r="S17" s="2256"/>
      <c r="T17" s="2262">
        <f>ROUND(SUM(T15:T16),0)</f>
        <v>0</v>
      </c>
      <c r="U17" s="2256"/>
      <c r="V17" s="2262">
        <f>ROUND(SUM(V15:V16),0)</f>
        <v>0</v>
      </c>
      <c r="W17" s="2256"/>
      <c r="X17" s="2262">
        <f>ROUND(SUM(X15:X16),0)</f>
        <v>0</v>
      </c>
      <c r="Y17" s="2256"/>
      <c r="Z17" s="2270">
        <f>ROUND(SUM(Z15:Z16),0)</f>
        <v>210000000</v>
      </c>
      <c r="AB17" s="289"/>
    </row>
    <row r="18" spans="1:28" ht="15" customHeight="1">
      <c r="A18" s="884"/>
      <c r="B18" s="2259"/>
      <c r="C18" s="2259"/>
      <c r="D18" s="2259"/>
      <c r="E18" s="2259"/>
      <c r="F18" s="2259"/>
      <c r="G18" s="2259"/>
      <c r="H18" s="2259"/>
      <c r="I18" s="2259"/>
      <c r="J18" s="887"/>
      <c r="K18" s="2259"/>
      <c r="L18" s="2259"/>
      <c r="M18" s="2259"/>
      <c r="N18" s="2259"/>
      <c r="O18" s="2259"/>
      <c r="P18" s="2259"/>
      <c r="Q18" s="2259"/>
      <c r="R18" s="2259"/>
      <c r="S18" s="2259"/>
      <c r="T18" s="2259"/>
      <c r="U18" s="2259"/>
      <c r="V18" s="2259"/>
      <c r="W18" s="2259"/>
      <c r="X18" s="2259"/>
      <c r="Y18" s="2259"/>
      <c r="Z18" s="886"/>
    </row>
    <row r="19" spans="1:28" ht="15" customHeight="1">
      <c r="A19" s="365" t="s">
        <v>22</v>
      </c>
      <c r="B19" s="2259"/>
      <c r="C19" s="2259"/>
      <c r="D19" s="2259"/>
      <c r="E19" s="2259"/>
      <c r="F19" s="2259"/>
      <c r="G19" s="2259"/>
      <c r="H19" s="2259"/>
      <c r="I19" s="2259"/>
      <c r="J19" s="887"/>
      <c r="K19" s="2259"/>
      <c r="L19" s="2259"/>
      <c r="M19" s="2259"/>
      <c r="N19" s="2259"/>
      <c r="O19" s="2259"/>
      <c r="P19" s="2259"/>
      <c r="Q19" s="2259"/>
      <c r="R19" s="2259"/>
      <c r="S19" s="2259"/>
      <c r="T19" s="2259"/>
      <c r="U19" s="2259"/>
      <c r="V19" s="2259"/>
      <c r="W19" s="2259"/>
      <c r="X19" s="2259"/>
      <c r="Y19" s="2259"/>
      <c r="Z19" s="1106"/>
    </row>
    <row r="20" spans="1:28" ht="15" customHeight="1">
      <c r="A20" s="593" t="s">
        <v>1116</v>
      </c>
      <c r="B20" s="887">
        <v>237997</v>
      </c>
      <c r="C20" s="887"/>
      <c r="D20" s="887">
        <v>139657</v>
      </c>
      <c r="E20" s="887"/>
      <c r="F20" s="887">
        <v>-286577</v>
      </c>
      <c r="G20" s="887"/>
      <c r="H20" s="887">
        <v>0</v>
      </c>
      <c r="I20" s="2259"/>
      <c r="J20" s="887">
        <v>0</v>
      </c>
      <c r="K20" s="2259"/>
      <c r="L20" s="887">
        <v>36671148</v>
      </c>
      <c r="M20" s="2259"/>
      <c r="N20" s="2259"/>
      <c r="O20" s="2259"/>
      <c r="P20" s="2259"/>
      <c r="Q20" s="2259"/>
      <c r="R20" s="2259"/>
      <c r="S20" s="2259"/>
      <c r="T20" s="2259"/>
      <c r="U20" s="2259"/>
      <c r="V20" s="2259"/>
      <c r="W20" s="2259"/>
      <c r="X20" s="2259"/>
      <c r="Y20" s="2259"/>
      <c r="Z20" s="1106">
        <f t="shared" ref="Z20:Z25" si="0">ROUND(SUM(B20:X20),0)</f>
        <v>36762225</v>
      </c>
    </row>
    <row r="21" spans="1:28" ht="15" customHeight="1">
      <c r="A21" s="593" t="s">
        <v>1074</v>
      </c>
      <c r="B21" s="887">
        <v>14183473</v>
      </c>
      <c r="C21" s="887"/>
      <c r="D21" s="887">
        <v>3229460</v>
      </c>
      <c r="E21" s="887"/>
      <c r="F21" s="887">
        <v>10240</v>
      </c>
      <c r="G21" s="887"/>
      <c r="H21" s="887">
        <v>2456884</v>
      </c>
      <c r="I21" s="2259"/>
      <c r="J21" s="887">
        <v>5273</v>
      </c>
      <c r="K21" s="2259"/>
      <c r="L21" s="887">
        <v>4043409</v>
      </c>
      <c r="M21" s="2259"/>
      <c r="N21" s="2259"/>
      <c r="O21" s="2259"/>
      <c r="P21" s="2259"/>
      <c r="Q21" s="2259"/>
      <c r="R21" s="2259"/>
      <c r="S21" s="2259"/>
      <c r="T21" s="2259"/>
      <c r="U21" s="2259"/>
      <c r="V21" s="2259"/>
      <c r="W21" s="2259"/>
      <c r="X21" s="2259"/>
      <c r="Y21" s="2259"/>
      <c r="Z21" s="2272">
        <f>ROUND(SUM(B21:X21),0)</f>
        <v>23928739</v>
      </c>
    </row>
    <row r="22" spans="1:28" ht="15" customHeight="1">
      <c r="A22" s="593" t="s">
        <v>1136</v>
      </c>
      <c r="B22" s="887">
        <v>0</v>
      </c>
      <c r="C22" s="887"/>
      <c r="D22" s="887">
        <v>250000</v>
      </c>
      <c r="E22" s="887"/>
      <c r="F22" s="887">
        <v>0</v>
      </c>
      <c r="G22" s="887"/>
      <c r="H22" s="887">
        <v>228017</v>
      </c>
      <c r="I22" s="2259"/>
      <c r="J22" s="887">
        <v>0</v>
      </c>
      <c r="K22" s="2259"/>
      <c r="L22" s="887">
        <v>269030</v>
      </c>
      <c r="M22" s="2259"/>
      <c r="N22" s="2259"/>
      <c r="O22" s="2259"/>
      <c r="P22" s="2259"/>
      <c r="Q22" s="2259"/>
      <c r="R22" s="2259"/>
      <c r="S22" s="2259"/>
      <c r="T22" s="2259"/>
      <c r="U22" s="2259"/>
      <c r="V22" s="2259"/>
      <c r="W22" s="2259"/>
      <c r="X22" s="2259"/>
      <c r="Y22" s="2259"/>
      <c r="Z22" s="2272">
        <f t="shared" si="0"/>
        <v>747047</v>
      </c>
      <c r="AB22" s="1831"/>
    </row>
    <row r="23" spans="1:28" ht="15" customHeight="1">
      <c r="A23" s="593" t="s">
        <v>1119</v>
      </c>
      <c r="B23" s="887">
        <v>0</v>
      </c>
      <c r="C23" s="887"/>
      <c r="D23" s="887">
        <v>0</v>
      </c>
      <c r="E23" s="887"/>
      <c r="F23" s="887">
        <v>3486</v>
      </c>
      <c r="G23" s="887"/>
      <c r="H23" s="887">
        <v>0</v>
      </c>
      <c r="I23" s="2259"/>
      <c r="J23" s="887">
        <v>1</v>
      </c>
      <c r="K23" s="2259"/>
      <c r="L23" s="887">
        <v>0</v>
      </c>
      <c r="M23" s="2259"/>
      <c r="N23" s="2259"/>
      <c r="O23" s="2259"/>
      <c r="P23" s="2259"/>
      <c r="Q23" s="2259"/>
      <c r="R23" s="2259"/>
      <c r="S23" s="2259"/>
      <c r="T23" s="2259"/>
      <c r="U23" s="2259"/>
      <c r="V23" s="2259"/>
      <c r="W23" s="2259"/>
      <c r="X23" s="2259"/>
      <c r="Y23" s="2259"/>
      <c r="Z23" s="2272">
        <f t="shared" si="0"/>
        <v>3487</v>
      </c>
    </row>
    <row r="24" spans="1:28" ht="15" customHeight="1">
      <c r="A24" s="593" t="s">
        <v>1282</v>
      </c>
      <c r="B24" s="887">
        <v>0</v>
      </c>
      <c r="C24" s="887"/>
      <c r="D24" s="887">
        <v>0</v>
      </c>
      <c r="E24" s="887"/>
      <c r="F24" s="887">
        <v>0</v>
      </c>
      <c r="G24" s="887"/>
      <c r="H24" s="887">
        <v>0</v>
      </c>
      <c r="I24" s="2259"/>
      <c r="J24" s="887">
        <v>0</v>
      </c>
      <c r="K24" s="2259"/>
      <c r="L24" s="887">
        <v>0</v>
      </c>
      <c r="M24" s="2259"/>
      <c r="N24" s="2259"/>
      <c r="O24" s="2259"/>
      <c r="P24" s="2259"/>
      <c r="Q24" s="2259"/>
      <c r="R24" s="2259"/>
      <c r="S24" s="2259"/>
      <c r="T24" s="2259"/>
      <c r="U24" s="2259"/>
      <c r="V24" s="2259"/>
      <c r="W24" s="2259"/>
      <c r="X24" s="2259"/>
      <c r="Y24" s="2259"/>
      <c r="Z24" s="2272">
        <f t="shared" si="0"/>
        <v>0</v>
      </c>
    </row>
    <row r="25" spans="1:28" ht="15" customHeight="1">
      <c r="A25" s="593" t="s">
        <v>1073</v>
      </c>
      <c r="B25" s="887">
        <v>0</v>
      </c>
      <c r="C25" s="887"/>
      <c r="D25" s="887">
        <v>0</v>
      </c>
      <c r="E25" s="887"/>
      <c r="F25" s="887">
        <v>0</v>
      </c>
      <c r="G25" s="887"/>
      <c r="H25" s="887">
        <v>0</v>
      </c>
      <c r="I25" s="2259"/>
      <c r="J25" s="887">
        <v>0</v>
      </c>
      <c r="K25" s="2259"/>
      <c r="L25" s="887">
        <v>0</v>
      </c>
      <c r="M25" s="2259"/>
      <c r="N25" s="2259"/>
      <c r="O25" s="2259"/>
      <c r="P25" s="2259"/>
      <c r="Q25" s="2259"/>
      <c r="R25" s="2259"/>
      <c r="S25" s="2259"/>
      <c r="T25" s="2259"/>
      <c r="U25" s="2259"/>
      <c r="V25" s="2259"/>
      <c r="W25" s="2259"/>
      <c r="X25" s="2259"/>
      <c r="Y25" s="2259"/>
      <c r="Z25" s="2272">
        <f t="shared" si="0"/>
        <v>0</v>
      </c>
    </row>
    <row r="26" spans="1:28" ht="14.85" customHeight="1">
      <c r="A26" s="593" t="s">
        <v>1137</v>
      </c>
      <c r="B26" s="887">
        <v>888453</v>
      </c>
      <c r="C26" s="887"/>
      <c r="D26" s="887">
        <v>7060</v>
      </c>
      <c r="E26" s="887"/>
      <c r="F26" s="887">
        <v>38366</v>
      </c>
      <c r="G26" s="887"/>
      <c r="H26" s="887">
        <v>648644</v>
      </c>
      <c r="I26" s="2259"/>
      <c r="J26" s="887">
        <v>1650000</v>
      </c>
      <c r="K26" s="2259"/>
      <c r="L26" s="887">
        <v>2378862</v>
      </c>
      <c r="M26" s="2259"/>
      <c r="N26" s="2259"/>
      <c r="O26" s="2259"/>
      <c r="P26" s="2259"/>
      <c r="Q26" s="2259"/>
      <c r="R26" s="2259"/>
      <c r="S26" s="2259"/>
      <c r="T26" s="2259"/>
      <c r="U26" s="2259"/>
      <c r="V26" s="2259"/>
      <c r="W26" s="2259"/>
      <c r="X26" s="2259"/>
      <c r="Y26" s="2259"/>
      <c r="Z26" s="2272">
        <f>ROUND(SUM(B26:X26),0)</f>
        <v>5611385</v>
      </c>
    </row>
    <row r="27" spans="1:28" ht="14.85" customHeight="1">
      <c r="A27" s="593" t="s">
        <v>1455</v>
      </c>
      <c r="B27" s="887">
        <v>0</v>
      </c>
      <c r="C27" s="887"/>
      <c r="D27" s="887">
        <v>0</v>
      </c>
      <c r="E27" s="887"/>
      <c r="F27" s="887">
        <v>0</v>
      </c>
      <c r="G27" s="887"/>
      <c r="H27" s="887">
        <v>143543</v>
      </c>
      <c r="I27" s="2259"/>
      <c r="J27" s="887">
        <v>1722306</v>
      </c>
      <c r="K27" s="2259"/>
      <c r="L27" s="887">
        <v>1000452</v>
      </c>
      <c r="M27" s="2259"/>
      <c r="N27" s="2259"/>
      <c r="O27" s="2259"/>
      <c r="P27" s="2259"/>
      <c r="Q27" s="2259"/>
      <c r="R27" s="2259"/>
      <c r="S27" s="2259"/>
      <c r="T27" s="2259"/>
      <c r="U27" s="2259"/>
      <c r="V27" s="2259"/>
      <c r="W27" s="2259"/>
      <c r="X27" s="2259"/>
      <c r="Y27" s="2259"/>
      <c r="Z27" s="2272">
        <f>ROUND(SUM(B27:X27),0)</f>
        <v>2866301</v>
      </c>
    </row>
    <row r="28" spans="1:28" ht="15" customHeight="1">
      <c r="A28" s="593" t="s">
        <v>1103</v>
      </c>
      <c r="B28" s="887">
        <v>0</v>
      </c>
      <c r="C28" s="887"/>
      <c r="D28" s="887">
        <v>-1600602</v>
      </c>
      <c r="E28" s="887"/>
      <c r="F28" s="887">
        <v>0</v>
      </c>
      <c r="G28" s="887"/>
      <c r="H28" s="887">
        <v>0</v>
      </c>
      <c r="I28" s="2259"/>
      <c r="J28" s="887">
        <v>0</v>
      </c>
      <c r="K28" s="2259"/>
      <c r="L28" s="887">
        <v>0</v>
      </c>
      <c r="M28" s="2259"/>
      <c r="N28" s="2259"/>
      <c r="O28" s="2259"/>
      <c r="P28" s="2259"/>
      <c r="Q28" s="2259"/>
      <c r="R28" s="2259"/>
      <c r="S28" s="2259"/>
      <c r="T28" s="2259"/>
      <c r="U28" s="2259"/>
      <c r="V28" s="2259"/>
      <c r="W28" s="2259"/>
      <c r="X28" s="2259"/>
      <c r="Y28" s="2259"/>
      <c r="Z28" s="1106">
        <f>ROUND(SUM(B28:X28),0)</f>
        <v>-1600602</v>
      </c>
    </row>
    <row r="29" spans="1:28" ht="15" customHeight="1">
      <c r="A29" s="593" t="s">
        <v>1072</v>
      </c>
      <c r="B29" s="887">
        <v>12785</v>
      </c>
      <c r="C29" s="887"/>
      <c r="D29" s="887">
        <v>121751</v>
      </c>
      <c r="E29" s="887"/>
      <c r="F29" s="887">
        <v>5660</v>
      </c>
      <c r="G29" s="887"/>
      <c r="H29" s="887">
        <v>566351</v>
      </c>
      <c r="I29" s="2259"/>
      <c r="J29" s="887">
        <v>90712</v>
      </c>
      <c r="K29" s="2259"/>
      <c r="L29" s="887">
        <v>419137</v>
      </c>
      <c r="M29" s="2259"/>
      <c r="N29" s="2259"/>
      <c r="O29" s="2259"/>
      <c r="P29" s="2259"/>
      <c r="Q29" s="2259"/>
      <c r="R29" s="2259"/>
      <c r="S29" s="2259"/>
      <c r="T29" s="2259"/>
      <c r="U29" s="2259"/>
      <c r="V29" s="2259"/>
      <c r="W29" s="2259"/>
      <c r="X29" s="2259"/>
      <c r="Y29" s="2259"/>
      <c r="Z29" s="1106">
        <f t="shared" ref="Z29" si="1">ROUND(SUM(B29:X29),0)</f>
        <v>1216396</v>
      </c>
    </row>
    <row r="30" spans="1:28" ht="15" customHeight="1">
      <c r="A30" s="593" t="s">
        <v>1071</v>
      </c>
      <c r="B30" s="887">
        <v>1728541</v>
      </c>
      <c r="C30" s="887"/>
      <c r="D30" s="887">
        <v>7893611</v>
      </c>
      <c r="E30" s="887"/>
      <c r="F30" s="887">
        <v>746742</v>
      </c>
      <c r="G30" s="887"/>
      <c r="H30" s="887">
        <v>563062</v>
      </c>
      <c r="I30" s="2259"/>
      <c r="J30" s="887">
        <v>681156</v>
      </c>
      <c r="K30" s="2259"/>
      <c r="L30" s="887">
        <v>51343</v>
      </c>
      <c r="M30" s="2259"/>
      <c r="N30" s="2259"/>
      <c r="O30" s="2259"/>
      <c r="P30" s="2259"/>
      <c r="Q30" s="2259"/>
      <c r="R30" s="2259"/>
      <c r="S30" s="2259"/>
      <c r="T30" s="2259"/>
      <c r="U30" s="2259"/>
      <c r="V30" s="2259"/>
      <c r="W30" s="2259"/>
      <c r="X30" s="2259"/>
      <c r="Y30" s="2259"/>
      <c r="Z30" s="1106">
        <f>ROUND(SUM(B30:X30),0)</f>
        <v>11664455</v>
      </c>
    </row>
    <row r="31" spans="1:28" ht="15" customHeight="1">
      <c r="A31" s="593" t="s">
        <v>1086</v>
      </c>
      <c r="B31" s="887">
        <v>23576325</v>
      </c>
      <c r="C31" s="887"/>
      <c r="D31" s="887">
        <v>2364429</v>
      </c>
      <c r="E31" s="887"/>
      <c r="F31" s="887">
        <v>13070625</v>
      </c>
      <c r="G31" s="887"/>
      <c r="H31" s="887">
        <v>12260635</v>
      </c>
      <c r="I31" s="2259"/>
      <c r="J31" s="887">
        <v>10918123</v>
      </c>
      <c r="K31" s="2259"/>
      <c r="L31" s="887">
        <v>3920887</v>
      </c>
      <c r="M31" s="2259"/>
      <c r="N31" s="2259"/>
      <c r="O31" s="2259"/>
      <c r="P31" s="2259"/>
      <c r="Q31" s="2259"/>
      <c r="R31" s="2259"/>
      <c r="S31" s="2259"/>
      <c r="T31" s="2259"/>
      <c r="U31" s="2259"/>
      <c r="V31" s="2259"/>
      <c r="W31" s="2259"/>
      <c r="X31" s="2259"/>
      <c r="Y31" s="2259"/>
      <c r="Z31" s="1106">
        <f>ROUND(SUM(B31:X31),0)</f>
        <v>66111024</v>
      </c>
    </row>
    <row r="32" spans="1:28" ht="22.5" customHeight="1">
      <c r="A32" s="365" t="s">
        <v>153</v>
      </c>
      <c r="B32" s="2270">
        <f>ROUND(SUM(B20:B31),0)</f>
        <v>40627574</v>
      </c>
      <c r="C32" s="2268"/>
      <c r="D32" s="2270">
        <f>ROUND(SUM(D20:D31),0)</f>
        <v>12405366</v>
      </c>
      <c r="E32" s="2268"/>
      <c r="F32" s="2270">
        <f>ROUND(SUM(F20:F31),0)</f>
        <v>13588542</v>
      </c>
      <c r="G32" s="2268"/>
      <c r="H32" s="2270">
        <f>ROUND(SUM(H20:H31),0)</f>
        <v>16867136</v>
      </c>
      <c r="I32" s="2268"/>
      <c r="J32" s="2294">
        <f>ROUND(SUM(J20:J31),0)</f>
        <v>15067571</v>
      </c>
      <c r="K32" s="2259"/>
      <c r="L32" s="2293">
        <f>ROUND(SUM(L20:L31),0)</f>
        <v>48754268</v>
      </c>
      <c r="M32" s="2259"/>
      <c r="N32" s="2262">
        <f>ROUND(SUM(N20:N31),0)</f>
        <v>0</v>
      </c>
      <c r="O32" s="2259"/>
      <c r="P32" s="2262">
        <f>ROUND(SUM(P20:P31),0)</f>
        <v>0</v>
      </c>
      <c r="Q32" s="2259"/>
      <c r="R32" s="2262">
        <f>ROUND(SUM(R20:R31),0)</f>
        <v>0</v>
      </c>
      <c r="S32" s="2259"/>
      <c r="T32" s="2262">
        <f>ROUND(SUM(T20:T31),0)</f>
        <v>0</v>
      </c>
      <c r="U32" s="2259"/>
      <c r="V32" s="2262">
        <f>ROUND(SUM(V20:V31),0)</f>
        <v>0</v>
      </c>
      <c r="W32" s="2259"/>
      <c r="X32" s="2262">
        <f>ROUND(SUM(X20:X31),0)</f>
        <v>0</v>
      </c>
      <c r="Y32" s="2259"/>
      <c r="Z32" s="2270">
        <f>ROUND(SUM(Z20:Z31),0)</f>
        <v>147310457</v>
      </c>
    </row>
    <row r="33" spans="1:28" ht="15" customHeight="1">
      <c r="A33" s="365"/>
      <c r="B33" s="2259"/>
      <c r="C33" s="2259"/>
      <c r="D33" s="2259"/>
      <c r="E33" s="2259"/>
      <c r="F33" s="2263"/>
      <c r="G33" s="2259"/>
      <c r="H33" s="2263"/>
      <c r="I33" s="2259"/>
      <c r="J33" s="2259"/>
      <c r="K33" s="2259"/>
      <c r="L33" s="2264"/>
      <c r="M33" s="2259"/>
      <c r="N33" s="2264"/>
      <c r="O33" s="2259"/>
      <c r="P33" s="2259"/>
      <c r="Q33" s="2259"/>
      <c r="R33" s="2263"/>
      <c r="S33" s="2259"/>
      <c r="T33" s="2263"/>
      <c r="U33" s="2259"/>
      <c r="V33" s="2259"/>
      <c r="W33" s="2259"/>
      <c r="X33" s="2263"/>
      <c r="Y33" s="2259"/>
      <c r="Z33" s="1106"/>
    </row>
    <row r="34" spans="1:28" ht="15" customHeight="1">
      <c r="A34" s="368" t="s">
        <v>460</v>
      </c>
      <c r="B34" s="2263"/>
      <c r="C34" s="2263"/>
      <c r="D34" s="2263"/>
      <c r="E34" s="2259"/>
      <c r="F34" s="2264"/>
      <c r="G34" s="2259"/>
      <c r="H34" s="2263"/>
      <c r="I34" s="2259"/>
      <c r="J34" s="2263"/>
      <c r="K34" s="2259"/>
      <c r="L34" s="2263"/>
      <c r="M34" s="2259"/>
      <c r="N34" s="2263"/>
      <c r="O34" s="2259"/>
      <c r="P34" s="2259"/>
      <c r="Q34" s="2259"/>
      <c r="R34" s="2263"/>
      <c r="S34" s="2259"/>
      <c r="T34" s="2263"/>
      <c r="U34" s="2259"/>
      <c r="V34" s="2264"/>
      <c r="W34" s="2259"/>
      <c r="X34" s="2264"/>
      <c r="Y34" s="2259"/>
      <c r="Z34" s="1106"/>
    </row>
    <row r="35" spans="1:28" ht="15" customHeight="1">
      <c r="A35" s="593" t="s">
        <v>462</v>
      </c>
      <c r="B35" s="2259">
        <v>0</v>
      </c>
      <c r="C35" s="2263"/>
      <c r="D35" s="2259">
        <v>0</v>
      </c>
      <c r="E35" s="2259"/>
      <c r="F35" s="2259">
        <v>0</v>
      </c>
      <c r="G35" s="2259"/>
      <c r="H35" s="2259">
        <v>0</v>
      </c>
      <c r="I35" s="2259"/>
      <c r="J35" s="2149">
        <v>0</v>
      </c>
      <c r="K35" s="2259"/>
      <c r="L35" s="2259">
        <v>0</v>
      </c>
      <c r="M35" s="2259"/>
      <c r="N35" s="2259"/>
      <c r="O35" s="2259"/>
      <c r="P35" s="2259"/>
      <c r="Q35" s="2259"/>
      <c r="R35" s="2259"/>
      <c r="S35" s="2259"/>
      <c r="T35" s="2259"/>
      <c r="U35" s="2259"/>
      <c r="V35" s="2259"/>
      <c r="W35" s="2259"/>
      <c r="X35" s="2259"/>
      <c r="Y35" s="2259"/>
      <c r="Z35" s="1106">
        <f>ROUND(SUM(B35:X35),0)</f>
        <v>0</v>
      </c>
    </row>
    <row r="36" spans="1:28" ht="22.5" customHeight="1">
      <c r="A36" s="365" t="s">
        <v>466</v>
      </c>
      <c r="B36" s="2265">
        <f>ROUND(SUM(B35:B35),0)</f>
        <v>0</v>
      </c>
      <c r="C36" s="2263"/>
      <c r="D36" s="2265">
        <f>ROUND(SUM(D35:D35),0)</f>
        <v>0</v>
      </c>
      <c r="E36" s="2259"/>
      <c r="F36" s="2265">
        <f>ROUND(SUM(F35:F35),0)</f>
        <v>0</v>
      </c>
      <c r="G36" s="2259"/>
      <c r="H36" s="2265">
        <f>ROUND(SUM(H35:H35),0)</f>
        <v>0</v>
      </c>
      <c r="I36" s="2259"/>
      <c r="J36" s="2265">
        <f>ROUND(SUM(J35:J35),0)</f>
        <v>0</v>
      </c>
      <c r="K36" s="2259"/>
      <c r="L36" s="2265">
        <f>ROUND(SUM(L35:L35),0)</f>
        <v>0</v>
      </c>
      <c r="M36" s="2259"/>
      <c r="N36" s="2265">
        <f>ROUND(SUM(N35:N35),0)</f>
        <v>0</v>
      </c>
      <c r="O36" s="2259"/>
      <c r="P36" s="2265">
        <f>ROUND(SUM(P35:P35),0)</f>
        <v>0</v>
      </c>
      <c r="Q36" s="2259"/>
      <c r="R36" s="2265">
        <f>ROUND(SUM(R35:R35),0)</f>
        <v>0</v>
      </c>
      <c r="S36" s="2259"/>
      <c r="T36" s="2265">
        <f>ROUND(SUM(T35:T35),0)</f>
        <v>0</v>
      </c>
      <c r="U36" s="2259"/>
      <c r="V36" s="2265">
        <f>ROUND(SUM(V35:V35),0)</f>
        <v>0</v>
      </c>
      <c r="W36" s="2259"/>
      <c r="X36" s="2265">
        <f>ROUND(SUM(X35:X35),0)</f>
        <v>0</v>
      </c>
      <c r="Y36" s="2259"/>
      <c r="Z36" s="2273">
        <f>ROUND(SUM(Z35:Z35),0)</f>
        <v>0</v>
      </c>
    </row>
    <row r="37" spans="1:28" ht="15" customHeight="1">
      <c r="B37" s="2266"/>
      <c r="C37" s="2263"/>
      <c r="D37" s="2266"/>
      <c r="E37" s="2259"/>
      <c r="F37" s="2266"/>
      <c r="G37" s="2259"/>
      <c r="H37" s="2266"/>
      <c r="I37" s="2259"/>
      <c r="J37" s="2266"/>
      <c r="K37" s="2259"/>
      <c r="L37" s="2266"/>
      <c r="M37" s="2259"/>
      <c r="N37" s="2266"/>
      <c r="O37" s="2259"/>
      <c r="P37" s="2266"/>
      <c r="Q37" s="2259"/>
      <c r="R37" s="2266"/>
      <c r="S37" s="2259"/>
      <c r="T37" s="2266"/>
      <c r="U37" s="2259"/>
      <c r="V37" s="2266"/>
      <c r="W37" s="2259"/>
      <c r="X37" s="2266"/>
      <c r="Y37" s="2259"/>
      <c r="Z37" s="2274"/>
    </row>
    <row r="38" spans="1:28" s="364" customFormat="1" ht="20.25" customHeight="1">
      <c r="A38" s="365" t="s">
        <v>467</v>
      </c>
      <c r="B38" s="2271">
        <f>ROUND(B32+B36,0)</f>
        <v>40627574</v>
      </c>
      <c r="C38" s="2269"/>
      <c r="D38" s="2271">
        <f>ROUND(D32+D36,0)</f>
        <v>12405366</v>
      </c>
      <c r="E38" s="2269"/>
      <c r="F38" s="2271">
        <f>ROUND(F32+F36,0)</f>
        <v>13588542</v>
      </c>
      <c r="G38" s="2269"/>
      <c r="H38" s="2271">
        <f>ROUND(H32+H36,0)</f>
        <v>16867136</v>
      </c>
      <c r="I38" s="2269"/>
      <c r="J38" s="2271">
        <f>ROUND(J32+J36,0)</f>
        <v>15067571</v>
      </c>
      <c r="K38" s="2256"/>
      <c r="L38" s="2271">
        <f>ROUND(L32+L36,0)</f>
        <v>48754268</v>
      </c>
      <c r="M38" s="2256"/>
      <c r="N38" s="2267">
        <f>ROUND(N32+N36,0)</f>
        <v>0</v>
      </c>
      <c r="O38" s="2256"/>
      <c r="P38" s="2267">
        <f>ROUND(P32+P36,0)</f>
        <v>0</v>
      </c>
      <c r="Q38" s="2256"/>
      <c r="R38" s="2267">
        <f>ROUND(R32+R36,0)</f>
        <v>0</v>
      </c>
      <c r="S38" s="2256"/>
      <c r="T38" s="2267">
        <f>ROUND(T32+T36,0)</f>
        <v>0</v>
      </c>
      <c r="U38" s="2256"/>
      <c r="V38" s="2267">
        <f>ROUND(V32+V36,0)</f>
        <v>0</v>
      </c>
      <c r="W38" s="2256"/>
      <c r="X38" s="2267">
        <f>ROUND(X32+X36,0)</f>
        <v>0</v>
      </c>
      <c r="Y38" s="2256"/>
      <c r="Z38" s="2271">
        <f>ROUND(Z32+Z36,0)</f>
        <v>147310457</v>
      </c>
      <c r="AB38" s="289"/>
    </row>
    <row r="39" spans="1:28" ht="15" customHeight="1">
      <c r="A39" s="884"/>
      <c r="B39" s="2259"/>
      <c r="C39" s="2259"/>
      <c r="D39" s="2259"/>
      <c r="E39" s="2259"/>
      <c r="F39" s="2259"/>
      <c r="G39" s="2259"/>
      <c r="H39" s="2259"/>
      <c r="I39" s="2259"/>
      <c r="J39" s="2259"/>
      <c r="K39" s="2259"/>
      <c r="L39" s="2259"/>
      <c r="M39" s="2259"/>
      <c r="N39" s="2259"/>
      <c r="O39" s="2259"/>
      <c r="P39" s="2259"/>
      <c r="Q39" s="2259"/>
      <c r="R39" s="2259"/>
      <c r="S39" s="2259"/>
      <c r="T39" s="2259"/>
      <c r="U39" s="2259"/>
      <c r="V39" s="2259"/>
      <c r="W39" s="2259"/>
      <c r="X39" s="2259"/>
      <c r="Y39" s="2259"/>
      <c r="Z39" s="893"/>
    </row>
    <row r="40" spans="1:28" s="364" customFormat="1" ht="20.25" customHeight="1" thickBot="1">
      <c r="A40" s="368" t="s">
        <v>468</v>
      </c>
      <c r="B40" s="1023">
        <f>ROUND(B12+B17-B38,0)</f>
        <v>78341297</v>
      </c>
      <c r="C40" s="363"/>
      <c r="D40" s="1023">
        <f>ROUND(D12+D17-D38,0)</f>
        <v>65935931</v>
      </c>
      <c r="E40" s="883"/>
      <c r="F40" s="1023">
        <f>ROUND(F12+F17-F38,0)</f>
        <v>52347389</v>
      </c>
      <c r="G40" s="883"/>
      <c r="H40" s="1023">
        <f>ROUND(H12+H17-H38,0)</f>
        <v>35480253</v>
      </c>
      <c r="I40" s="2289"/>
      <c r="J40" s="1023">
        <f>ROUND(J12+J17-J38,0)</f>
        <v>70412682</v>
      </c>
      <c r="K40" s="2290"/>
      <c r="L40" s="1023">
        <f>ROUND(L12+L17-L38,0)</f>
        <v>101658414</v>
      </c>
      <c r="M40" s="2290"/>
      <c r="N40" s="1023">
        <f>ROUND(N12+N17-N38,0)</f>
        <v>0</v>
      </c>
      <c r="O40" s="2290"/>
      <c r="P40" s="1023">
        <f>ROUND(P12+P17-P38,0)</f>
        <v>0</v>
      </c>
      <c r="Q40" s="2290"/>
      <c r="R40" s="1023">
        <f>ROUND(R12+R17-R38,0)</f>
        <v>0</v>
      </c>
      <c r="S40" s="2290"/>
      <c r="T40" s="1023">
        <f>ROUND(T12+T17-T38,0)</f>
        <v>0</v>
      </c>
      <c r="U40" s="2290"/>
      <c r="V40" s="1023">
        <f>ROUND(V12+V17-V38,0)</f>
        <v>0</v>
      </c>
      <c r="W40" s="2290"/>
      <c r="X40" s="1023">
        <f>ROUND(X12+X17-X38,0)</f>
        <v>0</v>
      </c>
      <c r="Y40" s="2290"/>
      <c r="Z40" s="2291">
        <f>ROUND(Z12+Z17-Z38,0)</f>
        <v>101658414</v>
      </c>
    </row>
    <row r="41" spans="1:28" ht="15" customHeight="1" thickTop="1">
      <c r="A41" s="884"/>
      <c r="B41" s="881"/>
      <c r="C41" s="881"/>
      <c r="D41" s="881"/>
      <c r="E41" s="882"/>
      <c r="F41" s="881"/>
      <c r="G41" s="882"/>
      <c r="H41" s="881"/>
      <c r="I41" s="882"/>
      <c r="J41" s="881"/>
      <c r="K41" s="881"/>
      <c r="L41" s="881"/>
      <c r="M41" s="882"/>
      <c r="N41" s="881"/>
      <c r="O41" s="882"/>
      <c r="P41" s="881"/>
      <c r="Q41" s="882"/>
      <c r="R41" s="881"/>
      <c r="S41" s="882"/>
      <c r="T41" s="881"/>
      <c r="U41" s="882"/>
      <c r="V41" s="881"/>
      <c r="W41" s="882"/>
      <c r="X41" s="881"/>
      <c r="Y41" s="882"/>
      <c r="Z41" s="893"/>
    </row>
    <row r="42" spans="1:28" ht="20.100000000000001" customHeight="1">
      <c r="A42" s="369"/>
      <c r="B42" s="881"/>
      <c r="C42" s="881"/>
      <c r="D42" s="881"/>
      <c r="E42" s="882"/>
      <c r="F42" s="881"/>
      <c r="G42" s="882"/>
      <c r="H42" s="881"/>
      <c r="I42" s="882"/>
      <c r="J42" s="881"/>
      <c r="K42" s="881"/>
      <c r="L42" s="881"/>
      <c r="M42" s="882"/>
      <c r="N42" s="881"/>
      <c r="O42" s="882"/>
      <c r="P42" s="881"/>
      <c r="Q42" s="882"/>
      <c r="R42" s="881"/>
      <c r="S42" s="882"/>
      <c r="T42" s="881"/>
      <c r="U42" s="882"/>
      <c r="V42" s="881"/>
      <c r="W42" s="882"/>
      <c r="X42" s="881"/>
      <c r="Y42" s="882"/>
      <c r="Z42" s="886"/>
    </row>
    <row r="43" spans="1:28">
      <c r="L43" s="1020" t="s">
        <v>14</v>
      </c>
    </row>
    <row r="44" spans="1:28" ht="18" customHeight="1">
      <c r="A44" s="1022" t="s">
        <v>1213</v>
      </c>
      <c r="B44" s="877"/>
      <c r="C44" s="877"/>
      <c r="D44" s="877"/>
      <c r="E44" s="348"/>
      <c r="F44" s="877"/>
      <c r="G44" s="348"/>
      <c r="H44" s="877"/>
      <c r="I44" s="348"/>
      <c r="J44" s="877"/>
      <c r="K44" s="877"/>
      <c r="L44" s="877"/>
      <c r="M44" s="882"/>
      <c r="N44" s="877" t="s">
        <v>14</v>
      </c>
      <c r="O44" s="348"/>
      <c r="P44" s="877"/>
      <c r="Q44" s="348"/>
      <c r="R44" s="877"/>
      <c r="S44" s="348"/>
      <c r="T44" s="877"/>
      <c r="U44" s="348"/>
      <c r="V44" s="877"/>
      <c r="W44" s="348"/>
      <c r="X44" s="877"/>
      <c r="Y44" s="348"/>
      <c r="Z44" s="878"/>
    </row>
    <row r="45" spans="1:28" ht="20.100000000000001" customHeight="1">
      <c r="A45" s="1021" t="s">
        <v>1146</v>
      </c>
      <c r="B45" s="881"/>
      <c r="C45" s="881"/>
      <c r="D45" s="881"/>
      <c r="E45" s="882"/>
      <c r="F45" s="881"/>
      <c r="G45" s="882"/>
      <c r="H45" s="881"/>
      <c r="I45" s="882"/>
      <c r="J45" s="881"/>
      <c r="K45" s="881"/>
      <c r="L45" s="881"/>
      <c r="M45" s="882"/>
      <c r="N45" s="881" t="s">
        <v>14</v>
      </c>
      <c r="O45" s="882"/>
      <c r="P45" s="881"/>
      <c r="Q45" s="882"/>
      <c r="R45" s="881"/>
      <c r="S45" s="882"/>
      <c r="T45" s="881"/>
      <c r="U45" s="882"/>
      <c r="V45" s="881"/>
      <c r="W45" s="882"/>
      <c r="X45" s="881"/>
      <c r="Y45" s="882"/>
      <c r="Z45" s="886"/>
    </row>
    <row r="46" spans="1:28" ht="20.100000000000001" customHeight="1">
      <c r="A46" s="1021"/>
      <c r="B46" s="881"/>
      <c r="C46" s="881"/>
      <c r="D46" s="881"/>
      <c r="E46" s="882"/>
      <c r="F46" s="881"/>
      <c r="G46" s="882"/>
      <c r="H46" s="881"/>
      <c r="I46" s="882"/>
      <c r="J46" s="881"/>
      <c r="K46" s="881"/>
      <c r="L46" s="881"/>
      <c r="M46" s="882"/>
      <c r="N46" s="881" t="s">
        <v>14</v>
      </c>
      <c r="O46" s="882"/>
      <c r="P46" s="881"/>
      <c r="Q46" s="882"/>
      <c r="R46" s="881"/>
      <c r="S46" s="882"/>
      <c r="T46" s="881"/>
      <c r="U46" s="882"/>
      <c r="V46" s="881"/>
      <c r="W46" s="882"/>
      <c r="X46" s="881"/>
      <c r="Y46" s="882"/>
      <c r="Z46" s="886"/>
    </row>
    <row r="47" spans="1:28" ht="20.100000000000001" customHeight="1">
      <c r="A47" s="1032"/>
      <c r="B47" s="347"/>
      <c r="C47" s="347"/>
      <c r="D47" s="347"/>
      <c r="E47" s="348"/>
      <c r="F47" s="347"/>
      <c r="G47" s="348"/>
      <c r="H47" s="347"/>
      <c r="I47" s="348"/>
      <c r="J47" s="347"/>
      <c r="K47" s="347"/>
      <c r="L47" s="347"/>
      <c r="M47" s="348"/>
      <c r="N47" s="347"/>
      <c r="O47" s="348"/>
      <c r="P47" s="347"/>
      <c r="Q47" s="348"/>
      <c r="R47" s="347"/>
      <c r="S47" s="348"/>
      <c r="T47" s="347"/>
      <c r="U47" s="348"/>
      <c r="V47" s="347"/>
      <c r="W47" s="348"/>
      <c r="X47" s="347"/>
      <c r="Y47" s="348"/>
      <c r="Z47" s="290"/>
    </row>
    <row r="48" spans="1:28" ht="20.100000000000001" customHeight="1">
      <c r="A48" s="345"/>
      <c r="B48" s="347"/>
      <c r="C48" s="347"/>
      <c r="D48" s="347"/>
      <c r="E48" s="348"/>
      <c r="F48" s="347"/>
      <c r="G48" s="348"/>
      <c r="H48" s="347"/>
      <c r="I48" s="348"/>
      <c r="J48" s="347"/>
      <c r="K48" s="347"/>
      <c r="L48" s="347"/>
      <c r="M48" s="348"/>
      <c r="N48" s="347"/>
      <c r="O48" s="348"/>
      <c r="P48" s="347"/>
      <c r="Q48" s="348"/>
      <c r="R48" s="347"/>
      <c r="S48" s="348"/>
      <c r="T48" s="347"/>
      <c r="U48" s="348"/>
      <c r="V48" s="347"/>
      <c r="W48" s="348"/>
      <c r="X48" s="347"/>
      <c r="Y48" s="348"/>
      <c r="Z48" s="290"/>
    </row>
    <row r="49" spans="1:26" ht="20.100000000000001" customHeight="1">
      <c r="A49" s="345"/>
      <c r="B49" s="347"/>
      <c r="C49" s="347"/>
      <c r="D49" s="347"/>
      <c r="E49" s="348"/>
      <c r="F49" s="347"/>
      <c r="G49" s="348"/>
      <c r="H49" s="347"/>
      <c r="I49" s="348"/>
      <c r="J49" s="347"/>
      <c r="K49" s="347"/>
      <c r="L49" s="347"/>
      <c r="M49" s="348"/>
      <c r="N49" s="347"/>
      <c r="O49" s="348"/>
      <c r="P49" s="347"/>
      <c r="Q49" s="348"/>
      <c r="R49" s="347"/>
      <c r="S49" s="348"/>
      <c r="T49" s="347"/>
      <c r="U49" s="348"/>
      <c r="V49" s="347"/>
      <c r="W49" s="348"/>
      <c r="X49" s="347"/>
      <c r="Y49" s="348"/>
      <c r="Z49" s="290"/>
    </row>
    <row r="50" spans="1:26" ht="20.100000000000001" customHeight="1">
      <c r="A50" s="345"/>
      <c r="B50" s="347"/>
      <c r="C50" s="347"/>
      <c r="D50" s="347"/>
      <c r="E50" s="348"/>
      <c r="F50" s="347"/>
      <c r="G50" s="348"/>
      <c r="H50" s="347"/>
      <c r="I50" s="348"/>
      <c r="J50" s="347"/>
      <c r="K50" s="347"/>
      <c r="L50" s="347"/>
      <c r="M50" s="348"/>
      <c r="N50" s="347"/>
      <c r="O50" s="348"/>
      <c r="P50" s="347"/>
      <c r="Q50" s="348"/>
      <c r="R50" s="347"/>
      <c r="S50" s="348"/>
      <c r="T50" s="347"/>
      <c r="U50" s="348"/>
      <c r="V50" s="347"/>
      <c r="W50" s="348"/>
      <c r="X50" s="347"/>
      <c r="Y50" s="348"/>
      <c r="Z50" s="290"/>
    </row>
    <row r="51" spans="1:26" ht="20.100000000000001" customHeight="1">
      <c r="A51" s="345"/>
      <c r="B51" s="347"/>
      <c r="C51" s="347"/>
      <c r="D51" s="347"/>
      <c r="E51" s="348"/>
      <c r="F51" s="347"/>
      <c r="G51" s="348"/>
      <c r="H51" s="347"/>
      <c r="I51" s="348"/>
      <c r="J51" s="347"/>
      <c r="K51" s="347"/>
      <c r="L51" s="347"/>
      <c r="M51" s="348"/>
      <c r="N51" s="347"/>
      <c r="O51" s="348"/>
      <c r="P51" s="347"/>
      <c r="Q51" s="348"/>
      <c r="R51" s="347"/>
      <c r="S51" s="348"/>
      <c r="T51" s="347"/>
      <c r="U51" s="348"/>
      <c r="V51" s="347"/>
      <c r="W51" s="348"/>
      <c r="X51" s="347"/>
      <c r="Y51" s="348"/>
      <c r="Z51" s="290"/>
    </row>
    <row r="52" spans="1:26">
      <c r="A52" s="345"/>
      <c r="B52" s="347"/>
      <c r="C52" s="347"/>
      <c r="D52" s="347"/>
      <c r="E52" s="348"/>
      <c r="F52" s="347"/>
      <c r="G52" s="348"/>
      <c r="H52" s="347"/>
      <c r="I52" s="348"/>
      <c r="J52" s="347"/>
      <c r="K52" s="347"/>
      <c r="L52" s="347"/>
      <c r="M52" s="348"/>
      <c r="N52" s="347"/>
      <c r="O52" s="348"/>
      <c r="P52" s="347"/>
      <c r="Q52" s="348"/>
      <c r="R52" s="347"/>
      <c r="S52" s="348"/>
      <c r="T52" s="347"/>
      <c r="U52" s="348"/>
      <c r="V52" s="347"/>
      <c r="W52" s="348"/>
      <c r="X52" s="347"/>
      <c r="Y52" s="348"/>
      <c r="Z52" s="290"/>
    </row>
    <row r="53" spans="1:26">
      <c r="A53" s="345"/>
      <c r="B53" s="347"/>
      <c r="C53" s="347"/>
      <c r="D53" s="347"/>
      <c r="E53" s="348"/>
      <c r="F53" s="347"/>
      <c r="G53" s="348"/>
      <c r="H53" s="347"/>
      <c r="I53" s="348"/>
      <c r="J53" s="347"/>
      <c r="K53" s="347"/>
      <c r="L53" s="347"/>
      <c r="M53" s="348"/>
      <c r="N53" s="347"/>
      <c r="O53" s="348"/>
      <c r="P53" s="347"/>
      <c r="Q53" s="348"/>
      <c r="R53" s="347"/>
      <c r="S53" s="348"/>
      <c r="T53" s="347"/>
      <c r="U53" s="348"/>
      <c r="V53" s="347"/>
      <c r="W53" s="348"/>
      <c r="X53" s="347"/>
      <c r="Y53" s="348"/>
      <c r="Z53" s="290"/>
    </row>
    <row r="54" spans="1:26">
      <c r="A54" s="345"/>
      <c r="B54" s="347"/>
      <c r="C54" s="347"/>
      <c r="D54" s="347"/>
      <c r="E54" s="348"/>
      <c r="F54" s="347"/>
      <c r="G54" s="348"/>
      <c r="H54" s="347"/>
      <c r="I54" s="348"/>
      <c r="J54" s="347"/>
      <c r="K54" s="347"/>
      <c r="L54" s="347"/>
      <c r="M54" s="348"/>
      <c r="N54" s="347"/>
      <c r="O54" s="348"/>
      <c r="P54" s="347"/>
      <c r="Q54" s="348"/>
      <c r="R54" s="347"/>
      <c r="S54" s="348"/>
      <c r="T54" s="347"/>
      <c r="U54" s="348"/>
      <c r="V54" s="347"/>
      <c r="W54" s="348"/>
      <c r="X54" s="347"/>
      <c r="Y54" s="348"/>
      <c r="Z54" s="290"/>
    </row>
    <row r="55" spans="1:26">
      <c r="A55" s="345"/>
      <c r="B55" s="347"/>
      <c r="C55" s="347"/>
      <c r="D55" s="347"/>
      <c r="E55" s="348"/>
      <c r="F55" s="347"/>
      <c r="G55" s="348"/>
      <c r="H55" s="347"/>
      <c r="I55" s="348"/>
      <c r="J55" s="347"/>
      <c r="K55" s="347"/>
      <c r="L55" s="347"/>
      <c r="M55" s="348"/>
      <c r="N55" s="347"/>
      <c r="O55" s="348"/>
      <c r="P55" s="347"/>
      <c r="Q55" s="348"/>
      <c r="R55" s="347"/>
      <c r="S55" s="348"/>
      <c r="T55" s="347"/>
      <c r="U55" s="348"/>
      <c r="V55" s="347"/>
      <c r="W55" s="348"/>
      <c r="X55" s="347"/>
      <c r="Y55" s="348"/>
      <c r="Z55" s="290"/>
    </row>
    <row r="56" spans="1:26">
      <c r="A56" s="345"/>
      <c r="B56" s="347"/>
      <c r="C56" s="347"/>
      <c r="D56" s="347"/>
      <c r="E56" s="348"/>
      <c r="F56" s="347"/>
      <c r="G56" s="348"/>
      <c r="H56" s="347"/>
      <c r="I56" s="348"/>
      <c r="J56" s="347"/>
      <c r="K56" s="347"/>
      <c r="L56" s="347"/>
      <c r="M56" s="348"/>
      <c r="N56" s="347"/>
      <c r="O56" s="348"/>
      <c r="P56" s="347"/>
      <c r="Q56" s="348"/>
      <c r="R56" s="347"/>
      <c r="S56" s="348"/>
      <c r="T56" s="347"/>
      <c r="U56" s="348"/>
      <c r="V56" s="347"/>
      <c r="W56" s="348"/>
      <c r="X56" s="347"/>
      <c r="Y56" s="348"/>
      <c r="Z56" s="290"/>
    </row>
    <row r="57" spans="1:26">
      <c r="A57" s="345"/>
      <c r="B57" s="347"/>
      <c r="C57" s="347"/>
      <c r="D57" s="347"/>
      <c r="E57" s="348"/>
      <c r="F57" s="347"/>
      <c r="G57" s="348"/>
      <c r="H57" s="347"/>
      <c r="I57" s="348"/>
      <c r="J57" s="347"/>
      <c r="K57" s="347"/>
      <c r="L57" s="347"/>
      <c r="M57" s="348"/>
      <c r="N57" s="347"/>
      <c r="O57" s="348"/>
      <c r="P57" s="347"/>
      <c r="Q57" s="348"/>
      <c r="R57" s="347"/>
      <c r="S57" s="348"/>
      <c r="T57" s="347"/>
      <c r="U57" s="348"/>
      <c r="V57" s="347"/>
      <c r="W57" s="348"/>
      <c r="X57" s="347"/>
      <c r="Y57" s="348"/>
      <c r="Z57" s="290"/>
    </row>
    <row r="58" spans="1:26">
      <c r="A58" s="345"/>
      <c r="B58" s="347"/>
      <c r="C58" s="347"/>
      <c r="D58" s="347"/>
      <c r="E58" s="348"/>
      <c r="F58" s="347"/>
      <c r="G58" s="348"/>
      <c r="H58" s="347"/>
      <c r="I58" s="348"/>
      <c r="J58" s="347"/>
      <c r="K58" s="347"/>
      <c r="L58" s="347"/>
      <c r="M58" s="348"/>
      <c r="N58" s="347"/>
      <c r="O58" s="348"/>
      <c r="P58" s="347"/>
      <c r="Q58" s="348"/>
      <c r="R58" s="347"/>
      <c r="S58" s="348"/>
      <c r="T58" s="347"/>
      <c r="U58" s="348"/>
      <c r="V58" s="347"/>
      <c r="W58" s="348"/>
      <c r="X58" s="347"/>
      <c r="Y58" s="348"/>
      <c r="Z58" s="290"/>
    </row>
    <row r="59" spans="1:26">
      <c r="A59" s="345"/>
      <c r="B59" s="347"/>
      <c r="C59" s="347"/>
      <c r="D59" s="347"/>
      <c r="E59" s="348"/>
      <c r="F59" s="347"/>
      <c r="G59" s="348"/>
      <c r="H59" s="347"/>
      <c r="I59" s="348"/>
      <c r="J59" s="347"/>
      <c r="K59" s="347"/>
      <c r="L59" s="347"/>
      <c r="M59" s="348"/>
      <c r="N59" s="347"/>
      <c r="O59" s="348"/>
      <c r="P59" s="347"/>
      <c r="Q59" s="348"/>
      <c r="R59" s="347"/>
      <c r="S59" s="348"/>
      <c r="T59" s="347"/>
      <c r="U59" s="348"/>
      <c r="V59" s="347"/>
      <c r="W59" s="348"/>
      <c r="X59" s="347"/>
      <c r="Y59" s="348"/>
      <c r="Z59" s="290"/>
    </row>
    <row r="60" spans="1:26">
      <c r="A60" s="345"/>
      <c r="B60" s="347"/>
      <c r="C60" s="347"/>
      <c r="D60" s="347"/>
      <c r="E60" s="348"/>
      <c r="F60" s="347"/>
      <c r="G60" s="348"/>
      <c r="H60" s="347"/>
      <c r="I60" s="348"/>
      <c r="J60" s="347"/>
      <c r="K60" s="347"/>
      <c r="L60" s="347"/>
      <c r="M60" s="348"/>
      <c r="N60" s="347"/>
      <c r="O60" s="348"/>
      <c r="P60" s="347"/>
      <c r="Q60" s="348"/>
      <c r="R60" s="347"/>
      <c r="S60" s="348"/>
      <c r="T60" s="347"/>
      <c r="U60" s="348"/>
      <c r="V60" s="347"/>
      <c r="W60" s="348"/>
      <c r="X60" s="347"/>
      <c r="Y60" s="348"/>
      <c r="Z60" s="290"/>
    </row>
    <row r="61" spans="1:26">
      <c r="A61" s="345"/>
      <c r="B61" s="347"/>
      <c r="C61" s="347"/>
      <c r="D61" s="347"/>
      <c r="E61" s="348"/>
      <c r="F61" s="347"/>
      <c r="G61" s="348"/>
      <c r="H61" s="347"/>
      <c r="I61" s="348"/>
      <c r="J61" s="347"/>
      <c r="K61" s="347"/>
      <c r="L61" s="347"/>
      <c r="M61" s="348"/>
      <c r="N61" s="347"/>
      <c r="O61" s="348"/>
      <c r="P61" s="347"/>
      <c r="Q61" s="348"/>
      <c r="R61" s="347"/>
      <c r="S61" s="348"/>
      <c r="T61" s="347"/>
      <c r="U61" s="348"/>
      <c r="V61" s="347"/>
      <c r="W61" s="348"/>
      <c r="X61" s="347"/>
      <c r="Y61" s="348"/>
      <c r="Z61" s="290"/>
    </row>
    <row r="62" spans="1:26">
      <c r="A62" s="345"/>
      <c r="B62" s="347"/>
      <c r="C62" s="347"/>
      <c r="D62" s="347"/>
      <c r="E62" s="348"/>
      <c r="F62" s="347"/>
      <c r="G62" s="348"/>
      <c r="H62" s="347"/>
      <c r="I62" s="348"/>
      <c r="J62" s="347"/>
      <c r="K62" s="347"/>
      <c r="L62" s="347"/>
      <c r="M62" s="348"/>
      <c r="N62" s="347"/>
      <c r="O62" s="348"/>
      <c r="P62" s="347"/>
      <c r="Q62" s="348"/>
      <c r="R62" s="347"/>
      <c r="S62" s="348"/>
      <c r="T62" s="347"/>
      <c r="U62" s="348"/>
      <c r="V62" s="347"/>
      <c r="W62" s="348"/>
      <c r="X62" s="347"/>
      <c r="Y62" s="348"/>
      <c r="Z62" s="290"/>
    </row>
    <row r="63" spans="1:26">
      <c r="A63" s="345"/>
      <c r="B63" s="347"/>
      <c r="C63" s="347"/>
      <c r="D63" s="347"/>
      <c r="E63" s="348"/>
      <c r="F63" s="347"/>
      <c r="G63" s="348"/>
      <c r="H63" s="347"/>
      <c r="I63" s="348"/>
      <c r="J63" s="347"/>
      <c r="K63" s="347"/>
      <c r="L63" s="347"/>
      <c r="M63" s="348"/>
      <c r="N63" s="347"/>
      <c r="O63" s="348"/>
      <c r="P63" s="347"/>
      <c r="Q63" s="348"/>
      <c r="R63" s="347"/>
      <c r="S63" s="348"/>
      <c r="T63" s="347"/>
      <c r="U63" s="348"/>
      <c r="V63" s="347"/>
      <c r="W63" s="348"/>
      <c r="X63" s="347"/>
      <c r="Y63" s="348"/>
      <c r="Z63" s="290"/>
    </row>
    <row r="64" spans="1:26">
      <c r="A64" s="345"/>
      <c r="B64" s="347"/>
      <c r="C64" s="347"/>
      <c r="D64" s="347"/>
      <c r="E64" s="348"/>
      <c r="F64" s="347"/>
      <c r="G64" s="348"/>
      <c r="H64" s="347"/>
      <c r="I64" s="348"/>
      <c r="J64" s="347"/>
      <c r="K64" s="347"/>
      <c r="L64" s="347"/>
      <c r="M64" s="348"/>
      <c r="N64" s="347"/>
      <c r="O64" s="348"/>
      <c r="P64" s="347"/>
      <c r="Q64" s="348"/>
      <c r="R64" s="347"/>
      <c r="S64" s="348"/>
      <c r="T64" s="347"/>
      <c r="U64" s="348"/>
      <c r="V64" s="347"/>
      <c r="W64" s="348"/>
      <c r="X64" s="347"/>
      <c r="Y64" s="348"/>
      <c r="Z64" s="290"/>
    </row>
    <row r="65" spans="1:26">
      <c r="A65" s="345"/>
      <c r="B65" s="347"/>
      <c r="C65" s="347"/>
      <c r="D65" s="347"/>
      <c r="E65" s="348"/>
      <c r="F65" s="347"/>
      <c r="G65" s="348"/>
      <c r="H65" s="347"/>
      <c r="I65" s="348"/>
      <c r="J65" s="347"/>
      <c r="K65" s="347"/>
      <c r="L65" s="347"/>
      <c r="M65" s="348"/>
      <c r="N65" s="347"/>
      <c r="O65" s="348"/>
      <c r="P65" s="347"/>
      <c r="Q65" s="348"/>
      <c r="R65" s="347"/>
      <c r="S65" s="348"/>
      <c r="T65" s="347"/>
      <c r="U65" s="348"/>
      <c r="V65" s="347"/>
      <c r="W65" s="348"/>
      <c r="X65" s="347"/>
      <c r="Y65" s="348"/>
      <c r="Z65" s="290"/>
    </row>
    <row r="66" spans="1:26">
      <c r="A66" s="345"/>
      <c r="B66" s="347"/>
      <c r="C66" s="347"/>
      <c r="D66" s="347"/>
      <c r="E66" s="348"/>
      <c r="F66" s="347"/>
      <c r="G66" s="348"/>
      <c r="H66" s="347"/>
      <c r="I66" s="348"/>
      <c r="J66" s="347"/>
      <c r="K66" s="347"/>
      <c r="L66" s="347"/>
      <c r="M66" s="348"/>
      <c r="N66" s="347"/>
      <c r="O66" s="348"/>
      <c r="P66" s="347"/>
      <c r="Q66" s="348"/>
      <c r="R66" s="347"/>
      <c r="S66" s="348"/>
      <c r="T66" s="347"/>
      <c r="U66" s="348"/>
      <c r="V66" s="347"/>
      <c r="W66" s="348"/>
      <c r="X66" s="347"/>
      <c r="Y66" s="348"/>
      <c r="Z66" s="290"/>
    </row>
    <row r="67" spans="1:26">
      <c r="A67" s="345"/>
      <c r="B67" s="347"/>
      <c r="C67" s="347"/>
      <c r="D67" s="347"/>
      <c r="E67" s="348"/>
      <c r="F67" s="347"/>
      <c r="G67" s="348"/>
      <c r="H67" s="347"/>
      <c r="I67" s="348"/>
      <c r="J67" s="347"/>
      <c r="K67" s="347"/>
      <c r="L67" s="347"/>
      <c r="M67" s="348"/>
      <c r="N67" s="347"/>
      <c r="O67" s="348"/>
      <c r="P67" s="347"/>
      <c r="Q67" s="348"/>
      <c r="R67" s="347"/>
      <c r="S67" s="348"/>
      <c r="T67" s="347"/>
      <c r="U67" s="348"/>
      <c r="V67" s="347"/>
      <c r="W67" s="348"/>
      <c r="X67" s="347"/>
      <c r="Y67" s="348"/>
      <c r="Z67" s="290"/>
    </row>
    <row r="68" spans="1:26">
      <c r="A68" s="345"/>
      <c r="B68" s="347"/>
      <c r="C68" s="347"/>
      <c r="D68" s="347"/>
      <c r="E68" s="348"/>
      <c r="F68" s="347"/>
      <c r="G68" s="348"/>
      <c r="H68" s="347"/>
      <c r="I68" s="348"/>
      <c r="J68" s="347"/>
      <c r="K68" s="347"/>
      <c r="L68" s="347"/>
      <c r="M68" s="348"/>
      <c r="N68" s="347"/>
      <c r="O68" s="348"/>
      <c r="P68" s="347"/>
      <c r="Q68" s="348"/>
      <c r="R68" s="347"/>
      <c r="S68" s="348"/>
      <c r="T68" s="347"/>
      <c r="U68" s="348"/>
      <c r="V68" s="347"/>
      <c r="W68" s="348"/>
      <c r="X68" s="347"/>
      <c r="Y68" s="348"/>
      <c r="Z68" s="290"/>
    </row>
    <row r="69" spans="1:26">
      <c r="A69" s="345"/>
      <c r="B69" s="347"/>
      <c r="C69" s="347"/>
      <c r="D69" s="347"/>
      <c r="E69" s="348"/>
      <c r="F69" s="347"/>
      <c r="G69" s="348"/>
      <c r="H69" s="347"/>
      <c r="I69" s="348"/>
      <c r="J69" s="347"/>
      <c r="K69" s="347"/>
      <c r="L69" s="347"/>
      <c r="M69" s="348"/>
      <c r="N69" s="347"/>
      <c r="O69" s="348"/>
      <c r="P69" s="347"/>
      <c r="Q69" s="348"/>
      <c r="R69" s="347"/>
      <c r="S69" s="348"/>
      <c r="T69" s="347"/>
      <c r="U69" s="348"/>
      <c r="V69" s="347"/>
      <c r="W69" s="348"/>
      <c r="X69" s="347"/>
      <c r="Y69" s="348"/>
      <c r="Z69" s="290"/>
    </row>
    <row r="70" spans="1:26">
      <c r="A70" s="345"/>
      <c r="B70" s="347"/>
      <c r="C70" s="347"/>
      <c r="D70" s="347"/>
      <c r="E70" s="348"/>
      <c r="F70" s="347"/>
      <c r="G70" s="348"/>
      <c r="H70" s="347"/>
      <c r="I70" s="348"/>
      <c r="J70" s="347"/>
      <c r="K70" s="347"/>
      <c r="L70" s="347"/>
      <c r="M70" s="348"/>
      <c r="N70" s="347"/>
      <c r="O70" s="348"/>
      <c r="P70" s="347"/>
      <c r="Q70" s="348"/>
      <c r="R70" s="347"/>
      <c r="S70" s="348"/>
      <c r="T70" s="347"/>
      <c r="U70" s="348"/>
      <c r="V70" s="347"/>
      <c r="W70" s="348"/>
      <c r="X70" s="347"/>
      <c r="Y70" s="348"/>
      <c r="Z70" s="290"/>
    </row>
    <row r="71" spans="1:26">
      <c r="A71" s="345"/>
      <c r="B71" s="347"/>
      <c r="C71" s="347"/>
      <c r="D71" s="347"/>
      <c r="E71" s="348"/>
      <c r="F71" s="347"/>
      <c r="G71" s="348"/>
      <c r="H71" s="347"/>
      <c r="I71" s="348"/>
      <c r="J71" s="347"/>
      <c r="K71" s="347"/>
      <c r="L71" s="347"/>
      <c r="M71" s="348"/>
      <c r="N71" s="347"/>
      <c r="O71" s="348"/>
      <c r="P71" s="347"/>
      <c r="Q71" s="348"/>
      <c r="R71" s="347"/>
      <c r="S71" s="348"/>
      <c r="T71" s="347"/>
      <c r="U71" s="348"/>
      <c r="V71" s="347"/>
      <c r="W71" s="348"/>
      <c r="X71" s="347"/>
      <c r="Y71" s="348"/>
      <c r="Z71" s="290"/>
    </row>
    <row r="72" spans="1:26">
      <c r="A72" s="345"/>
      <c r="B72" s="347"/>
      <c r="C72" s="347"/>
      <c r="D72" s="347"/>
      <c r="E72" s="348"/>
      <c r="F72" s="347"/>
      <c r="G72" s="348"/>
      <c r="H72" s="347"/>
      <c r="I72" s="348"/>
      <c r="J72" s="347"/>
      <c r="K72" s="347"/>
      <c r="L72" s="347"/>
      <c r="M72" s="348"/>
      <c r="N72" s="347"/>
      <c r="O72" s="348"/>
      <c r="P72" s="347"/>
      <c r="Q72" s="348"/>
      <c r="R72" s="347"/>
      <c r="S72" s="348"/>
      <c r="T72" s="347"/>
      <c r="U72" s="348"/>
      <c r="V72" s="347"/>
      <c r="W72" s="348"/>
      <c r="X72" s="347"/>
      <c r="Y72" s="348"/>
      <c r="Z72" s="290"/>
    </row>
    <row r="73" spans="1:26">
      <c r="A73" s="345"/>
      <c r="B73" s="347"/>
      <c r="C73" s="347"/>
      <c r="D73" s="347"/>
      <c r="E73" s="348"/>
      <c r="F73" s="347"/>
      <c r="G73" s="348"/>
      <c r="H73" s="347"/>
      <c r="I73" s="348"/>
      <c r="J73" s="347"/>
      <c r="K73" s="347"/>
      <c r="L73" s="347"/>
      <c r="M73" s="348"/>
      <c r="N73" s="347"/>
      <c r="O73" s="348"/>
      <c r="P73" s="347"/>
      <c r="Q73" s="348"/>
      <c r="R73" s="347"/>
      <c r="S73" s="348"/>
      <c r="T73" s="347"/>
      <c r="U73" s="348"/>
      <c r="V73" s="347"/>
      <c r="W73" s="348"/>
      <c r="X73" s="347"/>
      <c r="Y73" s="348"/>
      <c r="Z73" s="290"/>
    </row>
    <row r="74" spans="1:26">
      <c r="A74" s="345"/>
      <c r="B74" s="347"/>
      <c r="C74" s="347"/>
      <c r="D74" s="347"/>
      <c r="E74" s="348"/>
      <c r="F74" s="347"/>
      <c r="G74" s="348"/>
      <c r="H74" s="347"/>
      <c r="I74" s="348"/>
      <c r="J74" s="347"/>
      <c r="K74" s="347"/>
      <c r="L74" s="347"/>
      <c r="M74" s="348"/>
      <c r="N74" s="347"/>
      <c r="O74" s="348"/>
      <c r="P74" s="347"/>
      <c r="Q74" s="348"/>
      <c r="R74" s="347"/>
      <c r="S74" s="348"/>
      <c r="T74" s="347"/>
      <c r="U74" s="348"/>
      <c r="V74" s="347"/>
      <c r="W74" s="348"/>
      <c r="X74" s="347"/>
      <c r="Y74" s="348"/>
      <c r="Z74" s="290"/>
    </row>
    <row r="75" spans="1:26">
      <c r="A75" s="345"/>
      <c r="B75" s="347"/>
      <c r="C75" s="347"/>
      <c r="D75" s="347"/>
      <c r="E75" s="348"/>
      <c r="F75" s="347"/>
      <c r="G75" s="348"/>
      <c r="H75" s="347"/>
      <c r="I75" s="348"/>
      <c r="J75" s="347"/>
      <c r="K75" s="347"/>
      <c r="L75" s="347"/>
      <c r="M75" s="348"/>
      <c r="N75" s="347"/>
      <c r="O75" s="348"/>
      <c r="P75" s="347"/>
      <c r="Q75" s="348"/>
      <c r="R75" s="347"/>
      <c r="S75" s="348"/>
      <c r="T75" s="347"/>
      <c r="U75" s="348"/>
      <c r="V75" s="347"/>
      <c r="W75" s="348"/>
      <c r="X75" s="347"/>
      <c r="Y75" s="348"/>
      <c r="Z75" s="290"/>
    </row>
    <row r="76" spans="1:26">
      <c r="A76" s="345"/>
      <c r="B76" s="347"/>
      <c r="C76" s="347"/>
      <c r="D76" s="347"/>
      <c r="E76" s="348"/>
      <c r="F76" s="347"/>
      <c r="G76" s="348"/>
      <c r="H76" s="347"/>
      <c r="I76" s="348"/>
      <c r="J76" s="347"/>
      <c r="K76" s="347"/>
      <c r="L76" s="347"/>
      <c r="M76" s="348"/>
      <c r="N76" s="347"/>
      <c r="O76" s="348"/>
      <c r="P76" s="347"/>
      <c r="Q76" s="348"/>
      <c r="R76" s="347"/>
      <c r="S76" s="348"/>
      <c r="T76" s="347"/>
      <c r="U76" s="348"/>
      <c r="V76" s="347"/>
      <c r="W76" s="348"/>
      <c r="X76" s="347"/>
      <c r="Y76" s="348"/>
      <c r="Z76" s="290"/>
    </row>
    <row r="77" spans="1:26">
      <c r="A77" s="345"/>
      <c r="B77" s="347"/>
      <c r="C77" s="347"/>
      <c r="D77" s="347"/>
      <c r="E77" s="348"/>
      <c r="F77" s="347"/>
      <c r="G77" s="348"/>
      <c r="H77" s="347"/>
      <c r="I77" s="348"/>
      <c r="J77" s="347"/>
      <c r="K77" s="347"/>
      <c r="L77" s="347"/>
      <c r="M77" s="348"/>
      <c r="N77" s="347"/>
      <c r="O77" s="348"/>
      <c r="P77" s="347"/>
      <c r="Q77" s="348"/>
      <c r="R77" s="347"/>
      <c r="S77" s="348"/>
      <c r="T77" s="347"/>
      <c r="U77" s="348"/>
      <c r="V77" s="347"/>
      <c r="W77" s="348"/>
      <c r="X77" s="347"/>
      <c r="Y77" s="348"/>
      <c r="Z77" s="290"/>
    </row>
    <row r="78" spans="1:26">
      <c r="A78" s="345"/>
      <c r="B78" s="347"/>
      <c r="C78" s="347"/>
      <c r="D78" s="347"/>
      <c r="E78" s="348"/>
      <c r="F78" s="347"/>
      <c r="G78" s="348"/>
      <c r="H78" s="347"/>
      <c r="I78" s="348"/>
      <c r="J78" s="347"/>
      <c r="K78" s="347"/>
      <c r="L78" s="347"/>
      <c r="M78" s="348"/>
      <c r="N78" s="347"/>
      <c r="O78" s="348"/>
      <c r="P78" s="347"/>
      <c r="Q78" s="348"/>
      <c r="R78" s="347"/>
      <c r="S78" s="348"/>
      <c r="T78" s="347"/>
      <c r="U78" s="348"/>
      <c r="V78" s="347"/>
      <c r="W78" s="348"/>
      <c r="X78" s="347"/>
      <c r="Y78" s="348"/>
      <c r="Z78" s="290"/>
    </row>
    <row r="79" spans="1:26">
      <c r="A79" s="345"/>
      <c r="B79" s="347"/>
      <c r="C79" s="347"/>
      <c r="D79" s="347"/>
      <c r="E79" s="348"/>
      <c r="F79" s="347"/>
      <c r="G79" s="348"/>
      <c r="H79" s="347"/>
      <c r="I79" s="348"/>
      <c r="J79" s="347"/>
      <c r="K79" s="347"/>
      <c r="L79" s="347"/>
      <c r="M79" s="348"/>
      <c r="N79" s="347"/>
      <c r="O79" s="348"/>
      <c r="P79" s="347"/>
      <c r="Q79" s="348"/>
      <c r="R79" s="347"/>
      <c r="S79" s="348"/>
      <c r="T79" s="347"/>
      <c r="U79" s="348"/>
      <c r="V79" s="347"/>
      <c r="W79" s="348"/>
      <c r="X79" s="347"/>
      <c r="Y79" s="348"/>
      <c r="Z79" s="290"/>
    </row>
    <row r="80" spans="1:26">
      <c r="A80" s="345"/>
      <c r="B80" s="347"/>
      <c r="C80" s="347"/>
      <c r="D80" s="347"/>
      <c r="E80" s="348"/>
      <c r="F80" s="347"/>
      <c r="G80" s="348"/>
      <c r="H80" s="347"/>
      <c r="I80" s="348"/>
      <c r="J80" s="347"/>
      <c r="K80" s="347"/>
      <c r="L80" s="347"/>
      <c r="M80" s="348"/>
      <c r="N80" s="347"/>
      <c r="O80" s="348"/>
      <c r="P80" s="347"/>
      <c r="Q80" s="348"/>
      <c r="R80" s="347"/>
      <c r="S80" s="348"/>
      <c r="T80" s="347"/>
      <c r="U80" s="348"/>
      <c r="V80" s="347"/>
      <c r="W80" s="348"/>
      <c r="X80" s="347"/>
      <c r="Y80" s="348"/>
      <c r="Z80" s="290"/>
    </row>
    <row r="81" spans="1:26">
      <c r="A81" s="345"/>
      <c r="B81" s="347"/>
      <c r="C81" s="347"/>
      <c r="D81" s="347"/>
      <c r="E81" s="348"/>
      <c r="F81" s="347"/>
      <c r="G81" s="348"/>
      <c r="H81" s="347"/>
      <c r="I81" s="348"/>
      <c r="J81" s="347"/>
      <c r="K81" s="347"/>
      <c r="L81" s="347"/>
      <c r="M81" s="348"/>
      <c r="N81" s="347"/>
      <c r="O81" s="348"/>
      <c r="P81" s="347"/>
      <c r="Q81" s="348"/>
      <c r="R81" s="347"/>
      <c r="S81" s="348"/>
      <c r="T81" s="347"/>
      <c r="U81" s="348"/>
      <c r="V81" s="347"/>
      <c r="W81" s="348"/>
      <c r="X81" s="347"/>
      <c r="Y81" s="348"/>
      <c r="Z81" s="290"/>
    </row>
    <row r="82" spans="1:26">
      <c r="A82" s="345"/>
      <c r="B82" s="347"/>
      <c r="C82" s="347"/>
      <c r="D82" s="347"/>
      <c r="E82" s="348"/>
      <c r="F82" s="347"/>
      <c r="G82" s="348"/>
      <c r="H82" s="347"/>
      <c r="I82" s="348"/>
      <c r="J82" s="347"/>
      <c r="K82" s="347"/>
      <c r="L82" s="347"/>
      <c r="M82" s="348"/>
      <c r="N82" s="347"/>
      <c r="O82" s="348"/>
      <c r="P82" s="347"/>
      <c r="Q82" s="348"/>
      <c r="R82" s="347"/>
      <c r="S82" s="348"/>
      <c r="T82" s="347"/>
      <c r="U82" s="348"/>
      <c r="V82" s="347"/>
      <c r="W82" s="348"/>
      <c r="X82" s="347"/>
      <c r="Y82" s="348"/>
      <c r="Z82" s="290"/>
    </row>
    <row r="83" spans="1:26">
      <c r="A83" s="345"/>
      <c r="B83" s="347"/>
      <c r="C83" s="347"/>
      <c r="D83" s="347"/>
      <c r="E83" s="348"/>
      <c r="F83" s="347"/>
      <c r="G83" s="348"/>
      <c r="H83" s="347"/>
      <c r="I83" s="348"/>
      <c r="J83" s="347"/>
      <c r="K83" s="347"/>
      <c r="L83" s="347"/>
      <c r="M83" s="348"/>
      <c r="N83" s="347"/>
      <c r="O83" s="348"/>
      <c r="P83" s="347"/>
      <c r="Q83" s="348"/>
      <c r="R83" s="347"/>
      <c r="S83" s="348"/>
      <c r="T83" s="347"/>
      <c r="U83" s="348"/>
      <c r="V83" s="347"/>
      <c r="W83" s="348"/>
      <c r="X83" s="347"/>
      <c r="Y83" s="348"/>
      <c r="Z83" s="290"/>
    </row>
    <row r="84" spans="1:26">
      <c r="A84" s="345"/>
      <c r="B84" s="347"/>
      <c r="C84" s="347"/>
      <c r="D84" s="347"/>
      <c r="E84" s="348"/>
      <c r="F84" s="347"/>
      <c r="G84" s="348"/>
      <c r="H84" s="347"/>
      <c r="I84" s="348"/>
      <c r="J84" s="347"/>
      <c r="K84" s="347"/>
      <c r="L84" s="347"/>
      <c r="M84" s="348"/>
      <c r="N84" s="347"/>
      <c r="O84" s="348"/>
      <c r="P84" s="347"/>
      <c r="Q84" s="348"/>
      <c r="R84" s="347"/>
      <c r="S84" s="348"/>
      <c r="T84" s="347"/>
      <c r="U84" s="348"/>
      <c r="V84" s="347"/>
      <c r="W84" s="348"/>
      <c r="X84" s="347"/>
      <c r="Y84" s="348"/>
      <c r="Z84" s="290"/>
    </row>
    <row r="85" spans="1:26">
      <c r="A85" s="345"/>
      <c r="B85" s="347"/>
      <c r="C85" s="347"/>
      <c r="D85" s="347"/>
      <c r="E85" s="348"/>
      <c r="F85" s="347"/>
      <c r="G85" s="348"/>
      <c r="H85" s="347"/>
      <c r="I85" s="348"/>
      <c r="J85" s="347"/>
      <c r="K85" s="347"/>
      <c r="L85" s="347"/>
      <c r="M85" s="348"/>
      <c r="N85" s="347"/>
      <c r="O85" s="348"/>
      <c r="P85" s="347"/>
      <c r="Q85" s="348"/>
      <c r="R85" s="347"/>
      <c r="S85" s="348"/>
      <c r="T85" s="347"/>
      <c r="U85" s="348"/>
      <c r="V85" s="347"/>
      <c r="W85" s="348"/>
      <c r="X85" s="347"/>
      <c r="Y85" s="348"/>
      <c r="Z85" s="290"/>
    </row>
    <row r="86" spans="1:26">
      <c r="A86" s="345"/>
      <c r="B86" s="347"/>
      <c r="C86" s="347"/>
      <c r="D86" s="347"/>
      <c r="E86" s="348"/>
      <c r="F86" s="347"/>
      <c r="G86" s="348"/>
      <c r="H86" s="347"/>
      <c r="I86" s="348"/>
      <c r="J86" s="347"/>
      <c r="K86" s="347"/>
      <c r="L86" s="347"/>
      <c r="M86" s="348"/>
      <c r="N86" s="347"/>
      <c r="O86" s="348"/>
      <c r="P86" s="347"/>
      <c r="Q86" s="348"/>
      <c r="R86" s="347"/>
      <c r="S86" s="348"/>
      <c r="T86" s="347"/>
      <c r="U86" s="348"/>
      <c r="V86" s="347"/>
      <c r="W86" s="348"/>
      <c r="X86" s="347"/>
      <c r="Y86" s="348"/>
      <c r="Z86" s="290"/>
    </row>
    <row r="87" spans="1:26">
      <c r="A87" s="345"/>
      <c r="B87" s="347"/>
      <c r="C87" s="347"/>
      <c r="D87" s="347"/>
      <c r="E87" s="348"/>
      <c r="F87" s="347"/>
      <c r="G87" s="348"/>
      <c r="H87" s="347"/>
      <c r="I87" s="348"/>
      <c r="J87" s="347"/>
      <c r="K87" s="347"/>
      <c r="L87" s="347"/>
      <c r="M87" s="348"/>
      <c r="N87" s="347"/>
      <c r="O87" s="348"/>
      <c r="P87" s="347"/>
      <c r="Q87" s="348"/>
      <c r="R87" s="347"/>
      <c r="S87" s="348"/>
      <c r="T87" s="347"/>
      <c r="U87" s="348"/>
      <c r="V87" s="347"/>
      <c r="W87" s="348"/>
      <c r="X87" s="347"/>
      <c r="Y87" s="348"/>
      <c r="Z87" s="290"/>
    </row>
    <row r="88" spans="1:26">
      <c r="A88" s="345"/>
      <c r="B88" s="347"/>
      <c r="C88" s="347"/>
      <c r="D88" s="347"/>
      <c r="E88" s="348"/>
      <c r="F88" s="347"/>
      <c r="G88" s="348"/>
      <c r="H88" s="347"/>
      <c r="I88" s="348"/>
      <c r="J88" s="347"/>
      <c r="K88" s="347"/>
      <c r="L88" s="347"/>
      <c r="M88" s="348"/>
      <c r="N88" s="347"/>
      <c r="O88" s="348"/>
      <c r="P88" s="347"/>
      <c r="Q88" s="348"/>
      <c r="R88" s="347"/>
      <c r="S88" s="348"/>
      <c r="T88" s="347"/>
      <c r="U88" s="348"/>
      <c r="V88" s="347"/>
      <c r="W88" s="348"/>
      <c r="X88" s="347"/>
      <c r="Y88" s="348"/>
      <c r="Z88" s="290"/>
    </row>
    <row r="89" spans="1:26">
      <c r="A89" s="345"/>
      <c r="B89" s="347"/>
      <c r="C89" s="347"/>
      <c r="D89" s="347"/>
      <c r="E89" s="348"/>
      <c r="F89" s="347"/>
      <c r="G89" s="348"/>
      <c r="H89" s="347"/>
      <c r="I89" s="348"/>
      <c r="J89" s="347"/>
      <c r="K89" s="347"/>
      <c r="L89" s="347"/>
      <c r="M89" s="348"/>
      <c r="N89" s="347"/>
      <c r="O89" s="348"/>
      <c r="P89" s="347"/>
      <c r="Q89" s="348"/>
      <c r="R89" s="347"/>
      <c r="S89" s="348"/>
      <c r="T89" s="347"/>
      <c r="U89" s="348"/>
      <c r="V89" s="347"/>
      <c r="W89" s="348"/>
      <c r="X89" s="347"/>
      <c r="Y89" s="348"/>
      <c r="Z89" s="290"/>
    </row>
  </sheetData>
  <sortState xmlns:xlrd2="http://schemas.microsoft.com/office/spreadsheetml/2017/richdata2" ref="A19:AN26">
    <sortCondition ref="A19:A26"/>
  </sortState>
  <pageMargins left="0.25" right="0.25" top="0.5" bottom="0.25" header="0" footer="0.25"/>
  <pageSetup scale="42" firstPageNumber="56" orientation="landscape" useFirstPageNumber="1" r:id="rId1"/>
  <headerFooter scaleWithDoc="0" alignWithMargins="0">
    <oddHeader xml:space="preserve">&amp;L&amp;14 </oddHeader>
    <oddFooter>&amp;C&amp;8&amp;P</oddFooter>
  </headerFooter>
  <colBreaks count="1" manualBreakCount="1">
    <brk id="30" max="54" man="1"/>
  </colBreaks>
  <customProperties>
    <customPr name="SheetOptions" r:id="rId2"/>
  </customPropertie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1:O71"/>
  <sheetViews>
    <sheetView showGridLines="0" zoomScale="70" zoomScaleNormal="80" workbookViewId="0"/>
  </sheetViews>
  <sheetFormatPr defaultColWidth="8.88671875" defaultRowHeight="17.25" customHeight="1"/>
  <cols>
    <col min="1" max="1" width="41.44140625" style="2018" customWidth="1"/>
    <col min="2" max="2" width="2.109375" style="1933" customWidth="1"/>
    <col min="3" max="3" width="26" style="2018" customWidth="1"/>
    <col min="4" max="4" width="22.109375" style="2018" customWidth="1"/>
    <col min="5" max="5" width="25.109375" style="2018" customWidth="1"/>
    <col min="6" max="6" width="2" style="2018" customWidth="1"/>
    <col min="7" max="7" width="24.109375" style="1934" customWidth="1"/>
    <col min="8" max="8" width="22.88671875" style="1933" customWidth="1"/>
    <col min="9" max="9" width="26.5546875" style="1933" customWidth="1"/>
    <col min="10" max="10" width="20" style="2052" customWidth="1"/>
    <col min="11" max="11" width="20.88671875" style="2052" customWidth="1"/>
    <col min="12" max="12" width="19.5546875" style="1933" customWidth="1"/>
    <col min="13" max="13" width="17" style="2052" customWidth="1"/>
    <col min="14" max="14" width="20.88671875" style="1933" customWidth="1"/>
    <col min="15" max="16384" width="8.88671875" style="1933"/>
  </cols>
  <sheetData>
    <row r="1" spans="1:14" ht="17.25" customHeight="1">
      <c r="A1" s="468" t="s">
        <v>841</v>
      </c>
    </row>
    <row r="3" spans="1:14" ht="25.35" customHeight="1">
      <c r="A3" s="2033" t="s">
        <v>0</v>
      </c>
      <c r="C3" s="2197"/>
      <c r="D3" s="2197"/>
      <c r="E3" s="2197"/>
      <c r="F3" s="2197"/>
      <c r="H3" s="2209" t="s">
        <v>14</v>
      </c>
      <c r="I3" s="2198" t="s">
        <v>1246</v>
      </c>
    </row>
    <row r="4" spans="1:14" ht="25.35" customHeight="1">
      <c r="A4" s="2033" t="s">
        <v>1266</v>
      </c>
      <c r="C4" s="2197"/>
      <c r="D4" s="2197"/>
      <c r="E4" s="2197"/>
      <c r="F4" s="2197"/>
    </row>
    <row r="5" spans="1:14" ht="21" customHeight="1">
      <c r="A5" s="2070" t="str">
        <f>'HCRA '!A6</f>
        <v xml:space="preserve">FISCAL YEAR 2023-2024   </v>
      </c>
      <c r="C5" s="2197"/>
      <c r="D5" s="2197"/>
      <c r="E5" s="2197"/>
      <c r="F5" s="2197"/>
    </row>
    <row r="6" spans="1:14" ht="17.25" customHeight="1">
      <c r="A6" s="2034"/>
      <c r="C6" s="2197"/>
      <c r="D6" s="2197"/>
      <c r="E6" s="2197"/>
      <c r="F6" s="2197"/>
    </row>
    <row r="7" spans="1:14" ht="17.25" customHeight="1">
      <c r="A7" s="2035"/>
      <c r="B7" s="1961"/>
      <c r="C7" s="2363" t="s">
        <v>1512</v>
      </c>
      <c r="D7" s="2364"/>
      <c r="E7" s="2364"/>
      <c r="F7" s="2199"/>
      <c r="G7" s="2364" t="s">
        <v>1520</v>
      </c>
      <c r="H7" s="2364"/>
      <c r="I7" s="2364"/>
    </row>
    <row r="8" spans="1:14" ht="17.25" customHeight="1">
      <c r="A8" s="2035"/>
      <c r="B8" s="1961"/>
      <c r="C8" s="2035"/>
      <c r="D8" s="2035"/>
      <c r="E8" s="2035"/>
      <c r="F8" s="2035"/>
      <c r="G8" s="2200"/>
      <c r="H8" s="1961"/>
      <c r="I8" s="1961"/>
    </row>
    <row r="9" spans="1:14" ht="17.25" customHeight="1">
      <c r="A9" s="1962"/>
      <c r="B9" s="1961"/>
      <c r="C9" s="1962" t="s">
        <v>1216</v>
      </c>
      <c r="D9" s="1962" t="s">
        <v>1217</v>
      </c>
      <c r="E9" s="1962" t="s">
        <v>1523</v>
      </c>
      <c r="F9" s="1962"/>
      <c r="G9" s="1962" t="s">
        <v>1216</v>
      </c>
      <c r="H9" s="1962" t="s">
        <v>1217</v>
      </c>
      <c r="I9" s="2229" t="s">
        <v>1218</v>
      </c>
      <c r="J9" s="2050"/>
      <c r="K9" s="1938"/>
      <c r="L9" s="1938"/>
      <c r="M9" s="1938"/>
    </row>
    <row r="10" spans="1:14" s="2037" customFormat="1" ht="17.25" customHeight="1">
      <c r="A10" s="2036"/>
      <c r="B10" s="2015"/>
      <c r="C10" s="2214"/>
      <c r="D10" s="2214"/>
      <c r="E10" s="2214"/>
      <c r="F10" s="2214"/>
      <c r="G10" s="2299"/>
      <c r="H10" s="2299"/>
      <c r="I10" s="2299"/>
      <c r="J10" s="2142"/>
      <c r="K10" s="2142"/>
      <c r="M10" s="2142"/>
    </row>
    <row r="11" spans="1:14" s="2041" customFormat="1" ht="17.25" customHeight="1">
      <c r="A11" s="2038" t="s">
        <v>1219</v>
      </c>
      <c r="B11" s="2039"/>
      <c r="C11" s="1942">
        <v>0</v>
      </c>
      <c r="D11" s="2170">
        <v>74351502</v>
      </c>
      <c r="E11" s="2040">
        <f>C11+D11</f>
        <v>74351502</v>
      </c>
      <c r="F11" s="2040"/>
      <c r="G11" s="1942">
        <v>0</v>
      </c>
      <c r="H11" s="1942">
        <v>150886345</v>
      </c>
      <c r="I11" s="2040">
        <f>G11+H11</f>
        <v>150886345</v>
      </c>
      <c r="J11" s="2215"/>
      <c r="K11" s="2143"/>
      <c r="L11" s="2144"/>
      <c r="M11" s="2143"/>
      <c r="N11" s="2144"/>
    </row>
    <row r="12" spans="1:14" s="2041" customFormat="1" ht="17.25" customHeight="1">
      <c r="A12" s="2038" t="s">
        <v>1239</v>
      </c>
      <c r="B12" s="2039"/>
      <c r="C12" s="2308">
        <v>51930592</v>
      </c>
      <c r="D12" s="1943">
        <v>14592158.470000001</v>
      </c>
      <c r="E12" s="1939">
        <f>C12+D12</f>
        <v>66522750.469999999</v>
      </c>
      <c r="F12" s="1939"/>
      <c r="G12" s="2308">
        <v>82695912</v>
      </c>
      <c r="H12" s="1943">
        <v>5956038.3500000015</v>
      </c>
      <c r="I12" s="1939">
        <f>G12+H12</f>
        <v>88651950.349999994</v>
      </c>
      <c r="J12" s="1939"/>
      <c r="K12" s="2143"/>
      <c r="L12" s="2144"/>
      <c r="M12" s="2143"/>
      <c r="N12" s="2144"/>
    </row>
    <row r="13" spans="1:14" s="2041" customFormat="1" ht="17.25" customHeight="1">
      <c r="A13" s="2038" t="s">
        <v>1240</v>
      </c>
      <c r="B13" s="2039"/>
      <c r="C13" s="2308">
        <v>0</v>
      </c>
      <c r="D13" s="1943">
        <v>920842473</v>
      </c>
      <c r="E13" s="1939">
        <f t="shared" ref="E13:E47" si="0">C13+D13</f>
        <v>920842473</v>
      </c>
      <c r="F13" s="1939"/>
      <c r="G13" s="2308">
        <v>0</v>
      </c>
      <c r="H13" s="1943">
        <v>1811953387</v>
      </c>
      <c r="I13" s="1939">
        <f t="shared" ref="I13:I47" si="1">G13+H13</f>
        <v>1811953387</v>
      </c>
      <c r="J13" s="1939"/>
      <c r="K13" s="2143"/>
      <c r="L13" s="2144"/>
      <c r="M13" s="2143"/>
      <c r="N13" s="2144"/>
    </row>
    <row r="14" spans="1:14" s="2041" customFormat="1" ht="17.25" customHeight="1">
      <c r="A14" s="1935" t="s">
        <v>1230</v>
      </c>
      <c r="B14" s="2042"/>
      <c r="C14" s="2308">
        <v>11760095.41</v>
      </c>
      <c r="D14" s="1943">
        <v>32739004</v>
      </c>
      <c r="E14" s="1939">
        <f t="shared" si="0"/>
        <v>44499099.409999996</v>
      </c>
      <c r="F14" s="1939"/>
      <c r="G14" s="2308">
        <v>67551541.560000002</v>
      </c>
      <c r="H14" s="1943">
        <v>203588041</v>
      </c>
      <c r="I14" s="1939">
        <f t="shared" si="1"/>
        <v>271139582.56</v>
      </c>
      <c r="J14" s="1939"/>
      <c r="K14" s="2143"/>
      <c r="L14" s="2144"/>
      <c r="M14" s="2143"/>
      <c r="N14" s="2144"/>
    </row>
    <row r="15" spans="1:14" s="2041" customFormat="1" ht="17.25" customHeight="1">
      <c r="A15" s="2038" t="s">
        <v>1241</v>
      </c>
      <c r="B15" s="2039"/>
      <c r="C15" s="2308">
        <v>1150750.47</v>
      </c>
      <c r="D15" s="1943">
        <v>0</v>
      </c>
      <c r="E15" s="1939">
        <f t="shared" si="0"/>
        <v>1150750.47</v>
      </c>
      <c r="F15" s="1939"/>
      <c r="G15" s="2308">
        <v>6010570.2699999996</v>
      </c>
      <c r="H15" s="1943">
        <v>0</v>
      </c>
      <c r="I15" s="1939">
        <f t="shared" si="1"/>
        <v>6010570.2699999996</v>
      </c>
      <c r="J15" s="1939"/>
      <c r="K15" s="2143"/>
      <c r="L15" s="2144"/>
      <c r="M15" s="2143"/>
      <c r="N15" s="2144"/>
    </row>
    <row r="16" spans="1:14" s="2041" customFormat="1" ht="17.25" customHeight="1">
      <c r="A16" s="2038" t="s">
        <v>1403</v>
      </c>
      <c r="B16" s="2039"/>
      <c r="C16" s="2308">
        <v>0</v>
      </c>
      <c r="D16" s="1943">
        <v>0</v>
      </c>
      <c r="E16" s="1939">
        <f t="shared" si="0"/>
        <v>0</v>
      </c>
      <c r="F16" s="1939"/>
      <c r="G16" s="2308">
        <v>554852.18999999994</v>
      </c>
      <c r="H16" s="1943">
        <v>0</v>
      </c>
      <c r="I16" s="1939">
        <f t="shared" si="1"/>
        <v>554852.18999999994</v>
      </c>
      <c r="J16" s="1939"/>
      <c r="K16" s="2143"/>
      <c r="L16" s="2144"/>
      <c r="M16" s="2143"/>
      <c r="N16" s="2144"/>
    </row>
    <row r="17" spans="1:14" s="2041" customFormat="1" ht="17.25" customHeight="1">
      <c r="A17" s="2038" t="s">
        <v>1220</v>
      </c>
      <c r="B17" s="2039"/>
      <c r="C17" s="2308">
        <v>214913.82</v>
      </c>
      <c r="D17" s="1943">
        <v>0</v>
      </c>
      <c r="E17" s="1939">
        <f t="shared" si="0"/>
        <v>214913.82</v>
      </c>
      <c r="F17" s="1939"/>
      <c r="G17" s="2308">
        <v>689925.53</v>
      </c>
      <c r="H17" s="1943">
        <v>0</v>
      </c>
      <c r="I17" s="1939">
        <f t="shared" si="1"/>
        <v>689925.53</v>
      </c>
      <c r="J17" s="1939"/>
      <c r="K17" s="2143"/>
      <c r="L17" s="2144"/>
      <c r="M17" s="2143"/>
      <c r="N17" s="2144"/>
    </row>
    <row r="18" spans="1:14" s="2041" customFormat="1" ht="17.25" customHeight="1">
      <c r="A18" s="2038" t="s">
        <v>1221</v>
      </c>
      <c r="B18" s="2039"/>
      <c r="C18" s="2308">
        <v>0</v>
      </c>
      <c r="D18" s="1943">
        <v>410580.34</v>
      </c>
      <c r="E18" s="1939">
        <f t="shared" si="0"/>
        <v>410580.34</v>
      </c>
      <c r="F18" s="1939"/>
      <c r="G18" s="2308">
        <v>0</v>
      </c>
      <c r="H18" s="1943">
        <v>1440667.4100000001</v>
      </c>
      <c r="I18" s="1939">
        <f t="shared" si="1"/>
        <v>1440667.4100000001</v>
      </c>
      <c r="J18" s="1939"/>
      <c r="K18" s="2143"/>
      <c r="L18" s="2144"/>
      <c r="M18" s="2143"/>
      <c r="N18" s="2144"/>
    </row>
    <row r="19" spans="1:14" s="2041" customFormat="1" ht="17.25" customHeight="1">
      <c r="A19" s="2038" t="s">
        <v>1429</v>
      </c>
      <c r="B19" s="2039"/>
      <c r="C19" s="2308">
        <v>0</v>
      </c>
      <c r="D19" s="1943">
        <v>0</v>
      </c>
      <c r="E19" s="1939">
        <f t="shared" si="0"/>
        <v>0</v>
      </c>
      <c r="F19" s="1939"/>
      <c r="G19" s="2308">
        <v>0</v>
      </c>
      <c r="H19" s="1943">
        <v>0</v>
      </c>
      <c r="I19" s="1939">
        <f t="shared" si="1"/>
        <v>0</v>
      </c>
      <c r="J19" s="1939"/>
      <c r="K19" s="2143"/>
      <c r="L19" s="2144"/>
      <c r="M19" s="2143"/>
      <c r="N19" s="2144"/>
    </row>
    <row r="20" spans="1:14" s="2041" customFormat="1" ht="17.25" customHeight="1">
      <c r="A20" s="2038" t="s">
        <v>1222</v>
      </c>
      <c r="B20" s="2039"/>
      <c r="C20" s="2308">
        <v>0</v>
      </c>
      <c r="D20" s="1943">
        <v>0</v>
      </c>
      <c r="E20" s="1939">
        <f t="shared" si="0"/>
        <v>0</v>
      </c>
      <c r="F20" s="1939"/>
      <c r="G20" s="2308">
        <v>1418050.87</v>
      </c>
      <c r="H20" s="1943">
        <v>0</v>
      </c>
      <c r="I20" s="1939">
        <f t="shared" si="1"/>
        <v>1418050.87</v>
      </c>
      <c r="J20" s="1939"/>
      <c r="K20" s="2143"/>
      <c r="L20" s="2144"/>
      <c r="M20" s="2143"/>
      <c r="N20" s="2144"/>
    </row>
    <row r="21" spans="1:14" s="2041" customFormat="1" ht="17.25" customHeight="1">
      <c r="A21" s="2038" t="s">
        <v>1242</v>
      </c>
      <c r="B21" s="2039"/>
      <c r="C21" s="2308">
        <v>448066.69</v>
      </c>
      <c r="D21" s="1943">
        <v>0</v>
      </c>
      <c r="E21" s="1939">
        <f t="shared" si="0"/>
        <v>448066.69</v>
      </c>
      <c r="F21" s="1939"/>
      <c r="G21" s="2308">
        <v>3068534.69</v>
      </c>
      <c r="H21" s="1943">
        <v>0</v>
      </c>
      <c r="I21" s="1939">
        <f t="shared" si="1"/>
        <v>3068534.69</v>
      </c>
      <c r="J21" s="1939"/>
      <c r="K21" s="2143"/>
      <c r="L21" s="2144"/>
      <c r="M21" s="2143"/>
      <c r="N21" s="2144"/>
    </row>
    <row r="22" spans="1:14" s="2041" customFormat="1" ht="17.25" customHeight="1">
      <c r="A22" s="2038" t="s">
        <v>1250</v>
      </c>
      <c r="B22" s="2039"/>
      <c r="C22" s="2308">
        <v>-66362000</v>
      </c>
      <c r="D22" s="1943">
        <v>0</v>
      </c>
      <c r="E22" s="1939">
        <f t="shared" si="0"/>
        <v>-66362000</v>
      </c>
      <c r="F22" s="1939"/>
      <c r="G22" s="1943">
        <v>810596502.78999996</v>
      </c>
      <c r="H22" s="1943">
        <v>0</v>
      </c>
      <c r="I22" s="1939">
        <f>G22+H22</f>
        <v>810596502.78999996</v>
      </c>
      <c r="J22" s="1939"/>
      <c r="K22" s="2143"/>
      <c r="L22" s="2144"/>
      <c r="M22" s="2143"/>
      <c r="N22" s="2144"/>
    </row>
    <row r="23" spans="1:14" s="2041" customFormat="1" ht="17.25" customHeight="1">
      <c r="A23" s="2038" t="s">
        <v>1223</v>
      </c>
      <c r="B23" s="2039"/>
      <c r="C23" s="1943">
        <v>631230.26</v>
      </c>
      <c r="D23" s="1943">
        <v>0</v>
      </c>
      <c r="E23" s="1939">
        <f t="shared" si="0"/>
        <v>631230.26</v>
      </c>
      <c r="F23" s="1939"/>
      <c r="G23" s="1943">
        <v>4705964.71</v>
      </c>
      <c r="H23" s="1943">
        <v>0</v>
      </c>
      <c r="I23" s="1939">
        <f>G23+H23</f>
        <v>4705964.71</v>
      </c>
      <c r="J23" s="1939"/>
      <c r="K23" s="2143"/>
      <c r="L23" s="2144"/>
      <c r="M23" s="2143"/>
      <c r="N23" s="2144"/>
    </row>
    <row r="24" spans="1:14" s="2041" customFormat="1" ht="17.25" customHeight="1">
      <c r="A24" s="2038" t="s">
        <v>1252</v>
      </c>
      <c r="B24" s="2039"/>
      <c r="C24" s="1943">
        <v>1246054.06</v>
      </c>
      <c r="D24" s="1943">
        <v>0</v>
      </c>
      <c r="E24" s="1939">
        <f t="shared" si="0"/>
        <v>1246054.06</v>
      </c>
      <c r="F24" s="1939"/>
      <c r="G24" s="1943">
        <v>7971005.04</v>
      </c>
      <c r="H24" s="1943">
        <v>0</v>
      </c>
      <c r="I24" s="1939">
        <f>G24+H24</f>
        <v>7971005.04</v>
      </c>
      <c r="J24" s="1939"/>
      <c r="K24" s="2143"/>
      <c r="L24" s="2144"/>
      <c r="M24" s="2143"/>
      <c r="N24" s="2144"/>
    </row>
    <row r="25" spans="1:14" s="2041" customFormat="1" ht="17.25" customHeight="1">
      <c r="A25" s="2038" t="s">
        <v>1224</v>
      </c>
      <c r="B25" s="2039"/>
      <c r="C25" s="1943">
        <v>3083847.52</v>
      </c>
      <c r="D25" s="1943">
        <v>1175332.3500000001</v>
      </c>
      <c r="E25" s="1939">
        <f t="shared" si="0"/>
        <v>4259179.87</v>
      </c>
      <c r="F25" s="1939"/>
      <c r="G25" s="1943">
        <v>19305378.469999999</v>
      </c>
      <c r="H25" s="1943">
        <v>3820574.05</v>
      </c>
      <c r="I25" s="1939">
        <f>G25+H25</f>
        <v>23125952.52</v>
      </c>
      <c r="J25" s="1939"/>
      <c r="K25" s="2143"/>
      <c r="L25" s="2144"/>
      <c r="M25" s="2143"/>
      <c r="N25" s="2144"/>
    </row>
    <row r="26" spans="1:14" s="2041" customFormat="1" ht="17.25" customHeight="1">
      <c r="A26" s="2038" t="s">
        <v>1225</v>
      </c>
      <c r="B26" s="2039"/>
      <c r="C26" s="1943">
        <v>0</v>
      </c>
      <c r="D26" s="1943">
        <v>0</v>
      </c>
      <c r="E26" s="1939">
        <f t="shared" si="0"/>
        <v>0</v>
      </c>
      <c r="F26" s="1939"/>
      <c r="G26" s="1943">
        <v>36798805.5</v>
      </c>
      <c r="H26" s="1943">
        <v>0</v>
      </c>
      <c r="I26" s="1939">
        <f>G26+H26</f>
        <v>36798805.5</v>
      </c>
      <c r="J26" s="1939"/>
      <c r="K26" s="2143"/>
      <c r="L26" s="2144"/>
      <c r="M26" s="2143"/>
      <c r="N26" s="2144"/>
    </row>
    <row r="27" spans="1:14" s="2041" customFormat="1" ht="17.25" customHeight="1">
      <c r="A27" s="2038" t="s">
        <v>1231</v>
      </c>
      <c r="B27" s="2039"/>
      <c r="C27" s="1943">
        <v>14537063.85</v>
      </c>
      <c r="D27" s="1943">
        <v>0</v>
      </c>
      <c r="E27" s="1939">
        <f t="shared" si="0"/>
        <v>14537063.85</v>
      </c>
      <c r="F27" s="1939"/>
      <c r="G27" s="2308">
        <v>388925071.01999998</v>
      </c>
      <c r="H27" s="1943">
        <v>0</v>
      </c>
      <c r="I27" s="1939">
        <f t="shared" si="1"/>
        <v>388925071.01999998</v>
      </c>
      <c r="J27" s="1939"/>
      <c r="K27" s="2143"/>
      <c r="L27" s="2144"/>
      <c r="M27" s="2143"/>
      <c r="N27" s="2144"/>
    </row>
    <row r="28" spans="1:14" s="2041" customFormat="1" ht="17.25" customHeight="1">
      <c r="A28" s="2038" t="s">
        <v>1277</v>
      </c>
      <c r="B28" s="2039"/>
      <c r="C28" s="2308">
        <v>0</v>
      </c>
      <c r="D28" s="1943">
        <v>0</v>
      </c>
      <c r="E28" s="1939">
        <f t="shared" si="0"/>
        <v>0</v>
      </c>
      <c r="F28" s="1939"/>
      <c r="G28" s="2308">
        <v>117475516.97</v>
      </c>
      <c r="H28" s="1943">
        <v>0</v>
      </c>
      <c r="I28" s="1939">
        <f t="shared" si="1"/>
        <v>117475516.97</v>
      </c>
      <c r="J28" s="1939"/>
      <c r="K28" s="2143"/>
      <c r="L28" s="2144"/>
      <c r="M28" s="2143"/>
      <c r="N28" s="2144"/>
    </row>
    <row r="29" spans="1:14" s="2041" customFormat="1" ht="17.25" customHeight="1">
      <c r="A29" s="2038" t="s">
        <v>1232</v>
      </c>
      <c r="B29" s="2039"/>
      <c r="C29" s="2308">
        <v>-406227.09</v>
      </c>
      <c r="D29" s="1943">
        <v>0</v>
      </c>
      <c r="E29" s="1939">
        <f t="shared" si="0"/>
        <v>-406227.09</v>
      </c>
      <c r="F29" s="1939"/>
      <c r="G29" s="2308">
        <v>131975037.47</v>
      </c>
      <c r="H29" s="1943">
        <v>0</v>
      </c>
      <c r="I29" s="1939">
        <f t="shared" si="1"/>
        <v>131975037.47</v>
      </c>
      <c r="J29" s="1939"/>
      <c r="K29" s="2143"/>
      <c r="L29" s="2144"/>
      <c r="M29" s="2143"/>
      <c r="N29" s="2144"/>
    </row>
    <row r="30" spans="1:14" s="2041" customFormat="1" ht="17.25" customHeight="1">
      <c r="A30" s="2038" t="s">
        <v>1233</v>
      </c>
      <c r="B30" s="2039"/>
      <c r="C30" s="2308">
        <v>18149064.170000002</v>
      </c>
      <c r="D30" s="1943">
        <v>0</v>
      </c>
      <c r="E30" s="1939">
        <f t="shared" si="0"/>
        <v>18149064.170000002</v>
      </c>
      <c r="F30" s="1939"/>
      <c r="G30" s="2308">
        <v>261752399.21000001</v>
      </c>
      <c r="H30" s="1943">
        <v>0</v>
      </c>
      <c r="I30" s="1939">
        <f t="shared" si="1"/>
        <v>261752399.21000001</v>
      </c>
      <c r="J30" s="1939"/>
      <c r="K30" s="2143"/>
      <c r="L30" s="2144"/>
      <c r="M30" s="2143"/>
      <c r="N30" s="2144"/>
    </row>
    <row r="31" spans="1:14" s="2041" customFormat="1" ht="17.25" customHeight="1">
      <c r="A31" s="2038" t="s">
        <v>1226</v>
      </c>
      <c r="B31" s="2039"/>
      <c r="C31" s="2308">
        <v>151130379.34</v>
      </c>
      <c r="D31" s="1943">
        <v>0</v>
      </c>
      <c r="E31" s="1939">
        <f t="shared" si="0"/>
        <v>151130379.34</v>
      </c>
      <c r="F31" s="1939"/>
      <c r="G31" s="2308">
        <v>670066661.88</v>
      </c>
      <c r="H31" s="1943">
        <v>0</v>
      </c>
      <c r="I31" s="1939">
        <f t="shared" si="1"/>
        <v>670066661.88</v>
      </c>
      <c r="J31" s="1939"/>
      <c r="K31" s="2143"/>
      <c r="L31" s="2144"/>
      <c r="M31" s="2143"/>
      <c r="N31" s="2144"/>
    </row>
    <row r="32" spans="1:14" s="2041" customFormat="1" ht="17.25" customHeight="1">
      <c r="A32" s="2038" t="s">
        <v>1234</v>
      </c>
      <c r="B32" s="2039"/>
      <c r="C32" s="2308">
        <v>-366399112.73000002</v>
      </c>
      <c r="D32" s="1943">
        <v>0</v>
      </c>
      <c r="E32" s="1939">
        <f t="shared" si="0"/>
        <v>-366399112.73000002</v>
      </c>
      <c r="F32" s="1939"/>
      <c r="G32" s="2308">
        <v>2362748367.3699999</v>
      </c>
      <c r="H32" s="1943">
        <v>0</v>
      </c>
      <c r="I32" s="1939">
        <f t="shared" si="1"/>
        <v>2362748367.3699999</v>
      </c>
      <c r="J32" s="1939"/>
      <c r="K32" s="2143"/>
      <c r="L32" s="2144"/>
      <c r="M32" s="2143"/>
      <c r="N32" s="2144"/>
    </row>
    <row r="33" spans="1:15" s="2041" customFormat="1" ht="17.25" customHeight="1">
      <c r="A33" s="2038" t="s">
        <v>1235</v>
      </c>
      <c r="B33" s="2039"/>
      <c r="C33" s="2308">
        <v>-230360997.41</v>
      </c>
      <c r="D33" s="1943">
        <v>0</v>
      </c>
      <c r="E33" s="1939">
        <f t="shared" si="0"/>
        <v>-230360997.41</v>
      </c>
      <c r="F33" s="1939"/>
      <c r="G33" s="2308">
        <v>3170428674.2999997</v>
      </c>
      <c r="H33" s="1943">
        <v>0</v>
      </c>
      <c r="I33" s="1939">
        <f t="shared" si="1"/>
        <v>3170428674.2999997</v>
      </c>
      <c r="J33" s="1939"/>
      <c r="K33" s="2143"/>
      <c r="L33" s="2144"/>
      <c r="M33" s="2143"/>
      <c r="N33" s="2144"/>
    </row>
    <row r="34" spans="1:15" s="2041" customFormat="1" ht="17.25" customHeight="1">
      <c r="A34" s="2038" t="s">
        <v>1227</v>
      </c>
      <c r="B34" s="2039"/>
      <c r="C34" s="2308">
        <v>121814814.84999999</v>
      </c>
      <c r="D34" s="1943">
        <v>0</v>
      </c>
      <c r="E34" s="1939">
        <f t="shared" si="0"/>
        <v>121814814.84999999</v>
      </c>
      <c r="F34" s="1939"/>
      <c r="G34" s="2308">
        <v>717930537.79999995</v>
      </c>
      <c r="H34" s="1943">
        <v>0</v>
      </c>
      <c r="I34" s="1939">
        <f t="shared" si="1"/>
        <v>717930537.79999995</v>
      </c>
      <c r="J34" s="1939"/>
      <c r="K34" s="2143"/>
      <c r="L34" s="2144"/>
      <c r="M34" s="2143"/>
      <c r="N34" s="2144"/>
    </row>
    <row r="35" spans="1:15" s="2041" customFormat="1" ht="17.25" customHeight="1">
      <c r="A35" s="2038" t="s">
        <v>1236</v>
      </c>
      <c r="B35" s="2039"/>
      <c r="C35" s="2308">
        <v>13742825.35</v>
      </c>
      <c r="D35" s="1943">
        <v>0</v>
      </c>
      <c r="E35" s="1939">
        <f t="shared" si="0"/>
        <v>13742825.35</v>
      </c>
      <c r="F35" s="1939"/>
      <c r="G35" s="2308">
        <v>86969275.280000001</v>
      </c>
      <c r="H35" s="1943">
        <v>0</v>
      </c>
      <c r="I35" s="1939">
        <f t="shared" si="1"/>
        <v>86969275.280000001</v>
      </c>
      <c r="J35" s="1939"/>
      <c r="K35" s="2143"/>
      <c r="L35" s="2144"/>
      <c r="M35" s="2143"/>
      <c r="N35" s="2144"/>
    </row>
    <row r="36" spans="1:15" s="2041" customFormat="1" ht="17.25" customHeight="1">
      <c r="A36" s="2038" t="s">
        <v>1237</v>
      </c>
      <c r="B36" s="2039"/>
      <c r="C36" s="2308">
        <v>211092.91</v>
      </c>
      <c r="D36" s="1943">
        <v>0</v>
      </c>
      <c r="E36" s="1939">
        <f t="shared" si="0"/>
        <v>211092.91</v>
      </c>
      <c r="F36" s="1939"/>
      <c r="G36" s="2308">
        <v>1562930.87</v>
      </c>
      <c r="H36" s="1943">
        <v>0</v>
      </c>
      <c r="I36" s="1939">
        <f t="shared" si="1"/>
        <v>1562930.87</v>
      </c>
      <c r="J36" s="1939"/>
      <c r="K36" s="2143"/>
      <c r="L36" s="2144"/>
      <c r="M36" s="2143"/>
      <c r="N36" s="2144"/>
    </row>
    <row r="37" spans="1:15" s="2041" customFormat="1" ht="17.25" customHeight="1">
      <c r="A37" s="1935" t="s">
        <v>1256</v>
      </c>
      <c r="B37" s="2039"/>
      <c r="C37" s="2308">
        <v>1692370246.8900001</v>
      </c>
      <c r="D37" s="1943">
        <v>12682300</v>
      </c>
      <c r="E37" s="1939">
        <f t="shared" si="0"/>
        <v>1705052546.8900001</v>
      </c>
      <c r="F37" s="1939"/>
      <c r="G37" s="2308">
        <v>5284520036.3299999</v>
      </c>
      <c r="H37" s="1943">
        <v>14049020</v>
      </c>
      <c r="I37" s="1939">
        <f t="shared" si="1"/>
        <v>5298569056.3299999</v>
      </c>
      <c r="J37" s="1939"/>
      <c r="K37" s="2143"/>
      <c r="L37" s="2144"/>
      <c r="M37" s="2143"/>
      <c r="N37" s="2144"/>
    </row>
    <row r="38" spans="1:15" s="2041" customFormat="1" ht="17.25" customHeight="1">
      <c r="A38" s="2038" t="s">
        <v>1238</v>
      </c>
      <c r="B38" s="2039"/>
      <c r="C38" s="2308">
        <v>75822531.189999998</v>
      </c>
      <c r="D38" s="1943">
        <v>0</v>
      </c>
      <c r="E38" s="1939">
        <f t="shared" si="0"/>
        <v>75822531.189999998</v>
      </c>
      <c r="F38" s="1939"/>
      <c r="G38" s="2308">
        <v>621778339.02999997</v>
      </c>
      <c r="H38" s="1943">
        <v>0</v>
      </c>
      <c r="I38" s="1939">
        <f t="shared" si="1"/>
        <v>621778339.02999997</v>
      </c>
      <c r="J38" s="1939"/>
      <c r="K38" s="2143"/>
      <c r="L38" s="2144"/>
      <c r="M38" s="2143"/>
      <c r="N38" s="2144"/>
    </row>
    <row r="39" spans="1:15" s="2041" customFormat="1" ht="17.25" customHeight="1">
      <c r="A39" s="2038" t="s">
        <v>1243</v>
      </c>
      <c r="B39" s="2039"/>
      <c r="C39" s="2308">
        <v>190763.75</v>
      </c>
      <c r="D39" s="1943">
        <v>0</v>
      </c>
      <c r="E39" s="1939">
        <f t="shared" si="0"/>
        <v>190763.75</v>
      </c>
      <c r="F39" s="1939"/>
      <c r="G39" s="2308">
        <v>995395.16</v>
      </c>
      <c r="H39" s="1943">
        <v>0</v>
      </c>
      <c r="I39" s="1939">
        <f t="shared" si="1"/>
        <v>995395.16</v>
      </c>
      <c r="J39" s="1939"/>
      <c r="K39" s="2143"/>
      <c r="L39" s="2144"/>
      <c r="M39" s="2143"/>
      <c r="N39" s="2144"/>
    </row>
    <row r="40" spans="1:15" s="2041" customFormat="1" ht="17.25" customHeight="1">
      <c r="A40" s="2038" t="s">
        <v>1228</v>
      </c>
      <c r="B40" s="2039"/>
      <c r="C40" s="2308">
        <v>400000000</v>
      </c>
      <c r="D40" s="1943">
        <v>0</v>
      </c>
      <c r="E40" s="1939">
        <f t="shared" si="0"/>
        <v>400000000</v>
      </c>
      <c r="F40" s="1939"/>
      <c r="G40" s="2308">
        <v>2350000000</v>
      </c>
      <c r="H40" s="1943">
        <v>0</v>
      </c>
      <c r="I40" s="1939">
        <f t="shared" si="1"/>
        <v>2350000000</v>
      </c>
      <c r="J40" s="1939"/>
      <c r="K40" s="2143"/>
      <c r="L40" s="2144"/>
      <c r="M40" s="2143"/>
      <c r="N40" s="2144"/>
    </row>
    <row r="41" spans="1:15" s="2041" customFormat="1" ht="17.25" customHeight="1">
      <c r="A41" s="2038" t="s">
        <v>1404</v>
      </c>
      <c r="B41" s="2039"/>
      <c r="C41" s="2308">
        <v>0</v>
      </c>
      <c r="D41" s="1943">
        <v>0</v>
      </c>
      <c r="E41" s="1939">
        <f t="shared" si="0"/>
        <v>0</v>
      </c>
      <c r="F41" s="1939"/>
      <c r="G41" s="2308">
        <v>0</v>
      </c>
      <c r="H41" s="1943">
        <v>0</v>
      </c>
      <c r="I41" s="1939">
        <f t="shared" si="1"/>
        <v>0</v>
      </c>
      <c r="J41" s="1939"/>
      <c r="K41" s="2143"/>
      <c r="L41" s="2144"/>
      <c r="M41" s="2143"/>
      <c r="N41" s="2144"/>
    </row>
    <row r="42" spans="1:15" s="2041" customFormat="1" ht="17.25" customHeight="1">
      <c r="A42" s="2038" t="s">
        <v>1428</v>
      </c>
      <c r="B42" s="2039"/>
      <c r="C42" s="2308">
        <v>0</v>
      </c>
      <c r="D42" s="1943">
        <v>0</v>
      </c>
      <c r="E42" s="1939">
        <f>+C42+D42</f>
        <v>0</v>
      </c>
      <c r="F42" s="1939"/>
      <c r="G42" s="2308">
        <v>270179970</v>
      </c>
      <c r="H42" s="1943">
        <v>0</v>
      </c>
      <c r="I42" s="1939">
        <f>+G42+H42</f>
        <v>270179970</v>
      </c>
      <c r="J42" s="1939"/>
      <c r="K42" s="2143"/>
      <c r="L42" s="2144"/>
      <c r="M42" s="2143"/>
      <c r="N42" s="2144"/>
    </row>
    <row r="43" spans="1:15" s="2041" customFormat="1" ht="17.25" customHeight="1">
      <c r="A43" s="2038" t="s">
        <v>1405</v>
      </c>
      <c r="B43" s="2039"/>
      <c r="C43" s="2308">
        <v>0</v>
      </c>
      <c r="D43" s="1943">
        <v>0</v>
      </c>
      <c r="E43" s="1939">
        <f t="shared" si="0"/>
        <v>0</v>
      </c>
      <c r="F43" s="1939"/>
      <c r="G43" s="2308">
        <v>0</v>
      </c>
      <c r="H43" s="1943">
        <v>0</v>
      </c>
      <c r="I43" s="1939">
        <f t="shared" si="1"/>
        <v>0</v>
      </c>
      <c r="J43" s="1939"/>
      <c r="K43" s="2143"/>
      <c r="L43" s="2144"/>
      <c r="M43" s="2143"/>
      <c r="N43" s="2144"/>
    </row>
    <row r="44" spans="1:15" s="2041" customFormat="1" ht="17.25" customHeight="1">
      <c r="A44" s="2038" t="s">
        <v>1434</v>
      </c>
      <c r="B44" s="2039"/>
      <c r="C44" s="2308">
        <v>0</v>
      </c>
      <c r="D44" s="1943">
        <v>0</v>
      </c>
      <c r="E44" s="1939">
        <f t="shared" si="0"/>
        <v>0</v>
      </c>
      <c r="F44" s="1939"/>
      <c r="G44" s="2308">
        <v>0</v>
      </c>
      <c r="H44" s="1943">
        <v>0</v>
      </c>
      <c r="I44" s="1939">
        <f t="shared" si="1"/>
        <v>0</v>
      </c>
      <c r="J44" s="1939"/>
      <c r="K44" s="2143"/>
      <c r="L44" s="2144"/>
      <c r="M44" s="2143"/>
      <c r="N44" s="2144"/>
    </row>
    <row r="45" spans="1:15" s="2041" customFormat="1" ht="17.25" customHeight="1">
      <c r="A45" s="2038" t="s">
        <v>1244</v>
      </c>
      <c r="B45" s="2039"/>
      <c r="C45" s="2308">
        <v>178327521.71000001</v>
      </c>
      <c r="D45" s="1943">
        <v>0</v>
      </c>
      <c r="E45" s="1939">
        <f t="shared" si="0"/>
        <v>178327521.71000001</v>
      </c>
      <c r="F45" s="1939"/>
      <c r="G45" s="2308">
        <v>274815999.14999998</v>
      </c>
      <c r="H45" s="1943">
        <v>0</v>
      </c>
      <c r="I45" s="1939">
        <f t="shared" si="1"/>
        <v>274815999.14999998</v>
      </c>
      <c r="J45" s="1939"/>
      <c r="K45" s="2143"/>
      <c r="L45" s="2144"/>
      <c r="M45" s="2143"/>
      <c r="N45" s="2144"/>
    </row>
    <row r="46" spans="1:15" s="2041" customFormat="1" ht="17.25" customHeight="1">
      <c r="A46" s="2038" t="s">
        <v>1245</v>
      </c>
      <c r="B46" s="2039"/>
      <c r="C46" s="2308">
        <v>75000000</v>
      </c>
      <c r="D46" s="1943">
        <v>0</v>
      </c>
      <c r="E46" s="1939">
        <f t="shared" si="0"/>
        <v>75000000</v>
      </c>
      <c r="F46" s="1939"/>
      <c r="G46" s="2308">
        <v>450000000</v>
      </c>
      <c r="H46" s="1943">
        <v>0</v>
      </c>
      <c r="I46" s="1939">
        <f t="shared" si="1"/>
        <v>450000000</v>
      </c>
      <c r="J46" s="1939"/>
      <c r="K46" s="2143"/>
      <c r="L46" s="2144"/>
      <c r="M46" s="2143"/>
      <c r="N46" s="2144"/>
    </row>
    <row r="47" spans="1:15" s="2041" customFormat="1" ht="17.25" customHeight="1">
      <c r="A47" s="2038" t="s">
        <v>1278</v>
      </c>
      <c r="B47" s="2039"/>
      <c r="C47" s="2308">
        <v>0</v>
      </c>
      <c r="D47" s="1943">
        <v>0</v>
      </c>
      <c r="E47" s="1939">
        <f t="shared" si="0"/>
        <v>0</v>
      </c>
      <c r="F47" s="1939"/>
      <c r="G47" s="2308">
        <v>233793701.97999999</v>
      </c>
      <c r="H47" s="1943">
        <v>0</v>
      </c>
      <c r="I47" s="1939">
        <f t="shared" si="1"/>
        <v>233793701.97999999</v>
      </c>
      <c r="J47" s="1939"/>
      <c r="K47" s="2143"/>
      <c r="L47" s="2144"/>
      <c r="M47" s="2143"/>
      <c r="N47" s="2144"/>
    </row>
    <row r="48" spans="1:15" s="2037" customFormat="1" ht="17.25" customHeight="1">
      <c r="A48" s="2043" t="s">
        <v>1253</v>
      </c>
      <c r="B48" s="2015"/>
      <c r="C48" s="2140">
        <f>SUM(C11:C47)</f>
        <v>2148233517.0100002</v>
      </c>
      <c r="D48" s="2140">
        <f>SUM(D11:D47)</f>
        <v>1056793350.1600001</v>
      </c>
      <c r="E48" s="2140">
        <f>SUM(E11:E47)</f>
        <v>3205026867.1700001</v>
      </c>
      <c r="F48" s="2309"/>
      <c r="G48" s="2140">
        <f>SUM(G11:G47)</f>
        <v>18437284957.440002</v>
      </c>
      <c r="H48" s="2140">
        <f>SUM(H11:H47)</f>
        <v>2191694072.8099999</v>
      </c>
      <c r="I48" s="2140">
        <f>SUM(I11:I47)</f>
        <v>20628979030.250004</v>
      </c>
      <c r="J48" s="2251"/>
      <c r="K48" s="2143"/>
      <c r="L48" s="2144"/>
      <c r="M48" s="2143"/>
      <c r="N48" s="2144"/>
      <c r="O48" s="2041"/>
    </row>
    <row r="49" spans="1:15" ht="9.6" customHeight="1">
      <c r="A49" s="2035"/>
      <c r="B49" s="1961"/>
      <c r="C49" s="2232"/>
      <c r="D49" s="2232"/>
      <c r="E49" s="2232"/>
      <c r="F49" s="2232"/>
      <c r="G49" s="1960"/>
      <c r="H49" s="1960"/>
      <c r="I49" s="1960"/>
      <c r="J49" s="2300"/>
      <c r="K49" s="2143"/>
      <c r="L49" s="2144"/>
      <c r="N49" s="2144"/>
      <c r="O49" s="2041"/>
    </row>
    <row r="50" spans="1:15" ht="43.35" customHeight="1">
      <c r="A50" s="2044" t="s">
        <v>1264</v>
      </c>
      <c r="B50" s="1961"/>
      <c r="C50" s="2208">
        <v>-82315101.219999999</v>
      </c>
      <c r="D50" s="2207">
        <v>0</v>
      </c>
      <c r="E50" s="2091">
        <f>C50+D50</f>
        <v>-82315101.219999999</v>
      </c>
      <c r="F50" s="2091"/>
      <c r="G50" s="2207">
        <v>-904247455.92999995</v>
      </c>
      <c r="H50" s="2207">
        <v>0</v>
      </c>
      <c r="I50" s="2093">
        <f>G50+H50</f>
        <v>-904247455.92999995</v>
      </c>
      <c r="J50" s="2093"/>
      <c r="K50" s="2143"/>
      <c r="L50" s="2144"/>
      <c r="N50" s="2144"/>
      <c r="O50" s="2041"/>
    </row>
    <row r="51" spans="1:15" ht="15.6" customHeight="1">
      <c r="A51" s="2045"/>
      <c r="B51" s="1961"/>
      <c r="C51" s="2280"/>
      <c r="D51" s="2280"/>
      <c r="E51" s="2280"/>
      <c r="F51" s="2280"/>
      <c r="G51" s="2301"/>
      <c r="H51" s="2301" t="s">
        <v>14</v>
      </c>
      <c r="I51" s="2301"/>
      <c r="J51" s="2301"/>
      <c r="K51" s="2143"/>
      <c r="L51" s="2144"/>
      <c r="N51" s="2144"/>
      <c r="O51" s="2041"/>
    </row>
    <row r="52" spans="1:15" ht="17.25" customHeight="1" thickBot="1">
      <c r="A52" s="2045" t="s">
        <v>1229</v>
      </c>
      <c r="B52" s="1961"/>
      <c r="C52" s="2223">
        <f>+C48+C50</f>
        <v>2065918415.7900002</v>
      </c>
      <c r="D52" s="2223">
        <f t="shared" ref="D52:I52" si="2">+D48+D50</f>
        <v>1056793350.1600001</v>
      </c>
      <c r="E52" s="2223">
        <f t="shared" si="2"/>
        <v>3122711765.9500003</v>
      </c>
      <c r="F52" s="2223">
        <f t="shared" si="2"/>
        <v>0</v>
      </c>
      <c r="G52" s="2223">
        <f t="shared" si="2"/>
        <v>17533037501.510002</v>
      </c>
      <c r="H52" s="2223">
        <f t="shared" si="2"/>
        <v>2191694072.8099999</v>
      </c>
      <c r="I52" s="2223">
        <f t="shared" si="2"/>
        <v>19724731574.320004</v>
      </c>
      <c r="J52" s="2215"/>
      <c r="K52" s="2143"/>
      <c r="L52" s="2144"/>
      <c r="N52" s="2144"/>
      <c r="O52" s="2041"/>
    </row>
    <row r="53" spans="1:15" ht="17.25" customHeight="1" thickTop="1">
      <c r="A53" s="2046"/>
      <c r="B53" s="1938"/>
      <c r="C53" s="2046"/>
      <c r="D53" s="2046"/>
      <c r="E53" s="2281"/>
      <c r="F53" s="2281"/>
      <c r="G53" s="2302"/>
      <c r="H53" s="2302"/>
      <c r="I53" s="2302"/>
      <c r="K53" s="2143"/>
    </row>
    <row r="54" spans="1:15" ht="16.350000000000001" customHeight="1">
      <c r="A54" s="2047" t="s">
        <v>1269</v>
      </c>
      <c r="B54" s="1938"/>
      <c r="C54" s="2224"/>
      <c r="D54" s="1960"/>
      <c r="E54" s="2242"/>
      <c r="F54" s="2282"/>
      <c r="G54" s="1960"/>
      <c r="H54" s="1960"/>
      <c r="I54" s="1960" t="s">
        <v>14</v>
      </c>
    </row>
    <row r="55" spans="1:15" ht="16.350000000000001" customHeight="1">
      <c r="A55" s="2048" t="s">
        <v>1272</v>
      </c>
      <c r="B55" s="1938"/>
      <c r="C55" s="2283"/>
      <c r="D55" s="2284"/>
      <c r="E55" s="2285" t="s">
        <v>14</v>
      </c>
      <c r="F55" s="2049"/>
      <c r="G55" s="2303"/>
      <c r="H55" s="2304"/>
      <c r="I55" s="1937"/>
    </row>
    <row r="56" spans="1:15" ht="16.350000000000001" customHeight="1">
      <c r="A56" s="2048" t="s">
        <v>1271</v>
      </c>
      <c r="B56" s="1938"/>
      <c r="C56" s="2286"/>
      <c r="D56" s="2224"/>
      <c r="E56" s="1960"/>
      <c r="F56" s="2242"/>
      <c r="G56" s="2305"/>
      <c r="H56" s="1960"/>
      <c r="I56" s="1960"/>
      <c r="J56" s="1960"/>
    </row>
    <row r="57" spans="1:15" s="2018" customFormat="1" ht="16.350000000000001" customHeight="1">
      <c r="A57" s="2048" t="s">
        <v>1275</v>
      </c>
      <c r="B57" s="1933"/>
      <c r="C57" s="2208"/>
      <c r="D57" s="2207"/>
      <c r="E57" s="2091"/>
      <c r="F57" s="2092"/>
      <c r="G57" s="2207"/>
      <c r="H57" s="2207"/>
      <c r="I57" s="2093"/>
      <c r="J57" s="2052"/>
      <c r="K57" s="2052"/>
      <c r="M57" s="2051"/>
    </row>
    <row r="58" spans="1:15" s="2018" customFormat="1" ht="13.35" customHeight="1">
      <c r="A58" s="2048" t="s">
        <v>1267</v>
      </c>
      <c r="B58" s="1933"/>
      <c r="C58" s="2051"/>
      <c r="G58" s="2050"/>
      <c r="H58" s="1933"/>
      <c r="I58" s="2306"/>
      <c r="J58" s="2052"/>
      <c r="K58" s="2052"/>
      <c r="M58" s="2051"/>
    </row>
    <row r="59" spans="1:15" ht="17.25" customHeight="1">
      <c r="A59" s="2048" t="s">
        <v>1425</v>
      </c>
      <c r="G59" s="1960"/>
    </row>
    <row r="60" spans="1:15" ht="17.25" customHeight="1">
      <c r="C60" s="2208"/>
      <c r="D60" s="2207"/>
      <c r="E60" s="2091"/>
      <c r="F60" s="2092"/>
      <c r="G60" s="2207"/>
      <c r="H60" s="2207"/>
      <c r="I60" s="2093"/>
    </row>
    <row r="61" spans="1:15" ht="17.25" customHeight="1">
      <c r="C61" s="2208"/>
      <c r="D61" s="2207"/>
      <c r="E61" s="2091"/>
      <c r="F61" s="2092"/>
      <c r="G61" s="2207"/>
      <c r="H61" s="2207"/>
      <c r="I61" s="2093"/>
    </row>
    <row r="62" spans="1:15" ht="17.25" customHeight="1">
      <c r="C62" s="2208"/>
      <c r="D62" s="2207"/>
      <c r="E62" s="2091"/>
      <c r="F62" s="2092"/>
      <c r="G62" s="2207"/>
      <c r="H62" s="2207"/>
      <c r="I62" s="2093"/>
    </row>
    <row r="63" spans="1:15" ht="17.25" customHeight="1">
      <c r="C63" s="2051"/>
      <c r="D63" s="2051"/>
      <c r="E63" s="2051"/>
      <c r="F63" s="2051"/>
      <c r="G63" s="1960"/>
      <c r="H63" s="1960"/>
      <c r="I63" s="1960"/>
    </row>
    <row r="64" spans="1:15" ht="17.25" customHeight="1">
      <c r="C64" s="2208"/>
      <c r="D64" s="2207"/>
      <c r="E64" s="2091"/>
      <c r="F64" s="2092"/>
      <c r="G64" s="2207"/>
      <c r="H64" s="2207"/>
      <c r="I64" s="2093"/>
    </row>
    <row r="65" spans="3:9" ht="17.25" customHeight="1">
      <c r="G65" s="2052"/>
    </row>
    <row r="66" spans="3:9" ht="17.25" customHeight="1">
      <c r="I66" s="2052"/>
    </row>
    <row r="67" spans="3:9" ht="17.25" customHeight="1">
      <c r="C67" s="2208"/>
      <c r="D67" s="2207"/>
      <c r="E67" s="2091"/>
      <c r="F67" s="2092"/>
      <c r="G67" s="2207"/>
      <c r="H67" s="2207"/>
      <c r="I67" s="2093"/>
    </row>
    <row r="68" spans="3:9" ht="17.25" customHeight="1">
      <c r="G68" s="2052"/>
    </row>
    <row r="69" spans="3:9" ht="17.25" customHeight="1">
      <c r="G69" s="2052"/>
    </row>
    <row r="70" spans="3:9" ht="17.25" customHeight="1">
      <c r="G70" s="2052"/>
    </row>
    <row r="71" spans="3:9" ht="17.25" customHeight="1">
      <c r="I71" s="2210"/>
    </row>
  </sheetData>
  <mergeCells count="2">
    <mergeCell ref="C7:E7"/>
    <mergeCell ref="G7:I7"/>
  </mergeCells>
  <pageMargins left="0.17" right="0.18" top="0.44" bottom="0.27" header="0.23" footer="0.18"/>
  <pageSetup scale="55" firstPageNumber="57" orientation="landscape" useFirstPageNumber="1" r:id="rId1"/>
  <headerFooter scaleWithDoc="0" alignWithMargins="0">
    <oddFooter>&amp;C&amp;8&amp;P</oddFooter>
  </headerFooter>
  <customProperties>
    <customPr name="SheetOptions" r:id="rId2"/>
  </customProperties>
  <ignoredErrors>
    <ignoredError sqref="I42 E42" formula="1"/>
  </ignoredError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O45"/>
  <sheetViews>
    <sheetView showGridLines="0" zoomScale="80" zoomScaleNormal="80" workbookViewId="0"/>
  </sheetViews>
  <sheetFormatPr defaultColWidth="8.88671875" defaultRowHeight="15"/>
  <cols>
    <col min="1" max="1" width="58.88671875" style="2053" customWidth="1"/>
    <col min="2" max="2" width="2" style="1933" customWidth="1"/>
    <col min="3" max="3" width="21.109375" style="2018" customWidth="1"/>
    <col min="4" max="4" width="21.88671875" style="2018" customWidth="1"/>
    <col min="5" max="5" width="19.88671875" style="2018" customWidth="1"/>
    <col min="6" max="6" width="0.88671875" style="2018" customWidth="1"/>
    <col min="7" max="7" width="22.109375" style="1934" customWidth="1"/>
    <col min="8" max="8" width="20.88671875" style="1933" customWidth="1"/>
    <col min="9" max="9" width="21.88671875" style="1933" customWidth="1"/>
    <col min="10" max="10" width="18.109375" style="2052" customWidth="1"/>
    <col min="11" max="11" width="17.109375" style="1933" customWidth="1"/>
    <col min="12" max="12" width="19.109375" style="1933" customWidth="1"/>
    <col min="13" max="13" width="16.6640625" style="1933" customWidth="1"/>
    <col min="14" max="14" width="16" style="1933" customWidth="1"/>
    <col min="15" max="16384" width="8.88671875" style="1933"/>
  </cols>
  <sheetData>
    <row r="1" spans="1:14" ht="15.75">
      <c r="A1" s="468" t="s">
        <v>841</v>
      </c>
    </row>
    <row r="3" spans="1:14" ht="25.35" customHeight="1">
      <c r="A3" s="2033" t="s">
        <v>0</v>
      </c>
      <c r="C3" s="2197"/>
      <c r="D3" s="2197"/>
      <c r="E3" s="2197"/>
      <c r="F3" s="2197"/>
      <c r="I3" s="2198" t="s">
        <v>1249</v>
      </c>
    </row>
    <row r="4" spans="1:14" ht="25.35" customHeight="1">
      <c r="A4" s="2033" t="s">
        <v>1268</v>
      </c>
      <c r="C4" s="2197"/>
      <c r="D4" s="2295" t="s">
        <v>14</v>
      </c>
      <c r="E4" s="2197"/>
      <c r="F4" s="2197"/>
    </row>
    <row r="5" spans="1:14" ht="18.600000000000001" customHeight="1">
      <c r="A5" s="2070" t="str">
        <f>'Appendix H'!A5</f>
        <v xml:space="preserve">FISCAL YEAR 2023-2024   </v>
      </c>
      <c r="C5" s="2197"/>
      <c r="D5" s="2197"/>
      <c r="E5" s="2197"/>
      <c r="F5" s="2197"/>
    </row>
    <row r="6" spans="1:14" ht="21">
      <c r="A6" s="2225"/>
      <c r="C6" s="2197"/>
      <c r="D6" s="2197"/>
      <c r="E6" s="2197"/>
      <c r="F6" s="2197"/>
    </row>
    <row r="7" spans="1:14" ht="15.75">
      <c r="A7" s="2226"/>
      <c r="B7" s="1961"/>
      <c r="C7" s="2363" t="str">
        <f>'Appendix H'!C7:E7</f>
        <v>SEPTEMBER 2023</v>
      </c>
      <c r="D7" s="2364"/>
      <c r="E7" s="2364"/>
      <c r="F7" s="2199"/>
      <c r="G7" s="2364" t="str">
        <f>'Appendix H'!G7:I7</f>
        <v>6 MONTHS ENDED SEPTEMBER 30</v>
      </c>
      <c r="H7" s="2364"/>
      <c r="I7" s="2364"/>
    </row>
    <row r="8" spans="1:14" ht="15.75">
      <c r="A8" s="2226"/>
      <c r="B8" s="1961"/>
      <c r="C8" s="2227"/>
      <c r="D8" s="2227"/>
      <c r="E8" s="2227"/>
      <c r="F8" s="2227"/>
      <c r="G8" s="2200"/>
      <c r="H8" s="1961"/>
      <c r="I8" s="1961"/>
    </row>
    <row r="9" spans="1:14" ht="15.75">
      <c r="A9" s="2228"/>
      <c r="B9" s="1961"/>
      <c r="C9" s="1962" t="s">
        <v>1216</v>
      </c>
      <c r="D9" s="1962" t="s">
        <v>1217</v>
      </c>
      <c r="E9" s="1962" t="str">
        <f>'Appendix H'!E9</f>
        <v>September</v>
      </c>
      <c r="F9" s="1962"/>
      <c r="G9" s="1962" t="s">
        <v>1216</v>
      </c>
      <c r="H9" s="1962" t="s">
        <v>1217</v>
      </c>
      <c r="I9" s="2229" t="s">
        <v>1218</v>
      </c>
      <c r="J9" s="2050"/>
      <c r="K9" s="1938"/>
      <c r="L9" s="1938"/>
      <c r="M9" s="1938"/>
    </row>
    <row r="10" spans="1:14" s="2037" customFormat="1" ht="15.75">
      <c r="A10" s="2036"/>
      <c r="B10" s="2015"/>
      <c r="C10" s="2230"/>
      <c r="D10" s="2230"/>
      <c r="E10" s="2230"/>
      <c r="F10" s="2230"/>
      <c r="G10" s="2298"/>
      <c r="H10" s="2015"/>
      <c r="I10" s="2298"/>
      <c r="J10" s="2142"/>
    </row>
    <row r="11" spans="1:14" s="2041" customFormat="1" ht="15.75">
      <c r="A11" s="2038" t="s">
        <v>1251</v>
      </c>
      <c r="B11" s="2039"/>
      <c r="C11" s="2016">
        <v>14622617.74</v>
      </c>
      <c r="D11" s="2016">
        <v>0</v>
      </c>
      <c r="E11" s="2017">
        <f>C11+D11</f>
        <v>14622617.74</v>
      </c>
      <c r="F11" s="2017"/>
      <c r="G11" s="2016">
        <v>101737388.79000001</v>
      </c>
      <c r="H11" s="2016">
        <f>D11</f>
        <v>0</v>
      </c>
      <c r="I11" s="2017">
        <f>G11+H11</f>
        <v>101737388.79000001</v>
      </c>
      <c r="J11" s="2143"/>
      <c r="K11" s="2143"/>
      <c r="L11" s="2144"/>
      <c r="M11" s="2144"/>
      <c r="N11" s="2144"/>
    </row>
    <row r="12" spans="1:14" s="2041" customFormat="1" ht="15.75">
      <c r="A12" s="2038" t="s">
        <v>1230</v>
      </c>
      <c r="B12" s="2039"/>
      <c r="C12" s="1943">
        <v>61916.5</v>
      </c>
      <c r="D12" s="1943">
        <v>55701532</v>
      </c>
      <c r="E12" s="1939">
        <f>C12+D12</f>
        <v>55763448.5</v>
      </c>
      <c r="F12" s="1939"/>
      <c r="G12" s="1943">
        <v>392458.15</v>
      </c>
      <c r="H12" s="1943">
        <v>179235015</v>
      </c>
      <c r="I12" s="1939">
        <f>G12+H12</f>
        <v>179627473.15000001</v>
      </c>
      <c r="J12" s="2143"/>
      <c r="K12" s="2143"/>
      <c r="L12" s="2144"/>
      <c r="M12" s="2144"/>
      <c r="N12" s="2144"/>
    </row>
    <row r="13" spans="1:14" s="2041" customFormat="1" ht="15.75">
      <c r="A13" s="2038" t="s">
        <v>1412</v>
      </c>
      <c r="B13" s="2039"/>
      <c r="C13" s="1943">
        <v>0</v>
      </c>
      <c r="D13" s="1943">
        <v>0</v>
      </c>
      <c r="E13" s="1939">
        <f>C13+D13</f>
        <v>0</v>
      </c>
      <c r="F13" s="1939"/>
      <c r="G13" s="1943">
        <v>412472349.60000002</v>
      </c>
      <c r="H13" s="1943">
        <v>0</v>
      </c>
      <c r="I13" s="1939">
        <f>G13+H13</f>
        <v>412472349.60000002</v>
      </c>
      <c r="J13" s="2143"/>
      <c r="K13" s="2143"/>
      <c r="L13" s="2144"/>
      <c r="M13" s="2144"/>
      <c r="N13" s="2144"/>
    </row>
    <row r="14" spans="1:14" s="2041" customFormat="1" ht="15.75">
      <c r="A14" s="2038" t="s">
        <v>1231</v>
      </c>
      <c r="B14" s="2039"/>
      <c r="C14" s="1943">
        <v>375668382.07999998</v>
      </c>
      <c r="D14" s="1943">
        <v>0</v>
      </c>
      <c r="E14" s="1939">
        <f t="shared" ref="E14:E23" si="0">C14+D14</f>
        <v>375668382.07999998</v>
      </c>
      <c r="F14" s="1939"/>
      <c r="G14" s="1943">
        <v>1902657328</v>
      </c>
      <c r="H14" s="1943">
        <f t="shared" ref="H14:H25" si="1">D14</f>
        <v>0</v>
      </c>
      <c r="I14" s="1939">
        <f t="shared" ref="I14:I25" si="2">G14+H14</f>
        <v>1902657328</v>
      </c>
      <c r="J14" s="2143"/>
      <c r="K14" s="2143"/>
      <c r="L14" s="2144"/>
      <c r="M14" s="2144"/>
      <c r="N14" s="2144"/>
    </row>
    <row r="15" spans="1:14" s="2041" customFormat="1" ht="15.75">
      <c r="A15" s="2038" t="s">
        <v>1232</v>
      </c>
      <c r="B15" s="2039"/>
      <c r="C15" s="1943">
        <v>30610111.809999999</v>
      </c>
      <c r="D15" s="1943">
        <v>0</v>
      </c>
      <c r="E15" s="1939">
        <f t="shared" si="0"/>
        <v>30610111.809999999</v>
      </c>
      <c r="F15" s="1939"/>
      <c r="G15" s="1943">
        <v>208404499.78</v>
      </c>
      <c r="H15" s="1943">
        <f t="shared" si="1"/>
        <v>0</v>
      </c>
      <c r="I15" s="1939">
        <f>G15+H15</f>
        <v>208404499.78</v>
      </c>
      <c r="J15" s="2143"/>
      <c r="K15" s="2143"/>
      <c r="L15" s="2144"/>
      <c r="M15" s="2144"/>
      <c r="N15" s="2144"/>
    </row>
    <row r="16" spans="1:14" s="2041" customFormat="1" ht="15.75">
      <c r="A16" s="2038" t="s">
        <v>1233</v>
      </c>
      <c r="B16" s="2039"/>
      <c r="C16" s="1943">
        <v>51597334.420000002</v>
      </c>
      <c r="D16" s="1943">
        <v>0</v>
      </c>
      <c r="E16" s="1939">
        <f t="shared" si="0"/>
        <v>51597334.420000002</v>
      </c>
      <c r="F16" s="1939"/>
      <c r="G16" s="1943">
        <v>384133401</v>
      </c>
      <c r="H16" s="1943">
        <f t="shared" si="1"/>
        <v>0</v>
      </c>
      <c r="I16" s="1939">
        <f t="shared" si="2"/>
        <v>384133401</v>
      </c>
      <c r="J16" s="2143"/>
      <c r="K16" s="2143"/>
      <c r="L16" s="2144"/>
      <c r="M16" s="2144"/>
      <c r="N16" s="2144"/>
    </row>
    <row r="17" spans="1:15" s="2041" customFormat="1" ht="15.75">
      <c r="A17" s="2038" t="s">
        <v>1226</v>
      </c>
      <c r="B17" s="2039"/>
      <c r="C17" s="1943">
        <v>182635149.53999999</v>
      </c>
      <c r="D17" s="1943">
        <v>0</v>
      </c>
      <c r="E17" s="1939">
        <f t="shared" si="0"/>
        <v>182635149.53999999</v>
      </c>
      <c r="F17" s="1939"/>
      <c r="G17" s="1943">
        <v>930674109.30999994</v>
      </c>
      <c r="H17" s="1943">
        <f t="shared" si="1"/>
        <v>0</v>
      </c>
      <c r="I17" s="1939">
        <f t="shared" si="2"/>
        <v>930674109.30999994</v>
      </c>
      <c r="J17" s="2143"/>
      <c r="K17" s="2143"/>
      <c r="L17" s="2144"/>
      <c r="M17" s="2144"/>
      <c r="N17" s="2144"/>
    </row>
    <row r="18" spans="1:15" s="2041" customFormat="1" ht="15.75">
      <c r="A18" s="2038" t="s">
        <v>1234</v>
      </c>
      <c r="B18" s="2039"/>
      <c r="C18" s="1943">
        <v>1631239734.9400001</v>
      </c>
      <c r="D18" s="1943">
        <v>0</v>
      </c>
      <c r="E18" s="1939">
        <f t="shared" si="0"/>
        <v>1631239734.9400001</v>
      </c>
      <c r="F18" s="1939"/>
      <c r="G18" s="1943">
        <v>10541667567.219999</v>
      </c>
      <c r="H18" s="1943">
        <f t="shared" si="1"/>
        <v>0</v>
      </c>
      <c r="I18" s="1939">
        <f t="shared" si="2"/>
        <v>10541667567.219999</v>
      </c>
      <c r="J18" s="2143"/>
      <c r="K18" s="2143"/>
      <c r="L18" s="2144"/>
      <c r="M18" s="2144"/>
      <c r="N18" s="2144"/>
    </row>
    <row r="19" spans="1:15" s="2041" customFormat="1" ht="15.75">
      <c r="A19" s="2038" t="s">
        <v>1235</v>
      </c>
      <c r="B19" s="2039"/>
      <c r="C19" s="1943">
        <v>-908943795.13000011</v>
      </c>
      <c r="D19" s="1943">
        <v>0</v>
      </c>
      <c r="E19" s="1939">
        <f t="shared" si="0"/>
        <v>-908943795.13000011</v>
      </c>
      <c r="F19" s="1939"/>
      <c r="G19" s="1943">
        <v>9791222526.1000004</v>
      </c>
      <c r="H19" s="1943">
        <f t="shared" si="1"/>
        <v>0</v>
      </c>
      <c r="I19" s="1939">
        <f t="shared" si="2"/>
        <v>9791222526.1000004</v>
      </c>
      <c r="J19" s="2143"/>
      <c r="K19" s="2143"/>
      <c r="L19" s="2144"/>
      <c r="M19" s="2144"/>
      <c r="N19" s="2144"/>
    </row>
    <row r="20" spans="1:15" s="2041" customFormat="1" ht="15.75">
      <c r="A20" s="2038" t="s">
        <v>1227</v>
      </c>
      <c r="B20" s="2039"/>
      <c r="C20" s="1943">
        <v>549760296.64999998</v>
      </c>
      <c r="D20" s="1943">
        <v>0</v>
      </c>
      <c r="E20" s="1939">
        <f t="shared" si="0"/>
        <v>549760296.64999998</v>
      </c>
      <c r="F20" s="1939"/>
      <c r="G20" s="1943">
        <v>3128800937.3800001</v>
      </c>
      <c r="H20" s="1943">
        <f t="shared" si="1"/>
        <v>0</v>
      </c>
      <c r="I20" s="1939">
        <f t="shared" si="2"/>
        <v>3128800937.3800001</v>
      </c>
      <c r="J20" s="2143"/>
      <c r="K20" s="2143"/>
      <c r="L20" s="2144"/>
      <c r="M20" s="2144"/>
      <c r="N20" s="2144"/>
    </row>
    <row r="21" spans="1:15" s="2041" customFormat="1" ht="15.75">
      <c r="A21" s="2038" t="s">
        <v>1236</v>
      </c>
      <c r="B21" s="2039"/>
      <c r="C21" s="1943">
        <v>52755401.32</v>
      </c>
      <c r="D21" s="1943">
        <v>0</v>
      </c>
      <c r="E21" s="1939">
        <f t="shared" si="0"/>
        <v>52755401.32</v>
      </c>
      <c r="F21" s="1939"/>
      <c r="G21" s="1943">
        <v>353681118.73000002</v>
      </c>
      <c r="H21" s="1943">
        <f t="shared" si="1"/>
        <v>0</v>
      </c>
      <c r="I21" s="1939">
        <f t="shared" si="2"/>
        <v>353681118.73000002</v>
      </c>
      <c r="J21" s="2143"/>
      <c r="K21" s="2143"/>
      <c r="L21" s="2144"/>
      <c r="M21" s="2144"/>
      <c r="N21" s="2144"/>
    </row>
    <row r="22" spans="1:15" s="2041" customFormat="1" ht="15.75">
      <c r="A22" s="2038" t="s">
        <v>1237</v>
      </c>
      <c r="B22" s="2039"/>
      <c r="C22" s="1943">
        <v>507233.2</v>
      </c>
      <c r="D22" s="1943">
        <v>0</v>
      </c>
      <c r="E22" s="1939">
        <f t="shared" si="0"/>
        <v>507233.2</v>
      </c>
      <c r="F22" s="1939"/>
      <c r="G22" s="1943">
        <v>3246216.35</v>
      </c>
      <c r="H22" s="1943">
        <f t="shared" si="1"/>
        <v>0</v>
      </c>
      <c r="I22" s="1939">
        <f t="shared" si="2"/>
        <v>3246216.35</v>
      </c>
      <c r="J22" s="2143"/>
      <c r="K22" s="2143"/>
      <c r="L22" s="2144"/>
      <c r="M22" s="2144"/>
      <c r="N22" s="2144"/>
    </row>
    <row r="23" spans="1:15" s="2041" customFormat="1" ht="15.75">
      <c r="A23" s="2038" t="s">
        <v>1255</v>
      </c>
      <c r="B23" s="2039"/>
      <c r="C23" s="1943">
        <v>-176240987.30000001</v>
      </c>
      <c r="D23" s="1943">
        <v>2369658</v>
      </c>
      <c r="E23" s="1939">
        <f t="shared" si="0"/>
        <v>-173871329.30000001</v>
      </c>
      <c r="F23" s="1939"/>
      <c r="G23" s="1943">
        <v>-246378801.55000001</v>
      </c>
      <c r="H23" s="1943">
        <v>16977766</v>
      </c>
      <c r="I23" s="1939">
        <f t="shared" si="2"/>
        <v>-229401035.55000001</v>
      </c>
      <c r="J23" s="2143"/>
      <c r="K23" s="2143"/>
      <c r="L23" s="2144"/>
      <c r="M23" s="2144"/>
      <c r="N23" s="2144"/>
    </row>
    <row r="24" spans="1:15" s="2041" customFormat="1" ht="15.75">
      <c r="A24" s="2038" t="s">
        <v>1238</v>
      </c>
      <c r="B24" s="2039"/>
      <c r="C24" s="1943">
        <v>0</v>
      </c>
      <c r="D24" s="1943">
        <v>0</v>
      </c>
      <c r="E24" s="1939">
        <f>C24+D24</f>
        <v>0</v>
      </c>
      <c r="F24" s="1939"/>
      <c r="G24" s="1943">
        <v>671057624.32000005</v>
      </c>
      <c r="H24" s="1943">
        <v>0</v>
      </c>
      <c r="I24" s="1939">
        <f>G24+H24</f>
        <v>671057624.32000005</v>
      </c>
      <c r="J24" s="2143"/>
      <c r="K24" s="2143"/>
      <c r="L24" s="2144"/>
      <c r="M24" s="2144"/>
      <c r="N24" s="2144"/>
    </row>
    <row r="25" spans="1:15" s="2041" customFormat="1" ht="15.75">
      <c r="A25" s="2038" t="s">
        <v>1278</v>
      </c>
      <c r="B25" s="2039"/>
      <c r="C25" s="1943">
        <v>0</v>
      </c>
      <c r="D25" s="1943">
        <v>0</v>
      </c>
      <c r="E25" s="1939">
        <f>C25</f>
        <v>0</v>
      </c>
      <c r="F25" s="1939"/>
      <c r="G25" s="1943">
        <v>285747858.01999998</v>
      </c>
      <c r="H25" s="1943">
        <f t="shared" si="1"/>
        <v>0</v>
      </c>
      <c r="I25" s="1939">
        <f t="shared" si="2"/>
        <v>285747858.01999998</v>
      </c>
      <c r="J25" s="2143"/>
      <c r="K25" s="2143"/>
      <c r="L25" s="2144"/>
      <c r="M25" s="2144"/>
      <c r="N25" s="2144"/>
    </row>
    <row r="26" spans="1:15" s="2037" customFormat="1" ht="26.1" customHeight="1">
      <c r="A26" s="2043" t="s">
        <v>1253</v>
      </c>
      <c r="B26" s="2015"/>
      <c r="C26" s="2138">
        <f>SUM(C11:C25)</f>
        <v>1804273395.7700002</v>
      </c>
      <c r="D26" s="2138">
        <f>SUM(D11:D25)</f>
        <v>58071190</v>
      </c>
      <c r="E26" s="2138">
        <f>SUM(E11:E25)</f>
        <v>1862344585.7700002</v>
      </c>
      <c r="F26" s="2139"/>
      <c r="G26" s="2138">
        <f>SUM(G11:G25)</f>
        <v>28469516581.199997</v>
      </c>
      <c r="H26" s="2138">
        <f>SUM(H11:H25)</f>
        <v>196212781</v>
      </c>
      <c r="I26" s="2138">
        <f>SUM(I11:I25)</f>
        <v>28665729362.199997</v>
      </c>
      <c r="J26" s="2143"/>
      <c r="K26" s="2143"/>
      <c r="L26" s="2144"/>
      <c r="M26" s="2144"/>
      <c r="N26" s="2144"/>
      <c r="O26" s="2041"/>
    </row>
    <row r="27" spans="1:15" ht="6.6" customHeight="1">
      <c r="A27" s="2231"/>
      <c r="B27" s="1961"/>
      <c r="C27" s="2232"/>
      <c r="D27" s="2232"/>
      <c r="E27" s="2232"/>
      <c r="F27" s="2232"/>
      <c r="G27" s="1960"/>
      <c r="H27" s="1960"/>
      <c r="I27" s="1960"/>
      <c r="K27" s="2143"/>
      <c r="L27" s="2144"/>
      <c r="N27" s="1944"/>
      <c r="O27" s="1961"/>
    </row>
    <row r="28" spans="1:15" ht="42" customHeight="1">
      <c r="A28" s="2044" t="s">
        <v>1265</v>
      </c>
      <c r="B28" s="1961"/>
      <c r="C28" s="2201">
        <v>-91641003.129999995</v>
      </c>
      <c r="D28" s="2202">
        <v>0</v>
      </c>
      <c r="E28" s="2203">
        <f>+C28</f>
        <v>-91641003.129999995</v>
      </c>
      <c r="F28" s="2204"/>
      <c r="G28" s="2205">
        <v>-880244540.64999998</v>
      </c>
      <c r="H28" s="2205">
        <v>0</v>
      </c>
      <c r="I28" s="2206">
        <f>G28+H28</f>
        <v>-880244540.64999998</v>
      </c>
      <c r="J28" s="2050"/>
      <c r="K28" s="2143"/>
      <c r="L28" s="2144"/>
    </row>
    <row r="29" spans="1:15" ht="15.6" customHeight="1">
      <c r="A29" s="2045"/>
      <c r="B29" s="1961"/>
      <c r="C29" s="2278"/>
      <c r="D29" s="2278"/>
      <c r="E29" s="2278"/>
      <c r="F29" s="2278"/>
      <c r="G29" s="2279"/>
      <c r="H29" s="2279"/>
      <c r="I29" s="2279"/>
      <c r="K29" s="2143"/>
      <c r="L29" s="2144"/>
    </row>
    <row r="30" spans="1:15" ht="19.5" thickBot="1">
      <c r="A30" s="2045" t="s">
        <v>1254</v>
      </c>
      <c r="B30" s="1961"/>
      <c r="C30" s="1963">
        <f>+C26+C28</f>
        <v>1712632392.6400003</v>
      </c>
      <c r="D30" s="1963">
        <f>D26</f>
        <v>58071190</v>
      </c>
      <c r="E30" s="1963">
        <f>E26+E28</f>
        <v>1770703582.6400003</v>
      </c>
      <c r="F30" s="2017"/>
      <c r="G30" s="1963">
        <f>+G26+G28</f>
        <v>27589272040.549995</v>
      </c>
      <c r="H30" s="1963">
        <f>H26</f>
        <v>196212781</v>
      </c>
      <c r="I30" s="1963">
        <f>I26+I28</f>
        <v>27785484821.549995</v>
      </c>
      <c r="J30" s="1960"/>
      <c r="K30" s="2143"/>
      <c r="L30" s="2144"/>
    </row>
    <row r="31" spans="1:15" ht="15.75" thickTop="1">
      <c r="C31" s="2233"/>
      <c r="D31" s="2233"/>
      <c r="E31" s="2233"/>
      <c r="F31" s="2233"/>
      <c r="G31" s="2234"/>
      <c r="H31" s="1938"/>
      <c r="I31" s="1938"/>
    </row>
    <row r="32" spans="1:15" ht="16.350000000000001" customHeight="1">
      <c r="A32" s="2047" t="s">
        <v>1270</v>
      </c>
      <c r="C32" s="2233"/>
      <c r="D32" s="2235"/>
      <c r="E32" s="2236" t="s">
        <v>14</v>
      </c>
      <c r="F32" s="2233"/>
      <c r="G32" s="2207" t="s">
        <v>14</v>
      </c>
      <c r="H32" s="2050"/>
      <c r="I32" s="2050" t="s">
        <v>14</v>
      </c>
      <c r="J32" s="1960"/>
    </row>
    <row r="33" spans="1:11" ht="16.350000000000001" customHeight="1">
      <c r="A33" s="2048" t="s">
        <v>1272</v>
      </c>
      <c r="C33" s="2237"/>
      <c r="D33" s="2237"/>
      <c r="E33" s="2238"/>
      <c r="F33" s="2239"/>
      <c r="G33" s="2207"/>
      <c r="H33" s="2207"/>
      <c r="I33" s="2240" t="s">
        <v>14</v>
      </c>
      <c r="J33" s="2142"/>
      <c r="K33" s="2052"/>
    </row>
    <row r="34" spans="1:11" ht="14.85" customHeight="1">
      <c r="A34" s="2241" t="s">
        <v>1271</v>
      </c>
      <c r="C34" s="2224"/>
      <c r="D34" s="2242"/>
      <c r="E34" s="2243" t="s">
        <v>14</v>
      </c>
      <c r="F34" s="573"/>
      <c r="G34" s="1960" t="s">
        <v>14</v>
      </c>
      <c r="H34" s="1960"/>
      <c r="I34" s="2244"/>
      <c r="J34" s="2050"/>
    </row>
    <row r="35" spans="1:11" ht="16.350000000000001" customHeight="1">
      <c r="A35" s="2241" t="s">
        <v>1257</v>
      </c>
      <c r="C35" s="2236"/>
      <c r="D35" s="2233"/>
      <c r="E35" s="2236" t="s">
        <v>14</v>
      </c>
      <c r="F35" s="2233"/>
      <c r="G35" s="1960" t="s">
        <v>14</v>
      </c>
      <c r="H35" s="1938"/>
      <c r="I35" s="2050" t="s">
        <v>14</v>
      </c>
      <c r="J35" s="2050"/>
    </row>
    <row r="36" spans="1:11" ht="16.350000000000001" customHeight="1">
      <c r="A36" s="2241" t="s">
        <v>1258</v>
      </c>
      <c r="C36" s="2236"/>
      <c r="D36" s="2233"/>
      <c r="E36" s="2236" t="s">
        <v>14</v>
      </c>
      <c r="F36" s="2233"/>
      <c r="G36" s="2050" t="s">
        <v>14</v>
      </c>
      <c r="H36" s="1938"/>
      <c r="I36" s="1938"/>
      <c r="J36" s="2050"/>
    </row>
    <row r="37" spans="1:11">
      <c r="C37" s="2245"/>
      <c r="D37" s="2246"/>
      <c r="E37" s="2247"/>
      <c r="F37" s="2248"/>
      <c r="G37" s="2249"/>
      <c r="H37" s="2249"/>
      <c r="I37" s="2250"/>
    </row>
    <row r="38" spans="1:11">
      <c r="C38" s="2201"/>
      <c r="D38" s="2202"/>
      <c r="E38" s="2203"/>
      <c r="F38" s="2204"/>
      <c r="G38" s="2205"/>
      <c r="H38" s="2205"/>
      <c r="I38" s="2206"/>
    </row>
    <row r="39" spans="1:11" ht="29.25" customHeight="1"/>
    <row r="40" spans="1:11" ht="30.75" customHeight="1">
      <c r="D40" s="2051"/>
      <c r="E40" s="2051"/>
      <c r="F40" s="2051"/>
      <c r="G40" s="2277"/>
      <c r="H40" s="2052"/>
      <c r="I40" s="2052"/>
    </row>
    <row r="41" spans="1:11">
      <c r="C41" s="2208"/>
      <c r="D41" s="2202"/>
      <c r="E41" s="2203"/>
      <c r="F41" s="2204"/>
      <c r="G41" s="2207"/>
      <c r="H41" s="2205"/>
      <c r="I41" s="2206"/>
    </row>
    <row r="42" spans="1:11" ht="15.75">
      <c r="D42" s="2051"/>
      <c r="E42" s="2051"/>
      <c r="F42" s="2051"/>
      <c r="G42" s="2052"/>
      <c r="H42" s="2052"/>
      <c r="I42" s="1960"/>
    </row>
    <row r="43" spans="1:11">
      <c r="D43" s="2051"/>
      <c r="E43" s="2051"/>
      <c r="F43" s="2051"/>
      <c r="G43" s="2052"/>
      <c r="H43" s="2052"/>
      <c r="I43" s="2052"/>
    </row>
    <row r="44" spans="1:11">
      <c r="D44" s="2051"/>
      <c r="E44" s="2051"/>
      <c r="F44" s="2051"/>
      <c r="G44" s="2052"/>
      <c r="H44" s="2052"/>
      <c r="I44" s="2050"/>
    </row>
    <row r="45" spans="1:11">
      <c r="D45" s="2051"/>
      <c r="E45" s="2051"/>
      <c r="F45" s="2051"/>
      <c r="G45" s="2052"/>
      <c r="H45" s="2052"/>
      <c r="I45" s="2050"/>
    </row>
  </sheetData>
  <mergeCells count="2">
    <mergeCell ref="C7:E7"/>
    <mergeCell ref="G7:I7"/>
  </mergeCells>
  <pageMargins left="0.17" right="0.18" top="0.5" bottom="0.27" header="0.23" footer="0.18"/>
  <pageSetup scale="55" firstPageNumber="58" orientation="landscape" useFirstPageNumber="1" r:id="rId1"/>
  <headerFooter scaleWithDoc="0" alignWithMargins="0">
    <oddFooter>&amp;C&amp;8&amp;P</oddFooter>
  </headerFooter>
  <customProperties>
    <customPr name="SheetOptions"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45</vt:i4>
      </vt:variant>
      <vt:variant>
        <vt:lpstr>Named Ranges</vt:lpstr>
      </vt:variant>
      <vt:variant>
        <vt:i4>78</vt:i4>
      </vt:variant>
    </vt:vector>
  </HeadingPairs>
  <TitlesOfParts>
    <vt:vector size="123" baseType="lpstr">
      <vt:lpstr>Table of Contents</vt:lpstr>
      <vt:lpstr>Exhibit A</vt:lpstr>
      <vt:lpstr>Exh A Supp</vt:lpstr>
      <vt:lpstr>Footnotes</vt:lpstr>
      <vt:lpstr>Exh B</vt:lpstr>
      <vt:lpstr>Exh C</vt:lpstr>
      <vt:lpstr>Exh D-Governmental  </vt:lpstr>
      <vt:lpstr>Exh D State Operating</vt:lpstr>
      <vt:lpstr>Exh D General Fund</vt:lpstr>
      <vt:lpstr>Exh D Special Revenue</vt:lpstr>
      <vt:lpstr>Exh D Special Revenue State Fed</vt:lpstr>
      <vt:lpstr>Exh D Debt Service</vt:lpstr>
      <vt:lpstr>Exh D Capital Projects</vt:lpstr>
      <vt:lpstr>Exh D Captl Projects State Fed</vt:lpstr>
      <vt:lpstr>EXHIBIT E </vt:lpstr>
      <vt:lpstr>Cashflow Governmental</vt:lpstr>
      <vt:lpstr>Cash Flow State Operating</vt:lpstr>
      <vt:lpstr>Exhibit F</vt:lpstr>
      <vt:lpstr>Exhibit G</vt:lpstr>
      <vt:lpstr>Exhibit G State</vt:lpstr>
      <vt:lpstr>Exhibit G Federal</vt:lpstr>
      <vt:lpstr>Exhibit H</vt:lpstr>
      <vt:lpstr>Exhibit I</vt:lpstr>
      <vt:lpstr>Exhibit I State</vt:lpstr>
      <vt:lpstr>Exhibit I Federal</vt:lpstr>
      <vt:lpstr>Exhibit J</vt:lpstr>
      <vt:lpstr>Exhibit K</vt:lpstr>
      <vt:lpstr>Exhibit L</vt:lpstr>
      <vt:lpstr>Exhibit M</vt:lpstr>
      <vt:lpstr>Sch 1 </vt:lpstr>
      <vt:lpstr>Sch 2 </vt:lpstr>
      <vt:lpstr>Sch 3 </vt:lpstr>
      <vt:lpstr>Sch 4</vt:lpstr>
      <vt:lpstr>Sch 5 </vt:lpstr>
      <vt:lpstr>Sch 5a</vt:lpstr>
      <vt:lpstr>Sch 6</vt:lpstr>
      <vt:lpstr>HCRA </vt:lpstr>
      <vt:lpstr>HCRA PROG DISB</vt:lpstr>
      <vt:lpstr>Public Goods </vt:lpstr>
      <vt:lpstr>Medicaid Disp Share</vt:lpstr>
      <vt:lpstr>Appendix E</vt:lpstr>
      <vt:lpstr>Appendix F</vt:lpstr>
      <vt:lpstr>Appendix G</vt:lpstr>
      <vt:lpstr>Appendix H</vt:lpstr>
      <vt:lpstr>Appendix I</vt:lpstr>
      <vt:lpstr>'Exhibit G'!Exh_G_var</vt:lpstr>
      <vt:lpstr>'Exhibit G Federal'!Exh_G_var</vt:lpstr>
      <vt:lpstr>'Exhibit G State'!Exh_G_var</vt:lpstr>
      <vt:lpstr>'EXHIBIT E '!EXHIBIT_E</vt:lpstr>
      <vt:lpstr>'Exh A Supp'!EXHIBITA</vt:lpstr>
      <vt:lpstr>'Exh A Supp'!EXHIBITAvar</vt:lpstr>
      <vt:lpstr>'Exh C'!ExhibitB</vt:lpstr>
      <vt:lpstr>'Appendix E'!EXHL</vt:lpstr>
      <vt:lpstr>'Exhibit M'!EXHL</vt:lpstr>
      <vt:lpstr>'Medicaid Disp Share'!Medicaid</vt:lpstr>
      <vt:lpstr>Footnotes!Page_1</vt:lpstr>
      <vt:lpstr>'Sch 4'!page1</vt:lpstr>
      <vt:lpstr>'Table of Contents'!page1</vt:lpstr>
      <vt:lpstr>'Appendix E'!Print_Area</vt:lpstr>
      <vt:lpstr>'Appendix F'!Print_Area</vt:lpstr>
      <vt:lpstr>'Appendix G'!Print_Area</vt:lpstr>
      <vt:lpstr>'Appendix H'!Print_Area</vt:lpstr>
      <vt:lpstr>'Appendix I'!Print_Area</vt:lpstr>
      <vt:lpstr>'Cash Flow State Operating'!Print_Area</vt:lpstr>
      <vt:lpstr>'Cashflow Governmental'!Print_Area</vt:lpstr>
      <vt:lpstr>'Exh A Supp'!Print_Area</vt:lpstr>
      <vt:lpstr>'Exh B'!Print_Area</vt:lpstr>
      <vt:lpstr>'Exh C'!Print_Area</vt:lpstr>
      <vt:lpstr>'Exh D Capital Projects'!Print_Area</vt:lpstr>
      <vt:lpstr>'Exh D Captl Projects State Fed'!Print_Area</vt:lpstr>
      <vt:lpstr>'Exh D Debt Service'!Print_Area</vt:lpstr>
      <vt:lpstr>'Exh D General Fund'!Print_Area</vt:lpstr>
      <vt:lpstr>'Exh D Special Revenue'!Print_Area</vt:lpstr>
      <vt:lpstr>'Exh D Special Revenue State Fed'!Print_Area</vt:lpstr>
      <vt:lpstr>'Exh D State Operating'!Print_Area</vt:lpstr>
      <vt:lpstr>'Exh D-Governmental  '!Print_Area</vt:lpstr>
      <vt:lpstr>'Exhibit A'!Print_Area</vt:lpstr>
      <vt:lpstr>'EXHIBIT E '!Print_Area</vt:lpstr>
      <vt:lpstr>'Exhibit F'!Print_Area</vt:lpstr>
      <vt:lpstr>'Exhibit G'!Print_Area</vt:lpstr>
      <vt:lpstr>'Exhibit G Federal'!Print_Area</vt:lpstr>
      <vt:lpstr>'Exhibit G State'!Print_Area</vt:lpstr>
      <vt:lpstr>'Exhibit H'!Print_Area</vt:lpstr>
      <vt:lpstr>'Exhibit I'!Print_Area</vt:lpstr>
      <vt:lpstr>'Exhibit I Federal'!Print_Area</vt:lpstr>
      <vt:lpstr>'Exhibit I State'!Print_Area</vt:lpstr>
      <vt:lpstr>'Exhibit J'!Print_Area</vt:lpstr>
      <vt:lpstr>'Exhibit K'!Print_Area</vt:lpstr>
      <vt:lpstr>'Exhibit L'!Print_Area</vt:lpstr>
      <vt:lpstr>'Exhibit M'!Print_Area</vt:lpstr>
      <vt:lpstr>Footnotes!Print_Area</vt:lpstr>
      <vt:lpstr>'HCRA '!Print_Area</vt:lpstr>
      <vt:lpstr>'HCRA PROG DISB'!Print_Area</vt:lpstr>
      <vt:lpstr>'Medicaid Disp Share'!Print_Area</vt:lpstr>
      <vt:lpstr>'Public Goods '!Print_Area</vt:lpstr>
      <vt:lpstr>'Sch 1 '!Print_Area</vt:lpstr>
      <vt:lpstr>'Sch 2 '!Print_Area</vt:lpstr>
      <vt:lpstr>'Sch 3 '!Print_Area</vt:lpstr>
      <vt:lpstr>'Sch 4'!Print_Area</vt:lpstr>
      <vt:lpstr>'Sch 5 '!Print_Area</vt:lpstr>
      <vt:lpstr>'Sch 5a'!Print_Area</vt:lpstr>
      <vt:lpstr>'Sch 6'!Print_Area</vt:lpstr>
      <vt:lpstr>'Table of Contents'!Print_Area</vt:lpstr>
      <vt:lpstr>'Appendix F'!Print_Titles</vt:lpstr>
      <vt:lpstr>'Cash Flow State Operating'!Print_Titles</vt:lpstr>
      <vt:lpstr>'Cashflow Governmental'!Print_Titles</vt:lpstr>
      <vt:lpstr>'Exhibit F'!Print_Titles</vt:lpstr>
      <vt:lpstr>'Exhibit G'!Print_Titles</vt:lpstr>
      <vt:lpstr>'Exhibit G Federal'!Print_Titles</vt:lpstr>
      <vt:lpstr>'Exhibit G State'!Print_Titles</vt:lpstr>
      <vt:lpstr>'Exhibit H'!Print_Titles</vt:lpstr>
      <vt:lpstr>'Exhibit I'!Print_Titles</vt:lpstr>
      <vt:lpstr>'Exhibit I Federal'!Print_Titles</vt:lpstr>
      <vt:lpstr>'Exhibit I State'!Print_Titles</vt:lpstr>
      <vt:lpstr>Footnotes!Print_Titles</vt:lpstr>
      <vt:lpstr>'HCRA PROG DISB'!Print_Titles</vt:lpstr>
      <vt:lpstr>'Public Goods '!Print_Titles</vt:lpstr>
      <vt:lpstr>'Sch 1 '!Print_Titles</vt:lpstr>
      <vt:lpstr>'Table of Contents'!Print_Titles</vt:lpstr>
      <vt:lpstr>'Sch 3 '!Sch3_2</vt:lpstr>
      <vt:lpstr>'EXHIBIT E '!STATE_OF_NEW_YORK</vt:lpstr>
      <vt:lpstr>'Appendix G'!variance</vt:lpstr>
      <vt:lpstr>'HCRA '!variance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2023-10-16T15:50:34Z</dcterms:created>
  <dcterms:modified xsi:type="dcterms:W3CDTF">2023-10-16T19:04:48Z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